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apacity" sheetId="1" state="visible" r:id="rId2"/>
    <sheet name="Demand" sheetId="2" state="visible" r:id="rId3"/>
    <sheet name="DemClcs" sheetId="3" state="visible" r:id="rId4"/>
    <sheet name="Flows" sheetId="4" state="visible" r:id="rId5"/>
    <sheet name="Cash" sheetId="5" state="visible" r:id="rId6"/>
    <sheet name="Tech" sheetId="6" state="visible" r:id="rId7"/>
    <sheet name="Dists" sheetId="7" state="visible" r:id="rId8"/>
    <sheet name="Populations" sheetId="8" state="visible" r:id="rId9"/>
    <sheet name="Vanuchu" sheetId="9" state="visible" r:id="rId10"/>
    <sheet name="Sh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<sst xmlns="http://schemas.openxmlformats.org/spreadsheetml/2006/main" count="2696" uniqueCount="664">
  <si>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</si>
  <si>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</si>
  <si>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</si>
  <si>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</si>
  <si>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</si>
  <si>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</si>
  <si>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</si>
  <si>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</si>
  <si>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</si>
  <si>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</si>
  <si>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</si>
  <si>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</si>
  <si>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</si>
  <si>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</si>
  <si>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</si>
  <si>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</si>
  <si>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</si>
  <si>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N/A</t>
  </si>
  <si>
    <t xml:space="preserve">Honey Capacity</t>
  </si>
  <si>
    <t xml:space="preserve">Agr. Capacity</t>
  </si>
  <si>
    <t xml:space="preserve">Manu. Capacity</t>
  </si>
  <si>
    <t xml:space="preserve">Capacity Sum</t>
  </si>
  <si>
    <t xml:space="preserve">Name</t>
  </si>
  <si>
    <t xml:space="preserve">Climate</t>
  </si>
  <si>
    <t xml:space="preserve">Hexes</t>
  </si>
  <si>
    <t xml:space="preserve">Work Days</t>
  </si>
  <si>
    <t xml:space="preserve">Tech</t>
  </si>
  <si>
    <t xml:space="preserve">Arability</t>
  </si>
  <si>
    <t xml:space="preserve">L. Used</t>
  </si>
  <si>
    <t xml:space="preserve">Nye (lb/acre)</t>
  </si>
  <si>
    <t xml:space="preserve">Sweet Potatoes (lb/acre)</t>
  </si>
  <si>
    <t xml:space="preserve">Jeet (lb/acre)</t>
  </si>
  <si>
    <t xml:space="preserve">Jingla (lb/acre)</t>
  </si>
  <si>
    <t xml:space="preserve">Chipak (lb/acre)</t>
  </si>
  <si>
    <t xml:space="preserve">Veam (lb/acre)</t>
  </si>
  <si>
    <t xml:space="preserve">Nunives (lb/acre)</t>
  </si>
  <si>
    <t xml:space="preserve">Jax (lb/acre)</t>
  </si>
  <si>
    <t xml:space="preserve">Honey (lb/acre)</t>
  </si>
  <si>
    <t xml:space="preserve">Wax (lb/acre)</t>
  </si>
  <si>
    <t xml:space="preserve">|--|</t>
  </si>
  <si>
    <t xml:space="preserve">Sugar (KT)</t>
  </si>
  <si>
    <t xml:space="preserve">Jeet (KT)</t>
  </si>
  <si>
    <t xml:space="preserve">Jeet Seed (KT)</t>
  </si>
  <si>
    <t xml:space="preserve">Jeet Out (KT)</t>
  </si>
  <si>
    <t xml:space="preserve">Nye (KT)</t>
  </si>
  <si>
    <t xml:space="preserve">Nye Seed (KT)</t>
  </si>
  <si>
    <t xml:space="preserve">Nye Out (KT)</t>
  </si>
  <si>
    <t xml:space="preserve">Veam (KT)</t>
  </si>
  <si>
    <t xml:space="preserve">Nunives (KT)</t>
  </si>
  <si>
    <t xml:space="preserve">Jax (KT)</t>
  </si>
  <si>
    <t xml:space="preserve">Honey (KT)</t>
  </si>
  <si>
    <t xml:space="preserve">Wax (KT)</t>
  </si>
  <si>
    <t xml:space="preserve">Dairy Jound (ea)</t>
  </si>
  <si>
    <t xml:space="preserve">Zhou (ea)</t>
  </si>
  <si>
    <t xml:space="preserve">Flou (ea)</t>
  </si>
  <si>
    <t xml:space="preserve">Jingla (KT)</t>
  </si>
  <si>
    <t xml:space="preserve">Flour (KT)</t>
  </si>
  <si>
    <t xml:space="preserve">Bread (KT)</t>
  </si>
  <si>
    <t xml:space="preserve">Veg Oil (KT)</t>
  </si>
  <si>
    <t xml:space="preserve">Cheese (KT)</t>
  </si>
  <si>
    <t xml:space="preserve">Zhou Meat (KT)</t>
  </si>
  <si>
    <t xml:space="preserve">Flou Meat (KT)</t>
  </si>
  <si>
    <t xml:space="preserve">Eggs (KT)</t>
  </si>
  <si>
    <t xml:space="preserve">Cider (KT)</t>
  </si>
  <si>
    <t xml:space="preserve">Sauce (KT)</t>
  </si>
  <si>
    <t xml:space="preserve">Chipak (KT)</t>
  </si>
  <si>
    <t xml:space="preserve">Wool (KT)</t>
  </si>
  <si>
    <t xml:space="preserve">Lumber (KT)</t>
  </si>
  <si>
    <t xml:space="preserve">Timber (KT)</t>
  </si>
  <si>
    <t xml:space="preserve">Carpentry (KT)</t>
  </si>
  <si>
    <t xml:space="preserve">Bricks (KT)</t>
  </si>
  <si>
    <t xml:space="preserve">Mason (KT)</t>
  </si>
  <si>
    <t xml:space="preserve">Fur Coats (KT)</t>
  </si>
  <si>
    <t xml:space="preserve">Zhou Shoes (KT)</t>
  </si>
  <si>
    <t xml:space="preserve">Hoe (KT)</t>
  </si>
  <si>
    <t xml:space="preserve">Hatchet (KT)</t>
  </si>
  <si>
    <t xml:space="preserve">Auger (KT)</t>
  </si>
  <si>
    <t xml:space="preserve">Scissors (KT)</t>
  </si>
  <si>
    <t xml:space="preserve">Chisels (KT)</t>
  </si>
  <si>
    <t xml:space="preserve">Hammers (KT)</t>
  </si>
  <si>
    <t xml:space="preserve">Sickle (KT)</t>
  </si>
  <si>
    <t xml:space="preserve">Axe (KT)</t>
  </si>
  <si>
    <t xml:space="preserve">Chainmail (KT)</t>
  </si>
  <si>
    <t xml:space="preserve">Platemail (KT)</t>
  </si>
  <si>
    <t xml:space="preserve">Shortsword (KT)</t>
  </si>
  <si>
    <t xml:space="preserve">Longsword (KT)</t>
  </si>
  <si>
    <t xml:space="preserve">Dagger (KT)</t>
  </si>
  <si>
    <t xml:space="preserve">Staff (KT)</t>
  </si>
  <si>
    <t xml:space="preserve">Spear (KT)</t>
  </si>
  <si>
    <t xml:space="preserve">Battleaxe (KT)</t>
  </si>
  <si>
    <t xml:space="preserve">Thread (KT)</t>
  </si>
  <si>
    <t xml:space="preserve">Sweater (KT)</t>
  </si>
  <si>
    <t xml:space="preserve">Silk Cloth (KT)</t>
  </si>
  <si>
    <t xml:space="preserve">Cloth (KT)</t>
  </si>
  <si>
    <t xml:space="preserve">Leather (KT)</t>
  </si>
  <si>
    <t xml:space="preserve">Shirts (KT)</t>
  </si>
  <si>
    <t xml:space="preserve">Vests (KT)</t>
  </si>
  <si>
    <t xml:space="preserve">Pants (KT)</t>
  </si>
  <si>
    <t xml:space="preserve">Coat (KT)</t>
  </si>
  <si>
    <t xml:space="preserve">Salt (KT)</t>
  </si>
  <si>
    <t xml:space="preserve">Cured Meat (KT)</t>
  </si>
  <si>
    <t xml:space="preserve">Salted Fish (KT)</t>
  </si>
  <si>
    <t xml:space="preserve">Sausage (KT)</t>
  </si>
  <si>
    <t xml:space="preserve">Pickles (KT)</t>
  </si>
  <si>
    <t xml:space="preserve">Smoked Meats (KT)</t>
  </si>
  <si>
    <t xml:space="preserve">Barrel (Ktspace)</t>
  </si>
  <si>
    <t xml:space="preserve">Pottery (KT)</t>
  </si>
  <si>
    <t xml:space="preserve">Ore (KT)</t>
  </si>
  <si>
    <t xml:space="preserve">Cu (KT)</t>
  </si>
  <si>
    <t xml:space="preserve">Iron (KT)</t>
  </si>
  <si>
    <t xml:space="preserve">Pb (KT)</t>
  </si>
  <si>
    <t xml:space="preserve">Ag (KT)</t>
  </si>
  <si>
    <t xml:space="preserve">Au (KT)</t>
  </si>
  <si>
    <t xml:space="preserve">Cu Coin (KT)</t>
  </si>
  <si>
    <t xml:space="preserve">Ag Coin (KT)</t>
  </si>
  <si>
    <t xml:space="preserve">Au Coin (KT)</t>
  </si>
  <si>
    <t xml:space="preserve">Beer (KT)</t>
  </si>
  <si>
    <t xml:space="preserve">Rope (KT)</t>
  </si>
  <si>
    <t xml:space="preserve">Bowstring (KT)</t>
  </si>
  <si>
    <t xml:space="preserve">Whale Oil (KT)</t>
  </si>
  <si>
    <t xml:space="preserve">Whale Wax (KT)</t>
  </si>
  <si>
    <t xml:space="preserve">Vinegar (KT)</t>
  </si>
  <si>
    <t xml:space="preserve">Furs (KT)</t>
  </si>
  <si>
    <t xml:space="preserve">Game Meat (KT)</t>
  </si>
  <si>
    <t xml:space="preserve">Game Leather (KT)</t>
  </si>
  <si>
    <t xml:space="preserve">Basket (Ktspace)</t>
  </si>
  <si>
    <t xml:space="preserve">Diamonds (KT)</t>
  </si>
  <si>
    <t xml:space="preserve">Gems (KT)</t>
  </si>
  <si>
    <t xml:space="preserve">Arrows (KT)</t>
  </si>
  <si>
    <t xml:space="preserve">Backpacks (KT)</t>
  </si>
  <si>
    <t xml:space="preserve">Saddles (KT)</t>
  </si>
  <si>
    <t xml:space="preserve">Eskinoko</t>
  </si>
  <si>
    <t xml:space="preserve">Taiga</t>
  </si>
  <si>
    <t xml:space="preserve">Oko</t>
  </si>
  <si>
    <t xml:space="preserve">Mts</t>
  </si>
  <si>
    <t xml:space="preserve">Bono</t>
  </si>
  <si>
    <t xml:space="preserve">Temp</t>
  </si>
  <si>
    <t xml:space="preserve">Khanak</t>
  </si>
  <si>
    <t xml:space="preserve">Steppe</t>
  </si>
  <si>
    <t xml:space="preserve">Anoko</t>
  </si>
  <si>
    <t xml:space="preserve">Floresta</t>
  </si>
  <si>
    <t xml:space="preserve">Branio</t>
  </si>
  <si>
    <t xml:space="preserve">Ukal</t>
  </si>
  <si>
    <t xml:space="preserve">Chinki</t>
  </si>
  <si>
    <t xml:space="preserve">Bulkini</t>
  </si>
  <si>
    <t xml:space="preserve">Selva</t>
  </si>
  <si>
    <t xml:space="preserve">Jungle</t>
  </si>
  <si>
    <t xml:space="preserve">Danio</t>
  </si>
  <si>
    <t xml:space="preserve">Venilche</t>
  </si>
  <si>
    <t xml:space="preserve">Sav</t>
  </si>
  <si>
    <t xml:space="preserve">Mechansa</t>
  </si>
  <si>
    <t xml:space="preserve">Vantrokeno</t>
  </si>
  <si>
    <t xml:space="preserve">Vanuchu</t>
  </si>
  <si>
    <t xml:space="preserve">Izukini</t>
  </si>
  <si>
    <t xml:space="preserve">Medi</t>
  </si>
  <si>
    <t xml:space="preserve">Budunu</t>
  </si>
  <si>
    <t xml:space="preserve">Azucar</t>
  </si>
  <si>
    <t xml:space="preserve">Loncar</t>
  </si>
  <si>
    <t xml:space="preserve">Arania</t>
  </si>
  <si>
    <t xml:space="preserve">Kimundu</t>
  </si>
  <si>
    <t xml:space="preserve">Agula</t>
  </si>
  <si>
    <t xml:space="preserve">Capita Ratio</t>
  </si>
  <si>
    <t xml:space="preserve">Barley Seed Ratio</t>
  </si>
  <si>
    <t xml:space="preserve">Potato Seed Ratio</t>
  </si>
  <si>
    <t xml:space="preserve">Wheat Seed Ratio</t>
  </si>
  <si>
    <t xml:space="preserve">Notes:</t>
  </si>
  <si>
    <t xml:space="preserve">Yield</t>
  </si>
  <si>
    <t xml:space="preserve">Cords</t>
  </si>
  <si>
    <t xml:space="preserve">Brick</t>
  </si>
  <si>
    <t xml:space="preserve">Coats</t>
  </si>
  <si>
    <t xml:space="preserve">Zhou Shoes</t>
  </si>
  <si>
    <t xml:space="preserve">Hoes</t>
  </si>
  <si>
    <t xml:space="preserve">Hatchets</t>
  </si>
  <si>
    <t xml:space="preserve">Augers</t>
  </si>
  <si>
    <t xml:space="preserve">Scissors</t>
  </si>
  <si>
    <t xml:space="preserve">Chisels</t>
  </si>
  <si>
    <t xml:space="preserve">Hammers</t>
  </si>
  <si>
    <t xml:space="preserve">Sickles</t>
  </si>
  <si>
    <t xml:space="preserve">Axes</t>
  </si>
  <si>
    <t xml:space="preserve">Chainmail</t>
  </si>
  <si>
    <t xml:space="preserve">Platemail</t>
  </si>
  <si>
    <t xml:space="preserve">Shortsword</t>
  </si>
  <si>
    <t xml:space="preserve">Longsword</t>
  </si>
  <si>
    <t xml:space="preserve">Daggers</t>
  </si>
  <si>
    <t xml:space="preserve">Staffs</t>
  </si>
  <si>
    <t xml:space="preserve">Spears</t>
  </si>
  <si>
    <t xml:space="preserve">Battleaxes</t>
  </si>
  <si>
    <t xml:space="preserve">Maximum</t>
  </si>
  <si>
    <t xml:space="preserve">1lb wx =</t>
  </si>
  <si>
    <t xml:space="preserve">11.25lb Nun.</t>
  </si>
  <si>
    <t xml:space="preserve">Sweater = 2lb wool</t>
  </si>
  <si>
    <t xml:space="preserve">4yd/lb</t>
  </si>
  <si>
    <t xml:space="preserve">2.22yd/lb</t>
  </si>
  <si>
    <t xml:space="preserve">Zhou Hide = 2lb</t>
  </si>
  <si>
    <t xml:space="preserve">Shirt = 3.5yd</t>
  </si>
  <si>
    <t xml:space="preserve">Vest = 2yd</t>
  </si>
  <si>
    <t xml:space="preserve">Pants = 2.5yd</t>
  </si>
  <si>
    <t xml:space="preserve">Coat = 7yd</t>
  </si>
  <si>
    <t xml:space="preserve">lb/barrel=</t>
  </si>
  <si>
    <t xml:space="preserve">Average plate = 2lb</t>
  </si>
  <si>
    <t xml:space="preserve">1lb = 24coins</t>
  </si>
  <si>
    <t xml:space="preserve">2lb rope = 50’</t>
  </si>
  <si>
    <t xml:space="preserve">2lb string =</t>
  </si>
  <si>
    <t xml:space="preserve">lb/pelt</t>
  </si>
  <si>
    <t xml:space="preserve">yd/lb = 2</t>
  </si>
  <si>
    <t xml:space="preserve">0.02lb/arrow</t>
  </si>
  <si>
    <t xml:space="preserve">0.5lb/pack</t>
  </si>
  <si>
    <t xml:space="preserve">25lb/saddle</t>
  </si>
  <si>
    <t xml:space="preserve">80hrs light</t>
  </si>
  <si>
    <t xml:space="preserve">'=30qt oil</t>
  </si>
  <si>
    <t xml:space="preserve">KT Jingla</t>
  </si>
  <si>
    <t xml:space="preserve">lb/cord</t>
  </si>
  <si>
    <t xml:space="preserve">lb/brick</t>
  </si>
  <si>
    <t xml:space="preserve">pelts/KT</t>
  </si>
  <si>
    <t xml:space="preserve">lb/shoe</t>
  </si>
  <si>
    <t xml:space="preserve">lb/ea</t>
  </si>
  <si>
    <t xml:space="preserve">yd/lb</t>
  </si>
  <si>
    <t xml:space="preserve">sweaters/KT=</t>
  </si>
  <si>
    <t xml:space="preserve">yd/KT=</t>
  </si>
  <si>
    <t xml:space="preserve">yd/KT</t>
  </si>
  <si>
    <t xml:space="preserve">Zhou Hide = 4yd</t>
  </si>
  <si>
    <t xml:space="preserve">Shirt/KT</t>
  </si>
  <si>
    <t xml:space="preserve">Vests/KT</t>
  </si>
  <si>
    <t xml:space="preserve">Pants/KT</t>
  </si>
  <si>
    <t xml:space="preserve">Coats/KT</t>
  </si>
  <si>
    <t xml:space="preserve">1ton = 48Kcoins</t>
  </si>
  <si>
    <t xml:space="preserve">1ton = 50Kft</t>
  </si>
  <si>
    <t xml:space="preserve">1500ft</t>
  </si>
  <si>
    <t xml:space="preserve">4Myd / KT</t>
  </si>
  <si>
    <t xml:space="preserve">arrows/KT</t>
  </si>
  <si>
    <t xml:space="preserve">4Mpcks</t>
  </si>
  <si>
    <t xml:space="preserve">saddles/KT=</t>
  </si>
  <si>
    <t xml:space="preserve">Crop Multiplier</t>
  </si>
  <si>
    <t xml:space="preserve">'=30kg oil</t>
  </si>
  <si>
    <t xml:space="preserve">per KT Cider</t>
  </si>
  <si>
    <t xml:space="preserve">per KT Sauce</t>
  </si>
  <si>
    <t xml:space="preserve">0.5lb/yd leather</t>
  </si>
  <si>
    <t xml:space="preserve">barrels/KT=</t>
  </si>
  <si>
    <t xml:space="preserve">1KT = 48Mcoins</t>
  </si>
  <si>
    <t xml:space="preserve">1KT = 50Mft</t>
  </si>
  <si>
    <t xml:space="preserve">1ton = 1.5Mft</t>
  </si>
  <si>
    <t xml:space="preserve">'=1KT</t>
  </si>
  <si>
    <t xml:space="preserve">'=66lb oil</t>
  </si>
  <si>
    <t xml:space="preserve">cord/KT</t>
  </si>
  <si>
    <t xml:space="preserve">KT/Kbcks</t>
  </si>
  <si>
    <t xml:space="preserve">Kcoats/KT</t>
  </si>
  <si>
    <t xml:space="preserve">KT/K</t>
  </si>
  <si>
    <t xml:space="preserve">Kyd/KT</t>
  </si>
  <si>
    <t xml:space="preserve">4.44Myd / KT</t>
  </si>
  <si>
    <t xml:space="preserve">1KT = 1.5Gft</t>
  </si>
  <si>
    <t xml:space="preserve">Rope is at </t>
  </si>
  <si>
    <t xml:space="preserve">lb/yd</t>
  </si>
  <si>
    <t xml:space="preserve">100Marrows</t>
  </si>
  <si>
    <t xml:space="preserve">Board Feet</t>
  </si>
  <si>
    <t xml:space="preserve">50ft lengths</t>
  </si>
  <si>
    <t xml:space="preserve">String is at</t>
  </si>
  <si>
    <t xml:space="preserve">Kgal/KT</t>
  </si>
  <si>
    <t xml:space="preserve">Sweater = 2/5yd fab</t>
  </si>
  <si>
    <t xml:space="preserve">and holds</t>
  </si>
  <si>
    <t xml:space="preserve">5ft lengths</t>
  </si>
  <si>
    <t xml:space="preserve">yds/KT</t>
  </si>
  <si>
    <t xml:space="preserve">lb/bf</t>
  </si>
  <si>
    <t xml:space="preserve">250lb wt</t>
  </si>
  <si>
    <t xml:space="preserve">Dyes increase</t>
  </si>
  <si>
    <t xml:space="preserve">83.33lb wt</t>
  </si>
  <si>
    <t xml:space="preserve">KT/Kbf</t>
  </si>
  <si>
    <t xml:space="preserve">cost by 20-50%</t>
  </si>
  <si>
    <t xml:space="preserve">1.5 days / cord</t>
  </si>
  <si>
    <t xml:space="preserve">Furrier (KT)</t>
  </si>
  <si>
    <t xml:space="preserve">Nation</t>
  </si>
  <si>
    <t xml:space="preserve">They say you need 1.5lb</t>
  </si>
  <si>
    <t xml:space="preserve">Or 2 loaves of bread per</t>
  </si>
  <si>
    <t xml:space="preserve">day, but that plus 0.8gal beer</t>
  </si>
  <si>
    <t xml:space="preserve">adds up to 4000 cal.</t>
  </si>
  <si>
    <t xml:space="preserve">So, I am doing 1 loaf</t>
  </si>
  <si>
    <t xml:space="preserve">And 0.4gal of beer per day</t>
  </si>
  <si>
    <t xml:space="preserve">Random?</t>
  </si>
  <si>
    <t xml:space="preserve">Minimum=</t>
  </si>
  <si>
    <t xml:space="preserve">Cloth Modifier</t>
  </si>
  <si>
    <t xml:space="preserve">Modifier</t>
  </si>
  <si>
    <t xml:space="preserve">Tool Modifier</t>
  </si>
  <si>
    <t xml:space="preserve">Coin Ratio</t>
  </si>
  <si>
    <t xml:space="preserve">Honey</t>
  </si>
  <si>
    <t xml:space="preserve">Agri.</t>
  </si>
  <si>
    <t xml:space="preserve">Manu.</t>
  </si>
  <si>
    <t xml:space="preserve">Rate Locks</t>
  </si>
  <si>
    <t xml:space="preserve">Typical 1 story Medieval Waddle and Daab House</t>
  </si>
  <si>
    <t xml:space="preserve">Equal to a…</t>
  </si>
  <si>
    <t xml:space="preserve">sq ft house</t>
  </si>
  <si>
    <t xml:space="preserve">So, a single side of a hex house is…</t>
  </si>
  <si>
    <t xml:space="preserve">ft</t>
  </si>
  <si>
    <t xml:space="preserve">vertical posts</t>
  </si>
  <si>
    <t xml:space="preserve">perimeter roof supports</t>
  </si>
  <si>
    <t xml:space="preserve">cross braces for each of the 6 sides</t>
  </si>
  <si>
    <t xml:space="preserve">Main pt 2 pt roof beam</t>
  </si>
  <si>
    <t xml:space="preserve">2each side 2 side roof beams</t>
  </si>
  <si>
    <t xml:space="preserve">total boardfeet</t>
  </si>
  <si>
    <t xml:space="preserve">kbf</t>
  </si>
  <si>
    <t xml:space="preserve">Kt</t>
  </si>
  <si>
    <t xml:space="preserve">yr lifespan</t>
  </si>
  <si>
    <t xml:space="preserve">people per family</t>
  </si>
  <si>
    <t xml:space="preserve">Kt/(ppl*yr)</t>
  </si>
  <si>
    <t xml:space="preserve">@ 10 yr for family of 6</t>
  </si>
  <si>
    <t xml:space="preserve">Kbrck for fireplace</t>
  </si>
  <si>
    <t xml:space="preserve">Jeet for Bread</t>
  </si>
  <si>
    <t xml:space="preserve">lb bread/(ppl*day)</t>
  </si>
  <si>
    <t xml:space="preserve">eff. Flour → bread</t>
  </si>
  <si>
    <t xml:space="preserve">eff. Jeet → flour</t>
  </si>
  <si>
    <t xml:space="preserve">days/yr</t>
  </si>
  <si>
    <t xml:space="preserve">Nye for beer</t>
  </si>
  <si>
    <t xml:space="preserve">gal/(ppl*day)</t>
  </si>
  <si>
    <t xml:space="preserve">lbNye/gal</t>
  </si>
  <si>
    <t xml:space="preserve">eff brew</t>
  </si>
  <si>
    <t xml:space="preserve">To 1 watering</t>
  </si>
  <si>
    <t xml:space="preserve">Meat Consumption</t>
  </si>
  <si>
    <t xml:space="preserve">To 1 compared to jeet</t>
  </si>
  <si>
    <t xml:space="preserve">Clothing</t>
  </si>
  <si>
    <t xml:space="preserve">yd/shirt</t>
  </si>
  <si>
    <t xml:space="preserve">yd/pants</t>
  </si>
  <si>
    <t xml:space="preserve">Sets / ppl</t>
  </si>
  <si>
    <t xml:space="preserve">|--| </t>
  </si>
  <si>
    <t xml:space="preserve">Production</t>
  </si>
  <si>
    <t xml:space="preserve">Sum</t>
  </si>
  <si>
    <t xml:space="preserve">Consumption</t>
  </si>
  <si>
    <t xml:space="preserve">Net Exports</t>
  </si>
  <si>
    <t xml:space="preserve">Sugar (oz)</t>
  </si>
  <si>
    <t xml:space="preserve">Jeet (lb)</t>
  </si>
  <si>
    <t xml:space="preserve">Nye (lb)</t>
  </si>
  <si>
    <t xml:space="preserve">Veam (lb)</t>
  </si>
  <si>
    <t xml:space="preserve">Nunives (lb)</t>
  </si>
  <si>
    <t xml:space="preserve">Jax (lb)</t>
  </si>
  <si>
    <t xml:space="preserve">Honey (lb)</t>
  </si>
  <si>
    <t xml:space="preserve">Wax (lb)</t>
  </si>
  <si>
    <t xml:space="preserve">Jingla (lb)</t>
  </si>
  <si>
    <t xml:space="preserve">Flour (lb)</t>
  </si>
  <si>
    <t xml:space="preserve">Bread (loaf)</t>
  </si>
  <si>
    <t xml:space="preserve">Veg Oil (lb)</t>
  </si>
  <si>
    <t xml:space="preserve">Cheese (lb)</t>
  </si>
  <si>
    <t xml:space="preserve">Zhou Meat (lb)</t>
  </si>
  <si>
    <t xml:space="preserve">Flou Meat (lb)</t>
  </si>
  <si>
    <t xml:space="preserve">Eggs (ea)</t>
  </si>
  <si>
    <t xml:space="preserve">Cider (gal)</t>
  </si>
  <si>
    <t xml:space="preserve">Sauce (lb)</t>
  </si>
  <si>
    <t xml:space="preserve">Chipak (lb)</t>
  </si>
  <si>
    <t xml:space="preserve">Wool (lb)</t>
  </si>
  <si>
    <t xml:space="preserve">Lumber (Kbf)</t>
  </si>
  <si>
    <t xml:space="preserve">Timber (Kbf)</t>
  </si>
  <si>
    <t xml:space="preserve">Carpentry (Kbf)</t>
  </si>
  <si>
    <t xml:space="preserve">Bricks (Kbrck)</t>
  </si>
  <si>
    <t xml:space="preserve">Mason (Kbrck)</t>
  </si>
  <si>
    <t xml:space="preserve">Fur Coats (ea)</t>
  </si>
  <si>
    <t xml:space="preserve">Zhou Shoes (ea)</t>
  </si>
  <si>
    <t xml:space="preserve">Hoe (ea)</t>
  </si>
  <si>
    <t xml:space="preserve">Hatchet (ea)</t>
  </si>
  <si>
    <t xml:space="preserve">Auger (ea)</t>
  </si>
  <si>
    <t xml:space="preserve">Scissors (ea)</t>
  </si>
  <si>
    <t xml:space="preserve">Chisels (ea)</t>
  </si>
  <si>
    <t xml:space="preserve">Hammers (ea)</t>
  </si>
  <si>
    <t xml:space="preserve">Sickle (ea)</t>
  </si>
  <si>
    <t xml:space="preserve">Axe (ea)</t>
  </si>
  <si>
    <t xml:space="preserve">Chainmail (ea)</t>
  </si>
  <si>
    <t xml:space="preserve">Platemail (ea)</t>
  </si>
  <si>
    <t xml:space="preserve">Shortsword (ea)</t>
  </si>
  <si>
    <t xml:space="preserve">Longsword (ea)</t>
  </si>
  <si>
    <t xml:space="preserve">Dagger (ea)</t>
  </si>
  <si>
    <t xml:space="preserve">Staff (ea)</t>
  </si>
  <si>
    <t xml:space="preserve">Spear (ea)</t>
  </si>
  <si>
    <t xml:space="preserve">Battleaxe (ea)</t>
  </si>
  <si>
    <t xml:space="preserve">Thread (Kyd)</t>
  </si>
  <si>
    <t xml:space="preserve">Sweater (ea)</t>
  </si>
  <si>
    <t xml:space="preserve">Silk Cloth (yd)</t>
  </si>
  <si>
    <t xml:space="preserve">Cloth (yd)</t>
  </si>
  <si>
    <t xml:space="preserve">Leather (yd)</t>
  </si>
  <si>
    <t xml:space="preserve">Shirts (ea)</t>
  </si>
  <si>
    <t xml:space="preserve">Vests (ea)</t>
  </si>
  <si>
    <t xml:space="preserve">Pants (ea)</t>
  </si>
  <si>
    <t xml:space="preserve">Coat (ea)</t>
  </si>
  <si>
    <t xml:space="preserve">Salt (lb)</t>
  </si>
  <si>
    <t xml:space="preserve">Cured Meat (lb)</t>
  </si>
  <si>
    <t xml:space="preserve">Salted Fish (lb)</t>
  </si>
  <si>
    <t xml:space="preserve">Sausage (lb)</t>
  </si>
  <si>
    <t xml:space="preserve">Pickles (lb)</t>
  </si>
  <si>
    <t xml:space="preserve">Smoked Meats (lb)</t>
  </si>
  <si>
    <t xml:space="preserve">Barrel (ea)</t>
  </si>
  <si>
    <t xml:space="preserve">Pottery (ea)</t>
  </si>
  <si>
    <t xml:space="preserve">Ore (lb)</t>
  </si>
  <si>
    <t xml:space="preserve">Cu (lb)</t>
  </si>
  <si>
    <t xml:space="preserve">Iron (lb)</t>
  </si>
  <si>
    <t xml:space="preserve">Pb (lb)</t>
  </si>
  <si>
    <t xml:space="preserve">Ag (lb)</t>
  </si>
  <si>
    <t xml:space="preserve">Au (lb)</t>
  </si>
  <si>
    <t xml:space="preserve">Cu Coin (ea)</t>
  </si>
  <si>
    <t xml:space="preserve">Ag Coin (ea)</t>
  </si>
  <si>
    <t xml:space="preserve">Au Coin (ea)</t>
  </si>
  <si>
    <t xml:space="preserve">Beer (gal)</t>
  </si>
  <si>
    <t xml:space="preserve">Rope (yd)</t>
  </si>
  <si>
    <t xml:space="preserve">Bowstring (Kyd)</t>
  </si>
  <si>
    <t xml:space="preserve">Whale Oil (gal)</t>
  </si>
  <si>
    <t xml:space="preserve">Whale Wax (lb)</t>
  </si>
  <si>
    <t xml:space="preserve">Vinegar (gal)</t>
  </si>
  <si>
    <t xml:space="preserve">Furs (ea)</t>
  </si>
  <si>
    <t xml:space="preserve">Game Meat (lb)</t>
  </si>
  <si>
    <t xml:space="preserve">Basket (Lbspace)</t>
  </si>
  <si>
    <t xml:space="preserve">Diamonds (lb)</t>
  </si>
  <si>
    <t xml:space="preserve">'=Vanuchu cc supply</t>
  </si>
  <si>
    <t xml:space="preserve">Lifespan</t>
  </si>
  <si>
    <t xml:space="preserve">Conversion</t>
  </si>
  <si>
    <t xml:space="preserve">Prod Price (cc)</t>
  </si>
  <si>
    <t xml:space="preserve">Items</t>
  </si>
  <si>
    <t xml:space="preserve">Industries</t>
  </si>
  <si>
    <t xml:space="preserve">Net Exports (gc)</t>
  </si>
  <si>
    <t xml:space="preserve">Produce</t>
  </si>
  <si>
    <t xml:space="preserve">Animal</t>
  </si>
  <si>
    <t xml:space="preserve">Food Prod</t>
  </si>
  <si>
    <t xml:space="preserve">Textile</t>
  </si>
  <si>
    <t xml:space="preserve">Tools</t>
  </si>
  <si>
    <t xml:space="preserve">Mineral</t>
  </si>
  <si>
    <t xml:space="preserve">Wood</t>
  </si>
  <si>
    <t xml:space="preserve">Pottery</t>
  </si>
  <si>
    <t xml:space="preserve">Service</t>
  </si>
  <si>
    <t xml:space="preserve">#1 Export</t>
  </si>
  <si>
    <t xml:space="preserve">#2 Export</t>
  </si>
  <si>
    <t xml:space="preserve">#3 Export</t>
  </si>
  <si>
    <t xml:space="preserve">#4 Export</t>
  </si>
  <si>
    <t xml:space="preserve">#5 Export</t>
  </si>
  <si>
    <t xml:space="preserve">Dem Price (cc)</t>
  </si>
  <si>
    <t xml:space="preserve">Net Imports (gc)</t>
  </si>
  <si>
    <t xml:space="preserve">#1 Import</t>
  </si>
  <si>
    <t xml:space="preserve">#2 Import</t>
  </si>
  <si>
    <t xml:space="preserve">#3 Import</t>
  </si>
  <si>
    <t xml:space="preserve">#4 Import</t>
  </si>
  <si>
    <t xml:space="preserve">#5 Import</t>
  </si>
  <si>
    <t xml:space="preserve">Final Price</t>
  </si>
  <si>
    <t xml:space="preserve">Thread (yd)</t>
  </si>
  <si>
    <t xml:space="preserve">Barrel (Lbspace)</t>
  </si>
  <si>
    <t xml:space="preserve">Pottery (Lbspace)</t>
  </si>
  <si>
    <t xml:space="preserve">Lumber</t>
  </si>
  <si>
    <t xml:space="preserve">Tech =</t>
  </si>
  <si>
    <t xml:space="preserve">Cost =</t>
  </si>
  <si>
    <t xml:space="preserve">Crew</t>
  </si>
  <si>
    <t xml:space="preserve">Capacity (bf)</t>
  </si>
  <si>
    <t xml:space="preserve">Speed (hx/day)</t>
  </si>
  <si>
    <t xml:space="preserve">Cost (Kbf/cap)</t>
  </si>
  <si>
    <t xml:space="preserve">Hewing</t>
  </si>
  <si>
    <t xml:space="preserve">lumberjack</t>
  </si>
  <si>
    <t xml:space="preserve">boardfeet/day</t>
  </si>
  <si>
    <t xml:space="preserve">Sawmill</t>
  </si>
  <si>
    <t xml:space="preserve">hewers</t>
  </si>
  <si>
    <t xml:space="preserve">2 guys 200</t>
  </si>
  <si>
    <t xml:space="preserve">sawmill</t>
  </si>
  <si>
    <t xml:space="preserve">5 guys 4000</t>
  </si>
  <si>
    <t xml:space="preserve">Mill</t>
  </si>
  <si>
    <t xml:space="preserve">Capacity (tons)</t>
  </si>
  <si>
    <t xml:space="preserve">Cost (man*day/ton)</t>
  </si>
  <si>
    <t xml:space="preserve">Costs</t>
  </si>
  <si>
    <t xml:space="preserve">Sums</t>
  </si>
  <si>
    <t xml:space="preserve">Urb. Ratios</t>
  </si>
  <si>
    <t xml:space="preserve">Ratios</t>
  </si>
  <si>
    <t xml:space="preserve">Min =</t>
  </si>
  <si>
    <t xml:space="preserve">Max =</t>
  </si>
  <si>
    <t xml:space="preserve">Sum =</t>
  </si>
  <si>
    <t xml:space="preserve">Region</t>
  </si>
  <si>
    <t xml:space="preserve">Ppl / km^2</t>
  </si>
  <si>
    <t xml:space="preserve">Food / Dist.</t>
  </si>
  <si>
    <t xml:space="preserve">% urban rate</t>
  </si>
  <si>
    <t xml:space="preserve">#Capitals</t>
  </si>
  <si>
    <t xml:space="preserve">#L Cities</t>
  </si>
  <si>
    <t xml:space="preserve">#Cities</t>
  </si>
  <si>
    <t xml:space="preserve">#Towns</t>
  </si>
  <si>
    <t xml:space="preserve">#Vlgs/hxs</t>
  </si>
  <si>
    <t xml:space="preserve">Capital Rat</t>
  </si>
  <si>
    <t xml:space="preserve">H City Rate</t>
  </si>
  <si>
    <t xml:space="preserve">L City Rate</t>
  </si>
  <si>
    <t xml:space="preserve">City Rate</t>
  </si>
  <si>
    <t xml:space="preserve">Town Rate</t>
  </si>
  <si>
    <t xml:space="preserve">Tot. Area (km^2)</t>
  </si>
  <si>
    <t xml:space="preserve">Reg. Pop.</t>
  </si>
  <si>
    <t xml:space="preserve">Ruralites</t>
  </si>
  <si>
    <t xml:space="preserve">Urbanites</t>
  </si>
  <si>
    <t xml:space="preserve">x</t>
  </si>
  <si>
    <t xml:space="preserve">Pop./Capital</t>
  </si>
  <si>
    <t xml:space="preserve">Pop./Large City</t>
  </si>
  <si>
    <t xml:space="preserve">Pop./City</t>
  </si>
  <si>
    <t xml:space="preserve">Pop./Town</t>
  </si>
  <si>
    <t xml:space="preserve">Pop./Village</t>
  </si>
  <si>
    <t xml:space="preserve">Average</t>
  </si>
  <si>
    <t xml:space="preserve">Total</t>
  </si>
  <si>
    <t xml:space="preserve">Pop Mult.</t>
  </si>
  <si>
    <t xml:space="preserve">Description:</t>
  </si>
  <si>
    <t xml:space="preserve">Capital</t>
  </si>
  <si>
    <t xml:space="preserve">Large City</t>
  </si>
  <si>
    <t xml:space="preserve">City</t>
  </si>
  <si>
    <t xml:space="preserve">Town</t>
  </si>
  <si>
    <t xml:space="preserve">Village</t>
  </si>
  <si>
    <t xml:space="preserve">Population:</t>
  </si>
  <si>
    <t xml:space="preserve">Bakeries</t>
  </si>
  <si>
    <t xml:space="preserve">c</t>
  </si>
  <si>
    <t xml:space="preserve">Breweries</t>
  </si>
  <si>
    <t xml:space="preserve">Distilleries/Winerys</t>
  </si>
  <si>
    <t xml:space="preserve">Butchers</t>
  </si>
  <si>
    <t xml:space="preserve">map width</t>
  </si>
  <si>
    <t xml:space="preserve">Carpenters</t>
  </si>
  <si>
    <t xml:space="preserve">map height</t>
  </si>
  <si>
    <t xml:space="preserve">Wheelwrights/Cartwrights/Cabinetmakers/Coopers/woodcarvers/etc</t>
  </si>
  <si>
    <t xml:space="preserve">Churches</t>
  </si>
  <si>
    <t xml:space="preserve">all tiles on map</t>
  </si>
  <si>
    <t xml:space="preserve">Clergy</t>
  </si>
  <si>
    <t xml:space="preserve">white tiles on map</t>
  </si>
  <si>
    <t xml:space="preserve">Dyers</t>
  </si>
  <si>
    <t xml:space="preserve">usable tiles</t>
  </si>
  <si>
    <t xml:space="preserve">Banks</t>
  </si>
  <si>
    <t xml:space="preserve">Moneychangers/Lenders</t>
  </si>
  <si>
    <t xml:space="preserve">Fishmongers</t>
  </si>
  <si>
    <t xml:space="preserve">Foundries</t>
  </si>
  <si>
    <t xml:space="preserve">Country Stores</t>
  </si>
  <si>
    <t xml:space="preserve">Spice Stores</t>
  </si>
  <si>
    <t xml:space="preserve">Brokers</t>
  </si>
  <si>
    <t xml:space="preserve">Inns</t>
  </si>
  <si>
    <t xml:space="preserve">Taverns</t>
  </si>
  <si>
    <t xml:space="preserve">General Leatherworkers</t>
  </si>
  <si>
    <t xml:space="preserve">Cobblers/Saddlers/etc.</t>
  </si>
  <si>
    <t xml:space="preserve">Sculptors</t>
  </si>
  <si>
    <t xml:space="preserve">Masons</t>
  </si>
  <si>
    <t xml:space="preserve">Stonecutters</t>
  </si>
  <si>
    <t xml:space="preserve">Grist Mills</t>
  </si>
  <si>
    <t xml:space="preserve">Sawmills/Fulling mills/etc.</t>
  </si>
  <si>
    <t xml:space="preserve">Glaziers/Blowers</t>
  </si>
  <si>
    <t xml:space="preserve">Potteries</t>
  </si>
  <si>
    <t xml:space="preserve">Lawyers</t>
  </si>
  <si>
    <t xml:space="preserve">Notaries</t>
  </si>
  <si>
    <t xml:space="preserve">Scribes</t>
  </si>
  <si>
    <t xml:space="preserve">Blacksmiths</t>
  </si>
  <si>
    <t xml:space="preserve">Metalsmiths</t>
  </si>
  <si>
    <t xml:space="preserve">Tanners</t>
  </si>
  <si>
    <t xml:space="preserve">Teachers</t>
  </si>
  <si>
    <t xml:space="preserve">Tutors</t>
  </si>
  <si>
    <t xml:space="preserve">Weavers/Spinners/Carders</t>
  </si>
  <si>
    <t xml:space="preserve">Tailors/Carpet/Tapestry makers</t>
  </si>
  <si>
    <t xml:space="preserve">Furriers</t>
  </si>
  <si>
    <t xml:space="preserve">Universities</t>
  </si>
  <si>
    <t xml:space="preserve">Stables</t>
  </si>
  <si>
    <t xml:space="preserve">Random Weighted Values Start</t>
  </si>
  <si>
    <t xml:space="preserve">Brothels</t>
  </si>
  <si>
    <t xml:space="preserve">|</t>
  </si>
  <si>
    <t xml:space="preserve">Ropemakers</t>
  </si>
  <si>
    <t xml:space="preserve">Herbalists/Apothecaries</t>
  </si>
  <si>
    <t xml:space="preserve">Barbers</t>
  </si>
  <si>
    <t xml:space="preserve">Lampmakers</t>
  </si>
  <si>
    <t xml:space="preserve">Painters</t>
  </si>
  <si>
    <t xml:space="preserve">Bathhouses</t>
  </si>
  <si>
    <t xml:space="preserve">Sharpeners</t>
  </si>
  <si>
    <t xml:space="preserve">Thatchers</t>
  </si>
  <si>
    <t xml:space="preserve">Bowyers/Fletchers</t>
  </si>
  <si>
    <t xml:space="preserve">Ship's Chandlers</t>
  </si>
  <si>
    <t xml:space="preserve">Candlemakers</t>
  </si>
  <si>
    <t xml:space="preserve">Horse Trainers</t>
  </si>
  <si>
    <t xml:space="preserve">Jewelers</t>
  </si>
  <si>
    <t xml:space="preserve">Outfitters</t>
  </si>
  <si>
    <t xml:space="preserve">Pawnshops</t>
  </si>
  <si>
    <t xml:space="preserve">Soapmakers</t>
  </si>
  <si>
    <t xml:space="preserve">Undertakers</t>
  </si>
  <si>
    <t xml:space="preserve">Messengers/Heralds</t>
  </si>
  <si>
    <t xml:space="preserve">Gaming Houses</t>
  </si>
  <si>
    <t xml:space="preserve">Perfumers</t>
  </si>
  <si>
    <t xml:space="preserve">Papermakers</t>
  </si>
  <si>
    <t xml:space="preserve">Seers</t>
  </si>
  <si>
    <t xml:space="preserve">Engravers</t>
  </si>
  <si>
    <t xml:space="preserve">Clockmakers</t>
  </si>
  <si>
    <t xml:space="preserve">Animal Trainers</t>
  </si>
  <si>
    <t xml:space="preserve">Architects</t>
  </si>
  <si>
    <t xml:space="preserve">Cartographers</t>
  </si>
  <si>
    <t xml:space="preserve">Engineers</t>
  </si>
  <si>
    <t xml:space="preserve">Instrument Makers</t>
  </si>
  <si>
    <t xml:space="preserve">Random Weighted Values End</t>
  </si>
  <si>
    <t xml:space="preserve">Regional</t>
  </si>
  <si>
    <t xml:space="preserve">Ports</t>
  </si>
  <si>
    <t xml:space="preserve">Sailmakers</t>
  </si>
  <si>
    <t xml:space="preserve">Ropewalk</t>
  </si>
  <si>
    <t xml:space="preserve">Fishdryers</t>
  </si>
  <si>
    <t xml:space="preserve">Nautical Carvers</t>
  </si>
  <si>
    <t xml:space="preserve">Chandlers</t>
  </si>
  <si>
    <t xml:space="preserve">Warehouses</t>
  </si>
  <si>
    <t xml:space="preserve">Ships Carpenters</t>
  </si>
  <si>
    <t xml:space="preserve">Smiths</t>
  </si>
  <si>
    <t xml:space="preserve">Navigators</t>
  </si>
  <si>
    <t xml:space="preserve">Steersmen</t>
  </si>
  <si>
    <t xml:space="preserve">Boatmakers</t>
  </si>
  <si>
    <t xml:space="preserve">Tattoo Artitsts</t>
  </si>
  <si>
    <t xml:space="preserve">Shipwrights</t>
  </si>
  <si>
    <t xml:space="preserve">Marine Undertakers</t>
  </si>
  <si>
    <t xml:space="preserve">Freight Shippers</t>
  </si>
  <si>
    <t xml:space="preserve">Mountain Town</t>
  </si>
  <si>
    <t xml:space="preserve">Mining Tool Shops</t>
  </si>
  <si>
    <t xml:space="preserve">Sawmills</t>
  </si>
  <si>
    <t xml:space="preserve">Assayers</t>
  </si>
  <si>
    <t xml:space="preserve">Alchemists</t>
  </si>
  <si>
    <t xml:space="preserve">Trappers</t>
  </si>
  <si>
    <t xml:space="preserve">Guilds (1 per 4/5 Businesses)</t>
  </si>
  <si>
    <t xml:space="preserve">Beer/Wine/Tea Consumption (gallon/day)</t>
  </si>
  <si>
    <t xml:space="preserve">Water Consumption (gallon/day)</t>
  </si>
  <si>
    <t xml:space="preserve">Grain Consumption (lb/day)</t>
  </si>
  <si>
    <t xml:space="preserve">Cow Consumption (head/day)</t>
  </si>
  <si>
    <t xml:space="preserve">Small Livestock Consumption (head/day)</t>
  </si>
  <si>
    <t xml:space="preserve">City Area (mi^2)</t>
  </si>
  <si>
    <t xml:space="preserve">Surrounding Farmland to Support City (mi^2)</t>
  </si>
  <si>
    <t xml:space="preserve">`w</t>
  </si>
  <si>
    <t xml:space="preserve">`W</t>
  </si>
  <si>
    <t xml:space="preserve">Square Yards in City Area</t>
  </si>
  <si>
    <t xml:space="preserve">Yards in a hex for this city flat to flat</t>
  </si>
  <si>
    <t xml:space="preserve">Yards in a hex for this city point to point</t>
  </si>
  <si>
    <t xml:space="preserve">These values are random weighted values for -</t>
  </si>
  <si>
    <t xml:space="preserve">rows between Stables and Instrument Makers. ---&gt;</t>
  </si>
  <si>
    <t xml:space="preserve">I hard-coded columns C-J so the number of shops -</t>
  </si>
  <si>
    <t xml:space="preserve">doesn't change every time I open excel.</t>
  </si>
  <si>
    <t xml:space="preserve">If you want to allow columns C-J to change every time you -</t>
  </si>
  <si>
    <t xml:space="preserve">open excel, just highlight B105-B139, click the bottom-right -</t>
  </si>
  <si>
    <t xml:space="preserve">corner of the highlighted area, and drag over column J.</t>
  </si>
  <si>
    <t xml:space="preserve">Grain Consumption Calculation</t>
  </si>
  <si>
    <t xml:space="preserve">Bushels of grain / day</t>
  </si>
  <si>
    <t xml:space="preserve">Source</t>
  </si>
  <si>
    <t xml:space="preserve">Lb / Bushel</t>
  </si>
  <si>
    <t xml:space="preserve">Days / yr</t>
  </si>
  <si>
    <t xml:space="preserve">Consumption of Grain (lb/(person*yr))</t>
  </si>
  <si>
    <t xml:space="preserve">Meat Consumption Calculation</t>
  </si>
  <si>
    <t xml:space="preserve">Population of Barcelona 1450s</t>
  </si>
  <si>
    <t xml:space="preserve">Muttons Consumed in Barcelona 1462</t>
  </si>
  <si>
    <t xml:space="preserve">% of meat in diet</t>
  </si>
  <si>
    <t xml:space="preserve">lb of meat per mutton</t>
  </si>
  <si>
    <t xml:space="preserve">Consumption of Meat (lb/(person*yr))</t>
  </si>
  <si>
    <t xml:space="preserve">Item</t>
  </si>
  <si>
    <t xml:space="preserve">Spear</t>
  </si>
  <si>
    <t xml:space="preserve">Cider</t>
  </si>
  <si>
    <t xml:space="preserve">Jingla</t>
  </si>
  <si>
    <t xml:space="preserve">Wax</t>
  </si>
  <si>
    <t xml:space="preserve">Jax</t>
  </si>
  <si>
    <t xml:space="preserve">Sauce</t>
  </si>
  <si>
    <t xml:space="preserve">Chipak</t>
  </si>
  <si>
    <t xml:space="preserve">Salt</t>
  </si>
  <si>
    <t xml:space="preserve">Cured Meat</t>
  </si>
  <si>
    <t xml:space="preserve">Thread</t>
  </si>
  <si>
    <t xml:space="preserve">Auger</t>
  </si>
  <si>
    <t xml:space="preserve">Dagger</t>
  </si>
  <si>
    <t xml:space="preserve">Iron</t>
  </si>
  <si>
    <t xml:space="preserve">Jeet</t>
  </si>
  <si>
    <t xml:space="preserve">Axe</t>
  </si>
  <si>
    <t xml:space="preserve">Nye</t>
  </si>
  <si>
    <t xml:space="preserve">Salted Fish</t>
  </si>
  <si>
    <t xml:space="preserve">Hoe</t>
  </si>
  <si>
    <t xml:space="preserve">Battleaxe</t>
  </si>
  <si>
    <t xml:space="preserve">Sweater</t>
  </si>
  <si>
    <t xml:space="preserve">Veg Oil</t>
  </si>
  <si>
    <t xml:space="preserve">Sugar</t>
  </si>
  <si>
    <t xml:space="preserve">Sickle</t>
  </si>
  <si>
    <t xml:space="preserve">Nunives</t>
  </si>
  <si>
    <t xml:space="preserve">Silk Cloth</t>
  </si>
  <si>
    <t xml:space="preserve">Whale Oil</t>
  </si>
  <si>
    <t xml:space="preserve">Vinegar</t>
  </si>
  <si>
    <t xml:space="preserve">Bricks</t>
  </si>
  <si>
    <t xml:space="preserve">Cheese</t>
  </si>
  <si>
    <t xml:space="preserve">Cu</t>
  </si>
  <si>
    <t xml:space="preserve">Ag</t>
  </si>
  <si>
    <t xml:space="preserve">Au</t>
  </si>
  <si>
    <t xml:space="preserve">Diamonds</t>
  </si>
  <si>
    <t xml:space="preserve">Industry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</si>
</sst>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#,##0.000"/>
    <numFmt numFmtId="167" formatCode="#,##0.00"/>
    <numFmt numFmtId="168" formatCode="#,##0"/>
    <numFmt numFmtId="169" formatCode="0.000"/>
    <numFmt numFmtId="170" formatCode="0.00"/>
    <numFmt numFmtId="171" formatCode="#,##0.00000"/>
    <numFmt numFmtId="172" formatCode="#,##0.00000000"/>
    <numFmt numFmtId="173" formatCode="#,##0.000000"/>
    <numFmt numFmtId="174" formatCode="0"/>
    <numFmt numFmtId="175" formatCode="0.0"/>
    <numFmt numFmtId="176" formatCode="#,##0.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b val="true"/>
      <u val="singl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avenswing59.blogspot.com/2013/10/medieval-demographics-done-right-pt-ii.html" TargetMode="External"/><Relationship Id="rId2" Type="http://schemas.openxmlformats.org/officeDocument/2006/relationships/hyperlink" Target="http://kswheat.com/news/2015/07/22/what-does-a-bushel-of-wheat-mean-to-me" TargetMode="External"/><Relationship Id="rId3" Type="http://schemas.openxmlformats.org/officeDocument/2006/relationships/hyperlink" Target="https://en.wikipedia.org/wiki/List_of_largest_European_cities_in_history" TargetMode="External"/><Relationship Id="rId4" Type="http://schemas.openxmlformats.org/officeDocument/2006/relationships/hyperlink" Target="http://www.medievalists.net/2011/06/how-much-meat-did-medieval-people-eat/" TargetMode="External"/><Relationship Id="rId5" Type="http://schemas.openxmlformats.org/officeDocument/2006/relationships/hyperlink" Target="http://www.medievalists.net/2011/06/how-much-meat-did-medieval-people-eat/" TargetMode="External"/><Relationship Id="rId6" Type="http://schemas.openxmlformats.org/officeDocument/2006/relationships/hyperlink" Target="https://en.wikipedia.org/wiki/Lamb_and_mutt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8.38"/>
    <col collapsed="false" customWidth="true" hidden="false" outlineLevel="0" max="3" min="3" style="0" width="6.93"/>
    <col collapsed="false" customWidth="true" hidden="false" outlineLevel="0" max="4" min="4" style="0" width="11.12"/>
    <col collapsed="false" customWidth="true" hidden="false" outlineLevel="0" max="5" min="5" style="0" width="5.78"/>
    <col collapsed="false" customWidth="true" hidden="false" outlineLevel="0" max="6" min="6" style="0" width="9.1"/>
    <col collapsed="false" customWidth="true" hidden="false" outlineLevel="0" max="7" min="7" style="0" width="12.42"/>
    <col collapsed="false" customWidth="true" hidden="false" outlineLevel="0" max="8" min="8" style="0" width="17.47"/>
    <col collapsed="false" customWidth="true" hidden="false" outlineLevel="0" max="9" min="9" style="0" width="23.1"/>
    <col collapsed="false" customWidth="true" hidden="false" outlineLevel="0" max="10" min="10" style="0" width="17.33"/>
    <col collapsed="false" customWidth="true" hidden="false" outlineLevel="0" max="11" min="11" style="0" width="14.88"/>
    <col collapsed="false" customWidth="true" hidden="false" outlineLevel="0" max="12" min="12" style="0" width="15.6"/>
    <col collapsed="false" customWidth="true" hidden="false" outlineLevel="0" max="13" min="13" style="0" width="14.3"/>
    <col collapsed="false" customWidth="true" hidden="false" outlineLevel="0" max="14" min="14" style="0" width="16.6"/>
    <col collapsed="false" customWidth="true" hidden="false" outlineLevel="0" max="15" min="15" style="0" width="12.42"/>
    <col collapsed="false" customWidth="true" hidden="false" outlineLevel="0" max="16" min="16" style="0" width="15.02"/>
    <col collapsed="false" customWidth="true" hidden="false" outlineLevel="0" max="17" min="17" style="0" width="13.14"/>
    <col collapsed="false" customWidth="true" hidden="false" outlineLevel="0" max="18" min="18" style="0" width="3.9"/>
    <col collapsed="false" customWidth="true" hidden="false" outlineLevel="0" max="19" min="19" style="0" width="11.12"/>
    <col collapsed="false" customWidth="true" hidden="false" outlineLevel="0" max="20" min="20" style="0" width="17.33"/>
    <col collapsed="false" customWidth="true" hidden="false" outlineLevel="0" max="21" min="21" style="0" width="14.44"/>
    <col collapsed="false" customWidth="true" hidden="false" outlineLevel="0" max="22" min="22" style="0" width="17.33"/>
    <col collapsed="false" customWidth="true" hidden="false" outlineLevel="0" max="23" min="23" style="0" width="10.84"/>
    <col collapsed="false" customWidth="true" hidden="false" outlineLevel="0" max="24" min="24" style="0" width="14.16"/>
    <col collapsed="false" customWidth="true" hidden="false" outlineLevel="0" max="25" min="25" style="0" width="12.85"/>
    <col collapsed="false" customWidth="true" hidden="false" outlineLevel="0" max="26" min="26" style="0" width="10.84"/>
    <col collapsed="false" customWidth="true" hidden="false" outlineLevel="0" max="27" min="27" style="0" width="12.99"/>
    <col collapsed="false" customWidth="true" hidden="false" outlineLevel="0" max="28" min="28" style="0" width="9.82"/>
    <col collapsed="false" customWidth="true" hidden="false" outlineLevel="0" max="29" min="29" style="0" width="17.33"/>
    <col collapsed="false" customWidth="true" hidden="false" outlineLevel="0" max="30" min="30" style="0" width="10.25"/>
    <col collapsed="false" customWidth="true" hidden="false" outlineLevel="0" max="33" min="31" style="0" width="17.33"/>
    <col collapsed="false" customWidth="true" hidden="false" outlineLevel="0" max="34" min="34" style="0" width="11.84"/>
    <col collapsed="false" customWidth="true" hidden="false" outlineLevel="0" max="35" min="35" style="0" width="13.43"/>
    <col collapsed="false" customWidth="true" hidden="false" outlineLevel="0" max="36" min="36" style="0" width="10.98"/>
    <col collapsed="false" customWidth="true" hidden="false" outlineLevel="0" max="38" min="37" style="0" width="12.28"/>
    <col collapsed="false" customWidth="true" hidden="false" outlineLevel="0" max="39" min="39" style="0" width="15.16"/>
    <col collapsed="false" customWidth="true" hidden="false" outlineLevel="0" max="40" min="40" style="0" width="14.59"/>
    <col collapsed="false" customWidth="true" hidden="false" outlineLevel="0" max="41" min="41" style="0" width="10.39"/>
    <col collapsed="false" customWidth="true" hidden="false" outlineLevel="0" max="42" min="42" style="0" width="17.33"/>
    <col collapsed="false" customWidth="true" hidden="false" outlineLevel="0" max="43" min="43" style="0" width="18.34"/>
    <col collapsed="false" customWidth="true" hidden="false" outlineLevel="0" max="44" min="44" style="0" width="11.99"/>
    <col collapsed="false" customWidth="true" hidden="false" outlineLevel="0" max="45" min="45" style="0" width="10.39"/>
    <col collapsed="false" customWidth="true" hidden="false" outlineLevel="0" max="46" min="46" style="0" width="14.16"/>
    <col collapsed="false" customWidth="true" hidden="false" outlineLevel="0" max="47" min="47" style="0" width="12.13"/>
    <col collapsed="false" customWidth="true" hidden="false" outlineLevel="0" max="48" min="48" style="0" width="14.44"/>
    <col collapsed="false" customWidth="true" hidden="false" outlineLevel="0" max="49" min="49" style="0" width="11.41"/>
    <col collapsed="false" customWidth="true" hidden="false" outlineLevel="0" max="50" min="50" style="0" width="11.7"/>
    <col collapsed="false" customWidth="true" hidden="false" outlineLevel="0" max="51" min="51" style="0" width="14.44"/>
    <col collapsed="false" customWidth="true" hidden="false" outlineLevel="0" max="52" min="52" style="0" width="16.6"/>
    <col collapsed="false" customWidth="true" hidden="false" outlineLevel="0" max="53" min="53" style="0" width="9.24"/>
    <col collapsed="false" customWidth="true" hidden="false" outlineLevel="0" max="54" min="54" style="0" width="12.42"/>
    <col collapsed="false" customWidth="true" hidden="false" outlineLevel="0" max="55" min="55" style="0" width="11.12"/>
    <col collapsed="false" customWidth="true" hidden="false" outlineLevel="0" max="56" min="56" style="0" width="13.57"/>
    <col collapsed="false" customWidth="true" hidden="false" outlineLevel="0" max="57" min="57" style="0" width="18.34"/>
    <col collapsed="false" customWidth="true" hidden="false" outlineLevel="0" max="58" min="58" style="0" width="14.3"/>
    <col collapsed="false" customWidth="true" hidden="false" outlineLevel="0" max="59" min="59" style="0" width="11.27"/>
    <col collapsed="false" customWidth="true" hidden="false" outlineLevel="0" max="60" min="60" style="0" width="9.1"/>
    <col collapsed="false" customWidth="true" hidden="false" outlineLevel="0" max="61" min="61" style="0" width="14.88"/>
    <col collapsed="false" customWidth="true" hidden="false" outlineLevel="0" max="62" min="62" style="0" width="14.16"/>
    <col collapsed="false" customWidth="true" hidden="false" outlineLevel="0" max="63" min="63" style="0" width="16.17"/>
    <col collapsed="false" customWidth="true" hidden="false" outlineLevel="0" max="64" min="64" style="0" width="15.88"/>
    <col collapsed="false" customWidth="true" hidden="false" outlineLevel="0" max="65" min="65" style="0" width="12.28"/>
    <col collapsed="false" customWidth="true" hidden="false" outlineLevel="0" max="66" min="66" style="0" width="9.82"/>
    <col collapsed="false" customWidth="true" hidden="false" outlineLevel="0" max="67" min="67" style="0" width="10.98"/>
    <col collapsed="false" customWidth="true" hidden="false" outlineLevel="0" max="68" min="68" style="0" width="13.87"/>
    <col collapsed="false" customWidth="true" hidden="false" outlineLevel="0" max="69" min="69" style="0" width="14.44"/>
    <col collapsed="false" customWidth="true" hidden="false" outlineLevel="0" max="70" min="70" style="0" width="17.47"/>
    <col collapsed="false" customWidth="true" hidden="false" outlineLevel="0" max="71" min="71" style="0" width="14.59"/>
    <col collapsed="false" customWidth="true" hidden="false" outlineLevel="0" max="72" min="72" style="0" width="12.99"/>
    <col collapsed="false" customWidth="true" hidden="false" outlineLevel="0" max="73" min="73" style="0" width="18.48"/>
    <col collapsed="false" customWidth="true" hidden="false" outlineLevel="0" max="74" min="74" style="0" width="12.42"/>
    <col collapsed="false" customWidth="true" hidden="false" outlineLevel="0" max="75" min="75" style="0" width="10.69"/>
    <col collapsed="false" customWidth="true" hidden="false" outlineLevel="0" max="76" min="76" style="0" width="13.43"/>
    <col collapsed="false" customWidth="true" hidden="false" outlineLevel="0" max="77" min="77" style="0" width="10.84"/>
    <col collapsed="false" customWidth="true" hidden="false" outlineLevel="0" max="78" min="78" style="0" width="11.84"/>
    <col collapsed="false" customWidth="true" hidden="false" outlineLevel="0" max="79" min="79" style="0" width="17.33"/>
    <col collapsed="false" customWidth="true" hidden="false" outlineLevel="0" max="80" min="80" style="0" width="15.88"/>
    <col collapsed="false" customWidth="true" hidden="false" outlineLevel="0" max="81" min="81" style="0" width="13.43"/>
    <col collapsed="false" customWidth="true" hidden="false" outlineLevel="0" max="82" min="82" style="0" width="12.28"/>
    <col collapsed="false" customWidth="true" hidden="false" outlineLevel="0" max="83" min="83" style="0" width="18.92"/>
    <col collapsed="false" customWidth="true" hidden="false" outlineLevel="0" max="84" min="84" style="0" width="15.74"/>
    <col collapsed="false" customWidth="true" hidden="false" outlineLevel="0" max="85" min="85" style="0" width="17.77"/>
    <col collapsed="false" customWidth="true" hidden="false" outlineLevel="0" max="86" min="86" style="0" width="14.44"/>
    <col collapsed="false" customWidth="true" hidden="false" outlineLevel="0" max="87" min="87" style="0" width="10.84"/>
    <col collapsed="false" customWidth="true" hidden="false" outlineLevel="0" max="89" min="88" style="0" width="13.43"/>
    <col collapsed="false" customWidth="true" hidden="false" outlineLevel="0" max="90" min="90" style="0" width="10.84"/>
    <col collapsed="false" customWidth="true" hidden="false" outlineLevel="0" max="91" min="91" style="0" width="9.82"/>
    <col collapsed="false" customWidth="true" hidden="false" outlineLevel="0" max="94" min="92" style="0" width="15.45"/>
    <col collapsed="false" customWidth="true" hidden="false" outlineLevel="0" max="95" min="95" style="0" width="11.84"/>
    <col collapsed="false" customWidth="true" hidden="false" outlineLevel="0" max="96" min="96" style="0" width="12.99"/>
    <col collapsed="false" customWidth="true" hidden="false" outlineLevel="0" max="97" min="97" style="0" width="14.88"/>
    <col collapsed="false" customWidth="true" hidden="false" outlineLevel="0" max="98" min="98" style="0" width="14.44"/>
    <col collapsed="false" customWidth="true" hidden="false" outlineLevel="0" max="99" min="99" style="0" width="15.6"/>
    <col collapsed="false" customWidth="true" hidden="false" outlineLevel="0" max="100" min="100" style="0" width="12.56"/>
    <col collapsed="false" customWidth="true" hidden="false" outlineLevel="0" max="101" min="101" style="0" width="18.34"/>
    <col collapsed="false" customWidth="true" hidden="false" outlineLevel="0" max="102" min="102" style="0" width="15.74"/>
    <col collapsed="false" customWidth="true" hidden="false" outlineLevel="0" max="103" min="103" style="0" width="18.2"/>
    <col collapsed="false" customWidth="true" hidden="false" outlineLevel="0" max="104" min="104" style="0" width="16.32"/>
    <col collapsed="false" customWidth="true" hidden="false" outlineLevel="0" max="105" min="105" style="0" width="14.88"/>
    <col collapsed="false" customWidth="true" hidden="false" outlineLevel="0" max="106" min="106" style="0" width="10.98"/>
    <col collapsed="false" customWidth="true" hidden="false" outlineLevel="0" max="107" min="107" style="0" width="12.13"/>
    <col collapsed="false" customWidth="true" hidden="false" outlineLevel="0" max="108" min="108" style="0" width="15.31"/>
    <col collapsed="false" customWidth="true" hidden="false" outlineLevel="0" max="109" min="109" style="0" width="12.99"/>
    <col collapsed="false" customWidth="false" hidden="false" outlineLevel="0" max="110" min="110" style="0" width="11.52"/>
    <col collapsed="false" customWidth="true" hidden="false" outlineLevel="0" max="111" min="111" style="0" width="15.45"/>
    <col collapsed="false" customWidth="true" hidden="false" outlineLevel="0" max="112" min="112" style="0" width="13.43"/>
    <col collapsed="false" customWidth="true" hidden="false" outlineLevel="0" max="113" min="113" style="0" width="15.31"/>
    <col collapsed="false" customWidth="false" hidden="false" outlineLevel="0" max="114" min="114" style="0" width="11.52"/>
    <col collapsed="false" customWidth="true" hidden="false" outlineLevel="0" max="115" min="115" style="0" width="17.33"/>
    <col collapsed="false" customWidth="false" hidden="false" outlineLevel="0" max="117" min="116" style="0" width="11.52"/>
    <col collapsed="false" customWidth="true" hidden="false" outlineLevel="0" max="118" min="118" style="0" width="6.21"/>
    <col collapsed="false" customWidth="true" hidden="false" outlineLevel="0" max="120" min="119" style="0" width="8.23"/>
    <col collapsed="false" customWidth="false" hidden="false" outlineLevel="0" max="1025" min="12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n">
        <v>1</v>
      </c>
      <c r="T1" s="1" t="s">
        <v>17</v>
      </c>
      <c r="U1" s="1" t="s">
        <v>17</v>
      </c>
      <c r="V1" s="1" t="n">
        <v>2</v>
      </c>
      <c r="W1" s="1" t="s">
        <v>17</v>
      </c>
      <c r="X1" s="1" t="s">
        <v>17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n">
        <v>9</v>
      </c>
      <c r="AF1" s="1" t="n">
        <v>10</v>
      </c>
      <c r="AG1" s="1" t="n">
        <v>11</v>
      </c>
      <c r="AH1" s="1" t="n">
        <v>12</v>
      </c>
      <c r="AI1" s="1" t="n">
        <v>13</v>
      </c>
      <c r="AJ1" s="1" t="n">
        <v>14</v>
      </c>
      <c r="AK1" s="1" t="n">
        <v>15</v>
      </c>
      <c r="AL1" s="1" t="n">
        <v>16</v>
      </c>
      <c r="AM1" s="1" t="n">
        <v>17</v>
      </c>
      <c r="AN1" s="1" t="n">
        <v>18</v>
      </c>
      <c r="AO1" s="1" t="n">
        <v>19</v>
      </c>
      <c r="AP1" s="1" t="n">
        <v>20</v>
      </c>
      <c r="AQ1" s="1" t="n">
        <v>21</v>
      </c>
      <c r="AR1" s="1" t="n">
        <v>22</v>
      </c>
      <c r="AS1" s="1" t="n">
        <v>23</v>
      </c>
      <c r="AT1" s="1" t="n">
        <v>24</v>
      </c>
      <c r="AU1" s="1" t="n">
        <v>25</v>
      </c>
      <c r="AV1" s="1" t="n">
        <v>26</v>
      </c>
      <c r="AW1" s="1" t="n">
        <v>27</v>
      </c>
      <c r="AX1" s="1" t="n">
        <v>28</v>
      </c>
      <c r="AY1" s="1" t="n">
        <v>29</v>
      </c>
      <c r="AZ1" s="1" t="n">
        <v>30</v>
      </c>
      <c r="BA1" s="1" t="n">
        <v>31</v>
      </c>
      <c r="BB1" s="1" t="n">
        <v>32</v>
      </c>
      <c r="BC1" s="1" t="n">
        <v>33</v>
      </c>
      <c r="BD1" s="1" t="n">
        <v>34</v>
      </c>
      <c r="BE1" s="1" t="n">
        <v>35</v>
      </c>
      <c r="BF1" s="1" t="n">
        <v>36</v>
      </c>
      <c r="BG1" s="1" t="n">
        <v>37</v>
      </c>
      <c r="BH1" s="1" t="n">
        <v>38</v>
      </c>
      <c r="BI1" s="1" t="n">
        <v>39</v>
      </c>
      <c r="BJ1" s="1" t="n">
        <v>40</v>
      </c>
      <c r="BK1" s="1" t="n">
        <v>41</v>
      </c>
      <c r="BL1" s="1" t="n">
        <v>42</v>
      </c>
      <c r="BM1" s="1" t="n">
        <v>43</v>
      </c>
      <c r="BN1" s="1" t="n">
        <v>44</v>
      </c>
      <c r="BO1" s="1" t="n">
        <v>45</v>
      </c>
      <c r="BP1" s="1" t="n">
        <v>46</v>
      </c>
      <c r="BQ1" s="1" t="n">
        <v>47</v>
      </c>
      <c r="BR1" s="1" t="n">
        <v>48</v>
      </c>
      <c r="BS1" s="1" t="n">
        <v>49</v>
      </c>
      <c r="BT1" s="1" t="n">
        <v>50</v>
      </c>
      <c r="BU1" s="1" t="n">
        <v>51</v>
      </c>
      <c r="BV1" s="1" t="n">
        <v>52</v>
      </c>
      <c r="BW1" s="1" t="n">
        <v>53</v>
      </c>
      <c r="BX1" s="1" t="n">
        <v>54</v>
      </c>
      <c r="BY1" s="1" t="n">
        <v>55</v>
      </c>
      <c r="BZ1" s="1" t="n">
        <v>56</v>
      </c>
      <c r="CA1" s="1" t="n">
        <v>57</v>
      </c>
      <c r="CB1" s="1" t="n">
        <v>58</v>
      </c>
      <c r="CC1" s="1" t="n">
        <v>59</v>
      </c>
      <c r="CD1" s="1" t="n">
        <v>60</v>
      </c>
      <c r="CE1" s="1" t="n">
        <v>61</v>
      </c>
      <c r="CF1" s="1" t="n">
        <v>62</v>
      </c>
      <c r="CG1" s="1" t="n">
        <v>63</v>
      </c>
      <c r="CH1" s="1" t="n">
        <v>64</v>
      </c>
      <c r="CI1" s="1" t="n">
        <v>65</v>
      </c>
      <c r="CJ1" s="1" t="n">
        <v>66</v>
      </c>
      <c r="CK1" s="1" t="n">
        <v>67</v>
      </c>
      <c r="CL1" s="1" t="n">
        <v>68</v>
      </c>
      <c r="CM1" s="1" t="n">
        <v>69</v>
      </c>
      <c r="CN1" s="1" t="n">
        <v>70</v>
      </c>
      <c r="CO1" s="1" t="n">
        <v>71</v>
      </c>
      <c r="CP1" s="1" t="n">
        <v>72</v>
      </c>
      <c r="CQ1" s="1" t="n">
        <v>73</v>
      </c>
      <c r="CR1" s="1" t="n">
        <v>74</v>
      </c>
      <c r="CS1" s="1" t="n">
        <v>75</v>
      </c>
      <c r="CT1" s="1" t="n">
        <v>76</v>
      </c>
      <c r="CU1" s="1" t="n">
        <v>77</v>
      </c>
      <c r="CV1" s="1" t="n">
        <v>78</v>
      </c>
      <c r="CW1" s="1" t="n">
        <v>79</v>
      </c>
      <c r="CX1" s="1" t="n">
        <v>80</v>
      </c>
      <c r="CY1" s="1" t="n">
        <v>81</v>
      </c>
      <c r="CZ1" s="1" t="n">
        <v>82</v>
      </c>
      <c r="DA1" s="1" t="n">
        <v>83</v>
      </c>
      <c r="DB1" s="1" t="n">
        <v>84</v>
      </c>
      <c r="DC1" s="1" t="n">
        <v>85</v>
      </c>
      <c r="DD1" s="1" t="n">
        <v>86</v>
      </c>
      <c r="DE1" s="1" t="n">
        <v>87</v>
      </c>
      <c r="DG1" s="1" t="s">
        <v>18</v>
      </c>
      <c r="DH1" s="1" t="s">
        <v>19</v>
      </c>
      <c r="DI1" s="1" t="s">
        <v>20</v>
      </c>
      <c r="DK1" s="1" t="s">
        <v>21</v>
      </c>
    </row>
    <row r="2" s="1" customFormat="tru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2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3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</row>
    <row r="3" s="4" customFormat="true" ht="12.8" hidden="false" customHeight="false" outlineLevel="0" collapsed="false">
      <c r="A3" s="0" t="s">
        <v>131</v>
      </c>
      <c r="B3" s="0" t="s">
        <v>132</v>
      </c>
      <c r="C3" s="0" t="n">
        <v>131</v>
      </c>
      <c r="D3" s="0" t="n">
        <f aca="false">IF(B3="Taiga",265,IF(B3="Mts",265,IF(B3="Temp",230,IF(B3="Steppe",265,IF(B3="Jungle",180,IF(B3="Sav",240,IF(B3="Medi",230,0)))))))</f>
        <v>265</v>
      </c>
      <c r="E3" s="0" t="n">
        <v>1</v>
      </c>
      <c r="F3" s="4" t="n">
        <f aca="false">IF(B3="Taiga",0.43,IF(B3="Mts",0.21,IF(B3="Temp",0.64,IF(B3="Steppe",0.57,IF(B3="Jungle",0.43,IF(B3="Sav",0.57,IF(B3="Medi",0.43,0)))))))</f>
        <v>0.43</v>
      </c>
      <c r="G3" s="4" t="n">
        <f aca="false">IF(B3="Taiga",0.43,IF(B3="Mts",0.8,IF(B3="Temp",0.64,IF(B3="Steppe",0.64,IF(B3="Jungle",0.43,IF(B3="Sav",0.8,IF(B3="Medi",0.6,0)))))))</f>
        <v>0.43</v>
      </c>
      <c r="H3" s="4" t="n">
        <f aca="false">$H$31*IF(B3="Taiga",528,IF(B3="Mts",855.27,IF(B3="Temp",565.94,IF(B3="Steppe",551.72,IF(B3="Jungle",575.43,IF(B3="Sav",599.15,IF(B3="Medi",564.36,0)))))))</f>
        <v>1056</v>
      </c>
      <c r="I3" s="4" t="n">
        <f aca="false">$H$31*IF(B3="Taiga",2608.19,IF(B3="Mts",2100,IF(B3="Temp",2976.19,IF(B3="Steppe",2450.48,IF(B3="Jungle",2135.05,IF(B3="Sav",2310.29,IF(B3="Medi",2485.52,0)))))))</f>
        <v>5216.38</v>
      </c>
      <c r="J3" s="4" t="n">
        <f aca="false">$H$31*IF(B3="Taiga",500.54,IF(B3="Mts",360,IF(B3="Temp",570.81,IF(B3="Steppe",441.95,IF(B3="Jungle",486.49,IF(B3="Sav",518.92,IF(B3="Medi",640,0)))))))</f>
        <v>1001.08</v>
      </c>
      <c r="K3" s="4" t="n">
        <f aca="false">$H$31*IF(B3="Taiga",2003.09,IF(B3="Mts",1612.8,IF(B3="Temp",2285.71,IF(B3="Steppe",1881.97,IF(B3="Jungle",1639.72,IF(B3="Sav",1774.3,IF(B3="Medi",1908.88,0)))))))</f>
        <v>4006.18</v>
      </c>
      <c r="L3" s="4" t="n">
        <f aca="false">$H$31*IF(B3="Taiga",260.82,IF(B3="Mts",210,IF(B3="Temp",297.62,IF(B3="Steppe",245.05,IF(B3="Jungle",213.5,IF(B3="Sav",231.03,IF(B3="Medi",248.55,0)))))))</f>
        <v>521.64</v>
      </c>
      <c r="M3" s="4" t="n">
        <f aca="false">$H$31*IF(B3="Taiga",250,IF(B3="Mts",640,IF(B3="Temp",295.2174,IF(B3="Steppe",278.2609,IF(B3="Jungle",306.5217,IF(B3="Sav",334.7826,IF(B3="Medi",293.3333,0)))))))</f>
        <v>500</v>
      </c>
      <c r="N3" s="4" t="n">
        <f aca="false">$H$31*IF(B3="Taiga",1491.9691,IF(B3="Mts",980,IF(B3="Temp",1747.9537,IF(B3="Steppe",1278.5174,IF(B3="Jungle",1440.7722,IF(B3="Sav",1558.9189,IF(B3="Medi",2000,0)))))))</f>
        <v>2983.9382</v>
      </c>
      <c r="O3" s="4" t="n">
        <f aca="false">$H$31*IF(B3="Taiga",68.5,IF(B3="Mts",25,IF(B3="Temp",100,IF(B3="Steppe",55,IF(B3="Jungle",28,IF(B3="Sav",43,IF(B3="Medi",58,0)))))))</f>
        <v>137</v>
      </c>
      <c r="P3" s="4" t="n">
        <f aca="false">$H$31*20*15/8000</f>
        <v>0.075</v>
      </c>
      <c r="Q3" s="4" t="n">
        <f aca="false">$H$31*20*15/8000</f>
        <v>0.075</v>
      </c>
      <c r="R3" s="1" t="s">
        <v>39</v>
      </c>
      <c r="S3" s="4" t="n">
        <f aca="false">C3*F3*G3*360*640*1393.66125/(2000*1000)</f>
        <v>3888.8206192944</v>
      </c>
      <c r="T3" s="4" t="n">
        <f aca="false">C3*F3*G3*J3*640*1393.66125*2/(1000*2000*3)</f>
        <v>7209.29730659859</v>
      </c>
      <c r="U3" s="4" t="n">
        <f aca="false">T3*J$28</f>
        <v>2403.09910219953</v>
      </c>
      <c r="V3" s="4" t="n">
        <f aca="false">T3-U3</f>
        <v>4806.19820439906</v>
      </c>
      <c r="W3" s="4" t="n">
        <f aca="false">C3*F3*G3*H3*640*1393.66125*2/(1000*2000*3)</f>
        <v>7604.80476662016</v>
      </c>
      <c r="X3" s="4" t="n">
        <f aca="false">W3*H$28</f>
        <v>2074.03766362368</v>
      </c>
      <c r="Y3" s="4" t="n">
        <f aca="false">W3-X3</f>
        <v>5530.76710299648</v>
      </c>
      <c r="Z3" s="4" t="n">
        <f aca="false">C3*F3*G3*M3*640*1393.66125/(1000*2000*3)</f>
        <v>1800.37991634</v>
      </c>
      <c r="AA3" s="4" t="n">
        <f aca="false">C3*F3*G3*N3*640*1393.66125/(2000*1000)</f>
        <v>32233.3344412784</v>
      </c>
      <c r="AB3" s="4" t="n">
        <f aca="false">C3*F3*G3*O3*640*1393.66125/(2000*1000)</f>
        <v>1479.91229123148</v>
      </c>
      <c r="AC3" s="4" t="n">
        <f aca="false">C3*P3*640*1393.66125/(2000*1000)</f>
        <v>4.38167097</v>
      </c>
      <c r="AD3" s="4" t="n">
        <f aca="false">C3*Q3*640*1393.66125/(2000*1000)</f>
        <v>4.38167097</v>
      </c>
      <c r="AE3" s="4" t="n">
        <f aca="false">($V3+$Z3)*2000*1000/(3*365)</f>
        <v>12066809.3529481</v>
      </c>
      <c r="AF3" s="4" t="n">
        <f aca="false">($V3+$Z3)*2000*1000/(18*100)</f>
        <v>7340642.35637673</v>
      </c>
      <c r="AG3" s="4" t="n">
        <f aca="false">($V3+$Z3)*2000*1000/(3*365)</f>
        <v>12066809.3529481</v>
      </c>
      <c r="AH3" s="4" t="n">
        <f aca="false">C3*F3*G3*K3*640*1393.66125/(2000*1000)</f>
        <v>43275.8760794579</v>
      </c>
      <c r="AI3" s="4" t="n">
        <f aca="false">3*12*D3*Populations!$S2/(5*1000)</f>
        <v>112701.744</v>
      </c>
      <c r="AJ3" s="4" t="n">
        <f aca="false">1.5*D3*750*Populations!$S2/(1000*2000*15)</f>
        <v>586.98825</v>
      </c>
      <c r="AK3" s="4" t="n">
        <f aca="false">66*10*D3*Populations!$S2/(1000*2000*6)</f>
        <v>860.9161</v>
      </c>
      <c r="AL3" s="4" t="n">
        <f aca="false">AE3*365/(2000*1000)</f>
        <v>2202.19270691302</v>
      </c>
      <c r="AM3" s="4" t="n">
        <f aca="false">AF3*25*238/(51*2000*1000)</f>
        <v>428.20413745531</v>
      </c>
      <c r="AN3" s="4" t="n">
        <f aca="false">AG3*100*238/(600*1000*2000)</f>
        <v>239.325052166803</v>
      </c>
      <c r="AO3" s="4" t="n">
        <f aca="false">AG3*120*2/(16*1000*2000)</f>
        <v>90.5010701471104</v>
      </c>
      <c r="AP3" s="4" t="n">
        <f aca="false">D3*4800*Populations!$S2/($AP$28*10*1000*2000)</f>
        <v>2121.3755355</v>
      </c>
      <c r="AQ3" s="4" t="n">
        <f aca="false">D3*2*4800*Populations!$S2/($AQ$28*10*1000*2000)</f>
        <v>8159.136675</v>
      </c>
      <c r="AR3" s="4" t="n">
        <f aca="false">C3*F3*G3*L3*640*1393.66125/(2000*1000)</f>
        <v>5634.90107735758</v>
      </c>
      <c r="AS3" s="4" t="n">
        <f aca="false">AF3*600*6/(90*1000*2000)</f>
        <v>146.812847127535</v>
      </c>
      <c r="AT3" s="4" t="n">
        <f aca="false">IF(B3="Taiga",236.2,IF(B3="Mts",10,IF(B3="Temp",400,IF(B3="Steppe",25,IF(B3="Jungle",400,IF(B3="Sav",103.6,IF(B3="Medi",181.6,0)))))))*D3*AT$36*Populations!$R2/1000</f>
        <v>95544.0297276359</v>
      </c>
      <c r="AU3" s="4" t="n">
        <f aca="false">INDEX(Tech!$F$3:$F$13,MATCH(E3,Tech!$E$3:$E$13,1))*D3*AT$36*Populations!$S2/(365*1000)</f>
        <v>2934.94125</v>
      </c>
      <c r="AV3" s="4" t="n">
        <f aca="false">D3*12.5*AT$36*Populations!$S2/(10*30)</f>
        <v>1222.8921875</v>
      </c>
      <c r="AW3" s="4" t="n">
        <f aca="false">0.125*D3*AW$30*Populations!$R2/1000</f>
        <v>104.286389348671</v>
      </c>
      <c r="AX3" s="4" t="n">
        <f aca="false">D3*AW$30*Populations!$S2/(3*1000)</f>
        <v>20.17772109375</v>
      </c>
      <c r="AY3" s="4" t="n">
        <f aca="false">D3*Populations!$S2/(2*1000*AY$30)/1000</f>
        <v>14.087718</v>
      </c>
      <c r="AZ3" s="4" t="n">
        <f aca="false">D3*AZ$30*Populations!$S2/(2*1000)</f>
        <v>9.7831375</v>
      </c>
      <c r="BA3" s="4" t="n">
        <f aca="false">D3*2*BA$30*Populations!$S2/1000</f>
        <v>46.95906</v>
      </c>
      <c r="BB3" s="4" t="n">
        <f aca="false">D3*3*BB$30*Populations!$S2/1000</f>
        <v>35.219295</v>
      </c>
      <c r="BC3" s="4" t="n">
        <f aca="false">D3*11*BC$30*Populations!$S2/(15*1000)</f>
        <v>6.8873288</v>
      </c>
      <c r="BD3" s="4" t="n">
        <f aca="false">D3*11*BD$30*Populations!$S2/(8*1000)</f>
        <v>16.142176875</v>
      </c>
      <c r="BE3" s="4" t="n">
        <f aca="false">D3*11*BE$30*Populations!$S2/(3*1000)</f>
        <v>10.4539812142857</v>
      </c>
      <c r="BF3" s="4" t="n">
        <f aca="false">D3*11*BF$30*Populations!$S2/(5*1000)</f>
        <v>7.533015875</v>
      </c>
      <c r="BG3" s="4" t="n">
        <f aca="false">D3*11*BG$30*Populations!$S2/(9*1000)</f>
        <v>19.1314688888889</v>
      </c>
      <c r="BH3" s="4" t="n">
        <f aca="false">D3*11*BH$30*Populations!$S2/(12*1000)</f>
        <v>10.76145125</v>
      </c>
      <c r="BI3" s="4" t="n">
        <f aca="false">D3*BI$30*Populations!$S2/(1000*125/12)</f>
        <v>30.0537984</v>
      </c>
      <c r="BJ3" s="4" t="n">
        <f aca="false">D3*BJ$30*Populations!$S2/(30*1000)</f>
        <v>13.6598687866667</v>
      </c>
      <c r="BK3" s="4" t="n">
        <f aca="false">D3*BK$30*Populations!$S2/(7*1000)</f>
        <v>1.88674794642857</v>
      </c>
      <c r="BL3" s="4" t="n">
        <f aca="false">D3*BL$30*Populations!$S2/(8.5*1000)</f>
        <v>3.10758485294118</v>
      </c>
      <c r="BM3" s="4" t="n">
        <f aca="false">D3*BM$30*Populations!$S2/1000</f>
        <v>6.6036178125</v>
      </c>
      <c r="BN3" s="4" t="n">
        <f aca="false">D3*BN$30*Populations!$S2/(1.5*1000)</f>
        <v>15.65302</v>
      </c>
      <c r="BO3" s="4" t="n">
        <f aca="false">D3*BO$30*Populations!$S2/(2*1000)</f>
        <v>12.71807875</v>
      </c>
      <c r="BP3" s="4" t="n">
        <f aca="false">D3*BP$30*Populations!$S2/(4*1000)</f>
        <v>2.93494125</v>
      </c>
      <c r="BQ3" s="4" t="n">
        <f aca="false">D3*Populations!$R2*10/(3*1000*2000)</f>
        <v>359.55980704727</v>
      </c>
      <c r="BR3" s="4" t="n">
        <f aca="false">D3*2*Populations!$R2/(30*1000*2000)</f>
        <v>7.19119614094541</v>
      </c>
      <c r="BS3" s="4" t="n">
        <f aca="false">D3*2*Populations!$S2/((37.5/12)*1000*2000)</f>
        <v>5.0089664</v>
      </c>
      <c r="BT3" s="4" t="n">
        <f aca="false">D3*2*Populations!$S2/((20/9)*1000*2000)</f>
        <v>7.043859</v>
      </c>
      <c r="BU3" s="4" t="n">
        <f aca="false">AF3*25*4/(51*$BU$32)</f>
        <v>3.5983540962631</v>
      </c>
      <c r="BV3" s="4" t="n">
        <f aca="false">D3*Populations!$S2*12/($BV$30*3)</f>
        <v>49.307013</v>
      </c>
      <c r="BW3" s="4" t="n">
        <f aca="false">D3*Populations!$S2*12/(2*$BW$30)</f>
        <v>42.263154</v>
      </c>
      <c r="BX3" s="4" t="n">
        <f aca="false">D3*Populations!$S2*12/(5*$BX$30)</f>
        <v>21.131577</v>
      </c>
      <c r="BY3" s="4" t="n">
        <f aca="false">D3*Populations!$S2/(2*$BY$30)</f>
        <v>12.32675325</v>
      </c>
      <c r="BZ3" s="4" t="n">
        <f aca="false">D3*Populations!$R2*500/(1000*2000)</f>
        <v>53933.9710570906</v>
      </c>
      <c r="CA3" s="4" t="n">
        <f aca="false">D3*Populations!R2*15/(1000*2000)</f>
        <v>1618.01913171272</v>
      </c>
      <c r="CB3" s="4" t="n">
        <f aca="false">IF(B3="Mts",1,D3*Populations!R2*30/(1000*2000))</f>
        <v>3236.03826342543</v>
      </c>
      <c r="CC3" s="4" t="n">
        <f aca="false">D3*40*Populations!R2/(1000*2000)</f>
        <v>4314.71768456724</v>
      </c>
      <c r="CD3" s="4" t="n">
        <f aca="false">D3*40*Populations!R2/(1000*2000)</f>
        <v>4314.71768456724</v>
      </c>
      <c r="CE3" s="4" t="n">
        <f aca="false">D3*20*Populations!R2/(1000*2000)</f>
        <v>2157.35884228362</v>
      </c>
      <c r="CF3" s="4" t="n">
        <f aca="false">D3*8.3454*32*Populations!$S2/(1000*2000)</f>
        <v>2090.091409728</v>
      </c>
      <c r="CG3" s="4" t="n">
        <f aca="false">D3*50*2*Populations!$S2/(3*1000*2000)</f>
        <v>260.883666666667</v>
      </c>
      <c r="CH3" s="4" t="n">
        <f aca="false">IF(B3="Mts",20*D3*Populations!$R2/1000,0.001)</f>
        <v>0.001</v>
      </c>
      <c r="CI3" s="4" t="n">
        <f aca="false">IF(NOT(CH3=0.001),0.006*CH3/3,0.001)</f>
        <v>0.001</v>
      </c>
      <c r="CJ3" s="4" t="n">
        <f aca="false">IF(NOT(CH3=0.001),0.7*CH3/3,0.001)</f>
        <v>0.001</v>
      </c>
      <c r="CK3" s="4" t="n">
        <f aca="false">IF(NOT(CH3=0.001),0.65*CH3/3,0.001)</f>
        <v>0.001</v>
      </c>
      <c r="CL3" s="4" t="n">
        <f aca="false">IF(NOT(CH3=0.001),0.002*CH3/3,0.001)</f>
        <v>0.001</v>
      </c>
      <c r="CM3" s="4" t="n">
        <f aca="false">IF(NOT(CH3=0.001),0.001*CH3/3,0.001)</f>
        <v>0.001</v>
      </c>
      <c r="CN3" s="4" t="n">
        <f aca="false">D3*3*110/(24*2000)*Populations!$S2</f>
        <v>107614.5125</v>
      </c>
      <c r="CO3" s="4" t="n">
        <f aca="false">D3*3*12/(24*2000)*Populations!$S2</f>
        <v>11739.765</v>
      </c>
      <c r="CP3" s="4" t="n">
        <f aca="false">D3*3*1.4/(24*2000)*Populations!$S2</f>
        <v>1369.63925</v>
      </c>
      <c r="CQ3" s="4" t="n">
        <f aca="false">D3*6400*8.3454*Populations!$S2/(10*1000*2000)</f>
        <v>41801.82819456</v>
      </c>
      <c r="CR3" s="4" t="n">
        <f aca="false">D3*2*Populations!$S2/(1000*2000)</f>
        <v>15.65302</v>
      </c>
      <c r="CS3" s="4" t="n">
        <f aca="false">D3*2*30*Populations!$S2/(1000*2000)</f>
        <v>469.5906</v>
      </c>
      <c r="CT3" s="4" t="n">
        <f aca="false">27*Populations!$R2/(4*1000*2000)</f>
        <v>2.74757965762537</v>
      </c>
      <c r="CU3" s="4" t="n">
        <f aca="false">27*Populations!$R2/(16*1000*2000)</f>
        <v>0.686894914406342</v>
      </c>
      <c r="CV3" s="4" t="n">
        <f aca="false">AP3*0.9</f>
        <v>1909.23798195</v>
      </c>
      <c r="CW3" s="4" t="n">
        <f aca="false">2.5*D3*Populations!$R2/(60*2000)</f>
        <v>4494.49758809088</v>
      </c>
      <c r="CX3" s="4" t="n">
        <f aca="false">D3*125*Populations!R2/(6*1000*2000)</f>
        <v>2247.24879404544</v>
      </c>
      <c r="CY3" s="4" t="n">
        <f aca="false">D3*1.875*2*Populations!R2/(6*1000*2000)</f>
        <v>67.4174638213632</v>
      </c>
      <c r="CZ3" s="4" t="n">
        <f aca="false">D3*2*20*Populations!$R2/(1000*2000)</f>
        <v>4314.71768456724</v>
      </c>
      <c r="DA3" s="4" t="n">
        <f aca="false">IF(NOT(CH3=0.001),CH3*0.00001,0.001)</f>
        <v>0.001</v>
      </c>
      <c r="DB3" s="4" t="n">
        <f aca="false">IF(NOT(CH3=0.001),CH3*0.00001,0.001)</f>
        <v>0.001</v>
      </c>
      <c r="DC3" s="4" t="n">
        <f aca="false">D3*0.02*12*Populations!$S2/(3*1000*2000)</f>
        <v>0.6261208</v>
      </c>
      <c r="DD3" s="4" t="n">
        <f aca="false">D3*0.5*12*Populations!$S2/(5*1000*2000)</f>
        <v>9.391812</v>
      </c>
      <c r="DE3" s="4" t="n">
        <f aca="false">D3*6*25*Populations!$S2/(1000*2000)</f>
        <v>1173.9765</v>
      </c>
      <c r="DG3" s="4" t="n">
        <f aca="false">PRODUCT(AC3:AD3)</f>
        <v>19.1990404893407</v>
      </c>
      <c r="DH3" s="4" t="n">
        <f aca="false">LOG(PRODUCT(S3,V3,Y3:AB3,AE3:AH3,AL3:AO3,AR3:AT3,AW3,BQ3:BU3,BZ3,CH3:CM3,CT3:CU3,CW3:DB3),2)</f>
        <v>231.975885489075</v>
      </c>
      <c r="DI3" s="4" t="n">
        <f aca="false">LOG(PRODUCT($AI3:$AK3,$AP3:$AQ3,$AU3:$AV3,AX3:BP3,BV3:BY3,CA3:CG3,CN3:CS3,CV3,DC3:DE3),2)</f>
        <v>335.76352249823</v>
      </c>
      <c r="DK3" s="4" t="n">
        <f aca="false">SUM(DG3:DI3)</f>
        <v>586.938448476646</v>
      </c>
      <c r="DL3" s="0"/>
      <c r="DM3" s="0"/>
      <c r="DN3" s="4" t="n">
        <f aca="false">LOG(PRODUCT(AC3:AD3),2)</f>
        <v>4.2629623060494</v>
      </c>
      <c r="DO3" s="4" t="n">
        <f aca="false">LOG(PRODUCT(S3,V3,Y3:AB3,AE3:AH3,AL3:AO3,AR3:AS3),2)</f>
        <v>212.076120317109</v>
      </c>
      <c r="DP3" s="4" t="n">
        <f aca="false">LOG(PRODUCT($AI3:$AK3,$AP3:$AQ3,$AT3:$AZ3),2)+LOG(PRODUCT($BA3:$BZ3),2)+LOG(PRODUCT($CA3:$DE3),2)</f>
        <v>355.663287670196</v>
      </c>
    </row>
    <row r="4" s="4" customFormat="true" ht="12.8" hidden="false" customHeight="false" outlineLevel="0" collapsed="false">
      <c r="A4" s="0" t="s">
        <v>133</v>
      </c>
      <c r="B4" s="0" t="s">
        <v>134</v>
      </c>
      <c r="C4" s="0" t="n">
        <v>211</v>
      </c>
      <c r="D4" s="0" t="n">
        <f aca="false">IF(B4="Taiga",265,IF(B4="Mts",265,IF(B4="Temp",230,IF(B4="Steppe",265,IF(B4="Jungle",180,IF(B4="Sav",240,IF(B4="Medi",230,0)))))))</f>
        <v>265</v>
      </c>
      <c r="E4" s="0" t="n">
        <v>1</v>
      </c>
      <c r="F4" s="4" t="n">
        <f aca="false">IF(B4="Taiga",0.43,IF(B4="Mts",0.21,IF(B4="Temp",0.64,IF(B4="Steppe",0.57,IF(B4="Jungle",0.43,IF(B4="Sav",0.57,IF(B4="Medi",0.43,0)))))))</f>
        <v>0.21</v>
      </c>
      <c r="G4" s="4" t="n">
        <f aca="false">IF(B4="Taiga",0.43,IF(B4="Mts",0.8,IF(B4="Temp",0.64,IF(B4="Steppe",0.64,IF(B4="Jungle",0.43,IF(B4="Sav",0.8,IF(B4="Medi",0.6,0)))))))</f>
        <v>0.8</v>
      </c>
      <c r="H4" s="4" t="n">
        <f aca="false">$H$31*IF(B4="Taiga",528,IF(B4="Mts",855.27,IF(B4="Temp",565.94,IF(B4="Steppe",551.72,IF(B4="Jungle",575.43,IF(B4="Sav",599.15,IF(B4="Medi",564.36,0)))))))</f>
        <v>1710.54</v>
      </c>
      <c r="I4" s="4" t="n">
        <f aca="false">$H$31*IF(B4="Taiga",2608.19,IF(B4="Mts",2100,IF(B4="Temp",2976.19,IF(B4="Steppe",2450.48,IF(B4="Jungle",2135.05,IF(B4="Sav",2310.29,IF(B4="Medi",2485.52,0)))))))</f>
        <v>4200</v>
      </c>
      <c r="J4" s="4" t="n">
        <f aca="false">$H$31*IF(B4="Taiga",500.54,IF(B4="Mts",360,IF(B4="Temp",570.81,IF(B4="Steppe",441.95,IF(B4="Jungle",486.49,IF(B4="Sav",518.92,IF(B4="Medi",640,0)))))))</f>
        <v>720</v>
      </c>
      <c r="K4" s="4" t="n">
        <f aca="false">$H$31*IF(B4="Taiga",2003.09,IF(B4="Mts",1612.8,IF(B4="Temp",2285.71,IF(B4="Steppe",1881.97,IF(B4="Jungle",1639.72,IF(B4="Sav",1774.3,IF(B4="Medi",1908.88,0)))))))</f>
        <v>3225.6</v>
      </c>
      <c r="L4" s="4" t="n">
        <f aca="false">$H$31*IF(B4="Taiga",260.82,IF(B4="Mts",210,IF(B4="Temp",297.62,IF(B4="Steppe",245.05,IF(B4="Jungle",213.5,IF(B4="Sav",231.03,IF(B4="Medi",248.55,0)))))))</f>
        <v>420</v>
      </c>
      <c r="M4" s="4" t="n">
        <f aca="false">$H$31*IF(B4="Taiga",250,IF(B4="Mts",640,IF(B4="Temp",295.2174,IF(B4="Steppe",278.2609,IF(B4="Jungle",306.5217,IF(B4="Sav",334.7826,IF(B4="Medi",293.3333,0)))))))</f>
        <v>1280</v>
      </c>
      <c r="N4" s="4" t="n">
        <f aca="false">$H$31*IF(B4="Taiga",1491.9691,IF(B4="Mts",980,IF(B4="Temp",1747.9537,IF(B4="Steppe",1278.5174,IF(B4="Jungle",1440.7722,IF(B4="Sav",1558.9189,IF(B4="Medi",2000,0)))))))</f>
        <v>1960</v>
      </c>
      <c r="O4" s="4" t="n">
        <f aca="false">$H$31*IF(B4="Taiga",68.5,IF(B4="Mts",25,IF(B4="Temp",100,IF(B4="Steppe",55,IF(B4="Jungle",28,IF(B4="Sav",43,IF(B4="Medi",58,0)))))))</f>
        <v>50</v>
      </c>
      <c r="P4" s="4" t="n">
        <f aca="false">$H$31*20*15/8000</f>
        <v>0.075</v>
      </c>
      <c r="Q4" s="4" t="n">
        <f aca="false">$H$31*20*15/8000</f>
        <v>0.075</v>
      </c>
      <c r="R4" s="1" t="s">
        <v>39</v>
      </c>
      <c r="S4" s="4" t="n">
        <f aca="false">C4*F4*G4*360*640*1393.66125/(2000*1000)</f>
        <v>5691.168459648</v>
      </c>
      <c r="T4" s="4" t="n">
        <f aca="false">C4*F4*G4*J4*640*1393.66125*2/(1000*2000*3)</f>
        <v>7588.224612864</v>
      </c>
      <c r="U4" s="4" t="n">
        <f aca="false">T4*J$28</f>
        <v>2529.408204288</v>
      </c>
      <c r="V4" s="4" t="n">
        <f aca="false">T4-U4</f>
        <v>5058.816408576</v>
      </c>
      <c r="W4" s="4" t="n">
        <f aca="false">C4*F4*G4*H4*640*1393.66125*2/(1000*2000*3)</f>
        <v>18027.7246240116</v>
      </c>
      <c r="X4" s="4" t="n">
        <f aca="false">W4*H$28</f>
        <v>4916.65217018499</v>
      </c>
      <c r="Y4" s="4" t="n">
        <f aca="false">W4-X4</f>
        <v>13111.0724538267</v>
      </c>
      <c r="Z4" s="4" t="n">
        <f aca="false">C4*F4*G4*M4*640*1393.66125/(1000*2000*3)</f>
        <v>6745.088544768</v>
      </c>
      <c r="AA4" s="4" t="n">
        <f aca="false">C4*F4*G4*N4*640*1393.66125/(2000*1000)</f>
        <v>30985.250502528</v>
      </c>
      <c r="AB4" s="4" t="n">
        <f aca="false">C4*F4*G4*O4*640*1393.66125/(2000*1000)</f>
        <v>790.44006384</v>
      </c>
      <c r="AC4" s="4" t="n">
        <f aca="false">C4*P4*640*1393.66125/(2000*1000)</f>
        <v>7.05750057</v>
      </c>
      <c r="AD4" s="4" t="n">
        <f aca="false">C4*Q4*640*1393.66125/(2000*1000)</f>
        <v>7.05750057</v>
      </c>
      <c r="AE4" s="4" t="n">
        <f aca="false">($V4+$Z4)*2000*1000/(3*365)</f>
        <v>21559643.7504</v>
      </c>
      <c r="AF4" s="4" t="n">
        <f aca="false">($V4+$Z4)*2000*1000/(18*100)</f>
        <v>13115449.94816</v>
      </c>
      <c r="AG4" s="4" t="n">
        <f aca="false">($V4+$Z4)*2000*1000/(3*365)</f>
        <v>21559643.7504</v>
      </c>
      <c r="AH4" s="4" t="n">
        <f aca="false">C4*F4*G4*K4*640*1393.66125/(2000*1000)</f>
        <v>50992.8693984461</v>
      </c>
      <c r="AI4" s="4" t="n">
        <f aca="false">3*12*D4*Populations!$S3/(5*1000)</f>
        <v>182860.812</v>
      </c>
      <c r="AJ4" s="4" t="n">
        <f aca="false">1.5*D4*750*Populations!$S3/(1000*2000*15)</f>
        <v>952.4000625</v>
      </c>
      <c r="AK4" s="4" t="n">
        <f aca="false">66*10*D4*Populations!$S3/(1000*2000*6)</f>
        <v>1396.853425</v>
      </c>
      <c r="AL4" s="4" t="n">
        <f aca="false">AE4*365/(2000*1000)</f>
        <v>3934.634984448</v>
      </c>
      <c r="AM4" s="4" t="n">
        <f aca="false">AF4*25*238/(51*2000*1000)</f>
        <v>765.067913642667</v>
      </c>
      <c r="AN4" s="4" t="n">
        <f aca="false">AG4*100*238/(600*1000*2000)</f>
        <v>427.5996010496</v>
      </c>
      <c r="AO4" s="4" t="n">
        <f aca="false">AG4*120*2/(16*1000*2000)</f>
        <v>161.697328128</v>
      </c>
      <c r="AP4" s="4" t="n">
        <f aca="false">D4*4800*Populations!$S3/($AP$28*10*1000*2000)</f>
        <v>3441.97382587501</v>
      </c>
      <c r="AQ4" s="4" t="n">
        <f aca="false">D4*2*4800*Populations!$S3/($AQ$28*10*1000*2000)</f>
        <v>13238.36086875</v>
      </c>
      <c r="AR4" s="4" t="n">
        <f aca="false">C4*F4*G4*L4*640*1393.66125/(2000*1000)</f>
        <v>6639.696536256</v>
      </c>
      <c r="AS4" s="4" t="n">
        <f aca="false">AF4*600*6/(90*1000*2000)</f>
        <v>262.3089989632</v>
      </c>
      <c r="AT4" s="4" t="n">
        <f aca="false">IF(B4="Taiga",236.2,IF(B4="Mts",10,IF(B4="Temp",400,IF(B4="Steppe",25,IF(B4="Jungle",400,IF(B4="Sav",103.6,IF(B4="Medi",181.6,0)))))))*D4*AT$36*Populations!$R3/1000</f>
        <v>9047.7864328125</v>
      </c>
      <c r="AU4" s="4" t="n">
        <f aca="false">INDEX(Tech!$F$3:$F$13,MATCH(E4,Tech!$E$3:$E$13,1))*D4*AT$36*Populations!$S3/(365*1000)</f>
        <v>4762.0003125</v>
      </c>
      <c r="AV4" s="4" t="n">
        <f aca="false">D4*12.5*AT$36*Populations!$S3/(10*30)</f>
        <v>1984.166796875</v>
      </c>
      <c r="AW4" s="4" t="n">
        <f aca="false">0.125*D4*AW$30*Populations!$R3/1000</f>
        <v>233.263243970947</v>
      </c>
      <c r="AX4" s="4" t="n">
        <f aca="false">D4*AW$30*Populations!$S3/(3*1000)</f>
        <v>32.7387521484375</v>
      </c>
      <c r="AY4" s="4" t="n">
        <f aca="false">D4*Populations!$S3/(2*1000*AY$30)/1000</f>
        <v>22.8576015</v>
      </c>
      <c r="AZ4" s="4" t="n">
        <f aca="false">D4*AZ$30*Populations!$S3/(2*1000)</f>
        <v>15.873334375</v>
      </c>
      <c r="BA4" s="4" t="n">
        <f aca="false">D4*2*BA$30*Populations!$S3/1000</f>
        <v>76.192005</v>
      </c>
      <c r="BB4" s="4" t="n">
        <f aca="false">D4*3*BB$30*Populations!$S3/1000</f>
        <v>57.14400375</v>
      </c>
      <c r="BC4" s="4" t="n">
        <f aca="false">D4*11*BC$30*Populations!$S3/(15*1000)</f>
        <v>11.1748274</v>
      </c>
      <c r="BD4" s="4" t="n">
        <f aca="false">D4*11*BD$30*Populations!$S3/(8*1000)</f>
        <v>26.19100171875</v>
      </c>
      <c r="BE4" s="4" t="n">
        <f aca="false">D4*11*BE$30*Populations!$S3/(3*1000)</f>
        <v>16.9617915892857</v>
      </c>
      <c r="BF4" s="4" t="n">
        <f aca="false">D4*11*BF$30*Populations!$S3/(5*1000)</f>
        <v>12.22246746875</v>
      </c>
      <c r="BG4" s="4" t="n">
        <f aca="false">D4*11*BG$30*Populations!$S3/(9*1000)</f>
        <v>31.0411872222222</v>
      </c>
      <c r="BH4" s="4" t="n">
        <f aca="false">D4*11*BH$30*Populations!$S3/(12*1000)</f>
        <v>17.4606678125</v>
      </c>
      <c r="BI4" s="4" t="n">
        <f aca="false">D4*BI$30*Populations!$S3/(1000*125/12)</f>
        <v>48.7628832</v>
      </c>
      <c r="BJ4" s="4" t="n">
        <f aca="false">D4*BJ$30*Populations!$S3/(30*1000)</f>
        <v>22.1634076766667</v>
      </c>
      <c r="BK4" s="4" t="n">
        <f aca="false">D4*BK$30*Populations!$S3/(7*1000)</f>
        <v>3.06128591517857</v>
      </c>
      <c r="BL4" s="4" t="n">
        <f aca="false">D4*BL$30*Populations!$S3/(8.5*1000)</f>
        <v>5.04211797794118</v>
      </c>
      <c r="BM4" s="4" t="n">
        <f aca="false">D4*BM$30*Populations!$S3/1000</f>
        <v>10.714500703125</v>
      </c>
      <c r="BN4" s="4" t="n">
        <f aca="false">D4*BN$30*Populations!$S3/(1.5*1000)</f>
        <v>25.397335</v>
      </c>
      <c r="BO4" s="4" t="n">
        <f aca="false">D4*BO$30*Populations!$S3/(2*1000)</f>
        <v>20.6353346875</v>
      </c>
      <c r="BP4" s="4" t="n">
        <f aca="false">D4*BP$30*Populations!$S3/(4*1000)</f>
        <v>4.7620003125</v>
      </c>
      <c r="BQ4" s="4" t="n">
        <f aca="false">D4*Populations!$R3*10/(3*1000*2000)</f>
        <v>804.247682916667</v>
      </c>
      <c r="BR4" s="4" t="n">
        <f aca="false">D4*2*Populations!$R3/(30*1000*2000)</f>
        <v>16.0849536583333</v>
      </c>
      <c r="BS4" s="4" t="n">
        <f aca="false">D4*2*Populations!$S3/((37.5/12)*1000*2000)</f>
        <v>8.1271472</v>
      </c>
      <c r="BT4" s="4" t="n">
        <f aca="false">D4*2*Populations!$S3/((20/9)*1000*2000)</f>
        <v>11.42880075</v>
      </c>
      <c r="BU4" s="4" t="n">
        <f aca="false">AF4*25*4/(51*$BU$32)</f>
        <v>6.42914213145098</v>
      </c>
      <c r="BV4" s="4" t="n">
        <f aca="false">D4*Populations!$S3*12/($BV$30*3)</f>
        <v>80.00160525</v>
      </c>
      <c r="BW4" s="4" t="n">
        <f aca="false">D4*Populations!$S3*12/(2*$BW$30)</f>
        <v>68.5728045000001</v>
      </c>
      <c r="BX4" s="4" t="n">
        <f aca="false">D4*Populations!$S3*12/(5*$BX$30)</f>
        <v>34.28640225</v>
      </c>
      <c r="BY4" s="4" t="n">
        <f aca="false">D4*Populations!$S3/(2*$BY$30)</f>
        <v>20.0004013125</v>
      </c>
      <c r="BZ4" s="4" t="n">
        <f aca="false">D4*Populations!$R3*500/(1000*2000)</f>
        <v>120637.1524375</v>
      </c>
      <c r="CA4" s="4" t="n">
        <f aca="false">D4*Populations!R3*15/(1000*2000)</f>
        <v>3619.114573125</v>
      </c>
      <c r="CB4" s="4" t="n">
        <f aca="false">IF(B4="Mts",1,D4*Populations!R3*30/(1000*2000))</f>
        <v>1</v>
      </c>
      <c r="CC4" s="4" t="n">
        <f aca="false">D4*40*Populations!R3/(1000*2000)</f>
        <v>9650.972195</v>
      </c>
      <c r="CD4" s="4" t="n">
        <f aca="false">D4*40*Populations!R3/(1000*2000)</f>
        <v>9650.972195</v>
      </c>
      <c r="CE4" s="4" t="n">
        <f aca="false">D4*20*Populations!R3/(1000*2000)</f>
        <v>4825.4860975</v>
      </c>
      <c r="CF4" s="4" t="n">
        <f aca="false">D4*8.3454*32*Populations!$S3/(1000*2000)</f>
        <v>3391.214712144</v>
      </c>
      <c r="CG4" s="4" t="n">
        <f aca="false">D4*50*2*Populations!$S3/(3*1000*2000)</f>
        <v>423.288916666667</v>
      </c>
      <c r="CH4" s="4" t="n">
        <f aca="false">IF(B4="Mts",20*D4*Populations!$R3/1000,0.001)</f>
        <v>9650972.195</v>
      </c>
      <c r="CI4" s="4" t="n">
        <f aca="false">IF(NOT(CH4=0.001),0.006*CH4/3,0.001)</f>
        <v>19301.94439</v>
      </c>
      <c r="CJ4" s="4" t="n">
        <f aca="false">IF(NOT(CH4=0.001),0.7*CH4/3,0.001)</f>
        <v>2251893.51216667</v>
      </c>
      <c r="CK4" s="4" t="n">
        <f aca="false">IF(NOT(CH4=0.001),0.65*CH4/3,0.001)</f>
        <v>2091043.97558333</v>
      </c>
      <c r="CL4" s="4" t="n">
        <f aca="false">IF(NOT(CH4=0.001),0.002*CH4/3,0.001)</f>
        <v>6433.98146333333</v>
      </c>
      <c r="CM4" s="4" t="n">
        <f aca="false">IF(NOT(CH4=0.001),0.001*CH4/3,0.001)</f>
        <v>3216.99073166667</v>
      </c>
      <c r="CN4" s="4" t="n">
        <f aca="false">D4*3*110/(24*2000)*Populations!$S3</f>
        <v>174606.678125</v>
      </c>
      <c r="CO4" s="4" t="n">
        <f aca="false">D4*3*12/(24*2000)*Populations!$S3</f>
        <v>19048.00125</v>
      </c>
      <c r="CP4" s="4" t="n">
        <f aca="false">D4*3*1.4/(24*2000)*Populations!$S3</f>
        <v>2222.2668125</v>
      </c>
      <c r="CQ4" s="4" t="n">
        <f aca="false">D4*6400*8.3454*Populations!$S3/(10*1000*2000)</f>
        <v>67824.29424288</v>
      </c>
      <c r="CR4" s="4" t="n">
        <f aca="false">D4*2*Populations!$S3/(1000*2000)</f>
        <v>25.397335</v>
      </c>
      <c r="CS4" s="4" t="n">
        <f aca="false">D4*2*30*Populations!$S3/(1000*2000)</f>
        <v>761.92005</v>
      </c>
      <c r="CT4" s="4" t="n">
        <f aca="false">27*Populations!$R3/(4*1000*2000)</f>
        <v>6.14566625625</v>
      </c>
      <c r="CU4" s="4" t="n">
        <f aca="false">27*Populations!$R3/(16*1000*2000)</f>
        <v>1.5364165640625</v>
      </c>
      <c r="CV4" s="4" t="n">
        <f aca="false">AP4*0.9</f>
        <v>3097.7764432875</v>
      </c>
      <c r="CW4" s="4" t="n">
        <f aca="false">2.5*D4*Populations!$R3/(60*2000)</f>
        <v>10053.0960364583</v>
      </c>
      <c r="CX4" s="4" t="n">
        <f aca="false">D4*125*Populations!R3/(6*1000*2000)</f>
        <v>5026.54801822917</v>
      </c>
      <c r="CY4" s="4" t="n">
        <f aca="false">D4*1.875*2*Populations!R3/(6*1000*2000)</f>
        <v>150.796440546875</v>
      </c>
      <c r="CZ4" s="4" t="n">
        <f aca="false">D4*2*20*Populations!$R3/(1000*2000)</f>
        <v>9650.972195</v>
      </c>
      <c r="DA4" s="4" t="n">
        <f aca="false">IF(NOT(CH4=0.001),CH4*0.00001,0.001)</f>
        <v>96.50972195</v>
      </c>
      <c r="DB4" s="4" t="n">
        <f aca="false">IF(NOT(CH4=0.001),CH4*0.00001,0.001)</f>
        <v>96.50972195</v>
      </c>
      <c r="DC4" s="4" t="n">
        <f aca="false">D4*0.02*12*Populations!$S3/(3*1000*2000)</f>
        <v>1.0158934</v>
      </c>
      <c r="DD4" s="4" t="n">
        <f aca="false">D4*0.5*12*Populations!$S3/(5*1000*2000)</f>
        <v>15.238401</v>
      </c>
      <c r="DE4" s="4" t="n">
        <f aca="false">D4*6*25*Populations!$S3/(1000*2000)</f>
        <v>1904.800125</v>
      </c>
      <c r="DG4" s="4" t="n">
        <f aca="false">PRODUCT(AC4:AD4)</f>
        <v>49.8083142955503</v>
      </c>
      <c r="DH4" s="4" t="n">
        <f aca="false">LOG(PRODUCT(S4,V4,Y4:AB4,AE4:AH4,AL4:AO4,AR4:AT4,AW4,BQ4:BU4,BZ4,CH4:CM4,CT4:CU4,CW4:DB4),2)</f>
        <v>449.158953490256</v>
      </c>
      <c r="DI4" s="4" t="n">
        <f aca="false">LOG(PRODUCT($AI4:$AK4,$AP4:$AQ4,$AU4:$AV4,AX4:BP4,BV4:BY4,CA4:CG4,CN4:CS4,CV4,DC4:DE4),2)</f>
        <v>358.075057814805</v>
      </c>
      <c r="DK4" s="4" t="n">
        <f aca="false">SUM(DG4:DI4)</f>
        <v>857.042325600611</v>
      </c>
    </row>
    <row r="5" s="4" customFormat="true" ht="12.8" hidden="false" customHeight="false" outlineLevel="0" collapsed="false">
      <c r="A5" s="0" t="s">
        <v>135</v>
      </c>
      <c r="B5" s="0" t="s">
        <v>136</v>
      </c>
      <c r="C5" s="0" t="n">
        <v>109</v>
      </c>
      <c r="D5" s="0" t="n">
        <f aca="false">IF(B5="Taiga",265,IF(B5="Mts",265,IF(B5="Temp",230,IF(B5="Steppe",265,IF(B5="Jungle",180,IF(B5="Sav",240,IF(B5="Medi",230,0)))))))</f>
        <v>230</v>
      </c>
      <c r="E5" s="0" t="n">
        <v>1</v>
      </c>
      <c r="F5" s="4" t="n">
        <f aca="false">IF(B5="Taiga",0.43,IF(B5="Mts",0.21,IF(B5="Temp",0.64,IF(B5="Steppe",0.57,IF(B5="Jungle",0.43,IF(B5="Sav",0.57,IF(B5="Medi",0.43,0)))))))</f>
        <v>0.64</v>
      </c>
      <c r="G5" s="4" t="n">
        <f aca="false">IF(B5="Taiga",0.43,IF(B5="Mts",0.8,IF(B5="Temp",0.64,IF(B5="Steppe",0.64,IF(B5="Jungle",0.43,IF(B5="Sav",0.8,IF(B5="Medi",0.6,0)))))))</f>
        <v>0.64</v>
      </c>
      <c r="H5" s="4" t="n">
        <f aca="false">$H$31*IF(B5="Taiga",528,IF(B5="Mts",855.27,IF(B5="Temp",565.94,IF(B5="Steppe",551.72,IF(B5="Jungle",575.43,IF(B5="Sav",599.15,IF(B5="Medi",564.36,0)))))))</f>
        <v>1131.88</v>
      </c>
      <c r="I5" s="4" t="n">
        <f aca="false">$H$31*IF(B5="Taiga",2608.19,IF(B5="Mts",2100,IF(B5="Temp",2976.19,IF(B5="Steppe",2450.48,IF(B5="Jungle",2135.05,IF(B5="Sav",2310.29,IF(B5="Medi",2485.52,0)))))))</f>
        <v>5952.38</v>
      </c>
      <c r="J5" s="4" t="n">
        <f aca="false">$H$31*IF(B5="Taiga",500.54,IF(B5="Mts",360,IF(B5="Temp",570.81,IF(B5="Steppe",441.95,IF(B5="Jungle",486.49,IF(B5="Sav",518.92,IF(B5="Medi",640,0)))))))</f>
        <v>1141.62</v>
      </c>
      <c r="K5" s="4" t="n">
        <f aca="false">$H$31*IF(B5="Taiga",2003.09,IF(B5="Mts",1612.8,IF(B5="Temp",2285.71,IF(B5="Steppe",1881.97,IF(B5="Jungle",1639.72,IF(B5="Sav",1774.3,IF(B5="Medi",1908.88,0)))))))</f>
        <v>4571.42</v>
      </c>
      <c r="L5" s="4" t="n">
        <f aca="false">$H$31*IF(B5="Taiga",260.82,IF(B5="Mts",210,IF(B5="Temp",297.62,IF(B5="Steppe",245.05,IF(B5="Jungle",213.5,IF(B5="Sav",231.03,IF(B5="Medi",248.55,0)))))))</f>
        <v>595.24</v>
      </c>
      <c r="M5" s="4" t="n">
        <f aca="false">$H$31*IF(B5="Taiga",250,IF(B5="Mts",640,IF(B5="Temp",295.2174,IF(B5="Steppe",278.2609,IF(B5="Jungle",306.5217,IF(B5="Sav",334.7826,IF(B5="Medi",293.3333,0)))))))</f>
        <v>590.4348</v>
      </c>
      <c r="N5" s="4" t="n">
        <f aca="false">$H$31*IF(B5="Taiga",1491.9691,IF(B5="Mts",980,IF(B5="Temp",1747.9537,IF(B5="Steppe",1278.5174,IF(B5="Jungle",1440.7722,IF(B5="Sav",1558.9189,IF(B5="Medi",2000,0)))))))</f>
        <v>3495.9074</v>
      </c>
      <c r="O5" s="4" t="n">
        <f aca="false">$H$31*IF(B5="Taiga",68.5,IF(B5="Mts",25,IF(B5="Temp",100,IF(B5="Steppe",55,IF(B5="Jungle",28,IF(B5="Sav",43,IF(B5="Medi",58,0)))))))</f>
        <v>200</v>
      </c>
      <c r="P5" s="4" t="n">
        <f aca="false">$H$31*20*15/8000</f>
        <v>0.075</v>
      </c>
      <c r="Q5" s="4" t="n">
        <f aca="false">$H$31*20*15/8000</f>
        <v>0.075</v>
      </c>
      <c r="R5" s="1" t="s">
        <v>39</v>
      </c>
      <c r="S5" s="4" t="n">
        <f aca="false">C5*F5*G5*360*640*1393.66125/(2000*1000)</f>
        <v>7167.9695192064</v>
      </c>
      <c r="T5" s="4" t="n">
        <f aca="false">C5*F5*G5*J5*640*1393.66125*2/(1000*2000*3)</f>
        <v>15153.88400466</v>
      </c>
      <c r="U5" s="4" t="n">
        <f aca="false">T5*J$28</f>
        <v>5051.29466822001</v>
      </c>
      <c r="V5" s="4" t="n">
        <f aca="false">T5-U5</f>
        <v>10102.58933644</v>
      </c>
      <c r="W5" s="4" t="n">
        <f aca="false">C5*F5*G5*H5*640*1393.66125*2/(1000*2000*3)</f>
        <v>15024.5950729617</v>
      </c>
      <c r="X5" s="4" t="n">
        <f aca="false">W5*H$28</f>
        <v>4097.61683808048</v>
      </c>
      <c r="Y5" s="4" t="n">
        <f aca="false">W5-X5</f>
        <v>10926.9782348813</v>
      </c>
      <c r="Z5" s="4" t="n">
        <f aca="false">C5*F5*G5*M5*640*1393.66125/(1000*2000*3)</f>
        <v>3918.72097173956</v>
      </c>
      <c r="AA5" s="4" t="n">
        <f aca="false">C5*F5*G5*N5*640*1393.66125/(2000*1000)</f>
        <v>69607.1046810225</v>
      </c>
      <c r="AB5" s="4" t="n">
        <f aca="false">C5*F5*G5*O5*640*1393.66125/(2000*1000)</f>
        <v>3982.205288448</v>
      </c>
      <c r="AC5" s="4" t="n">
        <f aca="false">C5*P5*640*1393.66125/(2000*1000)</f>
        <v>3.64581783</v>
      </c>
      <c r="AD5" s="4" t="n">
        <f aca="false">C5*Q5*640*1393.66125/(2000*1000)</f>
        <v>3.64581783</v>
      </c>
      <c r="AE5" s="4" t="n">
        <f aca="false">($V5+$Z5)*2000*1000/(3*365)</f>
        <v>25609699.1930221</v>
      </c>
      <c r="AF5" s="4" t="n">
        <f aca="false">($V5+$Z5)*2000*1000/(18*100)</f>
        <v>15579233.6757551</v>
      </c>
      <c r="AG5" s="4" t="n">
        <f aca="false">($V5+$Z5)*2000*1000/(3*365)</f>
        <v>25609699.1930221</v>
      </c>
      <c r="AH5" s="4" t="n">
        <f aca="false">C5*F5*G5*K5*640*1393.66125/(2000*1000)</f>
        <v>91021.6644985848</v>
      </c>
      <c r="AI5" s="4" t="n">
        <f aca="false">3*12*D5*Populations!$S4/(5*1000)</f>
        <v>764745.768</v>
      </c>
      <c r="AJ5" s="4" t="n">
        <f aca="false">1.5*D5*750*Populations!$S4/(1000*2000*15)</f>
        <v>3983.050875</v>
      </c>
      <c r="AK5" s="4" t="n">
        <f aca="false">66*10*D5*Populations!$S4/(1000*2000*6)</f>
        <v>5841.80795</v>
      </c>
      <c r="AL5" s="4" t="n">
        <f aca="false">AE5*365/(2000*1000)</f>
        <v>4673.77010272653</v>
      </c>
      <c r="AM5" s="4" t="n">
        <f aca="false">AF5*25*238/(51*2000*1000)</f>
        <v>908.788631085714</v>
      </c>
      <c r="AN5" s="4" t="n">
        <f aca="false">AG5*100*238/(600*1000*2000)</f>
        <v>507.925700661604</v>
      </c>
      <c r="AO5" s="4" t="n">
        <f aca="false">AG5*120*2/(16*1000*2000)</f>
        <v>192.072743947665</v>
      </c>
      <c r="AP5" s="4" t="n">
        <f aca="false">D5*4800*Populations!$S4/($AP$28*10*1000*2000)</f>
        <v>14394.74586225</v>
      </c>
      <c r="AQ5" s="4" t="n">
        <f aca="false">D5*2*4800*Populations!$S4/($AQ$28*10*1000*2000)</f>
        <v>55364.4071625</v>
      </c>
      <c r="AR5" s="4" t="n">
        <f aca="false">C5*F5*G5*L5*640*1393.66125/(2000*1000)</f>
        <v>11851.8393794789</v>
      </c>
      <c r="AS5" s="4" t="n">
        <f aca="false">AF5*600*6/(90*1000*2000)</f>
        <v>311.584673515102</v>
      </c>
      <c r="AT5" s="4" t="n">
        <f aca="false">IF(B5="Taiga",236.2,IF(B5="Mts",10,IF(B5="Temp",400,IF(B5="Steppe",25,IF(B5="Jungle",400,IF(B5="Sav",103.6,IF(B5="Medi",181.6,0)))))))*D5*AT$36*Populations!$R4/1000</f>
        <v>753224.738196899</v>
      </c>
      <c r="AU5" s="4" t="n">
        <f aca="false">INDEX(Tech!$F$3:$F$13,MATCH(E5,Tech!$E$3:$E$13,1))*D5*AT$36*Populations!$S4/(365*1000)</f>
        <v>19915.254375</v>
      </c>
      <c r="AV5" s="4" t="n">
        <f aca="false">D5*12.5*AT$36*Populations!$S4/(10*30)</f>
        <v>8298.02265625</v>
      </c>
      <c r="AW5" s="4" t="n">
        <f aca="false">0.125*D5*AW$30*Populations!$R4/1000</f>
        <v>485.47688204097</v>
      </c>
      <c r="AX5" s="4" t="n">
        <f aca="false">D5*AW$30*Populations!$S4/(3*1000)</f>
        <v>136.917373828125</v>
      </c>
      <c r="AY5" s="4" t="n">
        <f aca="false">D5*Populations!$S4/(2*1000*AY$30)/1000</f>
        <v>95.5932209999999</v>
      </c>
      <c r="AZ5" s="4" t="n">
        <f aca="false">D5*AZ$30*Populations!$S4/(2*1000)</f>
        <v>66.38418125</v>
      </c>
      <c r="BA5" s="4" t="n">
        <f aca="false">D5*2*BA$30*Populations!$S4/1000</f>
        <v>318.64407</v>
      </c>
      <c r="BB5" s="4" t="n">
        <f aca="false">D5*3*BB$30*Populations!$S4/1000</f>
        <v>238.9830525</v>
      </c>
      <c r="BC5" s="4" t="n">
        <f aca="false">D5*11*BC$30*Populations!$S4/(15*1000)</f>
        <v>46.7344636</v>
      </c>
      <c r="BD5" s="4" t="n">
        <f aca="false">D5*11*BD$30*Populations!$S4/(8*1000)</f>
        <v>109.5338990625</v>
      </c>
      <c r="BE5" s="4" t="n">
        <f aca="false">D5*11*BE$30*Populations!$S4/(3*1000)</f>
        <v>70.9362393928571</v>
      </c>
      <c r="BF5" s="4" t="n">
        <f aca="false">D5*11*BF$30*Populations!$S4/(5*1000)</f>
        <v>51.1158195625</v>
      </c>
      <c r="BG5" s="4" t="n">
        <f aca="false">D5*11*BG$30*Populations!$S4/(9*1000)</f>
        <v>129.817954444444</v>
      </c>
      <c r="BH5" s="4" t="n">
        <f aca="false">D5*11*BH$30*Populations!$S4/(12*1000)</f>
        <v>73.022599375</v>
      </c>
      <c r="BI5" s="4" t="n">
        <f aca="false">D5*BI$30*Populations!$S4/(1000*125/12)</f>
        <v>203.9322048</v>
      </c>
      <c r="BJ5" s="4" t="n">
        <f aca="false">D5*BJ$30*Populations!$S4/(30*1000)</f>
        <v>92.6900194733334</v>
      </c>
      <c r="BK5" s="4" t="n">
        <f aca="false">D5*BK$30*Populations!$S4/(7*1000)</f>
        <v>12.8026635267857</v>
      </c>
      <c r="BL5" s="4" t="n">
        <f aca="false">D5*BL$30*Populations!$S4/(8.5*1000)</f>
        <v>21.0867399264706</v>
      </c>
      <c r="BM5" s="4" t="n">
        <f aca="false">D5*BM$30*Populations!$S4/1000</f>
        <v>44.80932234375</v>
      </c>
      <c r="BN5" s="4" t="n">
        <f aca="false">D5*BN$30*Populations!$S4/(1.5*1000)</f>
        <v>106.21469</v>
      </c>
      <c r="BO5" s="4" t="n">
        <f aca="false">D5*BO$30*Populations!$S4/(2*1000)</f>
        <v>86.299435625</v>
      </c>
      <c r="BP5" s="4" t="n">
        <f aca="false">D5*BP$30*Populations!$S4/(4*1000)</f>
        <v>19.915254375</v>
      </c>
      <c r="BQ5" s="4" t="n">
        <f aca="false">D5*Populations!$R4*10/(3*1000*2000)</f>
        <v>1673.83275154866</v>
      </c>
      <c r="BR5" s="4" t="n">
        <f aca="false">D5*2*Populations!$R4/(30*1000*2000)</f>
        <v>33.4766550309733</v>
      </c>
      <c r="BS5" s="4" t="n">
        <f aca="false">D5*2*Populations!$S4/((37.5/12)*1000*2000)</f>
        <v>33.9887008</v>
      </c>
      <c r="BT5" s="4" t="n">
        <f aca="false">D5*2*Populations!$S4/((20/9)*1000*2000)</f>
        <v>47.7966105</v>
      </c>
      <c r="BU5" s="4" t="n">
        <f aca="false">AF5*25*4/(51*$BU$32)</f>
        <v>7.63687925282112</v>
      </c>
      <c r="BV5" s="4" t="n">
        <f aca="false">D5*Populations!$S4*12/($BV$30*3)</f>
        <v>334.5762735</v>
      </c>
      <c r="BW5" s="4" t="n">
        <f aca="false">D5*Populations!$S4*12/(2*$BW$30)</f>
        <v>286.779663</v>
      </c>
      <c r="BX5" s="4" t="n">
        <f aca="false">D5*Populations!$S4*12/(5*$BX$30)</f>
        <v>143.3898315</v>
      </c>
      <c r="BY5" s="4" t="n">
        <f aca="false">D5*Populations!$S4/(2*$BY$30)</f>
        <v>83.644068375</v>
      </c>
      <c r="BZ5" s="4" t="n">
        <f aca="false">D5*Populations!$R4*500/(1000*2000)</f>
        <v>251074.9127323</v>
      </c>
      <c r="CA5" s="4" t="n">
        <f aca="false">D5*Populations!R4*15/(1000*2000)</f>
        <v>7532.24738196899</v>
      </c>
      <c r="CB5" s="4" t="n">
        <f aca="false">IF(B5="Mts",1,D5*Populations!R4*30/(1000*2000))</f>
        <v>15064.494763938</v>
      </c>
      <c r="CC5" s="4" t="n">
        <f aca="false">D5*40*Populations!R4/(1000*2000)</f>
        <v>20085.993018584</v>
      </c>
      <c r="CD5" s="4" t="n">
        <f aca="false">D5*40*Populations!R4/(1000*2000)</f>
        <v>20085.993018584</v>
      </c>
      <c r="CE5" s="4" t="n">
        <f aca="false">D5*20*Populations!R4/(1000*2000)</f>
        <v>10042.996509292</v>
      </c>
      <c r="CF5" s="4" t="n">
        <f aca="false">D5*8.3454*32*Populations!$S4/(1000*2000)</f>
        <v>14182.465182816</v>
      </c>
      <c r="CG5" s="4" t="n">
        <f aca="false">D5*50*2*Populations!$S4/(3*1000*2000)</f>
        <v>1770.24483333333</v>
      </c>
      <c r="CH5" s="4" t="n">
        <f aca="false">IF(B5="Mts",20*D5*Populations!$R4/1000,0.001)</f>
        <v>0.001</v>
      </c>
      <c r="CI5" s="4" t="n">
        <f aca="false">IF(NOT(CH5=0.001),0.006*CH5/3,0.001)</f>
        <v>0.001</v>
      </c>
      <c r="CJ5" s="4" t="n">
        <f aca="false">IF(NOT(CH5=0.001),0.7*CH5/3,0.001)</f>
        <v>0.001</v>
      </c>
      <c r="CK5" s="4" t="n">
        <f aca="false">IF(NOT(CH5=0.001),0.65*CH5/3,0.001)</f>
        <v>0.001</v>
      </c>
      <c r="CL5" s="4" t="n">
        <f aca="false">IF(NOT(CH5=0.001),0.002*CH5/3,0.001)</f>
        <v>0.001</v>
      </c>
      <c r="CM5" s="4" t="n">
        <f aca="false">IF(NOT(CH5=0.001),0.001*CH5/3,0.001)</f>
        <v>0.001</v>
      </c>
      <c r="CN5" s="4" t="n">
        <f aca="false">D5*3*110/(24*2000)*Populations!$S4</f>
        <v>730225.99375</v>
      </c>
      <c r="CO5" s="4" t="n">
        <f aca="false">D5*3*12/(24*2000)*Populations!$S4</f>
        <v>79661.0175</v>
      </c>
      <c r="CP5" s="4" t="n">
        <f aca="false">D5*3*1.4/(24*2000)*Populations!$S4</f>
        <v>9293.785375</v>
      </c>
      <c r="CQ5" s="4" t="n">
        <f aca="false">D5*6400*8.3454*Populations!$S4/(10*1000*2000)</f>
        <v>283649.30365632</v>
      </c>
      <c r="CR5" s="4" t="n">
        <f aca="false">D5*2*Populations!$S4/(1000*2000)</f>
        <v>106.21469</v>
      </c>
      <c r="CS5" s="4" t="n">
        <f aca="false">D5*2*30*Populations!$S4/(1000*2000)</f>
        <v>3186.4407</v>
      </c>
      <c r="CT5" s="4" t="n">
        <f aca="false">27*Populations!$R4/(4*1000*2000)</f>
        <v>14.7370057473306</v>
      </c>
      <c r="CU5" s="4" t="n">
        <f aca="false">27*Populations!$R4/(16*1000*2000)</f>
        <v>3.68425143683266</v>
      </c>
      <c r="CV5" s="4" t="n">
        <f aca="false">AP5*0.9</f>
        <v>12955.271276025</v>
      </c>
      <c r="CW5" s="4" t="n">
        <f aca="false">2.5*D5*Populations!$R4/(60*2000)</f>
        <v>20922.9093943583</v>
      </c>
      <c r="CX5" s="4" t="n">
        <f aca="false">D5*125*Populations!R4/(6*1000*2000)</f>
        <v>10461.4546971792</v>
      </c>
      <c r="CY5" s="4" t="n">
        <f aca="false">D5*1.875*2*Populations!R4/(6*1000*2000)</f>
        <v>313.843640915375</v>
      </c>
      <c r="CZ5" s="4" t="n">
        <f aca="false">D5*2*20*Populations!$R4/(1000*2000)</f>
        <v>20085.993018584</v>
      </c>
      <c r="DA5" s="4" t="n">
        <f aca="false">IF(NOT(CH5=0.001),CH5*0.00001,0.001)</f>
        <v>0.001</v>
      </c>
      <c r="DB5" s="4" t="n">
        <f aca="false">IF(NOT(CH5=0.001),CH5*0.00001,0.001)</f>
        <v>0.001</v>
      </c>
      <c r="DC5" s="4" t="n">
        <f aca="false">D5*0.02*12*Populations!$S4/(3*1000*2000)</f>
        <v>4.2485876</v>
      </c>
      <c r="DD5" s="4" t="n">
        <f aca="false">D5*0.5*12*Populations!$S4/(5*1000*2000)</f>
        <v>63.728814</v>
      </c>
      <c r="DE5" s="4" t="n">
        <f aca="false">D5*6*25*Populations!$S4/(1000*2000)</f>
        <v>7966.10175</v>
      </c>
      <c r="DG5" s="4" t="n">
        <f aca="false">PRODUCT(AC5:AD5)</f>
        <v>13.2919876495459</v>
      </c>
      <c r="DH5" s="4" t="n">
        <f aca="false">LOG(PRODUCT(S5,V5,Y5:AB5,AE5:AH5,AL5:AO5,AR5:AT5,AW5,BQ5:BU5,BZ5,CH5:CM5,CT5:CU5,CW5:DB5),2)</f>
        <v>281.590163745313</v>
      </c>
      <c r="DI5" s="4" t="n">
        <f aca="false">LOG(PRODUCT($AI5:$AK5,$AP5:$AQ5,$AU5:$AV5,AX5:BP5,BV5:BY5,CA5:CG5,CN5:CS5,CV5,DC5:DE5),2)</f>
        <v>462.88153693673</v>
      </c>
      <c r="DK5" s="4" t="n">
        <f aca="false">SUM(DG5:DI5)</f>
        <v>757.763688331589</v>
      </c>
    </row>
    <row r="6" s="4" customFormat="true" ht="12.8" hidden="false" customHeight="false" outlineLevel="0" collapsed="false">
      <c r="A6" s="0" t="s">
        <v>137</v>
      </c>
      <c r="B6" s="0" t="s">
        <v>138</v>
      </c>
      <c r="C6" s="0" t="n">
        <f aca="false">6*15+14+13+12+128+95+66+36</f>
        <v>454</v>
      </c>
      <c r="D6" s="0" t="n">
        <f aca="false">IF(B6="Taiga",265,IF(B6="Mts",265,IF(B6="Temp",230,IF(B6="Steppe",265,IF(B6="Jungle",180,IF(B6="Sav",240,IF(B6="Medi",230,0)))))))</f>
        <v>265</v>
      </c>
      <c r="E6" s="0" t="n">
        <v>1</v>
      </c>
      <c r="F6" s="4" t="n">
        <f aca="false">IF(B6="Taiga",0.43,IF(B6="Mts",0.21,IF(B6="Temp",0.64,IF(B6="Steppe",0.57,IF(B6="Jungle",0.43,IF(B6="Sav",0.57,IF(B6="Medi",0.43,0)))))))</f>
        <v>0.57</v>
      </c>
      <c r="G6" s="4" t="n">
        <f aca="false">IF(B6="Taiga",0.43,IF(B6="Mts",0.8,IF(B6="Temp",0.64,IF(B6="Steppe",0.64,IF(B6="Jungle",0.43,IF(B6="Sav",0.8,IF(B6="Medi",0.6,0)))))))</f>
        <v>0.64</v>
      </c>
      <c r="H6" s="4" t="n">
        <f aca="false">$H$31*IF(B6="Taiga",528,IF(B6="Mts",855.27,IF(B6="Temp",565.94,IF(B6="Steppe",551.72,IF(B6="Jungle",575.43,IF(B6="Sav",599.15,IF(B6="Medi",564.36,0)))))))</f>
        <v>1103.44</v>
      </c>
      <c r="I6" s="4" t="n">
        <f aca="false">$H$31*IF(B6="Taiga",2608.19,IF(B6="Mts",2100,IF(B6="Temp",2976.19,IF(B6="Steppe",2450.48,IF(B6="Jungle",2135.05,IF(B6="Sav",2310.29,IF(B6="Medi",2485.52,0)))))))</f>
        <v>4900.96</v>
      </c>
      <c r="J6" s="4" t="n">
        <f aca="false">$H$31*IF(B6="Taiga",500.54,IF(B6="Mts",360,IF(B6="Temp",570.81,IF(B6="Steppe",441.95,IF(B6="Jungle",486.49,IF(B6="Sav",518.92,IF(B6="Medi",640,0)))))))</f>
        <v>883.9</v>
      </c>
      <c r="K6" s="4" t="n">
        <f aca="false">$H$31*IF(B6="Taiga",2003.09,IF(B6="Mts",1612.8,IF(B6="Temp",2285.71,IF(B6="Steppe",1881.97,IF(B6="Jungle",1639.72,IF(B6="Sav",1774.3,IF(B6="Medi",1908.88,0)))))))</f>
        <v>3763.94</v>
      </c>
      <c r="L6" s="4" t="n">
        <f aca="false">$H$31*IF(B6="Taiga",260.82,IF(B6="Mts",210,IF(B6="Temp",297.62,IF(B6="Steppe",245.05,IF(B6="Jungle",213.5,IF(B6="Sav",231.03,IF(B6="Medi",248.55,0)))))))</f>
        <v>490.1</v>
      </c>
      <c r="M6" s="4" t="n">
        <f aca="false">$H$31*IF(B6="Taiga",250,IF(B6="Mts",640,IF(B6="Temp",295.2174,IF(B6="Steppe",278.2609,IF(B6="Jungle",306.5217,IF(B6="Sav",334.7826,IF(B6="Medi",293.3333,0)))))))</f>
        <v>556.5218</v>
      </c>
      <c r="N6" s="4" t="n">
        <f aca="false">$H$31*IF(B6="Taiga",1491.9691,IF(B6="Mts",980,IF(B6="Temp",1747.9537,IF(B6="Steppe",1278.5174,IF(B6="Jungle",1440.7722,IF(B6="Sav",1558.9189,IF(B6="Medi",2000,0)))))))</f>
        <v>2557.0348</v>
      </c>
      <c r="O6" s="4" t="n">
        <f aca="false">$H$31*IF(B6="Taiga",68.5,IF(B6="Mts",25,IF(B6="Temp",100,IF(B6="Steppe",55,IF(B6="Jungle",28,IF(B6="Sav",43,IF(B6="Medi",58,0)))))))</f>
        <v>110</v>
      </c>
      <c r="P6" s="4" t="n">
        <f aca="false">$H$31*20*15/8000</f>
        <v>0.075</v>
      </c>
      <c r="Q6" s="4" t="n">
        <f aca="false">$H$31*20*15/8000</f>
        <v>0.075</v>
      </c>
      <c r="R6" s="1" t="s">
        <v>39</v>
      </c>
      <c r="S6" s="4" t="n">
        <f aca="false">C6*F6*G6*360*640*1393.66125/(2000*1000)</f>
        <v>26590.1254612992</v>
      </c>
      <c r="T6" s="4" t="n">
        <f aca="false">C6*F6*G6*J6*640*1393.66125*2/(1000*2000*3)</f>
        <v>43524.0961023007</v>
      </c>
      <c r="U6" s="4" t="n">
        <f aca="false">T6*J$28</f>
        <v>14508.0320341002</v>
      </c>
      <c r="V6" s="4" t="n">
        <f aca="false">T6-U6</f>
        <v>29016.0640682005</v>
      </c>
      <c r="W6" s="4" t="n">
        <f aca="false">C6*F6*G6*H6*640*1393.66125*2/(1000*2000*3)</f>
        <v>54334.4593315111</v>
      </c>
      <c r="X6" s="4" t="n">
        <f aca="false">W6*H$28</f>
        <v>14818.4889085939</v>
      </c>
      <c r="Y6" s="4" t="n">
        <f aca="false">W6-X6</f>
        <v>39515.9704229172</v>
      </c>
      <c r="Z6" s="4" t="n">
        <f aca="false">C6*F6*G6*M6*640*1393.66125/(1000*2000*3)</f>
        <v>13701.8374851371</v>
      </c>
      <c r="AA6" s="4" t="n">
        <f aca="false">C6*F6*G6*N6*640*1393.66125/(2000*1000)</f>
        <v>188866.322613634</v>
      </c>
      <c r="AB6" s="4" t="n">
        <f aca="false">C6*F6*G6*O6*640*1393.66125/(2000*1000)</f>
        <v>8124.7605576192</v>
      </c>
      <c r="AC6" s="4" t="n">
        <f aca="false">C6*P6*640*1393.66125/(2000*1000)</f>
        <v>15.18533298</v>
      </c>
      <c r="AD6" s="4" t="n">
        <f aca="false">C6*Q6*640*1393.66125/(2000*1000)</f>
        <v>15.18533298</v>
      </c>
      <c r="AE6" s="4" t="n">
        <f aca="false">($V6+$Z6)*2000*1000/(3*365)</f>
        <v>78023564.4809818</v>
      </c>
      <c r="AF6" s="4" t="n">
        <f aca="false">($V6+$Z6)*2000*1000/(18*100)</f>
        <v>47464335.059264</v>
      </c>
      <c r="AG6" s="4" t="n">
        <f aca="false">($V6+$Z6)*2000*1000/(3*365)</f>
        <v>78023564.4809818</v>
      </c>
      <c r="AH6" s="4" t="n">
        <f aca="false">C6*F6*G6*K6*640*1393.66125/(2000*1000)</f>
        <v>278010.102302229</v>
      </c>
      <c r="AI6" s="4" t="n">
        <f aca="false">3*12*D6*Populations!$S5/(5*1000)</f>
        <v>1807274.772</v>
      </c>
      <c r="AJ6" s="4" t="n">
        <f aca="false">1.5*D6*750*Populations!$S5/(1000*2000*15)</f>
        <v>9412.8894375</v>
      </c>
      <c r="AK6" s="4" t="n">
        <f aca="false">66*10*D6*Populations!$S5/(1000*2000*6)</f>
        <v>13805.571175</v>
      </c>
      <c r="AL6" s="4" t="n">
        <f aca="false">AE6*365/(2000*1000)</f>
        <v>14239.3005177792</v>
      </c>
      <c r="AM6" s="4" t="n">
        <f aca="false">AF6*25*238/(51*2000*1000)</f>
        <v>2768.75287845706</v>
      </c>
      <c r="AN6" s="4" t="n">
        <f aca="false">AG6*100*238/(600*1000*2000)</f>
        <v>1547.46736220614</v>
      </c>
      <c r="AO6" s="4" t="n">
        <f aca="false">AG6*120*2/(16*1000*2000)</f>
        <v>585.176733607364</v>
      </c>
      <c r="AP6" s="4" t="n">
        <f aca="false">D6*4800*Populations!$S5/($AP$28*10*1000*2000)</f>
        <v>34018.1824271251</v>
      </c>
      <c r="AQ6" s="4" t="n">
        <f aca="false">D6*2*4800*Populations!$S5/($AQ$28*10*1000*2000)</f>
        <v>130839.16318125</v>
      </c>
      <c r="AR6" s="4" t="n">
        <f aca="false">C6*F6*G6*L6*640*1393.66125/(2000*1000)</f>
        <v>36199.5013571743</v>
      </c>
      <c r="AS6" s="4" t="n">
        <f aca="false">AF6*600*6/(90*1000*2000)</f>
        <v>949.286701185279</v>
      </c>
      <c r="AT6" s="4" t="n">
        <f aca="false">IF(B6="Taiga",236.2,IF(B6="Mts",10,IF(B6="Temp",400,IF(B6="Steppe",25,IF(B6="Jungle",400,IF(B6="Sav",103.6,IF(B6="Medi",181.6,0)))))))*D6*AT$36*Populations!$R5/1000</f>
        <v>136559.602140654</v>
      </c>
      <c r="AU6" s="4" t="n">
        <f aca="false">INDEX(Tech!$F$3:$F$13,MATCH(E6,Tech!$E$3:$E$13,1))*D6*AT$36*Populations!$S5/(365*1000)</f>
        <v>47064.4471875</v>
      </c>
      <c r="AV6" s="4" t="n">
        <f aca="false">D6*12.5*AT$36*Populations!$S5/(10*30)</f>
        <v>19610.186328125</v>
      </c>
      <c r="AW6" s="4" t="n">
        <f aca="false">0.125*D6*AW$30*Populations!$R5/1000</f>
        <v>1408.2708970755</v>
      </c>
      <c r="AX6" s="4" t="n">
        <f aca="false">D6*AW$30*Populations!$S5/(3*1000)</f>
        <v>323.568074414063</v>
      </c>
      <c r="AY6" s="4" t="n">
        <f aca="false">D6*Populations!$S5/(2*1000*AY$30)/1000</f>
        <v>225.9093465</v>
      </c>
      <c r="AZ6" s="4" t="n">
        <f aca="false">D6*AZ$30*Populations!$S5/(2*1000)</f>
        <v>156.881490625</v>
      </c>
      <c r="BA6" s="4" t="n">
        <f aca="false">D6*2*BA$30*Populations!$S5/1000</f>
        <v>753.031155</v>
      </c>
      <c r="BB6" s="4" t="n">
        <f aca="false">D6*3*BB$30*Populations!$S5/1000</f>
        <v>564.77336625</v>
      </c>
      <c r="BC6" s="4" t="n">
        <f aca="false">D6*11*BC$30*Populations!$S5/(15*1000)</f>
        <v>110.4445694</v>
      </c>
      <c r="BD6" s="4" t="n">
        <f aca="false">D6*11*BD$30*Populations!$S5/(8*1000)</f>
        <v>258.85445953125</v>
      </c>
      <c r="BE6" s="4" t="n">
        <f aca="false">D6*11*BE$30*Populations!$S5/(3*1000)</f>
        <v>167.639078553571</v>
      </c>
      <c r="BF6" s="4" t="n">
        <f aca="false">D6*11*BF$30*Populations!$S5/(5*1000)</f>
        <v>120.79874778125</v>
      </c>
      <c r="BG6" s="4" t="n">
        <f aca="false">D6*11*BG$30*Populations!$S5/(9*1000)</f>
        <v>306.790470555556</v>
      </c>
      <c r="BH6" s="4" t="n">
        <f aca="false">D6*11*BH$30*Populations!$S5/(12*1000)</f>
        <v>172.5696396875</v>
      </c>
      <c r="BI6" s="4" t="n">
        <f aca="false">D6*BI$30*Populations!$S5/(1000*125/12)</f>
        <v>481.9399392</v>
      </c>
      <c r="BJ6" s="4" t="n">
        <f aca="false">D6*BJ$30*Populations!$S5/(30*1000)</f>
        <v>219.048395976667</v>
      </c>
      <c r="BK6" s="4" t="n">
        <f aca="false">D6*BK$30*Populations!$S5/(7*1000)</f>
        <v>30.2557160491071</v>
      </c>
      <c r="BL6" s="4" t="n">
        <f aca="false">D6*BL$30*Populations!$S5/(8.5*1000)</f>
        <v>49.8329440808824</v>
      </c>
      <c r="BM6" s="4" t="n">
        <f aca="false">D6*BM$30*Populations!$S5/1000</f>
        <v>105.895006171875</v>
      </c>
      <c r="BN6" s="4" t="n">
        <f aca="false">D6*BN$30*Populations!$S5/(1.5*1000)</f>
        <v>251.010385</v>
      </c>
      <c r="BO6" s="4" t="n">
        <f aca="false">D6*BO$30*Populations!$S5/(2*1000)</f>
        <v>203.9459378125</v>
      </c>
      <c r="BP6" s="4" t="n">
        <f aca="false">D6*BP$30*Populations!$S5/(4*1000)</f>
        <v>47.0644471875</v>
      </c>
      <c r="BQ6" s="4" t="n">
        <f aca="false">D6*Populations!$R5*10/(3*1000*2000)</f>
        <v>4855.4525205566</v>
      </c>
      <c r="BR6" s="4" t="n">
        <f aca="false">D6*2*Populations!$R5/(30*1000*2000)</f>
        <v>97.1090504111319</v>
      </c>
      <c r="BS6" s="4" t="n">
        <f aca="false">D6*2*Populations!$S5/((37.5/12)*1000*2000)</f>
        <v>80.3233232</v>
      </c>
      <c r="BT6" s="4" t="n">
        <f aca="false">D6*2*Populations!$S5/((20/9)*1000*2000)</f>
        <v>112.95467325</v>
      </c>
      <c r="BU6" s="4" t="n">
        <f aca="false">AF6*25*4/(51*$BU$32)</f>
        <v>23.2668309114039</v>
      </c>
      <c r="BV6" s="4" t="n">
        <f aca="false">D6*Populations!$S5*12/($BV$30*3)</f>
        <v>790.68271275</v>
      </c>
      <c r="BW6" s="4" t="n">
        <f aca="false">D6*Populations!$S5*12/(2*$BW$30)</f>
        <v>677.728039500001</v>
      </c>
      <c r="BX6" s="4" t="n">
        <f aca="false">D6*Populations!$S5*12/(5*$BX$30)</f>
        <v>338.86401975</v>
      </c>
      <c r="BY6" s="4" t="n">
        <f aca="false">D6*Populations!$S5/(2*$BY$30)</f>
        <v>197.6706781875</v>
      </c>
      <c r="BZ6" s="4" t="n">
        <f aca="false">D6*Populations!$R5*500/(1000*2000)</f>
        <v>728317.87808349</v>
      </c>
      <c r="CA6" s="4" t="n">
        <f aca="false">D6*Populations!R5*15/(1000*2000)</f>
        <v>21849.5363425047</v>
      </c>
      <c r="CB6" s="4" t="n">
        <f aca="false">IF(B6="Mts",1,D6*Populations!R5*30/(10*1000*2000))</f>
        <v>4369.90726850094</v>
      </c>
      <c r="CC6" s="4" t="n">
        <f aca="false">D6*40*Populations!R5/(1000*2000)</f>
        <v>58265.4302466792</v>
      </c>
      <c r="CD6" s="4" t="n">
        <f aca="false">D6*40*Populations!R5/(1000*2000)</f>
        <v>58265.4302466792</v>
      </c>
      <c r="CE6" s="4" t="n">
        <f aca="false">D6*20*Populations!R5/(1000*2000)</f>
        <v>29132.7151233396</v>
      </c>
      <c r="CF6" s="4" t="n">
        <f aca="false">D6*8.3454*32*Populations!$S5/(1000*2000)</f>
        <v>33516.513071664</v>
      </c>
      <c r="CG6" s="4" t="n">
        <f aca="false">D6*50*2*Populations!$S5/(3*1000*2000)</f>
        <v>4183.50641666667</v>
      </c>
      <c r="CH6" s="4" t="n">
        <f aca="false">IF(B6="Mts",20*D6*Populations!$R5/1000,0.001)</f>
        <v>0.001</v>
      </c>
      <c r="CI6" s="4" t="n">
        <f aca="false">IF(NOT(CH6=0.001),0.006*CH6/3,0.001)</f>
        <v>0.001</v>
      </c>
      <c r="CJ6" s="4" t="n">
        <f aca="false">IF(NOT(CH6=0.001),0.7*CH6/3,0.001)</f>
        <v>0.001</v>
      </c>
      <c r="CK6" s="4" t="n">
        <f aca="false">IF(NOT(CH6=0.001),0.65*CH6/3,0.001)</f>
        <v>0.001</v>
      </c>
      <c r="CL6" s="4" t="n">
        <f aca="false">IF(NOT(CH6=0.001),0.002*CH6/3,0.001)</f>
        <v>0.001</v>
      </c>
      <c r="CM6" s="4" t="n">
        <f aca="false">IF(NOT(CH6=0.001),0.001*CH6/3,0.001)</f>
        <v>0.001</v>
      </c>
      <c r="CN6" s="4" t="n">
        <f aca="false">D6*3*110/(24*2000)*Populations!$S5</f>
        <v>1725696.396875</v>
      </c>
      <c r="CO6" s="4" t="n">
        <f aca="false">D6*3*12/(24*2000)*Populations!$S5</f>
        <v>188257.78875</v>
      </c>
      <c r="CP6" s="4" t="n">
        <f aca="false">D6*3*1.4/(24*2000)*Populations!$S5</f>
        <v>21963.4086875</v>
      </c>
      <c r="CQ6" s="4" t="n">
        <f aca="false">D6*6400*8.3454*Populations!$S5/(10*1000*2000)</f>
        <v>670330.26143328</v>
      </c>
      <c r="CR6" s="4" t="n">
        <f aca="false">D6*2*Populations!$S5/(1000*2000)</f>
        <v>251.010385</v>
      </c>
      <c r="CS6" s="4" t="n">
        <f aca="false">D6*2*30*Populations!$S5/(1000*2000)</f>
        <v>7530.31155</v>
      </c>
      <c r="CT6" s="4" t="n">
        <f aca="false">27*Populations!$R5/(4*1000*2000)</f>
        <v>37.1029862419891</v>
      </c>
      <c r="CU6" s="4" t="n">
        <f aca="false">27*Populations!$R5/(16*1000*2000)</f>
        <v>9.27574656049727</v>
      </c>
      <c r="CV6" s="4" t="n">
        <f aca="false">AP6*0.9</f>
        <v>30616.3641844126</v>
      </c>
      <c r="CW6" s="4" t="n">
        <f aca="false">2.5*D6*Populations!$R5/(60*2000)</f>
        <v>60693.1565069575</v>
      </c>
      <c r="CX6" s="4" t="n">
        <f aca="false">D6*125*Populations!R5/(6*1000*2000)</f>
        <v>30346.5782534787</v>
      </c>
      <c r="CY6" s="4" t="n">
        <f aca="false">D6*1.875*2*Populations!R5/(6*1000*2000)</f>
        <v>910.397347604362</v>
      </c>
      <c r="CZ6" s="4" t="n">
        <f aca="false">D6*2*20*Populations!$R5/(1000*2000)</f>
        <v>58265.4302466792</v>
      </c>
      <c r="DA6" s="4" t="n">
        <f aca="false">IF(NOT(CH6=0.001),CH6*0.00001,0.001)</f>
        <v>0.001</v>
      </c>
      <c r="DB6" s="4" t="n">
        <f aca="false">IF(NOT(CH6=0.001),CH6*0.00001,0.001)</f>
        <v>0.001</v>
      </c>
      <c r="DC6" s="4" t="n">
        <f aca="false">D6*0.02*12*Populations!$S5/(3*1000*2000)</f>
        <v>10.0404154</v>
      </c>
      <c r="DD6" s="4" t="n">
        <f aca="false">D6*0.5*12*Populations!$S5/(5*1000*2000)</f>
        <v>150.606231</v>
      </c>
      <c r="DE6" s="4" t="n">
        <f aca="false">D6*6*25*Populations!$S5/(1000*2000)</f>
        <v>18825.778875</v>
      </c>
      <c r="DG6" s="4" t="n">
        <f aca="false">PRODUCT(AC6:AD6)</f>
        <v>230.594337713476</v>
      </c>
      <c r="DH6" s="4" t="n">
        <f aca="false">LOG(PRODUCT(S6,V6,Y6:AB6,AE6:AH6,AL6:AO6,AR6:AT6,AW6,BQ6:BU6,BZ6,CH6:CM6,CT6:CU6,CW6:DB6),2)</f>
        <v>323.793272647269</v>
      </c>
      <c r="DI6" s="4" t="n">
        <f aca="false">LOG(PRODUCT($AI6:$AK6,$AP6:$AQ6,$AU6:$AV6,AX6:BP6,BV6:BY6,CA6:CG6,CN6:CS6,CV6,DC6:DE6),2)</f>
        <v>519.353937897701</v>
      </c>
      <c r="DK6" s="4" t="n">
        <f aca="false">SUM(DG6:DI6)</f>
        <v>1073.74154825845</v>
      </c>
    </row>
    <row r="7" s="4" customFormat="true" ht="12.8" hidden="false" customHeight="false" outlineLevel="0" collapsed="false">
      <c r="A7" s="0" t="s">
        <v>139</v>
      </c>
      <c r="B7" s="0" t="s">
        <v>134</v>
      </c>
      <c r="C7" s="0" t="n">
        <v>103</v>
      </c>
      <c r="D7" s="0" t="n">
        <f aca="false">IF(B7="Taiga",265,IF(B7="Mts",265,IF(B7="Temp",230,IF(B7="Steppe",265,IF(B7="Jungle",180,IF(B7="Sav",240,IF(B7="Medi",230,0)))))))</f>
        <v>265</v>
      </c>
      <c r="E7" s="0" t="n">
        <v>1</v>
      </c>
      <c r="F7" s="4" t="n">
        <f aca="false">IF(B7="Taiga",0.43,IF(B7="Mts",0.21,IF(B7="Temp",0.64,IF(B7="Steppe",0.57,IF(B7="Jungle",0.43,IF(B7="Sav",0.57,IF(B7="Medi",0.43,0)))))))</f>
        <v>0.21</v>
      </c>
      <c r="G7" s="4" t="n">
        <f aca="false">IF(B7="Taiga",0.43,IF(B7="Mts",0.8,IF(B7="Temp",0.64,IF(B7="Steppe",0.64,IF(B7="Jungle",0.43,IF(B7="Sav",0.8,IF(B7="Medi",0.6,0)))))))</f>
        <v>0.8</v>
      </c>
      <c r="H7" s="4" t="n">
        <f aca="false">$H$31*IF(B7="Taiga",528,IF(B7="Mts",855.27,IF(B7="Temp",565.94,IF(B7="Steppe",551.72,IF(B7="Jungle",575.43,IF(B7="Sav",599.15,IF(B7="Medi",564.36,0)))))))</f>
        <v>1710.54</v>
      </c>
      <c r="I7" s="4" t="n">
        <f aca="false">$H$31*IF(B7="Taiga",2608.19,IF(B7="Mts",2100,IF(B7="Temp",2976.19,IF(B7="Steppe",2450.48,IF(B7="Jungle",2135.05,IF(B7="Sav",2310.29,IF(B7="Medi",2485.52,0)))))))</f>
        <v>4200</v>
      </c>
      <c r="J7" s="4" t="n">
        <f aca="false">$H$31*IF(B7="Taiga",500.54,IF(B7="Mts",360,IF(B7="Temp",570.81,IF(B7="Steppe",441.95,IF(B7="Jungle",486.49,IF(B7="Sav",518.92,IF(B7="Medi",640,0)))))))</f>
        <v>720</v>
      </c>
      <c r="K7" s="4" t="n">
        <f aca="false">$H$31*IF(B7="Taiga",2003.09,IF(B7="Mts",1612.8,IF(B7="Temp",2285.71,IF(B7="Steppe",1881.97,IF(B7="Jungle",1639.72,IF(B7="Sav",1774.3,IF(B7="Medi",1908.88,0)))))))</f>
        <v>3225.6</v>
      </c>
      <c r="L7" s="4" t="n">
        <f aca="false">$H$31*IF(B7="Taiga",260.82,IF(B7="Mts",210,IF(B7="Temp",297.62,IF(B7="Steppe",245.05,IF(B7="Jungle",213.5,IF(B7="Sav",231.03,IF(B7="Medi",248.55,0)))))))</f>
        <v>420</v>
      </c>
      <c r="M7" s="4" t="n">
        <f aca="false">$H$31*IF(B7="Taiga",250,IF(B7="Mts",640,IF(B7="Temp",295.2174,IF(B7="Steppe",278.2609,IF(B7="Jungle",306.5217,IF(B7="Sav",334.7826,IF(B7="Medi",293.3333,0)))))))</f>
        <v>1280</v>
      </c>
      <c r="N7" s="4" t="n">
        <f aca="false">$H$31*IF(B7="Taiga",1491.9691,IF(B7="Mts",980,IF(B7="Temp",1747.9537,IF(B7="Steppe",1278.5174,IF(B7="Jungle",1440.7722,IF(B7="Sav",1558.9189,IF(B7="Medi",2000,0)))))))</f>
        <v>1960</v>
      </c>
      <c r="O7" s="4" t="n">
        <f aca="false">$H$31*IF(B7="Taiga",68.5,IF(B7="Mts",25,IF(B7="Temp",100,IF(B7="Steppe",55,IF(B7="Jungle",28,IF(B7="Sav",43,IF(B7="Medi",58,0)))))))</f>
        <v>50</v>
      </c>
      <c r="P7" s="4" t="n">
        <f aca="false">$H$31*20*15/8000</f>
        <v>0.075</v>
      </c>
      <c r="Q7" s="4" t="n">
        <f aca="false">$H$31*20*15/8000</f>
        <v>0.075</v>
      </c>
      <c r="R7" s="1" t="s">
        <v>39</v>
      </c>
      <c r="S7" s="4" t="n">
        <f aca="false">C7*F7*G7*360*640*1393.66125/(2000*1000)</f>
        <v>2778.153323904</v>
      </c>
      <c r="T7" s="4" t="n">
        <f aca="false">C7*F7*G7*J7*640*1393.66125*2/(1000*2000*3)</f>
        <v>3704.204431872</v>
      </c>
      <c r="U7" s="4" t="n">
        <f aca="false">T7*J$28</f>
        <v>1234.734810624</v>
      </c>
      <c r="V7" s="4" t="n">
        <f aca="false">T7-U7</f>
        <v>2469.469621248</v>
      </c>
      <c r="W7" s="4" t="n">
        <f aca="false">C7*F7*G7*H7*640*1393.66125*2/(1000*2000*3)</f>
        <v>8800.2636790199</v>
      </c>
      <c r="X7" s="4" t="n">
        <f aca="false">W7*H$28</f>
        <v>2400.07191245997</v>
      </c>
      <c r="Y7" s="4" t="n">
        <f aca="false">W7-X7</f>
        <v>6400.19176655993</v>
      </c>
      <c r="Z7" s="4" t="n">
        <f aca="false">C7*F7*G7*M7*640*1393.66125/(1000*2000*3)</f>
        <v>3292.626161664</v>
      </c>
      <c r="AA7" s="4" t="n">
        <f aca="false">C7*F7*G7*N7*640*1393.66125/(2000*1000)</f>
        <v>15125.501430144</v>
      </c>
      <c r="AB7" s="4" t="n">
        <f aca="false">C7*F7*G7*O7*640*1393.66125/(2000*1000)</f>
        <v>385.85462832</v>
      </c>
      <c r="AC7" s="4" t="n">
        <f aca="false">C7*P7*640*1393.66125/(2000*1000)</f>
        <v>3.44513061</v>
      </c>
      <c r="AD7" s="4" t="n">
        <f aca="false">C7*Q7*640*1393.66125/(2000*1000)</f>
        <v>3.44513061</v>
      </c>
      <c r="AE7" s="4" t="n">
        <f aca="false">($V7+$Z7)*2000*1000/(3*365)</f>
        <v>10524375.8592</v>
      </c>
      <c r="AF7" s="4" t="n">
        <f aca="false">($V7+$Z7)*2000*1000/(18*100)</f>
        <v>6402328.64768</v>
      </c>
      <c r="AG7" s="4" t="n">
        <f aca="false">($V7+$Z7)*2000*1000/(3*365)</f>
        <v>10524375.8592</v>
      </c>
      <c r="AH7" s="4" t="n">
        <f aca="false">C7*F7*G7*K7*640*1393.66125/(2000*1000)</f>
        <v>24892.2537821798</v>
      </c>
      <c r="AI7" s="4" t="n">
        <f aca="false">3*12*D7*Populations!$S6/(5*1000)</f>
        <v>103325.832</v>
      </c>
      <c r="AJ7" s="4" t="n">
        <f aca="false">1.5*D7*750*Populations!$S6/(1000*2000*15)</f>
        <v>538.155375</v>
      </c>
      <c r="AK7" s="4" t="n">
        <f aca="false">66*10*D7*Populations!$S6/(1000*2000*6)</f>
        <v>789.29455</v>
      </c>
      <c r="AL7" s="4" t="n">
        <f aca="false">AE7*365/(2000*1000)</f>
        <v>1920.698594304</v>
      </c>
      <c r="AM7" s="4" t="n">
        <f aca="false">AF7*25*238/(51*2000*1000)</f>
        <v>373.469171114667</v>
      </c>
      <c r="AN7" s="4" t="n">
        <f aca="false">AG7*100*238/(600*1000*2000)</f>
        <v>208.7334545408</v>
      </c>
      <c r="AO7" s="4" t="n">
        <f aca="false">AG7*120*2/(16*1000*2000)</f>
        <v>78.932818944</v>
      </c>
      <c r="AP7" s="4" t="n">
        <f aca="false">D7*4800*Populations!$S6/($AP$28*10*1000*2000)</f>
        <v>1944.89352525</v>
      </c>
      <c r="AQ7" s="4" t="n">
        <f aca="false">D7*2*4800*Populations!$S6/($AQ$28*10*1000*2000)</f>
        <v>7480.3597125</v>
      </c>
      <c r="AR7" s="4" t="n">
        <f aca="false">C7*F7*G7*L7*640*1393.66125/(2000*1000)</f>
        <v>3241.178877888</v>
      </c>
      <c r="AS7" s="4" t="n">
        <f aca="false">AF7*600*6/(90*1000*2000)</f>
        <v>128.0465729536</v>
      </c>
      <c r="AT7" s="4" t="n">
        <f aca="false">IF(B7="Taiga",236.2,IF(B7="Mts",10,IF(B7="Temp",400,IF(B7="Steppe",25,IF(B7="Jungle",400,IF(B7="Sav",103.6,IF(B7="Medi",181.6,0)))))))*D7*AT$36*Populations!$R6/1000</f>
        <v>4380.07484031698</v>
      </c>
      <c r="AU7" s="4" t="n">
        <f aca="false">INDEX(Tech!$F$3:$F$13,MATCH(E7,Tech!$E$3:$E$13,1))*D7*AT$36*Populations!$S6/(365*1000)</f>
        <v>2690.776875</v>
      </c>
      <c r="AV7" s="4" t="n">
        <f aca="false">D7*12.5*AT$36*Populations!$S6/(10*30)</f>
        <v>1121.15703125</v>
      </c>
      <c r="AW7" s="4" t="n">
        <f aca="false">0.125*D7*AW$30*Populations!$R6/1000</f>
        <v>112.923804476922</v>
      </c>
      <c r="AX7" s="4" t="n">
        <f aca="false">D7*AW$30*Populations!$S6/(3*1000)</f>
        <v>18.499091015625</v>
      </c>
      <c r="AY7" s="4" t="n">
        <f aca="false">D7*Populations!$S6/(2*1000*AY$30)/1000</f>
        <v>12.915729</v>
      </c>
      <c r="AZ7" s="4" t="n">
        <f aca="false">D7*AZ$30*Populations!$S6/(2*1000)</f>
        <v>8.96925625</v>
      </c>
      <c r="BA7" s="4" t="n">
        <f aca="false">D7*2*BA$30*Populations!$S6/1000</f>
        <v>43.05243</v>
      </c>
      <c r="BB7" s="4" t="n">
        <f aca="false">D7*3*BB$30*Populations!$S6/1000</f>
        <v>32.2893225</v>
      </c>
      <c r="BC7" s="4" t="n">
        <f aca="false">D7*11*BC$30*Populations!$S6/(15*1000)</f>
        <v>6.3143564</v>
      </c>
      <c r="BD7" s="4" t="n">
        <f aca="false">D7*11*BD$30*Populations!$S6/(8*1000)</f>
        <v>14.7992728125</v>
      </c>
      <c r="BE7" s="4" t="n">
        <f aca="false">D7*11*BE$30*Populations!$S6/(3*1000)</f>
        <v>9.58429096428571</v>
      </c>
      <c r="BF7" s="4" t="n">
        <f aca="false">D7*11*BF$30*Populations!$S6/(5*1000)</f>
        <v>6.9063273125</v>
      </c>
      <c r="BG7" s="4" t="n">
        <f aca="false">D7*11*BG$30*Populations!$S6/(9*1000)</f>
        <v>17.5398788888889</v>
      </c>
      <c r="BH7" s="4" t="n">
        <f aca="false">D7*11*BH$30*Populations!$S6/(12*1000)</f>
        <v>9.866181875</v>
      </c>
      <c r="BI7" s="4" t="n">
        <f aca="false">D7*BI$30*Populations!$S6/(1000*125/12)</f>
        <v>27.5535552</v>
      </c>
      <c r="BJ7" s="4" t="n">
        <f aca="false">D7*BJ$30*Populations!$S6/(30*1000)</f>
        <v>12.5234735266667</v>
      </c>
      <c r="BK7" s="4" t="n">
        <f aca="false">D7*BK$30*Populations!$S6/(7*1000)</f>
        <v>1.72978513392857</v>
      </c>
      <c r="BL7" s="4" t="n">
        <f aca="false">D7*BL$30*Populations!$S6/(8.5*1000)</f>
        <v>2.84905786764706</v>
      </c>
      <c r="BM7" s="4" t="n">
        <f aca="false">D7*BM$30*Populations!$S6/1000</f>
        <v>6.05424796875</v>
      </c>
      <c r="BN7" s="4" t="n">
        <f aca="false">D7*BN$30*Populations!$S6/(1.5*1000)</f>
        <v>14.35081</v>
      </c>
      <c r="BO7" s="4" t="n">
        <f aca="false">D7*BO$30*Populations!$S6/(2*1000)</f>
        <v>11.660033125</v>
      </c>
      <c r="BP7" s="4" t="n">
        <f aca="false">D7*BP$30*Populations!$S6/(4*1000)</f>
        <v>2.690776875</v>
      </c>
      <c r="BQ7" s="4" t="n">
        <f aca="false">D7*Populations!$R6*10/(3*1000*2000)</f>
        <v>389.339985805954</v>
      </c>
      <c r="BR7" s="4" t="n">
        <f aca="false">D7*2*Populations!$R6/(30*1000*2000)</f>
        <v>7.78679971611907</v>
      </c>
      <c r="BS7" s="4" t="n">
        <f aca="false">D7*2*Populations!$S6/((37.5/12)*1000*2000)</f>
        <v>4.5922592</v>
      </c>
      <c r="BT7" s="4" t="n">
        <f aca="false">D7*2*Populations!$S6/((20/9)*1000*2000)</f>
        <v>6.4578645</v>
      </c>
      <c r="BU7" s="4" t="n">
        <f aca="false">AF7*25*4/(51*$BU$32)</f>
        <v>3.13839639592157</v>
      </c>
      <c r="BV7" s="4" t="n">
        <f aca="false">D7*Populations!$S6*12/($BV$30*3)</f>
        <v>45.2050515</v>
      </c>
      <c r="BW7" s="4" t="n">
        <f aca="false">D7*Populations!$S6*12/(2*$BW$30)</f>
        <v>38.747187</v>
      </c>
      <c r="BX7" s="4" t="n">
        <f aca="false">D7*Populations!$S6*12/(5*$BX$30)</f>
        <v>19.3735935</v>
      </c>
      <c r="BY7" s="4" t="n">
        <f aca="false">D7*Populations!$S6/(2*$BY$30)</f>
        <v>11.301262875</v>
      </c>
      <c r="BZ7" s="4" t="n">
        <f aca="false">D7*Populations!$R6*500/(1000*2000)</f>
        <v>58400.9978708931</v>
      </c>
      <c r="CA7" s="4" t="n">
        <f aca="false">D7*Populations!R6*15/(1000*2000)</f>
        <v>1752.02993612679</v>
      </c>
      <c r="CB7" s="4" t="n">
        <f aca="false">IF(B7="Mts",1,D7*Populations!R6*30/(1000*2000))</f>
        <v>1</v>
      </c>
      <c r="CC7" s="4" t="n">
        <f aca="false">D7*40*Populations!R6/(1000*2000)</f>
        <v>4672.07982967144</v>
      </c>
      <c r="CD7" s="4" t="n">
        <f aca="false">D7*40*Populations!R6/(1000*2000)</f>
        <v>4672.07982967144</v>
      </c>
      <c r="CE7" s="4" t="n">
        <f aca="false">D7*20*Populations!R6/(1000*2000)</f>
        <v>2336.03991483572</v>
      </c>
      <c r="CF7" s="4" t="n">
        <f aca="false">D7*8.3454*32*Populations!$S6/(1000*2000)</f>
        <v>1916.211996384</v>
      </c>
      <c r="CG7" s="4" t="n">
        <f aca="false">D7*50*2*Populations!$S6/(3*1000*2000)</f>
        <v>239.180166666667</v>
      </c>
      <c r="CH7" s="4" t="n">
        <f aca="false">IF(B7="Mts",20*D7*Populations!$R6/1000,0.001)</f>
        <v>4672079.82967145</v>
      </c>
      <c r="CI7" s="4" t="n">
        <f aca="false">IF(NOT(CH7=0.001),0.006*CH7/3,0.001)</f>
        <v>9344.15965934289</v>
      </c>
      <c r="CJ7" s="4" t="n">
        <f aca="false">IF(NOT(CH7=0.001),0.7*CH7/3,0.001)</f>
        <v>1090151.96025667</v>
      </c>
      <c r="CK7" s="4" t="n">
        <f aca="false">IF(NOT(CH7=0.001),0.65*CH7/3,0.001)</f>
        <v>1012283.96309548</v>
      </c>
      <c r="CL7" s="4" t="n">
        <f aca="false">IF(NOT(CH7=0.001),0.002*CH7/3,0.001)</f>
        <v>3114.71988644763</v>
      </c>
      <c r="CM7" s="4" t="n">
        <f aca="false">IF(NOT(CH7=0.001),0.001*CH7/3,0.001)</f>
        <v>1557.35994322382</v>
      </c>
      <c r="CN7" s="4" t="n">
        <f aca="false">D7*3*110/(24*2000)*Populations!$S6</f>
        <v>98661.81875</v>
      </c>
      <c r="CO7" s="4" t="n">
        <f aca="false">D7*3*12/(24*2000)*Populations!$S6</f>
        <v>10763.1075</v>
      </c>
      <c r="CP7" s="4" t="n">
        <f aca="false">D7*3*1.4/(24*2000)*Populations!$S6</f>
        <v>1255.695875</v>
      </c>
      <c r="CQ7" s="4" t="n">
        <f aca="false">D7*6400*8.3454*Populations!$S6/(10*1000*2000)</f>
        <v>38324.23992768</v>
      </c>
      <c r="CR7" s="4" t="n">
        <f aca="false">D7*2*Populations!$S6/(1000*2000)</f>
        <v>14.35081</v>
      </c>
      <c r="CS7" s="4" t="n">
        <f aca="false">D7*2*30*Populations!$S6/(1000*2000)</f>
        <v>430.5243</v>
      </c>
      <c r="CT7" s="4" t="n">
        <f aca="false">27*Populations!$R6/(4*1000*2000)</f>
        <v>2.97514517455493</v>
      </c>
      <c r="CU7" s="4" t="n">
        <f aca="false">27*Populations!$R6/(16*1000*2000)</f>
        <v>0.743786293638732</v>
      </c>
      <c r="CV7" s="4" t="n">
        <f aca="false">AP7*0.9</f>
        <v>1750.404172725</v>
      </c>
      <c r="CW7" s="4" t="n">
        <f aca="false">2.5*D7*Populations!$R6/(60*2000)</f>
        <v>4866.74982257442</v>
      </c>
      <c r="CX7" s="4" t="n">
        <f aca="false">D7*125*Populations!R6/(6*1000*2000)</f>
        <v>2433.37491128721</v>
      </c>
      <c r="CY7" s="4" t="n">
        <f aca="false">D7*1.875*2*Populations!R6/(6*1000*2000)</f>
        <v>73.0012473386163</v>
      </c>
      <c r="CZ7" s="4" t="n">
        <f aca="false">D7*2*20*Populations!$R6/(1000*2000)</f>
        <v>4672.07982967144</v>
      </c>
      <c r="DA7" s="4" t="n">
        <f aca="false">IF(NOT(CH7=0.001),CH7*0.00001,0.001)</f>
        <v>46.7207982967145</v>
      </c>
      <c r="DB7" s="4" t="n">
        <f aca="false">IF(NOT(CH7=0.001),CH7*0.00001,0.001)</f>
        <v>46.7207982967145</v>
      </c>
      <c r="DC7" s="4" t="n">
        <f aca="false">D7*0.02*12*Populations!$S6/(3*1000*2000)</f>
        <v>0.5740324</v>
      </c>
      <c r="DD7" s="4" t="n">
        <f aca="false">D7*0.5*12*Populations!$S6/(5*1000*2000)</f>
        <v>8.610486</v>
      </c>
      <c r="DE7" s="4" t="n">
        <f aca="false">D7*6*25*Populations!$S6/(1000*2000)</f>
        <v>1076.31075</v>
      </c>
      <c r="DG7" s="4" t="n">
        <f aca="false">PRODUCT(AC7:AD7)</f>
        <v>11.868924919959</v>
      </c>
      <c r="DH7" s="4" t="n">
        <f aca="false">LOG(PRODUCT(S7,V7,Y7:AB7,AE7:AH7,AL7:AO7,AR7:AT7,AW7,BQ7:BU7,BZ7,CH7:CM7,CT7:CU7,CW7:DB7),2)</f>
        <v>410.03810859528</v>
      </c>
      <c r="DI7" s="4" t="n">
        <f aca="false">LOG(PRODUCT($AI7:$AK7,$AP7:$AQ7,$AU7:$AV7,AX7:BP7,BV7:BY7,CA7:CG7,CN7:CS7,CV7,DC7:DE7),2)</f>
        <v>319.299732464106</v>
      </c>
      <c r="DK7" s="4" t="n">
        <f aca="false">SUM(DG7:DI7)</f>
        <v>741.206765979345</v>
      </c>
    </row>
    <row r="8" s="4" customFormat="true" ht="12.8" hidden="false" customHeight="false" outlineLevel="0" collapsed="false">
      <c r="A8" s="0" t="s">
        <v>140</v>
      </c>
      <c r="B8" s="0" t="s">
        <v>136</v>
      </c>
      <c r="C8" s="0" t="n">
        <v>67</v>
      </c>
      <c r="D8" s="0" t="n">
        <f aca="false">IF(B8="Taiga",265,IF(B8="Mts",265,IF(B8="Temp",230,IF(B8="Steppe",265,IF(B8="Jungle",180,IF(B8="Sav",240,IF(B8="Medi",230,0)))))))</f>
        <v>230</v>
      </c>
      <c r="E8" s="0" t="n">
        <v>1</v>
      </c>
      <c r="F8" s="4" t="n">
        <f aca="false">IF(B8="Taiga",0.43,IF(B8="Mts",0.21,IF(B8="Temp",0.64,IF(B8="Steppe",0.57,IF(B8="Jungle",0.43,IF(B8="Sav",0.57,IF(B8="Medi",0.43,0)))))))</f>
        <v>0.64</v>
      </c>
      <c r="G8" s="4" t="n">
        <f aca="false">IF(B8="Taiga",0.43,IF(B8="Mts",0.8,IF(B8="Temp",0.64,IF(B8="Steppe",0.64,IF(B8="Jungle",0.43,IF(B8="Sav",0.8,IF(B8="Medi",0.6,0)))))))</f>
        <v>0.64</v>
      </c>
      <c r="H8" s="4" t="n">
        <f aca="false">$H$31*IF(B8="Taiga",528,IF(B8="Mts",855.27,IF(B8="Temp",565.94,IF(B8="Steppe",551.72,IF(B8="Jungle",575.43,IF(B8="Sav",599.15,IF(B8="Medi",564.36,0)))))))</f>
        <v>1131.88</v>
      </c>
      <c r="I8" s="4" t="n">
        <f aca="false">$H$31*IF(B8="Taiga",2608.19,IF(B8="Mts",2100,IF(B8="Temp",2976.19,IF(B8="Steppe",2450.48,IF(B8="Jungle",2135.05,IF(B8="Sav",2310.29,IF(B8="Medi",2485.52,0)))))))</f>
        <v>5952.38</v>
      </c>
      <c r="J8" s="4" t="n">
        <f aca="false">$H$31*IF(B8="Taiga",500.54,IF(B8="Mts",360,IF(B8="Temp",570.81,IF(B8="Steppe",441.95,IF(B8="Jungle",486.49,IF(B8="Sav",518.92,IF(B8="Medi",640,0)))))))</f>
        <v>1141.62</v>
      </c>
      <c r="K8" s="4" t="n">
        <f aca="false">$H$31*IF(B8="Taiga",2003.09,IF(B8="Mts",1612.8,IF(B8="Temp",2285.71,IF(B8="Steppe",1881.97,IF(B8="Jungle",1639.72,IF(B8="Sav",1774.3,IF(B8="Medi",1908.88,0)))))))</f>
        <v>4571.42</v>
      </c>
      <c r="L8" s="4" t="n">
        <f aca="false">$H$31*IF(B8="Taiga",260.82,IF(B8="Mts",210,IF(B8="Temp",297.62,IF(B8="Steppe",245.05,IF(B8="Jungle",213.5,IF(B8="Sav",231.03,IF(B8="Medi",248.55,0)))))))</f>
        <v>595.24</v>
      </c>
      <c r="M8" s="4" t="n">
        <f aca="false">$H$31*IF(B8="Taiga",250,IF(B8="Mts",640,IF(B8="Temp",295.2174,IF(B8="Steppe",278.2609,IF(B8="Jungle",306.5217,IF(B8="Sav",334.7826,IF(B8="Medi",293.3333,0)))))))</f>
        <v>590.4348</v>
      </c>
      <c r="N8" s="4" t="n">
        <f aca="false">$H$31*IF(B8="Taiga",1491.9691,IF(B8="Mts",980,IF(B8="Temp",1747.9537,IF(B8="Steppe",1278.5174,IF(B8="Jungle",1440.7722,IF(B8="Sav",1558.9189,IF(B8="Medi",2000,0)))))))</f>
        <v>3495.9074</v>
      </c>
      <c r="O8" s="4" t="n">
        <f aca="false">$H$31*IF(B8="Taiga",68.5,IF(B8="Mts",25,IF(B8="Temp",100,IF(B8="Steppe",55,IF(B8="Jungle",28,IF(B8="Sav",43,IF(B8="Medi",58,0)))))))</f>
        <v>200</v>
      </c>
      <c r="P8" s="4" t="n">
        <f aca="false">$H$31*20*15/8000</f>
        <v>0.075</v>
      </c>
      <c r="Q8" s="4" t="n">
        <f aca="false">$H$31*20*15/8000</f>
        <v>0.075</v>
      </c>
      <c r="R8" s="1" t="s">
        <v>39</v>
      </c>
      <c r="S8" s="4" t="n">
        <f aca="false">C8*F8*G8*360*640*1393.66125/(2000*1000)</f>
        <v>4405.9996127232</v>
      </c>
      <c r="T8" s="4" t="n">
        <f aca="false">C8*F8*G8*J8*640*1393.66125*2/(1000*2000*3)</f>
        <v>9314.77273680937</v>
      </c>
      <c r="U8" s="4" t="n">
        <f aca="false">T8*J$28</f>
        <v>3104.92424560312</v>
      </c>
      <c r="V8" s="4" t="n">
        <f aca="false">T8-U8</f>
        <v>6209.84849120624</v>
      </c>
      <c r="W8" s="4" t="n">
        <f aca="false">C8*F8*G8*H8*640*1393.66125*2/(1000*2000*3)</f>
        <v>9235.30155860951</v>
      </c>
      <c r="X8" s="4" t="n">
        <f aca="false">W8*H$28</f>
        <v>2518.7186068935</v>
      </c>
      <c r="Y8" s="4" t="n">
        <f aca="false">W8-X8</f>
        <v>6716.58295171601</v>
      </c>
      <c r="Z8" s="4" t="n">
        <f aca="false">C8*F8*G8*M8*640*1393.66125/(1000*2000*3)</f>
        <v>2408.75509272065</v>
      </c>
      <c r="AA8" s="4" t="n">
        <f aca="false">C8*F8*G8*N8*640*1393.66125/(2000*1000)</f>
        <v>42786.018473656</v>
      </c>
      <c r="AB8" s="4" t="n">
        <f aca="false">C8*F8*G8*O8*640*1393.66125/(2000*1000)</f>
        <v>2447.777562624</v>
      </c>
      <c r="AC8" s="4" t="n">
        <f aca="false">C8*P8*640*1393.66125/(2000*1000)</f>
        <v>2.24100729</v>
      </c>
      <c r="AD8" s="4" t="n">
        <f aca="false">C8*Q8*640*1393.66125/(2000*1000)</f>
        <v>2.24100729</v>
      </c>
      <c r="AE8" s="4" t="n">
        <f aca="false">($V8+$Z8)*2000*1000/(3*365)</f>
        <v>15741741.7058025</v>
      </c>
      <c r="AF8" s="4" t="n">
        <f aca="false">($V8+$Z8)*2000*1000/(18*100)</f>
        <v>9576226.20436321</v>
      </c>
      <c r="AG8" s="4" t="n">
        <f aca="false">($V8+$Z8)*2000*1000/(3*365)</f>
        <v>15741741.7058025</v>
      </c>
      <c r="AH8" s="4" t="n">
        <f aca="false">C8*F8*G8*K8*640*1393.66125/(2000*1000)</f>
        <v>55949.096526653</v>
      </c>
      <c r="AI8" s="4" t="n">
        <f aca="false">3*12*D8*Populations!$S7/(5*1000)</f>
        <v>464206.608</v>
      </c>
      <c r="AJ8" s="4" t="n">
        <f aca="false">1.5*D8*750*Populations!$S7/(1000*2000*15)</f>
        <v>2417.74275</v>
      </c>
      <c r="AK8" s="4" t="n">
        <f aca="false">66*10*D8*Populations!$S7/(1000*2000*6)</f>
        <v>3546.0227</v>
      </c>
      <c r="AL8" s="4" t="n">
        <f aca="false">AE8*365/(2000*1000)</f>
        <v>2872.86786130896</v>
      </c>
      <c r="AM8" s="4" t="n">
        <f aca="false">AF8*25*238/(51*2000*1000)</f>
        <v>558.613195254521</v>
      </c>
      <c r="AN8" s="4" t="n">
        <f aca="false">AG8*100*238/(600*1000*2000)</f>
        <v>312.211210498417</v>
      </c>
      <c r="AO8" s="4" t="n">
        <f aca="false">AG8*120*2/(16*1000*2000)</f>
        <v>118.063062793519</v>
      </c>
      <c r="AP8" s="4" t="n">
        <f aca="false">D8*4800*Populations!$S7/($AP$28*10*1000*2000)</f>
        <v>8737.72229850002</v>
      </c>
      <c r="AQ8" s="4" t="n">
        <f aca="false">D8*2*4800*Populations!$S7/($AQ$28*10*1000*2000)</f>
        <v>33606.624225</v>
      </c>
      <c r="AR8" s="4" t="n">
        <f aca="false">C8*F8*G8*L8*640*1393.66125/(2000*1000)</f>
        <v>7285.07558188155</v>
      </c>
      <c r="AS8" s="4" t="n">
        <f aca="false">AF8*600*6/(90*1000*2000)</f>
        <v>191.524524087264</v>
      </c>
      <c r="AT8" s="4" t="n">
        <f aca="false">IF(B8="Taiga",236.2,IF(B8="Mts",10,IF(B8="Temp",400,IF(B8="Steppe",25,IF(B8="Jungle",400,IF(B8="Sav",103.6,IF(B8="Medi",181.6,0)))))))*D8*AT$36*Populations!$R7/1000</f>
        <v>463602.293153097</v>
      </c>
      <c r="AU8" s="4" t="n">
        <f aca="false">INDEX(Tech!$F$3:$F$13,MATCH(E8,Tech!$E$3:$E$13,1))*D8*AT$36*Populations!$S7/(365*1000)</f>
        <v>12088.71375</v>
      </c>
      <c r="AV8" s="4" t="n">
        <f aca="false">D8*12.5*AT$36*Populations!$S7/(10*30)</f>
        <v>5036.9640625</v>
      </c>
      <c r="AW8" s="4" t="n">
        <f aca="false">0.125*D8*AW$30*Populations!$R7/1000</f>
        <v>298.806165508832</v>
      </c>
      <c r="AX8" s="4" t="n">
        <f aca="false">D8*AW$30*Populations!$S7/(3*1000)</f>
        <v>83.10990703125</v>
      </c>
      <c r="AY8" s="4" t="n">
        <f aca="false">D8*Populations!$S7/(2*1000*AY$30)/1000</f>
        <v>58.025826</v>
      </c>
      <c r="AZ8" s="4" t="n">
        <f aca="false">D8*AZ$30*Populations!$S7/(2*1000)</f>
        <v>40.2957125</v>
      </c>
      <c r="BA8" s="4" t="n">
        <f aca="false">D8*2*BA$30*Populations!$S7/1000</f>
        <v>193.41942</v>
      </c>
      <c r="BB8" s="4" t="n">
        <f aca="false">D8*3*BB$30*Populations!$S7/1000</f>
        <v>145.064565</v>
      </c>
      <c r="BC8" s="4" t="n">
        <f aca="false">D8*11*BC$30*Populations!$S7/(15*1000)</f>
        <v>28.3681816</v>
      </c>
      <c r="BD8" s="4" t="n">
        <f aca="false">D8*11*BD$30*Populations!$S7/(8*1000)</f>
        <v>66.487925625</v>
      </c>
      <c r="BE8" s="4" t="n">
        <f aca="false">D8*11*BE$30*Populations!$S7/(3*1000)</f>
        <v>43.0588470714285</v>
      </c>
      <c r="BF8" s="4" t="n">
        <f aca="false">D8*11*BF$30*Populations!$S7/(5*1000)</f>
        <v>31.027698625</v>
      </c>
      <c r="BG8" s="4" t="n">
        <f aca="false">D8*11*BG$30*Populations!$S7/(9*1000)</f>
        <v>78.8005044444444</v>
      </c>
      <c r="BH8" s="4" t="n">
        <f aca="false">D8*11*BH$30*Populations!$S7/(12*1000)</f>
        <v>44.32528375</v>
      </c>
      <c r="BI8" s="4" t="n">
        <f aca="false">D8*BI$30*Populations!$S7/(1000*125/12)</f>
        <v>123.7884288</v>
      </c>
      <c r="BJ8" s="4" t="n">
        <f aca="false">D8*BJ$30*Populations!$S7/(30*1000)</f>
        <v>56.2635601733333</v>
      </c>
      <c r="BK8" s="4" t="n">
        <f aca="false">D8*BK$30*Populations!$S7/(7*1000)</f>
        <v>7.77131598214286</v>
      </c>
      <c r="BL8" s="4" t="n">
        <f aca="false">D8*BL$30*Populations!$S7/(8.5*1000)</f>
        <v>12.7998145588235</v>
      </c>
      <c r="BM8" s="4" t="n">
        <f aca="false">D8*BM$30*Populations!$S7/1000</f>
        <v>27.1996059375</v>
      </c>
      <c r="BN8" s="4" t="n">
        <f aca="false">D8*BN$30*Populations!$S7/(1.5*1000)</f>
        <v>64.47314</v>
      </c>
      <c r="BO8" s="4" t="n">
        <f aca="false">D8*BO$30*Populations!$S7/(2*1000)</f>
        <v>52.38442625</v>
      </c>
      <c r="BP8" s="4" t="n">
        <f aca="false">D8*BP$30*Populations!$S7/(4*1000)</f>
        <v>12.08871375</v>
      </c>
      <c r="BQ8" s="4" t="n">
        <f aca="false">D8*Populations!$R7*10/(3*1000*2000)</f>
        <v>1030.22731811799</v>
      </c>
      <c r="BR8" s="4" t="n">
        <f aca="false">D8*2*Populations!$R7/(30*1000*2000)</f>
        <v>20.6045463623599</v>
      </c>
      <c r="BS8" s="4" t="n">
        <f aca="false">D8*2*Populations!$S7/((37.5/12)*1000*2000)</f>
        <v>20.6314048</v>
      </c>
      <c r="BT8" s="4" t="n">
        <f aca="false">D8*2*Populations!$S7/((20/9)*1000*2000)</f>
        <v>29.012913</v>
      </c>
      <c r="BU8" s="4" t="n">
        <f aca="false">AF8*25*4/(51*$BU$32)</f>
        <v>4.6942285315506</v>
      </c>
      <c r="BV8" s="4" t="n">
        <f aca="false">D8*Populations!$S7*12/($BV$30*3)</f>
        <v>203.090391</v>
      </c>
      <c r="BW8" s="4" t="n">
        <f aca="false">D8*Populations!$S7*12/(2*$BW$30)</f>
        <v>174.077478</v>
      </c>
      <c r="BX8" s="4" t="n">
        <f aca="false">D8*Populations!$S7*12/(5*$BX$30)</f>
        <v>87.0387389999999</v>
      </c>
      <c r="BY8" s="4" t="n">
        <f aca="false">D8*Populations!$S7/(2*$BY$30)</f>
        <v>50.77259775</v>
      </c>
      <c r="BZ8" s="4" t="n">
        <f aca="false">D8*Populations!$R7*500/(1000*2000)</f>
        <v>154534.097717699</v>
      </c>
      <c r="CA8" s="4" t="n">
        <f aca="false">D8*Populations!R7*15/(1000*2000)</f>
        <v>4636.02293153097</v>
      </c>
      <c r="CB8" s="4" t="n">
        <f aca="false">IF(B8="Mts",1,D8*Populations!R7*30/(1000*2000))</f>
        <v>9272.04586306195</v>
      </c>
      <c r="CC8" s="4" t="n">
        <f aca="false">D8*40*Populations!R7/(1000*2000)</f>
        <v>12362.7278174159</v>
      </c>
      <c r="CD8" s="4" t="n">
        <f aca="false">D8*40*Populations!R7/(1000*2000)</f>
        <v>12362.7278174159</v>
      </c>
      <c r="CE8" s="4" t="n">
        <f aca="false">D8*20*Populations!R7/(1000*2000)</f>
        <v>6181.36390870796</v>
      </c>
      <c r="CF8" s="4" t="n">
        <f aca="false">D8*8.3454*32*Populations!$S7/(1000*2000)</f>
        <v>8608.866280896</v>
      </c>
      <c r="CG8" s="4" t="n">
        <f aca="false">D8*50*2*Populations!$S7/(3*1000*2000)</f>
        <v>1074.55233333333</v>
      </c>
      <c r="CH8" s="4" t="n">
        <f aca="false">IF(B8="Mts",20*D8*Populations!$R7/1000,0.001)</f>
        <v>0.001</v>
      </c>
      <c r="CI8" s="4" t="n">
        <f aca="false">IF(NOT(CH8=0.001),0.006*CH8/3,0.001)</f>
        <v>0.001</v>
      </c>
      <c r="CJ8" s="4" t="n">
        <f aca="false">IF(NOT(CH8=0.001),0.7*CH8/3,0.001)</f>
        <v>0.001</v>
      </c>
      <c r="CK8" s="4" t="n">
        <f aca="false">IF(NOT(CH8=0.001),0.65*CH8/3,0.001)</f>
        <v>0.001</v>
      </c>
      <c r="CL8" s="4" t="n">
        <f aca="false">IF(NOT(CH8=0.001),0.002*CH8/3,0.001)</f>
        <v>0.001</v>
      </c>
      <c r="CM8" s="4" t="n">
        <f aca="false">IF(NOT(CH8=0.001),0.001*CH8/3,0.001)</f>
        <v>0.001</v>
      </c>
      <c r="CN8" s="4" t="n">
        <f aca="false">D8*3*110/(24*2000)*Populations!$S7</f>
        <v>443252.8375</v>
      </c>
      <c r="CO8" s="4" t="n">
        <f aca="false">D8*3*12/(24*2000)*Populations!$S7</f>
        <v>48354.855</v>
      </c>
      <c r="CP8" s="4" t="n">
        <f aca="false">D8*3*1.4/(24*2000)*Populations!$S7</f>
        <v>5641.39975</v>
      </c>
      <c r="CQ8" s="4" t="n">
        <f aca="false">D8*6400*8.3454*Populations!$S7/(10*1000*2000)</f>
        <v>172177.32561792</v>
      </c>
      <c r="CR8" s="4" t="n">
        <f aca="false">D8*2*Populations!$S7/(1000*2000)</f>
        <v>64.47314</v>
      </c>
      <c r="CS8" s="4" t="n">
        <f aca="false">D8*2*30*Populations!$S7/(1000*2000)</f>
        <v>1934.1942</v>
      </c>
      <c r="CT8" s="4" t="n">
        <f aca="false">27*Populations!$R7/(4*1000*2000)</f>
        <v>9.07047964864756</v>
      </c>
      <c r="CU8" s="4" t="n">
        <f aca="false">27*Populations!$R7/(16*1000*2000)</f>
        <v>2.26761991216189</v>
      </c>
      <c r="CV8" s="4" t="n">
        <f aca="false">AP8*0.9</f>
        <v>7863.95006865001</v>
      </c>
      <c r="CW8" s="4" t="n">
        <f aca="false">2.5*D8*Populations!$R7/(60*2000)</f>
        <v>12877.8414764749</v>
      </c>
      <c r="CX8" s="4" t="n">
        <f aca="false">D8*125*Populations!R7/(6*1000*2000)</f>
        <v>6438.92073823746</v>
      </c>
      <c r="CY8" s="4" t="n">
        <f aca="false">D8*1.875*2*Populations!R7/(6*1000*2000)</f>
        <v>193.167622147124</v>
      </c>
      <c r="CZ8" s="4" t="n">
        <f aca="false">D8*2*20*Populations!$R7/(1000*2000)</f>
        <v>12362.7278174159</v>
      </c>
      <c r="DA8" s="4" t="n">
        <f aca="false">IF(NOT(CH8=0.001),CH8*0.00001,0.001)</f>
        <v>0.001</v>
      </c>
      <c r="DB8" s="4" t="n">
        <f aca="false">IF(NOT(CH8=0.001),CH8*0.00001,0.001)</f>
        <v>0.001</v>
      </c>
      <c r="DC8" s="4" t="n">
        <f aca="false">D8*0.02*12*Populations!$S7/(3*1000*2000)</f>
        <v>2.5789256</v>
      </c>
      <c r="DD8" s="4" t="n">
        <f aca="false">D8*0.5*12*Populations!$S7/(5*1000*2000)</f>
        <v>38.683884</v>
      </c>
      <c r="DE8" s="4" t="n">
        <f aca="false">D8*6*25*Populations!$S7/(1000*2000)</f>
        <v>4835.4855</v>
      </c>
      <c r="DG8" s="4" t="n">
        <f aca="false">PRODUCT(AC8:AD8)</f>
        <v>5.02211367383315</v>
      </c>
      <c r="DH8" s="4" t="n">
        <f aca="false">LOG(PRODUCT(S8,V8,Y8:AB8,AE8:AH8,AL8:AO8,AR8:AT8,AW8,BQ8:BU8,BZ8,CH8:CM8,CT8:CU8,CW8:DB8),2)</f>
        <v>260.512000656643</v>
      </c>
      <c r="DI8" s="4" t="n">
        <f aca="false">LOG(PRODUCT($AI8:$AK8,$AP8:$AQ8,$AU8:$AV8,AX8:BP8,BV8:BY8,CA8:CG8,CN8:CS8,CV8,DC8:DE8),2)</f>
        <v>429.131620877037</v>
      </c>
      <c r="DK8" s="4" t="n">
        <f aca="false">SUM(DG8:DI8)</f>
        <v>694.665735207513</v>
      </c>
    </row>
    <row r="9" s="4" customFormat="true" ht="12.8" hidden="false" customHeight="false" outlineLevel="0" collapsed="false">
      <c r="A9" s="0" t="s">
        <v>141</v>
      </c>
      <c r="B9" s="0" t="s">
        <v>136</v>
      </c>
      <c r="C9" s="0" t="n">
        <v>81</v>
      </c>
      <c r="D9" s="0" t="n">
        <f aca="false">IF(B9="Taiga",265,IF(B9="Mts",265,IF(B9="Temp",230,IF(B9="Steppe",265,IF(B9="Jungle",180,IF(B9="Sav",240,IF(B9="Medi",230,0)))))))</f>
        <v>230</v>
      </c>
      <c r="E9" s="0" t="n">
        <v>1</v>
      </c>
      <c r="F9" s="4" t="n">
        <f aca="false">IF(B9="Taiga",0.43,IF(B9="Mts",0.21,IF(B9="Temp",0.64,IF(B9="Steppe",0.57,IF(B9="Jungle",0.43,IF(B9="Sav",0.57,IF(B9="Medi",0.43,0)))))))</f>
        <v>0.64</v>
      </c>
      <c r="G9" s="4" t="n">
        <f aca="false">IF(B9="Taiga",0.43,IF(B9="Mts",0.8,IF(B9="Temp",0.64,IF(B9="Steppe",0.64,IF(B9="Jungle",0.43,IF(B9="Sav",0.8,IF(B9="Medi",0.6,0)))))))</f>
        <v>0.64</v>
      </c>
      <c r="H9" s="4" t="n">
        <f aca="false">$H$31*IF(B9="Taiga",528,IF(B9="Mts",855.27,IF(B9="Temp",565.94,IF(B9="Steppe",551.72,IF(B9="Jungle",575.43,IF(B9="Sav",599.15,IF(B9="Medi",564.36,0)))))))</f>
        <v>1131.88</v>
      </c>
      <c r="I9" s="4" t="n">
        <f aca="false">$H$31*IF(B9="Taiga",2608.19,IF(B9="Mts",2100,IF(B9="Temp",2976.19,IF(B9="Steppe",2450.48,IF(B9="Jungle",2135.05,IF(B9="Sav",2310.29,IF(B9="Medi",2485.52,0)))))))</f>
        <v>5952.38</v>
      </c>
      <c r="J9" s="4" t="n">
        <f aca="false">$H$31*IF(B9="Taiga",500.54,IF(B9="Mts",360,IF(B9="Temp",570.81,IF(B9="Steppe",441.95,IF(B9="Jungle",486.49,IF(B9="Sav",518.92,IF(B9="Medi",640,0)))))))</f>
        <v>1141.62</v>
      </c>
      <c r="K9" s="4" t="n">
        <f aca="false">$H$31*IF(B9="Taiga",2003.09,IF(B9="Mts",1612.8,IF(B9="Temp",2285.71,IF(B9="Steppe",1881.97,IF(B9="Jungle",1639.72,IF(B9="Sav",1774.3,IF(B9="Medi",1908.88,0)))))))</f>
        <v>4571.42</v>
      </c>
      <c r="L9" s="4" t="n">
        <f aca="false">$H$31*IF(B9="Taiga",260.82,IF(B9="Mts",210,IF(B9="Temp",297.62,IF(B9="Steppe",245.05,IF(B9="Jungle",213.5,IF(B9="Sav",231.03,IF(B9="Medi",248.55,0)))))))</f>
        <v>595.24</v>
      </c>
      <c r="M9" s="4" t="n">
        <f aca="false">$H$31*IF(B9="Taiga",250,IF(B9="Mts",640,IF(B9="Temp",295.2174,IF(B9="Steppe",278.2609,IF(B9="Jungle",306.5217,IF(B9="Sav",334.7826,IF(B9="Medi",293.3333,0)))))))</f>
        <v>590.4348</v>
      </c>
      <c r="N9" s="4" t="n">
        <f aca="false">$H$31*IF(B9="Taiga",1491.9691,IF(B9="Mts",980,IF(B9="Temp",1747.9537,IF(B9="Steppe",1278.5174,IF(B9="Jungle",1440.7722,IF(B9="Sav",1558.9189,IF(B9="Medi",2000,0)))))))</f>
        <v>3495.9074</v>
      </c>
      <c r="O9" s="4" t="n">
        <f aca="false">$H$31*IF(B9="Taiga",68.5,IF(B9="Mts",25,IF(B9="Temp",100,IF(B9="Steppe",55,IF(B9="Jungle",28,IF(B9="Sav",43,IF(B9="Medi",58,0)))))))</f>
        <v>200</v>
      </c>
      <c r="P9" s="4" t="n">
        <f aca="false">$H$31*20*15/8000</f>
        <v>0.075</v>
      </c>
      <c r="Q9" s="4" t="n">
        <f aca="false">$H$31*20*15/8000</f>
        <v>0.075</v>
      </c>
      <c r="R9" s="1" t="s">
        <v>39</v>
      </c>
      <c r="S9" s="4" t="n">
        <f aca="false">C9*F9*G9*360*640*1393.66125/(2000*1000)</f>
        <v>5326.6562482176</v>
      </c>
      <c r="T9" s="4" t="n">
        <f aca="false">C9*F9*G9*J9*640*1393.66125*2/(1000*2000*3)</f>
        <v>11261.1431594263</v>
      </c>
      <c r="U9" s="4" t="n">
        <f aca="false">T9*J$28</f>
        <v>3753.71438647542</v>
      </c>
      <c r="V9" s="4" t="n">
        <f aca="false">T9-U9</f>
        <v>7507.42877295084</v>
      </c>
      <c r="W9" s="4" t="n">
        <f aca="false">C9*F9*G9*H9*640*1393.66125*2/(1000*2000*3)</f>
        <v>11165.0660633936</v>
      </c>
      <c r="X9" s="4" t="n">
        <f aca="false">W9*H$28</f>
        <v>3045.01801728916</v>
      </c>
      <c r="Y9" s="4" t="n">
        <f aca="false">W9-X9</f>
        <v>8120.04804610443</v>
      </c>
      <c r="Z9" s="4" t="n">
        <f aca="false">C9*F9*G9*M9*640*1393.66125/(1000*2000*3)</f>
        <v>2912.07705239362</v>
      </c>
      <c r="AA9" s="4" t="n">
        <f aca="false">C9*F9*G9*N9*640*1393.66125/(2000*1000)</f>
        <v>51726.3805427782</v>
      </c>
      <c r="AB9" s="4" t="n">
        <f aca="false">C9*F9*G9*O9*640*1393.66125/(2000*1000)</f>
        <v>2959.253471232</v>
      </c>
      <c r="AC9" s="4" t="n">
        <f aca="false">C9*P9*640*1393.66125/(2000*1000)</f>
        <v>2.70927747</v>
      </c>
      <c r="AD9" s="4" t="n">
        <f aca="false">C9*Q9*640*1393.66125/(2000*1000)</f>
        <v>2.70927747</v>
      </c>
      <c r="AE9" s="4" t="n">
        <f aca="false">($V9+$Z9)*2000*1000/(3*365)</f>
        <v>19031060.8682091</v>
      </c>
      <c r="AF9" s="4" t="n">
        <f aca="false">($V9+$Z9)*2000*1000/(18*100)</f>
        <v>11577228.6948272</v>
      </c>
      <c r="AG9" s="4" t="n">
        <f aca="false">($V9+$Z9)*2000*1000/(3*365)</f>
        <v>19031060.8682091</v>
      </c>
      <c r="AH9" s="4" t="n">
        <f aca="false">C9*F9*G9*K9*640*1393.66125/(2000*1000)</f>
        <v>67639.952517297</v>
      </c>
      <c r="AI9" s="4" t="n">
        <f aca="false">3*12*D9*Populations!$S8/(5*1000)</f>
        <v>514466.208</v>
      </c>
      <c r="AJ9" s="4" t="n">
        <f aca="false">1.5*D9*750*Populations!$S8/(1000*2000*15)</f>
        <v>2679.5115</v>
      </c>
      <c r="AK9" s="4" t="n">
        <f aca="false">66*10*D9*Populations!$S8/(1000*2000*6)</f>
        <v>3929.9502</v>
      </c>
      <c r="AL9" s="4" t="n">
        <f aca="false">AE9*365/(2000*1000)</f>
        <v>3473.16860844815</v>
      </c>
      <c r="AM9" s="4" t="n">
        <f aca="false">AF9*25*238/(51*2000*1000)</f>
        <v>675.338340531585</v>
      </c>
      <c r="AN9" s="4" t="n">
        <f aca="false">AG9*100*238/(600*1000*2000)</f>
        <v>377.449373886146</v>
      </c>
      <c r="AO9" s="4" t="n">
        <f aca="false">AG9*120*2/(16*1000*2000)</f>
        <v>142.732956511568</v>
      </c>
      <c r="AP9" s="4" t="n">
        <f aca="false">D9*4800*Populations!$S8/($AP$28*10*1000*2000)</f>
        <v>9683.75456100002</v>
      </c>
      <c r="AQ9" s="4" t="n">
        <f aca="false">D9*2*4800*Populations!$S8/($AQ$28*10*1000*2000)</f>
        <v>37245.20985</v>
      </c>
      <c r="AR9" s="4" t="n">
        <f aca="false">C9*F9*G9*L9*640*1393.66125/(2000*1000)</f>
        <v>8807.33018108068</v>
      </c>
      <c r="AS9" s="4" t="n">
        <f aca="false">AF9*600*6/(90*1000*2000)</f>
        <v>231.544573896543</v>
      </c>
      <c r="AT9" s="4" t="n">
        <f aca="false">IF(B9="Taiga",236.2,IF(B9="Mts",10,IF(B9="Temp",400,IF(B9="Steppe",25,IF(B9="Jungle",400,IF(B9="Sav",103.6,IF(B9="Medi",181.6,0)))))))*D9*AT$36*Populations!$R8/1000</f>
        <v>565343.146897168</v>
      </c>
      <c r="AU9" s="4" t="n">
        <f aca="false">INDEX(Tech!$F$3:$F$13,MATCH(E9,Tech!$E$3:$E$13,1))*D9*AT$36*Populations!$S8/(365*1000)</f>
        <v>13397.5575</v>
      </c>
      <c r="AV9" s="4" t="n">
        <f aca="false">D9*12.5*AT$36*Populations!$S8/(10*30)</f>
        <v>5582.315625</v>
      </c>
      <c r="AW9" s="4" t="n">
        <f aca="false">0.125*D9*AW$30*Populations!$R8/1000</f>
        <v>364.381325148565</v>
      </c>
      <c r="AX9" s="4" t="n">
        <f aca="false">D9*AW$30*Populations!$S8/(3*1000)</f>
        <v>92.1082078125</v>
      </c>
      <c r="AY9" s="4" t="n">
        <f aca="false">D9*Populations!$S8/(2*1000*AY$30)/1000</f>
        <v>64.308276</v>
      </c>
      <c r="AZ9" s="4" t="n">
        <f aca="false">D9*AZ$30*Populations!$S8/(2*1000)</f>
        <v>44.658525</v>
      </c>
      <c r="BA9" s="4" t="n">
        <f aca="false">D9*2*BA$30*Populations!$S8/1000</f>
        <v>214.36092</v>
      </c>
      <c r="BB9" s="4" t="n">
        <f aca="false">D9*3*BB$30*Populations!$S8/1000</f>
        <v>160.77069</v>
      </c>
      <c r="BC9" s="4" t="n">
        <f aca="false">D9*11*BC$30*Populations!$S8/(15*1000)</f>
        <v>31.4396016</v>
      </c>
      <c r="BD9" s="4" t="n">
        <f aca="false">D9*11*BD$30*Populations!$S8/(8*1000)</f>
        <v>73.68656625</v>
      </c>
      <c r="BE9" s="4" t="n">
        <f aca="false">D9*11*BE$30*Populations!$S8/(3*1000)</f>
        <v>47.7208238571428</v>
      </c>
      <c r="BF9" s="4" t="n">
        <f aca="false">D9*11*BF$30*Populations!$S8/(5*1000)</f>
        <v>34.38706425</v>
      </c>
      <c r="BG9" s="4" t="n">
        <f aca="false">D9*11*BG$30*Populations!$S8/(9*1000)</f>
        <v>87.3322266666667</v>
      </c>
      <c r="BH9" s="4" t="n">
        <f aca="false">D9*11*BH$30*Populations!$S8/(12*1000)</f>
        <v>49.1243775</v>
      </c>
      <c r="BI9" s="4" t="n">
        <f aca="false">D9*BI$30*Populations!$S8/(1000*125/12)</f>
        <v>137.1909888</v>
      </c>
      <c r="BJ9" s="4" t="n">
        <f aca="false">D9*BJ$30*Populations!$S8/(30*1000)</f>
        <v>62.35520984</v>
      </c>
      <c r="BK9" s="4" t="n">
        <f aca="false">D9*BK$30*Populations!$S8/(7*1000)</f>
        <v>8.61271553571429</v>
      </c>
      <c r="BL9" s="4" t="n">
        <f aca="false">D9*BL$30*Populations!$S8/(8.5*1000)</f>
        <v>14.1856491176471</v>
      </c>
      <c r="BM9" s="4" t="n">
        <f aca="false">D9*BM$30*Populations!$S8/1000</f>
        <v>30.144504375</v>
      </c>
      <c r="BN9" s="4" t="n">
        <f aca="false">D9*BN$30*Populations!$S8/(1.5*1000)</f>
        <v>71.45364</v>
      </c>
      <c r="BO9" s="4" t="n">
        <f aca="false">D9*BO$30*Populations!$S8/(2*1000)</f>
        <v>58.0560825</v>
      </c>
      <c r="BP9" s="4" t="n">
        <f aca="false">D9*BP$30*Populations!$S8/(4*1000)</f>
        <v>13.3975575</v>
      </c>
      <c r="BQ9" s="4" t="n">
        <f aca="false">D9*Populations!$R8*10/(3*1000*2000)</f>
        <v>1256.31810421593</v>
      </c>
      <c r="BR9" s="4" t="n">
        <f aca="false">D9*2*Populations!$R8/(30*1000*2000)</f>
        <v>25.1263620843186</v>
      </c>
      <c r="BS9" s="4" t="n">
        <f aca="false">D9*2*Populations!$S8/((37.5/12)*1000*2000)</f>
        <v>22.8651648</v>
      </c>
      <c r="BT9" s="4" t="n">
        <f aca="false">D9*2*Populations!$S8/((20/9)*1000*2000)</f>
        <v>32.154138</v>
      </c>
      <c r="BU9" s="4" t="n">
        <f aca="false">AF9*25*4/(51*$BU$32)</f>
        <v>5.67511210530744</v>
      </c>
      <c r="BV9" s="4" t="n">
        <f aca="false">D9*Populations!$S8*12/($BV$30*3)</f>
        <v>225.078966</v>
      </c>
      <c r="BW9" s="4" t="n">
        <f aca="false">D9*Populations!$S8*12/(2*$BW$30)</f>
        <v>192.924828</v>
      </c>
      <c r="BX9" s="4" t="n">
        <f aca="false">D9*Populations!$S8*12/(5*$BX$30)</f>
        <v>96.4624139999999</v>
      </c>
      <c r="BY9" s="4" t="n">
        <f aca="false">D9*Populations!$S8/(2*$BY$30)</f>
        <v>56.2697415</v>
      </c>
      <c r="BZ9" s="4" t="n">
        <f aca="false">D9*Populations!$R8*500/(1000*2000)</f>
        <v>188447.715632389</v>
      </c>
      <c r="CA9" s="4" t="n">
        <f aca="false">D9*Populations!R8*15/(1000*2000)</f>
        <v>5653.43146897168</v>
      </c>
      <c r="CB9" s="4" t="n">
        <f aca="false">IF(B9="Mts",1,D9*Populations!R8*30/(1000*2000))</f>
        <v>11306.8629379434</v>
      </c>
      <c r="CC9" s="4" t="n">
        <f aca="false">D9*40*Populations!R8/(1000*2000)</f>
        <v>15075.8172505911</v>
      </c>
      <c r="CD9" s="4" t="n">
        <f aca="false">D9*40*Populations!R8/(1000*2000)</f>
        <v>15075.8172505911</v>
      </c>
      <c r="CE9" s="4" t="n">
        <f aca="false">D9*20*Populations!R8/(1000*2000)</f>
        <v>7537.90862529557</v>
      </c>
      <c r="CF9" s="4" t="n">
        <f aca="false">D9*8.3454*32*Populations!$S8/(1000*2000)</f>
        <v>9540.947316096</v>
      </c>
      <c r="CG9" s="4" t="n">
        <f aca="false">D9*50*2*Populations!$S8/(3*1000*2000)</f>
        <v>1190.894</v>
      </c>
      <c r="CH9" s="4" t="n">
        <f aca="false">IF(B9="Mts",20*D9*Populations!$R8/1000,0.001)</f>
        <v>0.001</v>
      </c>
      <c r="CI9" s="4" t="n">
        <f aca="false">IF(NOT(CH9=0.001),0.006*CH9/3,0.001)</f>
        <v>0.001</v>
      </c>
      <c r="CJ9" s="4" t="n">
        <f aca="false">IF(NOT(CH9=0.001),0.7*CH9/3,0.001)</f>
        <v>0.001</v>
      </c>
      <c r="CK9" s="4" t="n">
        <f aca="false">IF(NOT(CH9=0.001),0.65*CH9/3,0.001)</f>
        <v>0.001</v>
      </c>
      <c r="CL9" s="4" t="n">
        <f aca="false">IF(NOT(CH9=0.001),0.002*CH9/3,0.001)</f>
        <v>0.001</v>
      </c>
      <c r="CM9" s="4" t="n">
        <f aca="false">IF(NOT(CH9=0.001),0.001*CH9/3,0.001)</f>
        <v>0.001</v>
      </c>
      <c r="CN9" s="4" t="n">
        <f aca="false">D9*3*110/(24*2000)*Populations!$S8</f>
        <v>491243.775</v>
      </c>
      <c r="CO9" s="4" t="n">
        <f aca="false">D9*3*12/(24*2000)*Populations!$S8</f>
        <v>53590.23</v>
      </c>
      <c r="CP9" s="4" t="n">
        <f aca="false">D9*3*1.4/(24*2000)*Populations!$S8</f>
        <v>6252.1935</v>
      </c>
      <c r="CQ9" s="4" t="n">
        <f aca="false">D9*6400*8.3454*Populations!$S8/(10*1000*2000)</f>
        <v>190818.94632192</v>
      </c>
      <c r="CR9" s="4" t="n">
        <f aca="false">D9*2*Populations!$S8/(1000*2000)</f>
        <v>71.45364</v>
      </c>
      <c r="CS9" s="4" t="n">
        <f aca="false">D9*2*30*Populations!$S8/(1000*2000)</f>
        <v>2143.6092</v>
      </c>
      <c r="CT9" s="4" t="n">
        <f aca="false">27*Populations!$R8/(4*1000*2000)</f>
        <v>11.0610615697272</v>
      </c>
      <c r="CU9" s="4" t="n">
        <f aca="false">27*Populations!$R8/(16*1000*2000)</f>
        <v>2.7652653924318</v>
      </c>
      <c r="CV9" s="4" t="n">
        <f aca="false">AP9*0.9</f>
        <v>8715.37910490002</v>
      </c>
      <c r="CW9" s="4" t="n">
        <f aca="false">2.5*D9*Populations!$R8/(60*2000)</f>
        <v>15703.9763026991</v>
      </c>
      <c r="CX9" s="4" t="n">
        <f aca="false">D9*125*Populations!R8/(6*1000*2000)</f>
        <v>7851.98815134955</v>
      </c>
      <c r="CY9" s="4" t="n">
        <f aca="false">D9*1.875*2*Populations!R8/(6*1000*2000)</f>
        <v>235.559644540486</v>
      </c>
      <c r="CZ9" s="4" t="n">
        <f aca="false">D9*2*20*Populations!$R8/(1000*2000)</f>
        <v>15075.8172505911</v>
      </c>
      <c r="DA9" s="4" t="n">
        <f aca="false">IF(NOT(CH9=0.001),CH9*0.00001,0.001)</f>
        <v>0.001</v>
      </c>
      <c r="DB9" s="4" t="n">
        <f aca="false">IF(NOT(CH9=0.001),CH9*0.00001,0.001)</f>
        <v>0.001</v>
      </c>
      <c r="DC9" s="4" t="n">
        <f aca="false">D9*0.02*12*Populations!$S8/(3*1000*2000)</f>
        <v>2.8581456</v>
      </c>
      <c r="DD9" s="4" t="n">
        <f aca="false">D9*0.5*12*Populations!$S8/(5*1000*2000)</f>
        <v>42.872184</v>
      </c>
      <c r="DE9" s="4" t="n">
        <f aca="false">D9*6*25*Populations!$S8/(1000*2000)</f>
        <v>5359.023</v>
      </c>
      <c r="DG9" s="4" t="n">
        <f aca="false">PRODUCT(AC9:AD9)</f>
        <v>7.3401844094496</v>
      </c>
      <c r="DH9" s="4" t="n">
        <f aca="false">LOG(PRODUCT(S9,V9,Y9:AB9,AE9:AH9,AL9:AO9,AR9:AT9,AW9,BQ9:BU9,BZ9,CH9:CM9,CT9:CU9,CW9:DB9),2)</f>
        <v>268.611183140842</v>
      </c>
      <c r="DI9" s="4" t="n">
        <f aca="false">LOG(PRODUCT($AI9:$AK9,$AP9:$AQ9,$AU9:$AV9,AX9:BP9,BV9:BY9,CA9:CG9,CN9:CS9,CV9,DC9:DE9),2)</f>
        <v>436.79180528639</v>
      </c>
      <c r="DK9" s="4" t="n">
        <f aca="false">SUM(DG9:DI9)</f>
        <v>712.743172836682</v>
      </c>
    </row>
    <row r="10" s="4" customFormat="true" ht="12.8" hidden="false" customHeight="false" outlineLevel="0" collapsed="false">
      <c r="A10" s="0" t="s">
        <v>142</v>
      </c>
      <c r="B10" s="0" t="s">
        <v>134</v>
      </c>
      <c r="C10" s="0" t="n">
        <v>144</v>
      </c>
      <c r="D10" s="0" t="n">
        <f aca="false">IF(B10="Taiga",265,IF(B10="Mts",265,IF(B10="Temp",230,IF(B10="Steppe",265,IF(B10="Jungle",180,IF(B10="Sav",240,IF(B10="Medi",230,0)))))))</f>
        <v>265</v>
      </c>
      <c r="E10" s="0" t="n">
        <v>1</v>
      </c>
      <c r="F10" s="4" t="n">
        <f aca="false">IF(B10="Taiga",0.43,IF(B10="Mts",0.21,IF(B10="Temp",0.64,IF(B10="Steppe",0.57,IF(B10="Jungle",0.43,IF(B10="Sav",0.57,IF(B10="Medi",0.43,0)))))))</f>
        <v>0.21</v>
      </c>
      <c r="G10" s="4" t="n">
        <f aca="false">IF(B10="Taiga",0.43,IF(B10="Mts",0.8,IF(B10="Temp",0.64,IF(B10="Steppe",0.64,IF(B10="Jungle",0.43,IF(B10="Sav",0.8,IF(B10="Medi",0.6,0)))))))</f>
        <v>0.8</v>
      </c>
      <c r="H10" s="4" t="n">
        <f aca="false">$H$31*IF(B10="Taiga",528,IF(B10="Mts",855.27,IF(B10="Temp",565.94,IF(B10="Steppe",551.72,IF(B10="Jungle",575.43,IF(B10="Sav",599.15,IF(B10="Medi",564.36,0)))))))</f>
        <v>1710.54</v>
      </c>
      <c r="I10" s="4" t="n">
        <f aca="false">$H$31*IF(B10="Taiga",2608.19,IF(B10="Mts",2100,IF(B10="Temp",2976.19,IF(B10="Steppe",2450.48,IF(B10="Jungle",2135.05,IF(B10="Sav",2310.29,IF(B10="Medi",2485.52,0)))))))</f>
        <v>4200</v>
      </c>
      <c r="J10" s="4" t="n">
        <f aca="false">$H$31*IF(B10="Taiga",500.54,IF(B10="Mts",360,IF(B10="Temp",570.81,IF(B10="Steppe",441.95,IF(B10="Jungle",486.49,IF(B10="Sav",518.92,IF(B10="Medi",640,0)))))))</f>
        <v>720</v>
      </c>
      <c r="K10" s="4" t="n">
        <f aca="false">$H$31*IF(B10="Taiga",2003.09,IF(B10="Mts",1612.8,IF(B10="Temp",2285.71,IF(B10="Steppe",1881.97,IF(B10="Jungle",1639.72,IF(B10="Sav",1774.3,IF(B10="Medi",1908.88,0)))))))</f>
        <v>3225.6</v>
      </c>
      <c r="L10" s="4" t="n">
        <f aca="false">$H$31*IF(B10="Taiga",260.82,IF(B10="Mts",210,IF(B10="Temp",297.62,IF(B10="Steppe",245.05,IF(B10="Jungle",213.5,IF(B10="Sav",231.03,IF(B10="Medi",248.55,0)))))))</f>
        <v>420</v>
      </c>
      <c r="M10" s="4" t="n">
        <f aca="false">$H$31*IF(B10="Taiga",250,IF(B10="Mts",640,IF(B10="Temp",295.2174,IF(B10="Steppe",278.2609,IF(B10="Jungle",306.5217,IF(B10="Sav",334.7826,IF(B10="Medi",293.3333,0)))))))</f>
        <v>1280</v>
      </c>
      <c r="N10" s="4" t="n">
        <f aca="false">$H$31*IF(B10="Taiga",1491.9691,IF(B10="Mts",980,IF(B10="Temp",1747.9537,IF(B10="Steppe",1278.5174,IF(B10="Jungle",1440.7722,IF(B10="Sav",1558.9189,IF(B10="Medi",2000,0)))))))</f>
        <v>1960</v>
      </c>
      <c r="O10" s="4" t="n">
        <f aca="false">$H$31*IF(B10="Taiga",68.5,IF(B10="Mts",25,IF(B10="Temp",100,IF(B10="Steppe",55,IF(B10="Jungle",28,IF(B10="Sav",43,IF(B10="Medi",58,0)))))))</f>
        <v>50</v>
      </c>
      <c r="P10" s="4" t="n">
        <f aca="false">$H$31*20*15/8000</f>
        <v>0.075</v>
      </c>
      <c r="Q10" s="4" t="n">
        <f aca="false">$H$31*20*15/8000</f>
        <v>0.075</v>
      </c>
      <c r="R10" s="1" t="s">
        <v>39</v>
      </c>
      <c r="S10" s="4" t="n">
        <f aca="false">C10*F10*G10*360*640*1393.66125/(2000*1000)</f>
        <v>3884.020180992</v>
      </c>
      <c r="T10" s="4" t="n">
        <f aca="false">C10*F10*G10*J10*640*1393.66125*2/(1000*2000*3)</f>
        <v>5178.693574656</v>
      </c>
      <c r="U10" s="4" t="n">
        <f aca="false">T10*J$28</f>
        <v>1726.231191552</v>
      </c>
      <c r="V10" s="4" t="n">
        <f aca="false">T10-U10</f>
        <v>3452.462383104</v>
      </c>
      <c r="W10" s="4" t="n">
        <f aca="false">C10*F10*G10*H10*640*1393.66125*2/(1000*2000*3)</f>
        <v>12303.281259989</v>
      </c>
      <c r="X10" s="4" t="n">
        <f aca="false">W10*H$28</f>
        <v>3355.44034363336</v>
      </c>
      <c r="Y10" s="4" t="n">
        <f aca="false">W10-X10</f>
        <v>8947.84091635563</v>
      </c>
      <c r="Z10" s="4" t="n">
        <f aca="false">C10*F10*G10*M10*640*1393.66125/(1000*2000*3)</f>
        <v>4603.283177472</v>
      </c>
      <c r="AA10" s="4" t="n">
        <f aca="false">C10*F10*G10*N10*640*1393.66125/(2000*1000)</f>
        <v>21146.332096512</v>
      </c>
      <c r="AB10" s="4" t="n">
        <f aca="false">C10*F10*G10*O10*640*1393.66125/(2000*1000)</f>
        <v>539.44724736</v>
      </c>
      <c r="AC10" s="4" t="n">
        <f aca="false">C10*P10*640*1393.66125/(2000*1000)</f>
        <v>4.81649328</v>
      </c>
      <c r="AD10" s="4" t="n">
        <f aca="false">C10*Q10*640*1393.66125/(2000*1000)</f>
        <v>4.81649328</v>
      </c>
      <c r="AE10" s="4" t="n">
        <f aca="false">($V10+$Z10)*2000*1000/(3*365)</f>
        <v>14713690.5216</v>
      </c>
      <c r="AF10" s="4" t="n">
        <f aca="false">($V10+$Z10)*2000*1000/(18*100)</f>
        <v>8950828.40064</v>
      </c>
      <c r="AG10" s="4" t="n">
        <f aca="false">($V10+$Z10)*2000*1000/(3*365)</f>
        <v>14713690.5216</v>
      </c>
      <c r="AH10" s="4" t="n">
        <f aca="false">C10*F10*G10*K10*640*1393.66125/(2000*1000)</f>
        <v>34800.8208216883</v>
      </c>
      <c r="AI10" s="4" t="n">
        <f aca="false">3*12*D10*Populations!$S9/(5*1000)</f>
        <v>186339.096</v>
      </c>
      <c r="AJ10" s="4" t="n">
        <f aca="false">1.5*D10*750*Populations!$S9/(1000*2000*15)</f>
        <v>970.516125</v>
      </c>
      <c r="AK10" s="4" t="n">
        <f aca="false">66*10*D10*Populations!$S9/(1000*2000*6)</f>
        <v>1423.42365</v>
      </c>
      <c r="AL10" s="4" t="n">
        <f aca="false">AE10*365/(2000*1000)</f>
        <v>2685.248520192</v>
      </c>
      <c r="AM10" s="4" t="n">
        <f aca="false">AF10*25*238/(51*2000*1000)</f>
        <v>522.131656704</v>
      </c>
      <c r="AN10" s="4" t="n">
        <f aca="false">AG10*100*238/(600*1000*2000)</f>
        <v>291.8215286784</v>
      </c>
      <c r="AO10" s="4" t="n">
        <f aca="false">AG10*120*2/(16*1000*2000)</f>
        <v>110.352678912</v>
      </c>
      <c r="AP10" s="4" t="n">
        <f aca="false">D10*4800*Populations!$S9/($AP$28*10*1000*2000)</f>
        <v>3507.44527575001</v>
      </c>
      <c r="AQ10" s="4" t="n">
        <f aca="false">D10*2*4800*Populations!$S9/($AQ$28*10*1000*2000)</f>
        <v>13490.1741375</v>
      </c>
      <c r="AR10" s="4" t="n">
        <f aca="false">C10*F10*G10*L10*640*1393.66125/(2000*1000)</f>
        <v>4531.356877824</v>
      </c>
      <c r="AS10" s="4" t="n">
        <f aca="false">AF10*600*6/(90*1000*2000)</f>
        <v>179.0165680128</v>
      </c>
      <c r="AT10" s="4" t="n">
        <f aca="false">IF(B10="Taiga",236.2,IF(B10="Mts",10,IF(B10="Temp",400,IF(B10="Steppe",25,IF(B10="Jungle",400,IF(B10="Sav",103.6,IF(B10="Medi",181.6,0)))))))*D10*AT$36*Populations!$R9/1000</f>
        <v>6014.52174219649</v>
      </c>
      <c r="AU10" s="4" t="n">
        <f aca="false">INDEX(Tech!$F$3:$F$13,MATCH(E10,Tech!$E$3:$E$13,1))*D10*AT$36*Populations!$S9/(365*1000)</f>
        <v>4852.580625</v>
      </c>
      <c r="AV10" s="4" t="n">
        <f aca="false">D10*12.5*AT$36*Populations!$S9/(10*30)</f>
        <v>2021.90859375</v>
      </c>
      <c r="AW10" s="4" t="n">
        <f aca="false">0.125*D10*AW$30*Populations!$R9/1000</f>
        <v>155.061888666003</v>
      </c>
      <c r="AX10" s="4" t="n">
        <f aca="false">D10*AW$30*Populations!$S9/(3*1000)</f>
        <v>33.361491796875</v>
      </c>
      <c r="AY10" s="4" t="n">
        <f aca="false">D10*Populations!$S9/(2*1000*AY$30)/1000</f>
        <v>23.292387</v>
      </c>
      <c r="AZ10" s="4" t="n">
        <f aca="false">D10*AZ$30*Populations!$S9/(2*1000)</f>
        <v>16.17526875</v>
      </c>
      <c r="BA10" s="4" t="n">
        <f aca="false">D10*2*BA$30*Populations!$S9/1000</f>
        <v>77.64129</v>
      </c>
      <c r="BB10" s="4" t="n">
        <f aca="false">D10*3*BB$30*Populations!$S9/1000</f>
        <v>58.2309675</v>
      </c>
      <c r="BC10" s="4" t="n">
        <f aca="false">D10*11*BC$30*Populations!$S9/(15*1000)</f>
        <v>11.3873892</v>
      </c>
      <c r="BD10" s="4" t="n">
        <f aca="false">D10*11*BD$30*Populations!$S9/(8*1000)</f>
        <v>26.6891934375</v>
      </c>
      <c r="BE10" s="4" t="n">
        <f aca="false">D10*11*BE$30*Populations!$S9/(3*1000)</f>
        <v>17.2844300357143</v>
      </c>
      <c r="BF10" s="4" t="n">
        <f aca="false">D10*11*BF$30*Populations!$S9/(5*1000)</f>
        <v>12.4549569375</v>
      </c>
      <c r="BG10" s="4" t="n">
        <f aca="false">D10*11*BG$30*Populations!$S9/(9*1000)</f>
        <v>31.6316366666667</v>
      </c>
      <c r="BH10" s="4" t="n">
        <f aca="false">D10*11*BH$30*Populations!$S9/(12*1000)</f>
        <v>17.792795625</v>
      </c>
      <c r="BI10" s="4" t="n">
        <f aca="false">D10*BI$30*Populations!$S9/(1000*125/12)</f>
        <v>49.6904256</v>
      </c>
      <c r="BJ10" s="4" t="n">
        <f aca="false">D10*BJ$30*Populations!$S9/(30*1000)</f>
        <v>22.58498858</v>
      </c>
      <c r="BK10" s="4" t="n">
        <f aca="false">D10*BK$30*Populations!$S9/(7*1000)</f>
        <v>3.11951611607143</v>
      </c>
      <c r="BL10" s="4" t="n">
        <f aca="false">D10*BL$30*Populations!$S9/(8.5*1000)</f>
        <v>5.13802654411765</v>
      </c>
      <c r="BM10" s="4" t="n">
        <f aca="false">D10*BM$30*Populations!$S9/1000</f>
        <v>10.91830640625</v>
      </c>
      <c r="BN10" s="4" t="n">
        <f aca="false">D10*BN$30*Populations!$S9/(1.5*1000)</f>
        <v>25.88043</v>
      </c>
      <c r="BO10" s="4" t="n">
        <f aca="false">D10*BO$30*Populations!$S9/(2*1000)</f>
        <v>21.027849375</v>
      </c>
      <c r="BP10" s="4" t="n">
        <f aca="false">D10*BP$30*Populations!$S9/(4*1000)</f>
        <v>4.852580625</v>
      </c>
      <c r="BQ10" s="4" t="n">
        <f aca="false">D10*Populations!$R9*10/(3*1000*2000)</f>
        <v>534.62415486191</v>
      </c>
      <c r="BR10" s="4" t="n">
        <f aca="false">D10*2*Populations!$R9/(30*1000*2000)</f>
        <v>10.6924830972382</v>
      </c>
      <c r="BS10" s="4" t="n">
        <f aca="false">D10*2*Populations!$S9/((37.5/12)*1000*2000)</f>
        <v>8.2817376</v>
      </c>
      <c r="BT10" s="4" t="n">
        <f aca="false">D10*2*Populations!$S9/((20/9)*1000*2000)</f>
        <v>11.6461935</v>
      </c>
      <c r="BU10" s="4" t="n">
        <f aca="false">AF10*25*4/(51*$BU$32)</f>
        <v>4.38766098070588</v>
      </c>
      <c r="BV10" s="4" t="n">
        <f aca="false">D10*Populations!$S9*12/($BV$30*3)</f>
        <v>81.5233545</v>
      </c>
      <c r="BW10" s="4" t="n">
        <f aca="false">D10*Populations!$S9*12/(2*$BW$30)</f>
        <v>69.8771610000001</v>
      </c>
      <c r="BX10" s="4" t="n">
        <f aca="false">D10*Populations!$S9*12/(5*$BX$30)</f>
        <v>34.9385805</v>
      </c>
      <c r="BY10" s="4" t="n">
        <f aca="false">D10*Populations!$S9/(2*$BY$30)</f>
        <v>20.380838625</v>
      </c>
      <c r="BZ10" s="4" t="n">
        <f aca="false">D10*Populations!$R9*500/(1000*2000)</f>
        <v>80193.6232292865</v>
      </c>
      <c r="CA10" s="4" t="n">
        <f aca="false">D10*Populations!R9*15/(1000*2000)</f>
        <v>2405.8086968786</v>
      </c>
      <c r="CB10" s="4" t="n">
        <f aca="false">IF(B10="Mts",1,D10*Populations!R9*30/(1000*2000))</f>
        <v>1</v>
      </c>
      <c r="CC10" s="4" t="n">
        <f aca="false">D10*40*Populations!R9/(1000*2000)</f>
        <v>6415.48985834292</v>
      </c>
      <c r="CD10" s="4" t="n">
        <f aca="false">D10*40*Populations!R9/(1000*2000)</f>
        <v>6415.48985834292</v>
      </c>
      <c r="CE10" s="4" t="n">
        <f aca="false">D10*20*Populations!R9/(1000*2000)</f>
        <v>3207.74492917146</v>
      </c>
      <c r="CF10" s="4" t="n">
        <f aca="false">D10*8.3454*32*Populations!$S9/(1000*2000)</f>
        <v>3455.720648352</v>
      </c>
      <c r="CG10" s="4" t="n">
        <f aca="false">D10*50*2*Populations!$S9/(3*1000*2000)</f>
        <v>431.3405</v>
      </c>
      <c r="CH10" s="4" t="n">
        <f aca="false">IF(B10="Mts",20*D10*Populations!$R9/1000,0.001)</f>
        <v>6415489.85834292</v>
      </c>
      <c r="CI10" s="4" t="n">
        <f aca="false">IF(NOT(CH10=0.001),0.006*CH10/3,0.001)</f>
        <v>12830.9797166858</v>
      </c>
      <c r="CJ10" s="4" t="n">
        <f aca="false">IF(NOT(CH10=0.001),0.7*CH10/3,0.001)</f>
        <v>1496947.63361335</v>
      </c>
      <c r="CK10" s="4" t="n">
        <f aca="false">IF(NOT(CH10=0.001),0.65*CH10/3,0.001)</f>
        <v>1390022.80264097</v>
      </c>
      <c r="CL10" s="4" t="n">
        <f aca="false">IF(NOT(CH10=0.001),0.002*CH10/3,0.001)</f>
        <v>4276.99323889528</v>
      </c>
      <c r="CM10" s="4" t="n">
        <f aca="false">IF(NOT(CH10=0.001),0.001*CH10/3,0.001)</f>
        <v>2138.49661944764</v>
      </c>
      <c r="CN10" s="4" t="n">
        <f aca="false">D10*3*110/(24*2000)*Populations!$S9</f>
        <v>177927.95625</v>
      </c>
      <c r="CO10" s="4" t="n">
        <f aca="false">D10*3*12/(24*2000)*Populations!$S9</f>
        <v>19410.3225</v>
      </c>
      <c r="CP10" s="4" t="n">
        <f aca="false">D10*3*1.4/(24*2000)*Populations!$S9</f>
        <v>2264.537625</v>
      </c>
      <c r="CQ10" s="4" t="n">
        <f aca="false">D10*6400*8.3454*Populations!$S9/(10*1000*2000)</f>
        <v>69114.41296704</v>
      </c>
      <c r="CR10" s="4" t="n">
        <f aca="false">D10*2*Populations!$S9/(1000*2000)</f>
        <v>25.88043</v>
      </c>
      <c r="CS10" s="4" t="n">
        <f aca="false">D10*2*30*Populations!$S9/(1000*2000)</f>
        <v>776.4129</v>
      </c>
      <c r="CT10" s="4" t="n">
        <f aca="false">27*Populations!$R9/(4*1000*2000)</f>
        <v>4.08533552300139</v>
      </c>
      <c r="CU10" s="4" t="n">
        <f aca="false">27*Populations!$R9/(16*1000*2000)</f>
        <v>1.02133388075035</v>
      </c>
      <c r="CV10" s="4" t="n">
        <f aca="false">AP10*0.9</f>
        <v>3156.70074817501</v>
      </c>
      <c r="CW10" s="4" t="n">
        <f aca="false">2.5*D10*Populations!$R9/(60*2000)</f>
        <v>6682.80193577388</v>
      </c>
      <c r="CX10" s="4" t="n">
        <f aca="false">D10*125*Populations!R9/(6*1000*2000)</f>
        <v>3341.40096788694</v>
      </c>
      <c r="CY10" s="4" t="n">
        <f aca="false">D10*1.875*2*Populations!R9/(6*1000*2000)</f>
        <v>100.242029036608</v>
      </c>
      <c r="CZ10" s="4" t="n">
        <f aca="false">D10*2*20*Populations!$R9/(1000*2000)</f>
        <v>6415.48985834292</v>
      </c>
      <c r="DA10" s="4" t="n">
        <f aca="false">IF(NOT(CH10=0.001),CH10*0.00001,0.001)</f>
        <v>64.1548985834292</v>
      </c>
      <c r="DB10" s="4" t="n">
        <f aca="false">IF(NOT(CH10=0.001),CH10*0.00001,0.001)</f>
        <v>64.1548985834292</v>
      </c>
      <c r="DC10" s="4" t="n">
        <f aca="false">D10*0.02*12*Populations!$S9/(3*1000*2000)</f>
        <v>1.0352172</v>
      </c>
      <c r="DD10" s="4" t="n">
        <f aca="false">D10*0.5*12*Populations!$S9/(5*1000*2000)</f>
        <v>15.528258</v>
      </c>
      <c r="DE10" s="4" t="n">
        <f aca="false">D10*6*25*Populations!$S9/(1000*2000)</f>
        <v>1941.03225</v>
      </c>
      <c r="DG10" s="4" t="n">
        <f aca="false">PRODUCT(AC10:AD10)</f>
        <v>23.1986075162852</v>
      </c>
      <c r="DH10" s="4" t="n">
        <f aca="false">LOG(PRODUCT(S10,V10,Y10:AB10,AE10:AH10,AL10:AO10,AR10:AT10,AW10,BQ10:BU10,BZ10,CH10:CM10,CT10:CU10,CW10:DB10),2)</f>
        <v>428.650179037407</v>
      </c>
      <c r="DI10" s="4" t="n">
        <f aca="false">LOG(PRODUCT($AI10:$AK10,$AP10:$AQ10,$AU10:$AV10,AX10:BP10,BV10:BY10,CA10:CG10,CN10:CS10,CV10,DC10:DE10),2)</f>
        <v>356.860346061088</v>
      </c>
      <c r="DK10" s="4" t="n">
        <f aca="false">SUM(DG10:DI10)</f>
        <v>808.709132614781</v>
      </c>
    </row>
    <row r="11" s="4" customFormat="true" ht="12.8" hidden="false" customHeight="false" outlineLevel="0" collapsed="false">
      <c r="A11" s="0" t="s">
        <v>143</v>
      </c>
      <c r="B11" s="0" t="s">
        <v>136</v>
      </c>
      <c r="C11" s="0" t="n">
        <v>143</v>
      </c>
      <c r="D11" s="0" t="n">
        <f aca="false">IF(B11="Taiga",265,IF(B11="Mts",265,IF(B11="Temp",230,IF(B11="Steppe",265,IF(B11="Jungle",180,IF(B11="Sav",240,IF(B11="Medi",230,0)))))))</f>
        <v>230</v>
      </c>
      <c r="E11" s="0" t="n">
        <v>1</v>
      </c>
      <c r="F11" s="4" t="n">
        <f aca="false">IF(B11="Taiga",0.43,IF(B11="Mts",0.21,IF(B11="Temp",0.64,IF(B11="Steppe",0.57,IF(B11="Jungle",0.43,IF(B11="Sav",0.57,IF(B11="Medi",0.43,0)))))))</f>
        <v>0.64</v>
      </c>
      <c r="G11" s="4" t="n">
        <f aca="false">IF(B11="Taiga",0.43,IF(B11="Mts",0.8,IF(B11="Temp",0.64,IF(B11="Steppe",0.64,IF(B11="Jungle",0.43,IF(B11="Sav",0.8,IF(B11="Medi",0.6,0)))))))</f>
        <v>0.64</v>
      </c>
      <c r="H11" s="4" t="n">
        <f aca="false">$H$31*IF(B11="Taiga",528,IF(B11="Mts",855.27,IF(B11="Temp",565.94,IF(B11="Steppe",551.72,IF(B11="Jungle",575.43,IF(B11="Sav",599.15,IF(B11="Medi",564.36,0)))))))</f>
        <v>1131.88</v>
      </c>
      <c r="I11" s="4" t="n">
        <f aca="false">$H$31*IF(B11="Taiga",2608.19,IF(B11="Mts",2100,IF(B11="Temp",2976.19,IF(B11="Steppe",2450.48,IF(B11="Jungle",2135.05,IF(B11="Sav",2310.29,IF(B11="Medi",2485.52,0)))))))</f>
        <v>5952.38</v>
      </c>
      <c r="J11" s="4" t="n">
        <f aca="false">$H$31*IF(B11="Taiga",500.54,IF(B11="Mts",360,IF(B11="Temp",570.81,IF(B11="Steppe",441.95,IF(B11="Jungle",486.49,IF(B11="Sav",518.92,IF(B11="Medi",640,0)))))))</f>
        <v>1141.62</v>
      </c>
      <c r="K11" s="4" t="n">
        <f aca="false">$H$31*IF(B11="Taiga",2003.09,IF(B11="Mts",1612.8,IF(B11="Temp",2285.71,IF(B11="Steppe",1881.97,IF(B11="Jungle",1639.72,IF(B11="Sav",1774.3,IF(B11="Medi",1908.88,0)))))))</f>
        <v>4571.42</v>
      </c>
      <c r="L11" s="4" t="n">
        <f aca="false">$H$31*IF(B11="Taiga",260.82,IF(B11="Mts",210,IF(B11="Temp",297.62,IF(B11="Steppe",245.05,IF(B11="Jungle",213.5,IF(B11="Sav",231.03,IF(B11="Medi",248.55,0)))))))</f>
        <v>595.24</v>
      </c>
      <c r="M11" s="4" t="n">
        <f aca="false">$H$31*IF(B11="Taiga",250,IF(B11="Mts",640,IF(B11="Temp",295.2174,IF(B11="Steppe",278.2609,IF(B11="Jungle",306.5217,IF(B11="Sav",334.7826,IF(B11="Medi",293.3333,0)))))))</f>
        <v>590.4348</v>
      </c>
      <c r="N11" s="4" t="n">
        <f aca="false">$H$31*IF(B11="Taiga",1491.9691,IF(B11="Mts",980,IF(B11="Temp",1747.9537,IF(B11="Steppe",1278.5174,IF(B11="Jungle",1440.7722,IF(B11="Sav",1558.9189,IF(B11="Medi",2000,0)))))))</f>
        <v>3495.9074</v>
      </c>
      <c r="O11" s="4" t="n">
        <f aca="false">$H$31*IF(B11="Taiga",68.5,IF(B11="Mts",25,IF(B11="Temp",100,IF(B11="Steppe",55,IF(B11="Jungle",28,IF(B11="Sav",43,IF(B11="Medi",58,0)))))))</f>
        <v>200</v>
      </c>
      <c r="P11" s="4" t="n">
        <f aca="false">$H$31*20*15/8000</f>
        <v>0.075</v>
      </c>
      <c r="Q11" s="4" t="n">
        <f aca="false">$H$31*20*15/8000</f>
        <v>0.075</v>
      </c>
      <c r="R11" s="1" t="s">
        <v>39</v>
      </c>
      <c r="S11" s="4" t="n">
        <f aca="false">C11*F11*G11*360*640*1393.66125/(2000*1000)</f>
        <v>9403.8499196928</v>
      </c>
      <c r="T11" s="4" t="n">
        <f aca="false">C11*F11*G11*J11*640*1393.66125*2/(1000*2000*3)</f>
        <v>19880.7836024439</v>
      </c>
      <c r="U11" s="4" t="n">
        <f aca="false">T11*J$28</f>
        <v>6626.92786748129</v>
      </c>
      <c r="V11" s="4" t="n">
        <f aca="false">T11-U11</f>
        <v>13253.8557349626</v>
      </c>
      <c r="W11" s="4" t="n">
        <f aca="false">C11*F11*G11*H11*640*1393.66125*2/(1000*2000*3)</f>
        <v>19711.1660131516</v>
      </c>
      <c r="X11" s="4" t="n">
        <f aca="false">W11*H$28</f>
        <v>5375.77254904136</v>
      </c>
      <c r="Y11" s="4" t="n">
        <f aca="false">W11-X11</f>
        <v>14335.3934641103</v>
      </c>
      <c r="Z11" s="4" t="n">
        <f aca="false">C11*F11*G11*M11*640*1393.66125/(1000*2000*3)</f>
        <v>5141.07430237392</v>
      </c>
      <c r="AA11" s="4" t="n">
        <f aca="false">C11*F11*G11*N11*640*1393.66125/(2000*1000)</f>
        <v>91319.4125631763</v>
      </c>
      <c r="AB11" s="4" t="n">
        <f aca="false">C11*F11*G11*O11*640*1393.66125/(2000*1000)</f>
        <v>5224.361066496</v>
      </c>
      <c r="AC11" s="4" t="n">
        <f aca="false">C11*P11*640*1393.66125/(2000*1000)</f>
        <v>4.78304541</v>
      </c>
      <c r="AD11" s="4" t="n">
        <f aca="false">C11*Q11*640*1393.66125/(2000*1000)</f>
        <v>4.78304541</v>
      </c>
      <c r="AE11" s="4" t="n">
        <f aca="false">($V11+$Z11)*2000*1000/(3*365)</f>
        <v>33598045.730295</v>
      </c>
      <c r="AF11" s="4" t="n">
        <f aca="false">($V11+$Z11)*2000*1000/(18*100)</f>
        <v>20438811.1525961</v>
      </c>
      <c r="AG11" s="4" t="n">
        <f aca="false">($V11+$Z11)*2000*1000/(3*365)</f>
        <v>33598045.730295</v>
      </c>
      <c r="AH11" s="4" t="n">
        <f aca="false">C11*F11*G11*K11*640*1393.66125/(2000*1000)</f>
        <v>119413.743333006</v>
      </c>
      <c r="AI11" s="4" t="n">
        <f aca="false">3*12*D11*Populations!$S10/(5*1000)</f>
        <v>1327333.68</v>
      </c>
      <c r="AJ11" s="4" t="n">
        <f aca="false">1.5*D11*750*Populations!$S10/(1000*2000*15)</f>
        <v>6913.19625</v>
      </c>
      <c r="AK11" s="4" t="n">
        <f aca="false">66*10*D11*Populations!$S10/(1000*2000*6)</f>
        <v>10139.3545</v>
      </c>
      <c r="AL11" s="4" t="n">
        <f aca="false">AE11*365/(2000*1000)</f>
        <v>6131.64334577883</v>
      </c>
      <c r="AM11" s="4" t="n">
        <f aca="false">AF11*25*238/(51*2000*1000)</f>
        <v>1192.26398390144</v>
      </c>
      <c r="AN11" s="4" t="n">
        <f aca="false">AG11*100*238/(600*1000*2000)</f>
        <v>666.361240317517</v>
      </c>
      <c r="AO11" s="4" t="n">
        <f aca="false">AG11*120*2/(16*1000*2000)</f>
        <v>251.985342977212</v>
      </c>
      <c r="AP11" s="4" t="n">
        <f aca="false">D11*4800*Populations!$S10/($AP$28*10*1000*2000)</f>
        <v>24984.2912475</v>
      </c>
      <c r="AQ11" s="4" t="n">
        <f aca="false">D11*2*4800*Populations!$S10/($AQ$28*10*1000*2000)</f>
        <v>96093.427875</v>
      </c>
      <c r="AR11" s="4" t="n">
        <f aca="false">C11*F11*G11*L11*640*1393.66125/(2000*1000)</f>
        <v>15548.7434061054</v>
      </c>
      <c r="AS11" s="4" t="n">
        <f aca="false">AF11*600*6/(90*1000*2000)</f>
        <v>408.776223051922</v>
      </c>
      <c r="AT11" s="4" t="n">
        <f aca="false">IF(B11="Taiga",236.2,IF(B11="Mts",10,IF(B11="Temp",400,IF(B11="Steppe",25,IF(B11="Jungle",400,IF(B11="Sav",103.6,IF(B11="Medi",181.6,0)))))))*D11*AT$36*Populations!$R10/1000</f>
        <v>954420.978966318</v>
      </c>
      <c r="AU11" s="4" t="n">
        <f aca="false">INDEX(Tech!$F$3:$F$13,MATCH(E11,Tech!$E$3:$E$13,1))*D11*AT$36*Populations!$S10/(365*1000)</f>
        <v>34565.98125</v>
      </c>
      <c r="AV11" s="4" t="n">
        <f aca="false">D11*12.5*AT$36*Populations!$S10/(10*30)</f>
        <v>14402.4921875</v>
      </c>
      <c r="AW11" s="4" t="n">
        <f aca="false">0.125*D11*AW$30*Populations!$R10/1000</f>
        <v>615.154146599385</v>
      </c>
      <c r="AX11" s="4" t="n">
        <f aca="false">D11*AW$30*Populations!$S10/(3*1000)</f>
        <v>237.64112109375</v>
      </c>
      <c r="AY11" s="4" t="n">
        <f aca="false">D11*Populations!$S10/(2*1000*AY$30)/1000</f>
        <v>165.91671</v>
      </c>
      <c r="AZ11" s="4" t="n">
        <f aca="false">D11*AZ$30*Populations!$S10/(2*1000)</f>
        <v>115.2199375</v>
      </c>
      <c r="BA11" s="4" t="n">
        <f aca="false">D11*2*BA$30*Populations!$S10/1000</f>
        <v>553.0557</v>
      </c>
      <c r="BB11" s="4" t="n">
        <f aca="false">D11*3*BB$30*Populations!$S10/1000</f>
        <v>414.791775</v>
      </c>
      <c r="BC11" s="4" t="n">
        <f aca="false">D11*11*BC$30*Populations!$S10/(15*1000)</f>
        <v>81.114836</v>
      </c>
      <c r="BD11" s="4" t="n">
        <f aca="false">D11*11*BD$30*Populations!$S10/(8*1000)</f>
        <v>190.112896875</v>
      </c>
      <c r="BE11" s="4" t="n">
        <f aca="false">D11*11*BE$30*Populations!$S10/(3*1000)</f>
        <v>123.120733214286</v>
      </c>
      <c r="BF11" s="4" t="n">
        <f aca="false">D11*11*BF$30*Populations!$S10/(5*1000)</f>
        <v>88.719351875</v>
      </c>
      <c r="BG11" s="4" t="n">
        <f aca="false">D11*11*BG$30*Populations!$S10/(9*1000)</f>
        <v>225.318988888889</v>
      </c>
      <c r="BH11" s="4" t="n">
        <f aca="false">D11*11*BH$30*Populations!$S10/(12*1000)</f>
        <v>126.74193125</v>
      </c>
      <c r="BI11" s="4" t="n">
        <f aca="false">D11*BI$30*Populations!$S10/(1000*125/12)</f>
        <v>353.955648</v>
      </c>
      <c r="BJ11" s="4" t="n">
        <f aca="false">D11*BJ$30*Populations!$S10/(30*1000)</f>
        <v>160.877758066667</v>
      </c>
      <c r="BK11" s="4" t="n">
        <f aca="false">D11*BK$30*Populations!$S10/(7*1000)</f>
        <v>22.2209879464286</v>
      </c>
      <c r="BL11" s="4" t="n">
        <f aca="false">D11*BL$30*Populations!$S10/(8.5*1000)</f>
        <v>36.5992742647059</v>
      </c>
      <c r="BM11" s="4" t="n">
        <f aca="false">D11*BM$30*Populations!$S10/1000</f>
        <v>77.7734578125</v>
      </c>
      <c r="BN11" s="4" t="n">
        <f aca="false">D11*BN$30*Populations!$S10/(1.5*1000)</f>
        <v>184.3519</v>
      </c>
      <c r="BO11" s="4" t="n">
        <f aca="false">D11*BO$30*Populations!$S10/(2*1000)</f>
        <v>149.78591875</v>
      </c>
      <c r="BP11" s="4" t="n">
        <f aca="false">D11*BP$30*Populations!$S10/(4*1000)</f>
        <v>34.56598125</v>
      </c>
      <c r="BQ11" s="4" t="n">
        <f aca="false">D11*Populations!$R10*10/(3*1000*2000)</f>
        <v>2120.93550881404</v>
      </c>
      <c r="BR11" s="4" t="n">
        <f aca="false">D11*2*Populations!$R10/(30*1000*2000)</f>
        <v>42.4187101762808</v>
      </c>
      <c r="BS11" s="4" t="n">
        <f aca="false">D11*2*Populations!$S10/((37.5/12)*1000*2000)</f>
        <v>58.992608</v>
      </c>
      <c r="BT11" s="4" t="n">
        <f aca="false">D11*2*Populations!$S10/((20/9)*1000*2000)</f>
        <v>82.958355</v>
      </c>
      <c r="BU11" s="4" t="n">
        <f aca="false">AF11*25*4/(51*$BU$32)</f>
        <v>10.019025074802</v>
      </c>
      <c r="BV11" s="4" t="n">
        <f aca="false">D11*Populations!$S10*12/($BV$30*3)</f>
        <v>580.708485</v>
      </c>
      <c r="BW11" s="4" t="n">
        <f aca="false">D11*Populations!$S10*12/(2*$BW$30)</f>
        <v>497.75013</v>
      </c>
      <c r="BX11" s="4" t="n">
        <f aca="false">D11*Populations!$S10*12/(5*$BX$30)</f>
        <v>248.875065</v>
      </c>
      <c r="BY11" s="4" t="n">
        <f aca="false">D11*Populations!$S10/(2*$BY$30)</f>
        <v>145.17712125</v>
      </c>
      <c r="BZ11" s="4" t="n">
        <f aca="false">D11*Populations!$R10*500/(1000*2000)</f>
        <v>318140.326322106</v>
      </c>
      <c r="CA11" s="4" t="n">
        <f aca="false">D11*Populations!R10*15/(1000*2000)</f>
        <v>9544.20978966318</v>
      </c>
      <c r="CB11" s="4" t="n">
        <f aca="false">IF(B11="Mts",1,D11*Populations!R10*30/(1000*2000))</f>
        <v>19088.4195793264</v>
      </c>
      <c r="CC11" s="4" t="n">
        <f aca="false">D11*40*Populations!R10/(1000*2000)</f>
        <v>25451.2261057685</v>
      </c>
      <c r="CD11" s="4" t="n">
        <f aca="false">D11*40*Populations!R10/(1000*2000)</f>
        <v>25451.2261057685</v>
      </c>
      <c r="CE11" s="4" t="n">
        <f aca="false">D11*20*Populations!R10/(1000*2000)</f>
        <v>12725.6130528842</v>
      </c>
      <c r="CF11" s="4" t="n">
        <f aca="false">D11*8.3454*32*Populations!$S10/(1000*2000)</f>
        <v>24615.84554016</v>
      </c>
      <c r="CG11" s="4" t="n">
        <f aca="false">D11*50*2*Populations!$S10/(3*1000*2000)</f>
        <v>3072.53166666667</v>
      </c>
      <c r="CH11" s="4" t="n">
        <f aca="false">IF(B11="Mts",20*D11*Populations!$R10/1000,0.001)</f>
        <v>0.001</v>
      </c>
      <c r="CI11" s="4" t="n">
        <f aca="false">IF(NOT(CH11=0.001),0.006*CH11/3,0.001)</f>
        <v>0.001</v>
      </c>
      <c r="CJ11" s="4" t="n">
        <f aca="false">IF(NOT(CH11=0.001),0.7*CH11/3,0.001)</f>
        <v>0.001</v>
      </c>
      <c r="CK11" s="4" t="n">
        <f aca="false">IF(NOT(CH11=0.001),0.65*CH11/3,0.001)</f>
        <v>0.001</v>
      </c>
      <c r="CL11" s="4" t="n">
        <f aca="false">IF(NOT(CH11=0.001),0.002*CH11/3,0.001)</f>
        <v>0.001</v>
      </c>
      <c r="CM11" s="4" t="n">
        <f aca="false">IF(NOT(CH11=0.001),0.001*CH11/3,0.001)</f>
        <v>0.001</v>
      </c>
      <c r="CN11" s="4" t="n">
        <f aca="false">D11*3*110/(24*2000)*Populations!$S10</f>
        <v>1267419.3125</v>
      </c>
      <c r="CO11" s="4" t="n">
        <f aca="false">D11*3*12/(24*2000)*Populations!$S10</f>
        <v>138263.925</v>
      </c>
      <c r="CP11" s="4" t="n">
        <f aca="false">D11*3*1.4/(24*2000)*Populations!$S10</f>
        <v>16130.79125</v>
      </c>
      <c r="CQ11" s="4" t="n">
        <f aca="false">D11*6400*8.3454*Populations!$S10/(10*1000*2000)</f>
        <v>492316.9108032</v>
      </c>
      <c r="CR11" s="4" t="n">
        <f aca="false">D11*2*Populations!$S10/(1000*2000)</f>
        <v>184.3519</v>
      </c>
      <c r="CS11" s="4" t="n">
        <f aca="false">D11*2*30*Populations!$S10/(1000*2000)</f>
        <v>5530.557</v>
      </c>
      <c r="CT11" s="4" t="n">
        <f aca="false">27*Populations!$R10/(4*1000*2000)</f>
        <v>18.6734539362975</v>
      </c>
      <c r="CU11" s="4" t="n">
        <f aca="false">27*Populations!$R10/(16*1000*2000)</f>
        <v>4.66836348407438</v>
      </c>
      <c r="CV11" s="4" t="n">
        <f aca="false">AP11*0.9</f>
        <v>22485.86212275</v>
      </c>
      <c r="CW11" s="4" t="n">
        <f aca="false">2.5*D11*Populations!$R10/(60*2000)</f>
        <v>26511.6938601755</v>
      </c>
      <c r="CX11" s="4" t="n">
        <f aca="false">D11*125*Populations!R10/(6*1000*2000)</f>
        <v>13255.8469300878</v>
      </c>
      <c r="CY11" s="4" t="n">
        <f aca="false">D11*1.875*2*Populations!R10/(6*1000*2000)</f>
        <v>397.675407902633</v>
      </c>
      <c r="CZ11" s="4" t="n">
        <f aca="false">D11*2*20*Populations!$R10/(1000*2000)</f>
        <v>25451.2261057685</v>
      </c>
      <c r="DA11" s="4" t="n">
        <f aca="false">IF(NOT(CH11=0.001),CH11*0.00001,0.001)</f>
        <v>0.001</v>
      </c>
      <c r="DB11" s="4" t="n">
        <f aca="false">IF(NOT(CH11=0.001),CH11*0.00001,0.001)</f>
        <v>0.001</v>
      </c>
      <c r="DC11" s="4" t="n">
        <f aca="false">D11*0.02*12*Populations!$S10/(3*1000*2000)</f>
        <v>7.374076</v>
      </c>
      <c r="DD11" s="4" t="n">
        <f aca="false">D11*0.5*12*Populations!$S10/(5*1000*2000)</f>
        <v>110.61114</v>
      </c>
      <c r="DE11" s="4" t="n">
        <f aca="false">D11*6*25*Populations!$S10/(1000*2000)</f>
        <v>13826.3925</v>
      </c>
      <c r="DG11" s="4" t="n">
        <f aca="false">PRODUCT(AC11:AD11)</f>
        <v>22.8775233941221</v>
      </c>
      <c r="DH11" s="4" t="n">
        <f aca="false">LOG(PRODUCT(S11,V11,Y11:AB11,AE11:AH11,AL11:AO11,AR11:AT11,AW11,BQ11:BU11,BZ11,CH11:CM11,CT11:CU11,CW11:DB11),2)</f>
        <v>293.596799986748</v>
      </c>
      <c r="DI11" s="4" t="n">
        <f aca="false">LOG(PRODUCT($AI11:$AK11,$AP11:$AQ11,$AU11:$AV11,AX11:BP11,BV11:BY11,CA11:CG11,CN11:CS11,CV11,DC11:DE11),2)</f>
        <v>497.999380699247</v>
      </c>
      <c r="DK11" s="4" t="n">
        <f aca="false">SUM(DG11:DI11)</f>
        <v>814.473704080117</v>
      </c>
    </row>
    <row r="12" s="4" customFormat="true" ht="12.8" hidden="false" customHeight="false" outlineLevel="0" collapsed="false">
      <c r="A12" s="0" t="s">
        <v>144</v>
      </c>
      <c r="B12" s="0" t="s">
        <v>134</v>
      </c>
      <c r="C12" s="0" t="n">
        <v>155</v>
      </c>
      <c r="D12" s="0" t="n">
        <f aca="false">IF(B12="Taiga",265,IF(B12="Mts",265,IF(B12="Temp",230,IF(B12="Steppe",265,IF(B12="Jungle",180,IF(B12="Sav",240,IF(B12="Medi",230,0)))))))</f>
        <v>265</v>
      </c>
      <c r="E12" s="0" t="n">
        <v>1</v>
      </c>
      <c r="F12" s="4" t="n">
        <f aca="false">IF(B12="Taiga",0.43,IF(B12="Mts",0.21,IF(B12="Temp",0.64,IF(B12="Steppe",0.57,IF(B12="Jungle",0.43,IF(B12="Sav",0.57,IF(B12="Medi",0.43,0)))))))</f>
        <v>0.21</v>
      </c>
      <c r="G12" s="4" t="n">
        <f aca="false">IF(B12="Taiga",0.43,IF(B12="Mts",0.8,IF(B12="Temp",0.64,IF(B12="Steppe",0.64,IF(B12="Jungle",0.43,IF(B12="Sav",0.8,IF(B12="Medi",0.6,0)))))))</f>
        <v>0.8</v>
      </c>
      <c r="H12" s="4" t="n">
        <f aca="false">$H$31*IF(B12="Taiga",528,IF(B12="Mts",855.27,IF(B12="Temp",565.94,IF(B12="Steppe",551.72,IF(B12="Jungle",575.43,IF(B12="Sav",599.15,IF(B12="Medi",564.36,0)))))))</f>
        <v>1710.54</v>
      </c>
      <c r="I12" s="4" t="n">
        <f aca="false">$H$31*IF(B12="Taiga",2608.19,IF(B12="Mts",2100,IF(B12="Temp",2976.19,IF(B12="Steppe",2450.48,IF(B12="Jungle",2135.05,IF(B12="Sav",2310.29,IF(B12="Medi",2485.52,0)))))))</f>
        <v>4200</v>
      </c>
      <c r="J12" s="4" t="n">
        <f aca="false">$H$31*IF(B12="Taiga",500.54,IF(B12="Mts",360,IF(B12="Temp",570.81,IF(B12="Steppe",441.95,IF(B12="Jungle",486.49,IF(B12="Sav",518.92,IF(B12="Medi",640,0)))))))</f>
        <v>720</v>
      </c>
      <c r="K12" s="4" t="n">
        <f aca="false">$H$31*IF(B12="Taiga",2003.09,IF(B12="Mts",1612.8,IF(B12="Temp",2285.71,IF(B12="Steppe",1881.97,IF(B12="Jungle",1639.72,IF(B12="Sav",1774.3,IF(B12="Medi",1908.88,0)))))))</f>
        <v>3225.6</v>
      </c>
      <c r="L12" s="4" t="n">
        <f aca="false">$H$31*IF(B12="Taiga",260.82,IF(B12="Mts",210,IF(B12="Temp",297.62,IF(B12="Steppe",245.05,IF(B12="Jungle",213.5,IF(B12="Sav",231.03,IF(B12="Medi",248.55,0)))))))</f>
        <v>420</v>
      </c>
      <c r="M12" s="4" t="n">
        <f aca="false">$H$31*IF(B12="Taiga",250,IF(B12="Mts",640,IF(B12="Temp",295.2174,IF(B12="Steppe",278.2609,IF(B12="Jungle",306.5217,IF(B12="Sav",334.7826,IF(B12="Medi",293.3333,0)))))))</f>
        <v>1280</v>
      </c>
      <c r="N12" s="4" t="n">
        <f aca="false">$H$31*IF(B12="Taiga",1491.9691,IF(B12="Mts",980,IF(B12="Temp",1747.9537,IF(B12="Steppe",1278.5174,IF(B12="Jungle",1440.7722,IF(B12="Sav",1558.9189,IF(B12="Medi",2000,0)))))))</f>
        <v>1960</v>
      </c>
      <c r="O12" s="4" t="n">
        <f aca="false">$H$31*IF(B12="Taiga",68.5,IF(B12="Mts",25,IF(B12="Temp",100,IF(B12="Steppe",55,IF(B12="Jungle",28,IF(B12="Sav",43,IF(B12="Medi",58,0)))))))</f>
        <v>50</v>
      </c>
      <c r="P12" s="4" t="n">
        <f aca="false">$H$31*20*15/8000</f>
        <v>0.075</v>
      </c>
      <c r="Q12" s="4" t="n">
        <f aca="false">$H$31*20*15/8000</f>
        <v>0.075</v>
      </c>
      <c r="R12" s="1" t="s">
        <v>39</v>
      </c>
      <c r="S12" s="4" t="n">
        <f aca="false">C12*F12*G12*360*640*1393.66125/(2000*1000)</f>
        <v>4180.71616704</v>
      </c>
      <c r="T12" s="4" t="n">
        <f aca="false">C12*F12*G12*J12*640*1393.66125*2/(1000*2000*3)</f>
        <v>5574.28822272</v>
      </c>
      <c r="U12" s="4" t="n">
        <f aca="false">T12*J$28</f>
        <v>1858.09607424</v>
      </c>
      <c r="V12" s="4" t="n">
        <f aca="false">T12-U12</f>
        <v>3716.19214848</v>
      </c>
      <c r="W12" s="4" t="n">
        <f aca="false">C12*F12*G12*H12*640*1393.66125*2/(1000*2000*3)</f>
        <v>13243.115245127</v>
      </c>
      <c r="X12" s="4" t="n">
        <f aca="false">W12*H$28</f>
        <v>3611.75870321646</v>
      </c>
      <c r="Y12" s="4" t="n">
        <f aca="false">W12-X12</f>
        <v>9631.35654191057</v>
      </c>
      <c r="Z12" s="4" t="n">
        <f aca="false">C12*F12*G12*M12*640*1393.66125/(1000*2000*3)</f>
        <v>4954.92286464</v>
      </c>
      <c r="AA12" s="4" t="n">
        <f aca="false">C12*F12*G12*N12*640*1393.66125/(2000*1000)</f>
        <v>22761.67690944</v>
      </c>
      <c r="AB12" s="4" t="n">
        <f aca="false">C12*F12*G12*O12*640*1393.66125/(2000*1000)</f>
        <v>580.6550232</v>
      </c>
      <c r="AC12" s="4" t="n">
        <f aca="false">C12*P12*640*1393.66125/(2000*1000)</f>
        <v>5.18441985</v>
      </c>
      <c r="AD12" s="4" t="n">
        <f aca="false">C12*Q12*640*1393.66125/(2000*1000)</f>
        <v>5.18441985</v>
      </c>
      <c r="AE12" s="4" t="n">
        <f aca="false">($V12+$Z12)*2000*1000/(3*365)</f>
        <v>15837652.992</v>
      </c>
      <c r="AF12" s="4" t="n">
        <f aca="false">($V12+$Z12)*2000*1000/(18*100)</f>
        <v>9634572.2368</v>
      </c>
      <c r="AG12" s="4" t="n">
        <f aca="false">($V12+$Z12)*2000*1000/(3*365)</f>
        <v>15837652.992</v>
      </c>
      <c r="AH12" s="4" t="n">
        <f aca="false">C12*F12*G12*K12*640*1393.66125/(2000*1000)</f>
        <v>37459.2168566784</v>
      </c>
      <c r="AI12" s="4" t="n">
        <f aca="false">3*12*D12*Populations!$S11/(5*1000)</f>
        <v>228551.688</v>
      </c>
      <c r="AJ12" s="4" t="n">
        <f aca="false">1.5*D12*750*Populations!$S11/(1000*2000*15)</f>
        <v>1190.373375</v>
      </c>
      <c r="AK12" s="4" t="n">
        <f aca="false">66*10*D12*Populations!$S11/(1000*2000*6)</f>
        <v>1745.88095</v>
      </c>
      <c r="AL12" s="4" t="n">
        <f aca="false">AE12*365/(2000*1000)</f>
        <v>2890.37167104</v>
      </c>
      <c r="AM12" s="4" t="n">
        <f aca="false">AF12*25*238/(51*2000*1000)</f>
        <v>562.016713813333</v>
      </c>
      <c r="AN12" s="4" t="n">
        <f aca="false">AG12*100*238/(600*1000*2000)</f>
        <v>314.113451008</v>
      </c>
      <c r="AO12" s="4" t="n">
        <f aca="false">AG12*120*2/(16*1000*2000)</f>
        <v>118.78239744</v>
      </c>
      <c r="AP12" s="4" t="n">
        <f aca="false">D12*4800*Populations!$S11/($AP$28*10*1000*2000)</f>
        <v>4302.00937725001</v>
      </c>
      <c r="AQ12" s="4" t="n">
        <f aca="false">D12*2*4800*Populations!$S11/($AQ$28*10*1000*2000)</f>
        <v>16546.1899125</v>
      </c>
      <c r="AR12" s="4" t="n">
        <f aca="false">C12*F12*G12*L12*640*1393.66125/(2000*1000)</f>
        <v>4877.50219488</v>
      </c>
      <c r="AS12" s="4" t="n">
        <f aca="false">AF12*600*6/(90*1000*2000)</f>
        <v>192.691444736</v>
      </c>
      <c r="AT12" s="4" t="n">
        <f aca="false">IF(B12="Taiga",236.2,IF(B12="Mts",10,IF(B12="Temp",400,IF(B12="Steppe",25,IF(B12="Jungle",400,IF(B12="Sav",103.6,IF(B12="Medi",181.6,0)))))))*D12*AT$36*Populations!$R11/1000</f>
        <v>6401.10525944072</v>
      </c>
      <c r="AU12" s="4" t="n">
        <f aca="false">INDEX(Tech!$F$3:$F$13,MATCH(E12,Tech!$E$3:$E$13,1))*D12*AT$36*Populations!$S11/(365*1000)</f>
        <v>5951.866875</v>
      </c>
      <c r="AV12" s="4" t="n">
        <f aca="false">D12*12.5*AT$36*Populations!$S11/(10*30)</f>
        <v>2479.94453125</v>
      </c>
      <c r="AW12" s="4" t="n">
        <f aca="false">0.125*D12*AW$30*Populations!$R11/1000</f>
        <v>165.028494969956</v>
      </c>
      <c r="AX12" s="4" t="n">
        <f aca="false">D12*AW$30*Populations!$S11/(3*1000)</f>
        <v>40.919084765625</v>
      </c>
      <c r="AY12" s="4" t="n">
        <f aca="false">D12*Populations!$S11/(2*1000*AY$30)/1000</f>
        <v>28.568961</v>
      </c>
      <c r="AZ12" s="4" t="n">
        <f aca="false">D12*AZ$30*Populations!$S11/(2*1000)</f>
        <v>19.83955625</v>
      </c>
      <c r="BA12" s="4" t="n">
        <f aca="false">D12*2*BA$30*Populations!$S11/1000</f>
        <v>95.22987</v>
      </c>
      <c r="BB12" s="4" t="n">
        <f aca="false">D12*3*BB$30*Populations!$S11/1000</f>
        <v>71.4224025</v>
      </c>
      <c r="BC12" s="4" t="n">
        <f aca="false">D12*11*BC$30*Populations!$S11/(15*1000)</f>
        <v>13.9670476</v>
      </c>
      <c r="BD12" s="4" t="n">
        <f aca="false">D12*11*BD$30*Populations!$S11/(8*1000)</f>
        <v>32.7352678125</v>
      </c>
      <c r="BE12" s="4" t="n">
        <f aca="false">D12*11*BE$30*Populations!$S11/(3*1000)</f>
        <v>21.1999829642857</v>
      </c>
      <c r="BF12" s="4" t="n">
        <f aca="false">D12*11*BF$30*Populations!$S11/(5*1000)</f>
        <v>15.2764583125</v>
      </c>
      <c r="BG12" s="4" t="n">
        <f aca="false">D12*11*BG$30*Populations!$S11/(9*1000)</f>
        <v>38.7973544444444</v>
      </c>
      <c r="BH12" s="4" t="n">
        <f aca="false">D12*11*BH$30*Populations!$S11/(12*1000)</f>
        <v>21.823511875</v>
      </c>
      <c r="BI12" s="4" t="n">
        <f aca="false">D12*BI$30*Populations!$S11/(1000*125/12)</f>
        <v>60.9471168</v>
      </c>
      <c r="BJ12" s="4" t="n">
        <f aca="false">D12*BJ$30*Populations!$S11/(30*1000)</f>
        <v>27.7013110733333</v>
      </c>
      <c r="BK12" s="4" t="n">
        <f aca="false">D12*BK$30*Populations!$S11/(7*1000)</f>
        <v>3.82620013392857</v>
      </c>
      <c r="BL12" s="4" t="n">
        <f aca="false">D12*BL$30*Populations!$S11/(8.5*1000)</f>
        <v>6.30197669117647</v>
      </c>
      <c r="BM12" s="4" t="n">
        <f aca="false">D12*BM$30*Populations!$S11/1000</f>
        <v>13.39170046875</v>
      </c>
      <c r="BN12" s="4" t="n">
        <f aca="false">D12*BN$30*Populations!$S11/(1.5*1000)</f>
        <v>31.74329</v>
      </c>
      <c r="BO12" s="4" t="n">
        <f aca="false">D12*BO$30*Populations!$S11/(2*1000)</f>
        <v>25.791423125</v>
      </c>
      <c r="BP12" s="4" t="n">
        <f aca="false">D12*BP$30*Populations!$S11/(4*1000)</f>
        <v>5.951866875</v>
      </c>
      <c r="BQ12" s="4" t="n">
        <f aca="false">D12*Populations!$R11*10/(3*1000*2000)</f>
        <v>568.987134172509</v>
      </c>
      <c r="BR12" s="4" t="n">
        <f aca="false">D12*2*Populations!$R11/(30*1000*2000)</f>
        <v>11.3797426834502</v>
      </c>
      <c r="BS12" s="4" t="n">
        <f aca="false">D12*2*Populations!$S11/((37.5/12)*1000*2000)</f>
        <v>10.1578528</v>
      </c>
      <c r="BT12" s="4" t="n">
        <f aca="false">D12*2*Populations!$S11/((20/9)*1000*2000)</f>
        <v>14.2844805</v>
      </c>
      <c r="BU12" s="4" t="n">
        <f aca="false">AF12*25*4/(51*$BU$32)</f>
        <v>4.72282952784314</v>
      </c>
      <c r="BV12" s="4" t="n">
        <f aca="false">D12*Populations!$S11*12/($BV$30*3)</f>
        <v>99.9913635</v>
      </c>
      <c r="BW12" s="4" t="n">
        <f aca="false">D12*Populations!$S11*12/(2*$BW$30)</f>
        <v>85.7068830000001</v>
      </c>
      <c r="BX12" s="4" t="n">
        <f aca="false">D12*Populations!$S11*12/(5*$BX$30)</f>
        <v>42.8534414999999</v>
      </c>
      <c r="BY12" s="4" t="n">
        <f aca="false">D12*Populations!$S11/(2*$BY$30)</f>
        <v>24.997840875</v>
      </c>
      <c r="BZ12" s="4" t="n">
        <f aca="false">D12*Populations!$R11*500/(1000*2000)</f>
        <v>85348.0701258763</v>
      </c>
      <c r="CA12" s="4" t="n">
        <f aca="false">D12*Populations!R11*15/(1000*2000)</f>
        <v>2560.44210377629</v>
      </c>
      <c r="CB12" s="4" t="n">
        <f aca="false">IF(B12="Mts",1,D12*Populations!R11*30/(1000*2000))</f>
        <v>1</v>
      </c>
      <c r="CC12" s="4" t="n">
        <f aca="false">D12*40*Populations!R11/(1000*2000)</f>
        <v>6827.8456100701</v>
      </c>
      <c r="CD12" s="4" t="n">
        <f aca="false">D12*40*Populations!R11/(1000*2000)</f>
        <v>6827.8456100701</v>
      </c>
      <c r="CE12" s="4" t="n">
        <f aca="false">D12*20*Populations!R11/(1000*2000)</f>
        <v>3413.92280503505</v>
      </c>
      <c r="CF12" s="4" t="n">
        <f aca="false">D12*8.3454*32*Populations!$S11/(1000*2000)</f>
        <v>4238.567237856</v>
      </c>
      <c r="CG12" s="4" t="n">
        <f aca="false">D12*50*2*Populations!$S11/(3*1000*2000)</f>
        <v>529.054833333333</v>
      </c>
      <c r="CH12" s="4" t="n">
        <f aca="false">IF(B12="Mts",20*D12*Populations!$R11/1000,0.001)</f>
        <v>6827845.6100701</v>
      </c>
      <c r="CI12" s="4" t="n">
        <f aca="false">IF(NOT(CH12=0.001),0.006*CH12/3,0.001)</f>
        <v>13655.6912201402</v>
      </c>
      <c r="CJ12" s="4" t="n">
        <f aca="false">IF(NOT(CH12=0.001),0.7*CH12/3,0.001)</f>
        <v>1593163.97568302</v>
      </c>
      <c r="CK12" s="4" t="n">
        <f aca="false">IF(NOT(CH12=0.001),0.65*CH12/3,0.001)</f>
        <v>1479366.54884852</v>
      </c>
      <c r="CL12" s="4" t="n">
        <f aca="false">IF(NOT(CH12=0.001),0.002*CH12/3,0.001)</f>
        <v>4551.89707338007</v>
      </c>
      <c r="CM12" s="4" t="n">
        <f aca="false">IF(NOT(CH12=0.001),0.001*CH12/3,0.001)</f>
        <v>2275.94853669003</v>
      </c>
      <c r="CN12" s="4" t="n">
        <f aca="false">D12*3*110/(24*2000)*Populations!$S11</f>
        <v>218235.11875</v>
      </c>
      <c r="CO12" s="4" t="n">
        <f aca="false">D12*3*12/(24*2000)*Populations!$S11</f>
        <v>23807.4675</v>
      </c>
      <c r="CP12" s="4" t="n">
        <f aca="false">D12*3*1.4/(24*2000)*Populations!$S11</f>
        <v>2777.537875</v>
      </c>
      <c r="CQ12" s="4" t="n">
        <f aca="false">D12*6400*8.3454*Populations!$S11/(10*1000*2000)</f>
        <v>84771.34475712</v>
      </c>
      <c r="CR12" s="4" t="n">
        <f aca="false">D12*2*Populations!$S11/(1000*2000)</f>
        <v>31.74329</v>
      </c>
      <c r="CS12" s="4" t="n">
        <f aca="false">D12*2*30*Populations!$S11/(1000*2000)</f>
        <v>952.2987</v>
      </c>
      <c r="CT12" s="4" t="n">
        <f aca="false">27*Populations!$R11/(4*1000*2000)</f>
        <v>4.34792055358238</v>
      </c>
      <c r="CU12" s="4" t="n">
        <f aca="false">27*Populations!$R11/(16*1000*2000)</f>
        <v>1.08698013839559</v>
      </c>
      <c r="CV12" s="4" t="n">
        <f aca="false">AP12*0.9</f>
        <v>3871.80843952501</v>
      </c>
      <c r="CW12" s="4" t="n">
        <f aca="false">2.5*D12*Populations!$R11/(60*2000)</f>
        <v>7112.33917715636</v>
      </c>
      <c r="CX12" s="4" t="n">
        <f aca="false">D12*125*Populations!R11/(6*1000*2000)</f>
        <v>3556.16958857818</v>
      </c>
      <c r="CY12" s="4" t="n">
        <f aca="false">D12*1.875*2*Populations!R11/(6*1000*2000)</f>
        <v>106.685087657345</v>
      </c>
      <c r="CZ12" s="4" t="n">
        <f aca="false">D12*2*20*Populations!$R11/(1000*2000)</f>
        <v>6827.8456100701</v>
      </c>
      <c r="DA12" s="4" t="n">
        <f aca="false">IF(NOT(CH12=0.001),CH12*0.00001,0.001)</f>
        <v>68.278456100701</v>
      </c>
      <c r="DB12" s="4" t="n">
        <f aca="false">IF(NOT(CH12=0.001),CH12*0.00001,0.001)</f>
        <v>68.278456100701</v>
      </c>
      <c r="DC12" s="4" t="n">
        <f aca="false">D12*0.02*12*Populations!$S11/(3*1000*2000)</f>
        <v>1.2697316</v>
      </c>
      <c r="DD12" s="4" t="n">
        <f aca="false">D12*0.5*12*Populations!$S11/(5*1000*2000)</f>
        <v>19.045974</v>
      </c>
      <c r="DE12" s="4" t="n">
        <f aca="false">D12*6*25*Populations!$S11/(1000*2000)</f>
        <v>2380.74675</v>
      </c>
      <c r="DG12" s="4" t="n">
        <f aca="false">PRODUCT(AC12:AD12)</f>
        <v>26.878209181074</v>
      </c>
      <c r="DH12" s="4" t="n">
        <f aca="false">LOG(PRODUCT(S12,V12,Y12:AB12,AE12:AH12,AL12:AO12,AR12:AT12,AW12,BQ12:BU12,BZ12,CH12:CM12,CT12:CU12,CW12:DB12),2)</f>
        <v>432.752298232274</v>
      </c>
      <c r="DI12" s="4" t="n">
        <f aca="false">LOG(PRODUCT($AI12:$AK12,$AP12:$AQ12,$AU12:$AV12,AX12:BP12,BV12:BY12,CA12:CG12,CN12:CS12,CV12,DC12:DE12),2)</f>
        <v>369.592613241258</v>
      </c>
      <c r="DK12" s="4" t="n">
        <f aca="false">SUM(DG12:DI12)</f>
        <v>829.223120654606</v>
      </c>
    </row>
    <row r="13" s="4" customFormat="true" ht="12.8" hidden="false" customHeight="false" outlineLevel="0" collapsed="false">
      <c r="A13" s="0" t="s">
        <v>145</v>
      </c>
      <c r="B13" s="0" t="s">
        <v>146</v>
      </c>
      <c r="C13" s="0" t="n">
        <v>127</v>
      </c>
      <c r="D13" s="0" t="n">
        <f aca="false">IF(B13="Taiga",265,IF(B13="Mts",265,IF(B13="Temp",230,IF(B13="Steppe",265,IF(B13="Jungle",180,IF(B13="Sav",240,IF(B13="Medi",230,0)))))))</f>
        <v>180</v>
      </c>
      <c r="E13" s="0" t="n">
        <v>1</v>
      </c>
      <c r="F13" s="4" t="n">
        <f aca="false">IF(B13="Taiga",0.43,IF(B13="Mts",0.21,IF(B13="Temp",0.64,IF(B13="Steppe",0.57,IF(B13="Jungle",0.43,IF(B13="Sav",0.57,IF(B13="Medi",0.43,0)))))))</f>
        <v>0.43</v>
      </c>
      <c r="G13" s="4" t="n">
        <f aca="false">IF(B13="Taiga",0.43,IF(B13="Mts",0.8,IF(B13="Temp",0.64,IF(B13="Steppe",0.64,IF(B13="Jungle",0.43,IF(B13="Sav",0.8,IF(B13="Medi",0.6,0)))))))</f>
        <v>0.43</v>
      </c>
      <c r="H13" s="4" t="n">
        <f aca="false">$H$31*IF(B13="Taiga",528,IF(B13="Mts",855.27,IF(B13="Temp",565.94,IF(B13="Steppe",551.72,IF(B13="Jungle",575.43,IF(B13="Sav",599.15,IF(B13="Medi",564.36,0)))))))</f>
        <v>1150.86</v>
      </c>
      <c r="I13" s="4" t="n">
        <f aca="false">$H$31*IF(B13="Taiga",2608.19,IF(B13="Mts",2100,IF(B13="Temp",2976.19,IF(B13="Steppe",2450.48,IF(B13="Jungle",2135.05,IF(B13="Sav",2310.29,IF(B13="Medi",2485.52,0)))))))</f>
        <v>4270.1</v>
      </c>
      <c r="J13" s="4" t="n">
        <f aca="false">$H$31*IF(B13="Taiga",500.54,IF(B13="Mts",360,IF(B13="Temp",570.81,IF(B13="Steppe",441.95,IF(B13="Jungle",486.49,IF(B13="Sav",518.92,IF(B13="Medi",640,0)))))))</f>
        <v>972.98</v>
      </c>
      <c r="K13" s="4" t="n">
        <f aca="false">$H$31*IF(B13="Taiga",2003.09,IF(B13="Mts",1612.8,IF(B13="Temp",2285.71,IF(B13="Steppe",1881.97,IF(B13="Jungle",1639.72,IF(B13="Sav",1774.3,IF(B13="Medi",1908.88,0)))))))</f>
        <v>3279.44</v>
      </c>
      <c r="L13" s="4" t="n">
        <f aca="false">$H$31*IF(B13="Taiga",260.82,IF(B13="Mts",210,IF(B13="Temp",297.62,IF(B13="Steppe",245.05,IF(B13="Jungle",213.5,IF(B13="Sav",231.03,IF(B13="Medi",248.55,0)))))))</f>
        <v>427</v>
      </c>
      <c r="M13" s="4" t="n">
        <f aca="false">$H$31*IF(B13="Taiga",250,IF(B13="Mts",640,IF(B13="Temp",295.2174,IF(B13="Steppe",278.2609,IF(B13="Jungle",306.5217,IF(B13="Sav",334.7826,IF(B13="Medi",293.3333,0)))))))</f>
        <v>613.0434</v>
      </c>
      <c r="N13" s="4" t="n">
        <f aca="false">$H$31*IF(B13="Taiga",1491.9691,IF(B13="Mts",980,IF(B13="Temp",1747.9537,IF(B13="Steppe",1278.5174,IF(B13="Jungle",1440.7722,IF(B13="Sav",1558.9189,IF(B13="Medi",2000,0)))))))</f>
        <v>2881.5444</v>
      </c>
      <c r="O13" s="4" t="n">
        <f aca="false">$H$31*IF(B13="Taiga",68.5,IF(B13="Mts",25,IF(B13="Temp",100,IF(B13="Steppe",55,IF(B13="Jungle",28,IF(B13="Sav",43,IF(B13="Medi",58,0)))))))</f>
        <v>56</v>
      </c>
      <c r="P13" s="4" t="n">
        <f aca="false">$H$31*20*15/8000</f>
        <v>0.075</v>
      </c>
      <c r="Q13" s="4" t="n">
        <f aca="false">$H$31*20*15/8000</f>
        <v>0.075</v>
      </c>
      <c r="R13" s="1" t="s">
        <v>39</v>
      </c>
      <c r="S13" s="4" t="n">
        <f aca="false">C13*F13*G13*360*640*1393.66125/(2000*1000)</f>
        <v>3770.0780049648</v>
      </c>
      <c r="T13" s="4" t="n">
        <f aca="false">C13*F13*G13*J13*640*1393.66125*2/(1000*2000*3)</f>
        <v>6792.98240235306</v>
      </c>
      <c r="U13" s="4" t="n">
        <f aca="false">T13*J$28</f>
        <v>2264.32746745102</v>
      </c>
      <c r="V13" s="4" t="n">
        <f aca="false">T13-U13</f>
        <v>4528.65493490204</v>
      </c>
      <c r="W13" s="4" t="n">
        <f aca="false">C13*F13*G13*H13*640*1393.66125*2/(1000*2000*3)</f>
        <v>8034.8740236922</v>
      </c>
      <c r="X13" s="4" t="n">
        <f aca="false">W13*H$28</f>
        <v>2191.32927918878</v>
      </c>
      <c r="Y13" s="4" t="n">
        <f aca="false">W13-X13</f>
        <v>5843.54474450342</v>
      </c>
      <c r="Z13" s="4" t="n">
        <f aca="false">C13*F13*G13*M13*640*1393.66125/(1000*2000*3)</f>
        <v>2140.01985039707</v>
      </c>
      <c r="AA13" s="4" t="n">
        <f aca="false">C13*F13*G13*N13*640*1393.66125/(2000*1000)</f>
        <v>30176.7976743597</v>
      </c>
      <c r="AB13" s="4" t="n">
        <f aca="false">C13*F13*G13*O13*640*1393.66125/(2000*1000)</f>
        <v>586.45657855008</v>
      </c>
      <c r="AC13" s="4" t="n">
        <f aca="false">C13*P13*640*1393.66125/(2000*1000)</f>
        <v>4.24787949</v>
      </c>
      <c r="AD13" s="4" t="n">
        <f aca="false">C13*Q13*640*1393.66125/(2000*1000)</f>
        <v>4.24787949</v>
      </c>
      <c r="AE13" s="4" t="n">
        <f aca="false">($V13+$Z13)*2000*1000/(3*365)</f>
        <v>12180227.9183545</v>
      </c>
      <c r="AF13" s="4" t="n">
        <f aca="false">($V13+$Z13)*2000*1000/(18*100)</f>
        <v>7409638.65033235</v>
      </c>
      <c r="AG13" s="4" t="n">
        <f aca="false">($V13+$Z13)*2000*1000/(3*365)</f>
        <v>12180227.9183545</v>
      </c>
      <c r="AH13" s="4" t="n">
        <f aca="false">C13*F13*G13*K13*640*1393.66125/(2000*1000)</f>
        <v>34343.7350350049</v>
      </c>
      <c r="AI13" s="4" t="n">
        <f aca="false">3*12*D13*Populations!$S12/(5*1000)</f>
        <v>498199.248</v>
      </c>
      <c r="AJ13" s="4" t="n">
        <f aca="false">1.5*D13*750*Populations!$S12/(1000*2000*15)</f>
        <v>2594.78775</v>
      </c>
      <c r="AK13" s="4" t="n">
        <f aca="false">66*10*D13*Populations!$S12/(1000*2000*6)</f>
        <v>3805.6887</v>
      </c>
      <c r="AL13" s="4" t="n">
        <f aca="false">AE13*365/(2000*1000)</f>
        <v>2222.8915950997</v>
      </c>
      <c r="AM13" s="4" t="n">
        <f aca="false">AF13*25*238/(51*2000*1000)</f>
        <v>432.228921269387</v>
      </c>
      <c r="AN13" s="4" t="n">
        <f aca="false">AG13*100*238/(600*1000*2000)</f>
        <v>241.574520380698</v>
      </c>
      <c r="AO13" s="4" t="n">
        <f aca="false">AG13*120*2/(16*1000*2000)</f>
        <v>91.3517093876591</v>
      </c>
      <c r="AP13" s="4" t="n">
        <f aca="false">D13*4800*Populations!$S12/($AP$28*10*1000*2000)</f>
        <v>9377.56292850002</v>
      </c>
      <c r="AQ13" s="4" t="n">
        <f aca="false">D13*2*4800*Populations!$S12/($AQ$28*10*1000*2000)</f>
        <v>36067.549725</v>
      </c>
      <c r="AR13" s="4" t="n">
        <f aca="false">C13*F13*G13*L13*640*1393.66125/(2000*1000)</f>
        <v>4471.73141144436</v>
      </c>
      <c r="AS13" s="4" t="n">
        <f aca="false">AF13*600*6/(90*1000*2000)</f>
        <v>148.192773006647</v>
      </c>
      <c r="AT13" s="4" t="n">
        <f aca="false">IF(B13="Taiga",236.2,IF(B13="Mts",10,IF(B13="Temp",400,IF(B13="Steppe",25,IF(B13="Jungle",400,IF(B13="Sav",103.6,IF(B13="Medi",181.6,0)))))))*D13*AT$36*Populations!$R12/1000</f>
        <v>462355.75285008</v>
      </c>
      <c r="AU13" s="4" t="n">
        <f aca="false">INDEX(Tech!$F$3:$F$13,MATCH(E13,Tech!$E$3:$E$13,1))*D13*AT$36*Populations!$S12/(365*1000)</f>
        <v>12973.93875</v>
      </c>
      <c r="AV13" s="4" t="n">
        <f aca="false">D13*12.5*AT$36*Populations!$S12/(10*30)</f>
        <v>5405.8078125</v>
      </c>
      <c r="AW13" s="4" t="n">
        <f aca="false">0.125*D13*AW$30*Populations!$R12/1000</f>
        <v>298.002731329153</v>
      </c>
      <c r="AX13" s="4" t="n">
        <f aca="false">D13*AW$30*Populations!$S12/(3*1000)</f>
        <v>89.19582890625</v>
      </c>
      <c r="AY13" s="4" t="n">
        <f aca="false">D13*Populations!$S12/(2*1000*AY$30)/1000</f>
        <v>62.274906</v>
      </c>
      <c r="AZ13" s="4" t="n">
        <f aca="false">D13*AZ$30*Populations!$S12/(2*1000)</f>
        <v>43.2464625</v>
      </c>
      <c r="BA13" s="4" t="n">
        <f aca="false">D13*2*BA$30*Populations!$S12/1000</f>
        <v>207.58302</v>
      </c>
      <c r="BB13" s="4" t="n">
        <f aca="false">D13*3*BB$30*Populations!$S12/1000</f>
        <v>155.687265</v>
      </c>
      <c r="BC13" s="4" t="n">
        <f aca="false">D13*11*BC$30*Populations!$S12/(15*1000)</f>
        <v>30.4455096</v>
      </c>
      <c r="BD13" s="4" t="n">
        <f aca="false">D13*11*BD$30*Populations!$S12/(8*1000)</f>
        <v>71.356663125</v>
      </c>
      <c r="BE13" s="4" t="n">
        <f aca="false">D13*11*BE$30*Populations!$S12/(3*1000)</f>
        <v>46.2119342142857</v>
      </c>
      <c r="BF13" s="4" t="n">
        <f aca="false">D13*11*BF$30*Populations!$S12/(5*1000)</f>
        <v>33.299776125</v>
      </c>
      <c r="BG13" s="4" t="n">
        <f aca="false">D13*11*BG$30*Populations!$S12/(9*1000)</f>
        <v>84.57086</v>
      </c>
      <c r="BH13" s="4" t="n">
        <f aca="false">D13*11*BH$30*Populations!$S12/(12*1000)</f>
        <v>47.57110875</v>
      </c>
      <c r="BI13" s="4" t="n">
        <f aca="false">D13*BI$30*Populations!$S12/(1000*125/12)</f>
        <v>132.8531328</v>
      </c>
      <c r="BJ13" s="4" t="n">
        <f aca="false">D13*BJ$30*Populations!$S12/(30*1000)</f>
        <v>60.38359404</v>
      </c>
      <c r="BK13" s="4" t="n">
        <f aca="false">D13*BK$30*Populations!$S12/(7*1000)</f>
        <v>8.34038919642857</v>
      </c>
      <c r="BL13" s="4" t="n">
        <f aca="false">D13*BL$30*Populations!$S12/(8.5*1000)</f>
        <v>13.7371116176471</v>
      </c>
      <c r="BM13" s="4" t="n">
        <f aca="false">D13*BM$30*Populations!$S12/1000</f>
        <v>29.1913621875</v>
      </c>
      <c r="BN13" s="4" t="n">
        <f aca="false">D13*BN$30*Populations!$S12/(1.5*1000)</f>
        <v>69.19434</v>
      </c>
      <c r="BO13" s="4" t="n">
        <f aca="false">D13*BO$30*Populations!$S12/(2*1000)</f>
        <v>56.22040125</v>
      </c>
      <c r="BP13" s="4" t="n">
        <f aca="false">D13*BP$30*Populations!$S12/(4*1000)</f>
        <v>12.97393875</v>
      </c>
      <c r="BQ13" s="4" t="n">
        <f aca="false">D13*Populations!$R12*10/(3*1000*2000)</f>
        <v>1027.45722855573</v>
      </c>
      <c r="BR13" s="4" t="n">
        <f aca="false">D13*2*Populations!$R12/(30*1000*2000)</f>
        <v>20.5491445711146</v>
      </c>
      <c r="BS13" s="4" t="n">
        <f aca="false">D13*2*Populations!$S12/((37.5/12)*1000*2000)</f>
        <v>22.1421888</v>
      </c>
      <c r="BT13" s="4" t="n">
        <f aca="false">D13*2*Populations!$S12/((20/9)*1000*2000)</f>
        <v>31.137453</v>
      </c>
      <c r="BU13" s="4" t="n">
        <f aca="false">AF13*25*4/(51*$BU$32)</f>
        <v>3.63217580898644</v>
      </c>
      <c r="BV13" s="4" t="n">
        <f aca="false">D13*Populations!$S12*12/($BV$30*3)</f>
        <v>217.962171</v>
      </c>
      <c r="BW13" s="4" t="n">
        <f aca="false">D13*Populations!$S12*12/(2*$BW$30)</f>
        <v>186.824718</v>
      </c>
      <c r="BX13" s="4" t="n">
        <f aca="false">D13*Populations!$S12*12/(5*$BX$30)</f>
        <v>93.4123589999999</v>
      </c>
      <c r="BY13" s="4" t="n">
        <f aca="false">D13*Populations!$S12/(2*$BY$30)</f>
        <v>54.49054275</v>
      </c>
      <c r="BZ13" s="4" t="n">
        <f aca="false">D13*Populations!$R12*500/(1000*2000)</f>
        <v>154118.58428336</v>
      </c>
      <c r="CA13" s="4" t="n">
        <f aca="false">D13*Populations!R12*15/(1000*2000)</f>
        <v>4623.5575285008</v>
      </c>
      <c r="CB13" s="4" t="n">
        <f aca="false">IF(B13="Mts",1,D13*Populations!R12*30/(1000*2000))</f>
        <v>9247.11505700159</v>
      </c>
      <c r="CC13" s="4" t="n">
        <f aca="false">D13*40*Populations!R12/(1000*2000)</f>
        <v>12329.4867426688</v>
      </c>
      <c r="CD13" s="4" t="n">
        <f aca="false">D13*40*Populations!R12/(1000*2000)</f>
        <v>12329.4867426688</v>
      </c>
      <c r="CE13" s="4" t="n">
        <f aca="false">D13*20*Populations!R12/(1000*2000)</f>
        <v>6164.74337133439</v>
      </c>
      <c r="CF13" s="4" t="n">
        <f aca="false">D13*8.3454*32*Populations!$S12/(1000*2000)</f>
        <v>9239.271120576</v>
      </c>
      <c r="CG13" s="4" t="n">
        <f aca="false">D13*50*2*Populations!$S12/(3*1000*2000)</f>
        <v>1153.239</v>
      </c>
      <c r="CH13" s="4" t="n">
        <f aca="false">IF(B13="Mts",20*D13*Populations!$R12/1000,0.001)</f>
        <v>0.001</v>
      </c>
      <c r="CI13" s="4" t="n">
        <f aca="false">IF(NOT(CH13=0.001),0.006*CH13/3,0.001)</f>
        <v>0.001</v>
      </c>
      <c r="CJ13" s="4" t="n">
        <f aca="false">IF(NOT(CH13=0.001),0.7*CH13/3,0.001)</f>
        <v>0.001</v>
      </c>
      <c r="CK13" s="4" t="n">
        <f aca="false">IF(NOT(CH13=0.001),0.65*CH13/3,0.001)</f>
        <v>0.001</v>
      </c>
      <c r="CL13" s="4" t="n">
        <f aca="false">IF(NOT(CH13=0.001),0.002*CH13/3,0.001)</f>
        <v>0.001</v>
      </c>
      <c r="CM13" s="4" t="n">
        <f aca="false">IF(NOT(CH13=0.001),0.001*CH13/3,0.001)</f>
        <v>0.001</v>
      </c>
      <c r="CN13" s="4" t="n">
        <f aca="false">D13*3*110/(24*2000)*Populations!$S12</f>
        <v>475711.0875</v>
      </c>
      <c r="CO13" s="4" t="n">
        <f aca="false">D13*3*12/(24*2000)*Populations!$S12</f>
        <v>51895.755</v>
      </c>
      <c r="CP13" s="4" t="n">
        <f aca="false">D13*3*1.4/(24*2000)*Populations!$S12</f>
        <v>6054.50475</v>
      </c>
      <c r="CQ13" s="4" t="n">
        <f aca="false">D13*6400*8.3454*Populations!$S12/(10*1000*2000)</f>
        <v>184785.42241152</v>
      </c>
      <c r="CR13" s="4" t="n">
        <f aca="false">D13*2*Populations!$S12/(1000*2000)</f>
        <v>69.19434</v>
      </c>
      <c r="CS13" s="4" t="n">
        <f aca="false">D13*2*30*Populations!$S12/(1000*2000)</f>
        <v>2075.8302</v>
      </c>
      <c r="CT13" s="4" t="n">
        <f aca="false">27*Populations!$R12/(4*1000*2000)</f>
        <v>11.558893821252</v>
      </c>
      <c r="CU13" s="4" t="n">
        <f aca="false">27*Populations!$R12/(16*1000*2000)</f>
        <v>2.889723455313</v>
      </c>
      <c r="CV13" s="4" t="n">
        <f aca="false">AP13*0.9</f>
        <v>8439.80663565002</v>
      </c>
      <c r="CW13" s="4" t="n">
        <f aca="false">2.5*D13*Populations!$R12/(60*2000)</f>
        <v>12843.2153569467</v>
      </c>
      <c r="CX13" s="4" t="n">
        <f aca="false">D13*125*Populations!R12/(6*1000*2000)</f>
        <v>6421.60767847333</v>
      </c>
      <c r="CY13" s="4" t="n">
        <f aca="false">D13*1.875*2*Populations!R12/(6*1000*2000)</f>
        <v>192.6482303542</v>
      </c>
      <c r="CZ13" s="4" t="n">
        <f aca="false">D13*2*20*Populations!$R12/(1000*2000)</f>
        <v>12329.4867426688</v>
      </c>
      <c r="DA13" s="4" t="n">
        <f aca="false">IF(NOT(CH13=0.001),CH13*0.00001,0.001)</f>
        <v>0.001</v>
      </c>
      <c r="DB13" s="4" t="n">
        <f aca="false">IF(NOT(CH13=0.001),CH13*0.00001,0.001)</f>
        <v>0.001</v>
      </c>
      <c r="DC13" s="4" t="n">
        <f aca="false">D13*0.02*12*Populations!$S12/(3*1000*2000)</f>
        <v>2.7677736</v>
      </c>
      <c r="DD13" s="4" t="n">
        <f aca="false">D13*0.5*12*Populations!$S12/(5*1000*2000)</f>
        <v>41.516604</v>
      </c>
      <c r="DE13" s="4" t="n">
        <f aca="false">D13*6*25*Populations!$S12/(1000*2000)</f>
        <v>5189.5755</v>
      </c>
      <c r="DG13" s="4" t="n">
        <f aca="false">PRODUCT(AC13:AD13)</f>
        <v>18.0444801615627</v>
      </c>
      <c r="DH13" s="4" t="n">
        <f aca="false">LOG(PRODUCT(S13,V13,Y13:AB13,AE13:AH13,AL13:AO13,AR13:AT13,AW13,BQ13:BU13,BZ13,CH13:CM13,CT13:CU13,CW13:DB13),2)</f>
        <v>253.024819829005</v>
      </c>
      <c r="DI13" s="4" t="n">
        <f aca="false">LOG(PRODUCT($AI13:$AK13,$AP13:$AQ13,$AU13:$AV13,AX13:BP13,BV13:BY13,CA13:CG13,CN13:CS13,CV13,DC13:DE13),2)</f>
        <v>433.394342001357</v>
      </c>
      <c r="DK13" s="4" t="n">
        <f aca="false">SUM(DG13:DI13)</f>
        <v>704.463641991925</v>
      </c>
    </row>
    <row r="14" s="4" customFormat="true" ht="12.8" hidden="false" customHeight="false" outlineLevel="0" collapsed="false">
      <c r="A14" s="0" t="s">
        <v>147</v>
      </c>
      <c r="B14" s="0" t="s">
        <v>146</v>
      </c>
      <c r="C14" s="0" t="n">
        <v>99</v>
      </c>
      <c r="D14" s="0" t="n">
        <f aca="false">IF(B14="Taiga",265,IF(B14="Mts",265,IF(B14="Temp",230,IF(B14="Steppe",265,IF(B14="Jungle",180,IF(B14="Sav",240,IF(B14="Medi",230,0)))))))</f>
        <v>180</v>
      </c>
      <c r="E14" s="0" t="n">
        <v>1</v>
      </c>
      <c r="F14" s="4" t="n">
        <f aca="false">IF(B14="Taiga",0.43,IF(B14="Mts",0.21,IF(B14="Temp",0.64,IF(B14="Steppe",0.57,IF(B14="Jungle",0.43,IF(B14="Sav",0.57,IF(B14="Medi",0.43,0)))))))</f>
        <v>0.43</v>
      </c>
      <c r="G14" s="4" t="n">
        <f aca="false">IF(B14="Taiga",0.43,IF(B14="Mts",0.8,IF(B14="Temp",0.64,IF(B14="Steppe",0.64,IF(B14="Jungle",0.43,IF(B14="Sav",0.8,IF(B14="Medi",0.6,0)))))))</f>
        <v>0.43</v>
      </c>
      <c r="H14" s="4" t="n">
        <f aca="false">$H$31*IF(B14="Taiga",528,IF(B14="Mts",855.27,IF(B14="Temp",565.94,IF(B14="Steppe",551.72,IF(B14="Jungle",575.43,IF(B14="Sav",599.15,IF(B14="Medi",564.36,0)))))))</f>
        <v>1150.86</v>
      </c>
      <c r="I14" s="4" t="n">
        <f aca="false">$H$31*IF(B14="Taiga",2608.19,IF(B14="Mts",2100,IF(B14="Temp",2976.19,IF(B14="Steppe",2450.48,IF(B14="Jungle",2135.05,IF(B14="Sav",2310.29,IF(B14="Medi",2485.52,0)))))))</f>
        <v>4270.1</v>
      </c>
      <c r="J14" s="4" t="n">
        <f aca="false">$H$31*IF(B14="Taiga",500.54,IF(B14="Mts",360,IF(B14="Temp",570.81,IF(B14="Steppe",441.95,IF(B14="Jungle",486.49,IF(B14="Sav",518.92,IF(B14="Medi",640,0)))))))</f>
        <v>972.98</v>
      </c>
      <c r="K14" s="4" t="n">
        <f aca="false">$H$31*IF(B14="Taiga",2003.09,IF(B14="Mts",1612.8,IF(B14="Temp",2285.71,IF(B14="Steppe",1881.97,IF(B14="Jungle",1639.72,IF(B14="Sav",1774.3,IF(B14="Medi",1908.88,0)))))))</f>
        <v>3279.44</v>
      </c>
      <c r="L14" s="4" t="n">
        <f aca="false">$H$31*IF(B14="Taiga",260.82,IF(B14="Mts",210,IF(B14="Temp",297.62,IF(B14="Steppe",245.05,IF(B14="Jungle",213.5,IF(B14="Sav",231.03,IF(B14="Medi",248.55,0)))))))</f>
        <v>427</v>
      </c>
      <c r="M14" s="4" t="n">
        <f aca="false">$H$31*IF(B14="Taiga",250,IF(B14="Mts",640,IF(B14="Temp",295.2174,IF(B14="Steppe",278.2609,IF(B14="Jungle",306.5217,IF(B14="Sav",334.7826,IF(B14="Medi",293.3333,0)))))))</f>
        <v>613.0434</v>
      </c>
      <c r="N14" s="4" t="n">
        <f aca="false">$H$31*IF(B14="Taiga",1491.9691,IF(B14="Mts",980,IF(B14="Temp",1747.9537,IF(B14="Steppe",1278.5174,IF(B14="Jungle",1440.7722,IF(B14="Sav",1558.9189,IF(B14="Medi",2000,0)))))))</f>
        <v>2881.5444</v>
      </c>
      <c r="O14" s="4" t="n">
        <f aca="false">$H$31*IF(B14="Taiga",68.5,IF(B14="Mts",25,IF(B14="Temp",100,IF(B14="Steppe",55,IF(B14="Jungle",28,IF(B14="Sav",43,IF(B14="Medi",58,0)))))))</f>
        <v>56</v>
      </c>
      <c r="P14" s="4" t="n">
        <f aca="false">$H$31*20*15/8000</f>
        <v>0.075</v>
      </c>
      <c r="Q14" s="4" t="n">
        <f aca="false">$H$31*20*15/8000</f>
        <v>0.075</v>
      </c>
      <c r="R14" s="1" t="s">
        <v>39</v>
      </c>
      <c r="S14" s="4" t="n">
        <f aca="false">C14*F14*G14*360*640*1393.66125/(2000*1000)</f>
        <v>2938.8797046576</v>
      </c>
      <c r="T14" s="4" t="n">
        <f aca="false">C14*F14*G14*J14*640*1393.66125*2/(1000*2000*3)</f>
        <v>5295.31699081065</v>
      </c>
      <c r="U14" s="4" t="n">
        <f aca="false">T14*J$28</f>
        <v>1765.10566360355</v>
      </c>
      <c r="V14" s="4" t="n">
        <f aca="false">T14-U14</f>
        <v>3530.2113272071</v>
      </c>
      <c r="W14" s="4" t="n">
        <f aca="false">C14*F14*G14*H14*640*1393.66125*2/(1000*2000*3)</f>
        <v>6263.40573500416</v>
      </c>
      <c r="X14" s="4" t="n">
        <f aca="false">W14*H$28</f>
        <v>1708.20156409204</v>
      </c>
      <c r="Y14" s="4" t="n">
        <f aca="false">W14-X14</f>
        <v>4555.20417091211</v>
      </c>
      <c r="Z14" s="4" t="n">
        <f aca="false">C14*F14*G14*M14*640*1393.66125/(1000*2000*3)</f>
        <v>1668.20445030953</v>
      </c>
      <c r="AA14" s="4" t="n">
        <f aca="false">C14*F14*G14*N14*640*1393.66125/(2000*1000)</f>
        <v>23523.6454311938</v>
      </c>
      <c r="AB14" s="4" t="n">
        <f aca="false">C14*F14*G14*O14*640*1393.66125/(2000*1000)</f>
        <v>457.15906516896</v>
      </c>
      <c r="AC14" s="4" t="n">
        <f aca="false">C14*P14*640*1393.66125/(2000*1000)</f>
        <v>3.31133913</v>
      </c>
      <c r="AD14" s="4" t="n">
        <f aca="false">C14*Q14*640*1393.66125/(2000*1000)</f>
        <v>3.31133913</v>
      </c>
      <c r="AE14" s="4" t="n">
        <f aca="false">($V14+$Z14)*2000*1000/(3*365)</f>
        <v>9494823.33792992</v>
      </c>
      <c r="AF14" s="4" t="n">
        <f aca="false">($V14+$Z14)*2000*1000/(18*100)</f>
        <v>5776017.53057403</v>
      </c>
      <c r="AG14" s="4" t="n">
        <f aca="false">($V14+$Z14)*2000*1000/(3*365)</f>
        <v>9494823.33792992</v>
      </c>
      <c r="AH14" s="4" t="n">
        <f aca="false">C14*F14*G14*K14*640*1393.66125/(2000*1000)</f>
        <v>26771.8879406731</v>
      </c>
      <c r="AI14" s="4" t="n">
        <f aca="false">3*12*D14*Populations!$S13/(5*1000)</f>
        <v>323801.712</v>
      </c>
      <c r="AJ14" s="4" t="n">
        <f aca="false">1.5*D14*750*Populations!$S13/(1000*2000*15)</f>
        <v>1686.46725</v>
      </c>
      <c r="AK14" s="4" t="n">
        <f aca="false">66*10*D14*Populations!$S13/(1000*2000*6)</f>
        <v>2473.4853</v>
      </c>
      <c r="AL14" s="4" t="n">
        <f aca="false">AE14*365/(2000*1000)</f>
        <v>1732.80525917221</v>
      </c>
      <c r="AM14" s="4" t="n">
        <f aca="false">AF14*25*238/(51*2000*1000)</f>
        <v>336.934355950152</v>
      </c>
      <c r="AN14" s="4" t="n">
        <f aca="false">AG14*100*238/(600*1000*2000)</f>
        <v>188.313996202277</v>
      </c>
      <c r="AO14" s="4" t="n">
        <f aca="false">AG14*120*2/(16*1000*2000)</f>
        <v>71.2111750344744</v>
      </c>
      <c r="AP14" s="4" t="n">
        <f aca="false">D14*4800*Populations!$S13/($AP$28*10*1000*2000)</f>
        <v>6094.89264150001</v>
      </c>
      <c r="AQ14" s="4" t="n">
        <f aca="false">D14*2*4800*Populations!$S13/($AQ$28*10*1000*2000)</f>
        <v>23441.894775</v>
      </c>
      <c r="AR14" s="4" t="n">
        <f aca="false">C14*F14*G14*L14*640*1393.66125/(2000*1000)</f>
        <v>3485.83787191332</v>
      </c>
      <c r="AS14" s="4" t="n">
        <f aca="false">AF14*600*6/(90*1000*2000)</f>
        <v>115.520350611481</v>
      </c>
      <c r="AT14" s="4" t="n">
        <f aca="false">IF(B14="Taiga",236.2,IF(B14="Mts",10,IF(B14="Temp",400,IF(B14="Steppe",25,IF(B14="Jungle",400,IF(B14="Sav",103.6,IF(B14="Medi",181.6,0)))))))*D14*AT$36*Populations!$R13/1000</f>
        <v>367143.854499393</v>
      </c>
      <c r="AU14" s="4" t="n">
        <f aca="false">INDEX(Tech!$F$3:$F$13,MATCH(E14,Tech!$E$3:$E$13,1))*D14*AT$36*Populations!$S13/(365*1000)</f>
        <v>8432.33625</v>
      </c>
      <c r="AV14" s="4" t="n">
        <f aca="false">D14*12.5*AT$36*Populations!$S13/(10*30)</f>
        <v>3513.4734375</v>
      </c>
      <c r="AW14" s="4" t="n">
        <f aca="false">0.125*D14*AW$30*Populations!$R13/1000</f>
        <v>236.635687470312</v>
      </c>
      <c r="AX14" s="4" t="n">
        <f aca="false">D14*AW$30*Populations!$S13/(3*1000)</f>
        <v>57.97231171875</v>
      </c>
      <c r="AY14" s="4" t="n">
        <f aca="false">D14*Populations!$S13/(2*1000*AY$30)/1000</f>
        <v>40.475214</v>
      </c>
      <c r="AZ14" s="4" t="n">
        <f aca="false">D14*AZ$30*Populations!$S13/(2*1000)</f>
        <v>28.1077875</v>
      </c>
      <c r="BA14" s="4" t="n">
        <f aca="false">D14*2*BA$30*Populations!$S13/1000</f>
        <v>134.91738</v>
      </c>
      <c r="BB14" s="4" t="n">
        <f aca="false">D14*3*BB$30*Populations!$S13/1000</f>
        <v>101.188035</v>
      </c>
      <c r="BC14" s="4" t="n">
        <f aca="false">D14*11*BC$30*Populations!$S13/(15*1000)</f>
        <v>19.7878824</v>
      </c>
      <c r="BD14" s="4" t="n">
        <f aca="false">D14*11*BD$30*Populations!$S13/(8*1000)</f>
        <v>46.377849375</v>
      </c>
      <c r="BE14" s="4" t="n">
        <f aca="false">D14*11*BE$30*Populations!$S13/(3*1000)</f>
        <v>30.0351786428571</v>
      </c>
      <c r="BF14" s="4" t="n">
        <f aca="false">D14*11*BF$30*Populations!$S13/(5*1000)</f>
        <v>21.642996375</v>
      </c>
      <c r="BG14" s="4" t="n">
        <f aca="false">D14*11*BG$30*Populations!$S13/(9*1000)</f>
        <v>54.96634</v>
      </c>
      <c r="BH14" s="4" t="n">
        <f aca="false">D14*11*BH$30*Populations!$S13/(12*1000)</f>
        <v>30.91856625</v>
      </c>
      <c r="BI14" s="4" t="n">
        <f aca="false">D14*BI$30*Populations!$S13/(1000*125/12)</f>
        <v>86.3471232</v>
      </c>
      <c r="BJ14" s="4" t="n">
        <f aca="false">D14*BJ$30*Populations!$S13/(30*1000)</f>
        <v>39.24596676</v>
      </c>
      <c r="BK14" s="4" t="n">
        <f aca="false">D14*BK$30*Populations!$S13/(7*1000)</f>
        <v>5.42078758928572</v>
      </c>
      <c r="BL14" s="4" t="n">
        <f aca="false">D14*BL$30*Populations!$S13/(8.5*1000)</f>
        <v>8.92835602941177</v>
      </c>
      <c r="BM14" s="4" t="n">
        <f aca="false">D14*BM$30*Populations!$S13/1000</f>
        <v>18.9727565625</v>
      </c>
      <c r="BN14" s="4" t="n">
        <f aca="false">D14*BN$30*Populations!$S13/(1.5*1000)</f>
        <v>44.97246</v>
      </c>
      <c r="BO14" s="4" t="n">
        <f aca="false">D14*BO$30*Populations!$S13/(2*1000)</f>
        <v>36.54012375</v>
      </c>
      <c r="BP14" s="4" t="n">
        <f aca="false">D14*BP$30*Populations!$S13/(4*1000)</f>
        <v>8.43233625</v>
      </c>
      <c r="BQ14" s="4" t="n">
        <f aca="false">D14*Populations!$R13*10/(3*1000*2000)</f>
        <v>815.875232220872</v>
      </c>
      <c r="BR14" s="4" t="n">
        <f aca="false">D14*2*Populations!$R13/(30*1000*2000)</f>
        <v>16.3175046444175</v>
      </c>
      <c r="BS14" s="4" t="n">
        <f aca="false">D14*2*Populations!$S13/((37.5/12)*1000*2000)</f>
        <v>14.3911872</v>
      </c>
      <c r="BT14" s="4" t="n">
        <f aca="false">D14*2*Populations!$S13/((20/9)*1000*2000)</f>
        <v>20.237607</v>
      </c>
      <c r="BU14" s="4" t="n">
        <f aca="false">AF14*25*4/(51*$BU$32)</f>
        <v>2.83138114243825</v>
      </c>
      <c r="BV14" s="4" t="n">
        <f aca="false">D14*Populations!$S13*12/($BV$30*3)</f>
        <v>141.663249</v>
      </c>
      <c r="BW14" s="4" t="n">
        <f aca="false">D14*Populations!$S13*12/(2*$BW$30)</f>
        <v>121.425642</v>
      </c>
      <c r="BX14" s="4" t="n">
        <f aca="false">D14*Populations!$S13*12/(5*$BX$30)</f>
        <v>60.7128209999999</v>
      </c>
      <c r="BY14" s="4" t="n">
        <f aca="false">D14*Populations!$S13/(2*$BY$30)</f>
        <v>35.41581225</v>
      </c>
      <c r="BZ14" s="4" t="n">
        <f aca="false">D14*Populations!$R13*500/(1000*2000)</f>
        <v>122381.284833131</v>
      </c>
      <c r="CA14" s="4" t="n">
        <f aca="false">D14*Populations!R13*15/(1000*2000)</f>
        <v>3671.43854499393</v>
      </c>
      <c r="CB14" s="4" t="n">
        <f aca="false">IF(B14="Mts",1,D14*Populations!R13*30/(1000*2000))</f>
        <v>7342.87708998785</v>
      </c>
      <c r="CC14" s="4" t="n">
        <f aca="false">D14*40*Populations!R13/(1000*2000)</f>
        <v>9790.50278665047</v>
      </c>
      <c r="CD14" s="4" t="n">
        <f aca="false">D14*40*Populations!R13/(1000*2000)</f>
        <v>9790.50278665047</v>
      </c>
      <c r="CE14" s="4" t="n">
        <f aca="false">D14*20*Populations!R13/(1000*2000)</f>
        <v>4895.25139332523</v>
      </c>
      <c r="CF14" s="4" t="n">
        <f aca="false">D14*8.3454*32*Populations!$S13/(1000*2000)</f>
        <v>6005.010682944</v>
      </c>
      <c r="CG14" s="4" t="n">
        <f aca="false">D14*50*2*Populations!$S13/(3*1000*2000)</f>
        <v>749.541</v>
      </c>
      <c r="CH14" s="4" t="n">
        <f aca="false">IF(B14="Mts",20*D14*Populations!$R13/1000,0.001)</f>
        <v>0.001</v>
      </c>
      <c r="CI14" s="4" t="n">
        <f aca="false">IF(NOT(CH14=0.001),0.006*CH14/3,0.001)</f>
        <v>0.001</v>
      </c>
      <c r="CJ14" s="4" t="n">
        <f aca="false">IF(NOT(CH14=0.001),0.7*CH14/3,0.001)</f>
        <v>0.001</v>
      </c>
      <c r="CK14" s="4" t="n">
        <f aca="false">IF(NOT(CH14=0.001),0.65*CH14/3,0.001)</f>
        <v>0.001</v>
      </c>
      <c r="CL14" s="4" t="n">
        <f aca="false">IF(NOT(CH14=0.001),0.002*CH14/3,0.001)</f>
        <v>0.001</v>
      </c>
      <c r="CM14" s="4" t="n">
        <f aca="false">IF(NOT(CH14=0.001),0.001*CH14/3,0.001)</f>
        <v>0.001</v>
      </c>
      <c r="CN14" s="4" t="n">
        <f aca="false">D14*3*110/(24*2000)*Populations!$S13</f>
        <v>309185.6625</v>
      </c>
      <c r="CO14" s="4" t="n">
        <f aca="false">D14*3*12/(24*2000)*Populations!$S13</f>
        <v>33729.345</v>
      </c>
      <c r="CP14" s="4" t="n">
        <f aca="false">D14*3*1.4/(24*2000)*Populations!$S13</f>
        <v>3935.09025</v>
      </c>
      <c r="CQ14" s="4" t="n">
        <f aca="false">D14*6400*8.3454*Populations!$S13/(10*1000*2000)</f>
        <v>120100.21365888</v>
      </c>
      <c r="CR14" s="4" t="n">
        <f aca="false">D14*2*Populations!$S13/(1000*2000)</f>
        <v>44.97246</v>
      </c>
      <c r="CS14" s="4" t="n">
        <f aca="false">D14*2*30*Populations!$S13/(1000*2000)</f>
        <v>1349.1738</v>
      </c>
      <c r="CT14" s="4" t="n">
        <f aca="false">27*Populations!$R13/(4*1000*2000)</f>
        <v>9.17859636248481</v>
      </c>
      <c r="CU14" s="4" t="n">
        <f aca="false">27*Populations!$R13/(16*1000*2000)</f>
        <v>2.2946490906212</v>
      </c>
      <c r="CV14" s="4" t="n">
        <f aca="false">AP14*0.9</f>
        <v>5485.40337735001</v>
      </c>
      <c r="CW14" s="4" t="n">
        <f aca="false">2.5*D14*Populations!$R13/(60*2000)</f>
        <v>10198.4404027609</v>
      </c>
      <c r="CX14" s="4" t="n">
        <f aca="false">D14*125*Populations!R13/(6*1000*2000)</f>
        <v>5099.22020138045</v>
      </c>
      <c r="CY14" s="4" t="n">
        <f aca="false">D14*1.875*2*Populations!R13/(6*1000*2000)</f>
        <v>152.976606041414</v>
      </c>
      <c r="CZ14" s="4" t="n">
        <f aca="false">D14*2*20*Populations!$R13/(1000*2000)</f>
        <v>9790.50278665047</v>
      </c>
      <c r="DA14" s="4" t="n">
        <f aca="false">IF(NOT(CH14=0.001),CH14*0.00001,0.001)</f>
        <v>0.001</v>
      </c>
      <c r="DB14" s="4" t="n">
        <f aca="false">IF(NOT(CH14=0.001),CH14*0.00001,0.001)</f>
        <v>0.001</v>
      </c>
      <c r="DC14" s="4" t="n">
        <f aca="false">D14*0.02*12*Populations!$S13/(3*1000*2000)</f>
        <v>1.7988984</v>
      </c>
      <c r="DD14" s="4" t="n">
        <f aca="false">D14*0.5*12*Populations!$S13/(5*1000*2000)</f>
        <v>26.983476</v>
      </c>
      <c r="DE14" s="4" t="n">
        <f aca="false">D14*6*25*Populations!$S13/(1000*2000)</f>
        <v>3372.9345</v>
      </c>
      <c r="DG14" s="4" t="n">
        <f aca="false">PRODUCT(AC14:AD14)</f>
        <v>10.9649668338692</v>
      </c>
      <c r="DH14" s="4" t="n">
        <f aca="false">LOG(PRODUCT(S14,V14,Y14:AB14,AE14:AH14,AL14:AO14,AR14:AT14,AW14,BQ14:BU14,BZ14,CH14:CM14,CT14:CU14,CW14:DB14),2)</f>
        <v>242.013781465464</v>
      </c>
      <c r="DI14" s="4" t="n">
        <f aca="false">LOG(PRODUCT($AI14:$AK14,$AP14:$AQ14,$AU14:$AV14,AX14:BP14,BV14:BY14,CA14:CG14,CN14:CS14,CV14,DC14:DE14),2)</f>
        <v>405.623338881405</v>
      </c>
      <c r="DK14" s="4" t="n">
        <f aca="false">SUM(DG14:DI14)</f>
        <v>658.602087180738</v>
      </c>
    </row>
    <row r="15" s="4" customFormat="true" ht="12.8" hidden="false" customHeight="false" outlineLevel="0" collapsed="false">
      <c r="A15" s="0" t="s">
        <v>148</v>
      </c>
      <c r="B15" s="0" t="s">
        <v>149</v>
      </c>
      <c r="C15" s="0" t="n">
        <v>80</v>
      </c>
      <c r="D15" s="0" t="n">
        <f aca="false">IF(B15="Taiga",265,IF(B15="Mts",265,IF(B15="Temp",230,IF(B15="Steppe",265,IF(B15="Jungle",180,IF(B15="Sav",240,IF(B15="Medi",230,0)))))))</f>
        <v>240</v>
      </c>
      <c r="E15" s="0" t="n">
        <v>1</v>
      </c>
      <c r="F15" s="4" t="n">
        <f aca="false">IF(B15="Taiga",0.43,IF(B15="Mts",0.21,IF(B15="Temp",0.64,IF(B15="Steppe",0.57,IF(B15="Jungle",0.43,IF(B15="Sav",0.57,IF(B15="Medi",0.43,0)))))))</f>
        <v>0.57</v>
      </c>
      <c r="G15" s="4" t="n">
        <f aca="false">IF(B15="Taiga",0.43,IF(B15="Mts",0.8,IF(B15="Temp",0.64,IF(B15="Steppe",0.64,IF(B15="Jungle",0.43,IF(B15="Sav",0.8,IF(B15="Medi",0.6,0)))))))</f>
        <v>0.8</v>
      </c>
      <c r="H15" s="4" t="n">
        <f aca="false">$H$31*IF(B15="Taiga",528,IF(B15="Mts",855.27,IF(B15="Temp",565.94,IF(B15="Steppe",551.72,IF(B15="Jungle",575.43,IF(B15="Sav",599.15,IF(B15="Medi",564.36,0)))))))</f>
        <v>1198.3</v>
      </c>
      <c r="I15" s="4" t="n">
        <f aca="false">$H$31*IF(B15="Taiga",2608.19,IF(B15="Mts",2100,IF(B15="Temp",2976.19,IF(B15="Steppe",2450.48,IF(B15="Jungle",2135.05,IF(B15="Sav",2310.29,IF(B15="Medi",2485.52,0)))))))</f>
        <v>4620.58</v>
      </c>
      <c r="J15" s="4" t="n">
        <f aca="false">$H$31*IF(B15="Taiga",500.54,IF(B15="Mts",360,IF(B15="Temp",570.81,IF(B15="Steppe",441.95,IF(B15="Jungle",486.49,IF(B15="Sav",518.92,IF(B15="Medi",640,0)))))))</f>
        <v>1037.84</v>
      </c>
      <c r="K15" s="4" t="n">
        <f aca="false">$H$31*IF(B15="Taiga",2003.09,IF(B15="Mts",1612.8,IF(B15="Temp",2285.71,IF(B15="Steppe",1881.97,IF(B15="Jungle",1639.72,IF(B15="Sav",1774.3,IF(B15="Medi",1908.88,0)))))))</f>
        <v>3548.6</v>
      </c>
      <c r="L15" s="4" t="n">
        <f aca="false">$H$31*IF(B15="Taiga",260.82,IF(B15="Mts",210,IF(B15="Temp",297.62,IF(B15="Steppe",245.05,IF(B15="Jungle",213.5,IF(B15="Sav",231.03,IF(B15="Medi",248.55,0)))))))</f>
        <v>462.06</v>
      </c>
      <c r="M15" s="4" t="n">
        <f aca="false">$H$31*IF(B15="Taiga",250,IF(B15="Mts",640,IF(B15="Temp",295.2174,IF(B15="Steppe",278.2609,IF(B15="Jungle",306.5217,IF(B15="Sav",334.7826,IF(B15="Medi",293.3333,0)))))))</f>
        <v>669.5652</v>
      </c>
      <c r="N15" s="4" t="n">
        <f aca="false">$H$31*IF(B15="Taiga",1491.9691,IF(B15="Mts",980,IF(B15="Temp",1747.9537,IF(B15="Steppe",1278.5174,IF(B15="Jungle",1440.7722,IF(B15="Sav",1558.9189,IF(B15="Medi",2000,0)))))))</f>
        <v>3117.8378</v>
      </c>
      <c r="O15" s="4" t="n">
        <f aca="false">$H$31*IF(B15="Taiga",68.5,IF(B15="Mts",25,IF(B15="Temp",100,IF(B15="Steppe",55,IF(B15="Jungle",28,IF(B15="Sav",43,IF(B15="Medi",58,0)))))))</f>
        <v>86</v>
      </c>
      <c r="P15" s="4" t="n">
        <f aca="false">$H$31*20*15/8000</f>
        <v>0.075</v>
      </c>
      <c r="Q15" s="4" t="n">
        <f aca="false">$H$31*20*15/8000</f>
        <v>0.075</v>
      </c>
      <c r="R15" s="1" t="s">
        <v>39</v>
      </c>
      <c r="S15" s="4" t="n">
        <f aca="false">C15*F15*G15*360*640*1393.66125/(2000*1000)</f>
        <v>5856.85582848</v>
      </c>
      <c r="T15" s="4" t="n">
        <f aca="false">C15*F15*G15*J15*640*1393.66125*2/(1000*2000*3)</f>
        <v>11256.4430611661</v>
      </c>
      <c r="U15" s="4" t="n">
        <f aca="false">T15*J$28</f>
        <v>3752.14768705536</v>
      </c>
      <c r="V15" s="4" t="n">
        <f aca="false">T15-U15</f>
        <v>7504.29537411072</v>
      </c>
      <c r="W15" s="4" t="n">
        <f aca="false">C15*F15*G15*H15*640*1393.66125*2/(1000*2000*3)</f>
        <v>12996.7969245696</v>
      </c>
      <c r="X15" s="4" t="n">
        <f aca="false">W15*H$28</f>
        <v>3544.58097942807</v>
      </c>
      <c r="Y15" s="4" t="n">
        <f aca="false">W15-X15</f>
        <v>9452.21594514153</v>
      </c>
      <c r="Z15" s="4" t="n">
        <f aca="false">C15*F15*G15*M15*640*1393.66125/(1000*2000*3)</f>
        <v>3631.06189274757</v>
      </c>
      <c r="AA15" s="4" t="n">
        <f aca="false">C15*F15*G15*N15*640*1393.66125/(2000*1000)</f>
        <v>50724.2402532924</v>
      </c>
      <c r="AB15" s="4" t="n">
        <f aca="false">C15*F15*G15*O15*640*1393.66125/(2000*1000)</f>
        <v>1399.137781248</v>
      </c>
      <c r="AC15" s="4" t="n">
        <f aca="false">C15*P15*640*1393.66125/(2000*1000)</f>
        <v>2.6758296</v>
      </c>
      <c r="AD15" s="4" t="n">
        <f aca="false">C15*Q15*640*1393.66125/(2000*1000)</f>
        <v>2.6758296</v>
      </c>
      <c r="AE15" s="4" t="n">
        <f aca="false">($V15+$Z15)*2000*1000/(3*365)</f>
        <v>20338552.0855859</v>
      </c>
      <c r="AF15" s="4" t="n">
        <f aca="false">($V15+$Z15)*2000*1000/(18*100)</f>
        <v>12372619.1853981</v>
      </c>
      <c r="AG15" s="4" t="n">
        <f aca="false">($V15+$Z15)*2000*1000/(3*365)</f>
        <v>20338552.0855859</v>
      </c>
      <c r="AH15" s="4" t="n">
        <f aca="false">C15*F15*G15*K15*640*1393.66125/(2000*1000)</f>
        <v>57732.3294248448</v>
      </c>
      <c r="AI15" s="4" t="n">
        <f aca="false">3*12*D15*Populations!$S14/(5*1000)</f>
        <v>500217.984</v>
      </c>
      <c r="AJ15" s="4" t="n">
        <f aca="false">1.5*D15*750*Populations!$S14/(1000*2000*15)</f>
        <v>2605.302</v>
      </c>
      <c r="AK15" s="4" t="n">
        <f aca="false">66*10*D15*Populations!$S14/(1000*2000*6)</f>
        <v>3821.1096</v>
      </c>
      <c r="AL15" s="4" t="n">
        <f aca="false">AE15*365/(2000*1000)</f>
        <v>3711.78575561943</v>
      </c>
      <c r="AM15" s="4" t="n">
        <f aca="false">AF15*25*238/(51*2000*1000)</f>
        <v>721.736119148223</v>
      </c>
      <c r="AN15" s="4" t="n">
        <f aca="false">AG15*100*238/(600*1000*2000)</f>
        <v>403.381283030788</v>
      </c>
      <c r="AO15" s="4" t="n">
        <f aca="false">AG15*120*2/(16*1000*2000)</f>
        <v>152.539140641894</v>
      </c>
      <c r="AP15" s="4" t="n">
        <f aca="false">D15*4800*Populations!$S14/($AP$28*10*1000*2000)</f>
        <v>9415.56142800002</v>
      </c>
      <c r="AQ15" s="4" t="n">
        <f aca="false">D15*2*4800*Populations!$S14/($AQ$28*10*1000*2000)</f>
        <v>36213.6978</v>
      </c>
      <c r="AR15" s="4" t="n">
        <f aca="false">C15*F15*G15*L15*640*1393.66125/(2000*1000)</f>
        <v>7517.27445585409</v>
      </c>
      <c r="AS15" s="4" t="n">
        <f aca="false">AF15*600*6/(90*1000*2000)</f>
        <v>247.452383707962</v>
      </c>
      <c r="AT15" s="4" t="n">
        <f aca="false">IF(B15="Taiga",236.2,IF(B15="Mts",10,IF(B15="Temp",400,IF(B15="Steppe",25,IF(B15="Jungle",400,IF(B15="Sav",103.6,IF(B15="Medi",181.6,0)))))))*D15*AT$36*Populations!$R14/1000</f>
        <v>170427.947053882</v>
      </c>
      <c r="AU15" s="4" t="n">
        <f aca="false">INDEX(Tech!$F$3:$F$13,MATCH(E15,Tech!$E$3:$E$13,1))*D15*AT$36*Populations!$S14/(365*1000)</f>
        <v>13026.51</v>
      </c>
      <c r="AV15" s="4" t="n">
        <f aca="false">D15*12.5*AT$36*Populations!$S14/(10*30)</f>
        <v>5427.7125</v>
      </c>
      <c r="AW15" s="4" t="n">
        <f aca="false">0.125*D15*AW$30*Populations!$R14/1000</f>
        <v>424.116361967462</v>
      </c>
      <c r="AX15" s="4" t="n">
        <f aca="false">D15*AW$30*Populations!$S14/(3*1000)</f>
        <v>89.55725625</v>
      </c>
      <c r="AY15" s="4" t="n">
        <f aca="false">D15*Populations!$S14/(2*1000*AY$30)/1000</f>
        <v>62.527248</v>
      </c>
      <c r="AZ15" s="4" t="n">
        <f aca="false">D15*AZ$30*Populations!$S14/(2*1000)</f>
        <v>43.4217</v>
      </c>
      <c r="BA15" s="4" t="n">
        <f aca="false">D15*2*BA$30*Populations!$S14/1000</f>
        <v>208.42416</v>
      </c>
      <c r="BB15" s="4" t="n">
        <f aca="false">D15*3*BB$30*Populations!$S14/1000</f>
        <v>156.31812</v>
      </c>
      <c r="BC15" s="4" t="n">
        <f aca="false">D15*11*BC$30*Populations!$S14/(15*1000)</f>
        <v>30.5688768</v>
      </c>
      <c r="BD15" s="4" t="n">
        <f aca="false">D15*11*BD$30*Populations!$S14/(8*1000)</f>
        <v>71.645805</v>
      </c>
      <c r="BE15" s="4" t="n">
        <f aca="false">D15*11*BE$30*Populations!$S14/(3*1000)</f>
        <v>46.399188</v>
      </c>
      <c r="BF15" s="4" t="n">
        <f aca="false">D15*11*BF$30*Populations!$S14/(5*1000)</f>
        <v>33.434709</v>
      </c>
      <c r="BG15" s="4" t="n">
        <f aca="false">D15*11*BG$30*Populations!$S14/(9*1000)</f>
        <v>84.9135466666667</v>
      </c>
      <c r="BH15" s="4" t="n">
        <f aca="false">D15*11*BH$30*Populations!$S14/(12*1000)</f>
        <v>47.76387</v>
      </c>
      <c r="BI15" s="4" t="n">
        <f aca="false">D15*BI$30*Populations!$S14/(1000*125/12)</f>
        <v>133.3914624</v>
      </c>
      <c r="BJ15" s="4" t="n">
        <f aca="false">D15*BJ$30*Populations!$S14/(30*1000)</f>
        <v>60.62827232</v>
      </c>
      <c r="BK15" s="4" t="n">
        <f aca="false">D15*BK$30*Populations!$S14/(7*1000)</f>
        <v>8.374185</v>
      </c>
      <c r="BL15" s="4" t="n">
        <f aca="false">D15*BL$30*Populations!$S14/(8.5*1000)</f>
        <v>13.7927752941176</v>
      </c>
      <c r="BM15" s="4" t="n">
        <f aca="false">D15*BM$30*Populations!$S14/1000</f>
        <v>29.3096475</v>
      </c>
      <c r="BN15" s="4" t="n">
        <f aca="false">D15*BN$30*Populations!$S14/(1.5*1000)</f>
        <v>69.47472</v>
      </c>
      <c r="BO15" s="4" t="n">
        <f aca="false">D15*BO$30*Populations!$S14/(2*1000)</f>
        <v>56.44821</v>
      </c>
      <c r="BP15" s="4" t="n">
        <f aca="false">D15*BP$30*Populations!$S14/(4*1000)</f>
        <v>13.02651</v>
      </c>
      <c r="BQ15" s="4" t="n">
        <f aca="false">D15*Populations!$R14*10/(3*1000*2000)</f>
        <v>1462.27324799556</v>
      </c>
      <c r="BR15" s="4" t="n">
        <f aca="false">D15*2*Populations!$R14/(30*1000*2000)</f>
        <v>29.2454649599112</v>
      </c>
      <c r="BS15" s="4" t="n">
        <f aca="false">D15*2*Populations!$S14/((37.5/12)*1000*2000)</f>
        <v>22.2319104</v>
      </c>
      <c r="BT15" s="4" t="n">
        <f aca="false">D15*2*Populations!$S14/((20/9)*1000*2000)</f>
        <v>31.263624</v>
      </c>
      <c r="BU15" s="4" t="n">
        <f aca="false">AF15*25*4/(51*$BU$32)</f>
        <v>6.06500940460692</v>
      </c>
      <c r="BV15" s="4" t="n">
        <f aca="false">D15*Populations!$S14*12/($BV$30*3)</f>
        <v>218.845368</v>
      </c>
      <c r="BW15" s="4" t="n">
        <f aca="false">D15*Populations!$S14*12/(2*$BW$30)</f>
        <v>187.581744</v>
      </c>
      <c r="BX15" s="4" t="n">
        <f aca="false">D15*Populations!$S14*12/(5*$BX$30)</f>
        <v>93.7908719999999</v>
      </c>
      <c r="BY15" s="4" t="n">
        <f aca="false">D15*Populations!$S14/(2*$BY$30)</f>
        <v>54.711342</v>
      </c>
      <c r="BZ15" s="4" t="n">
        <f aca="false">D15*Populations!$R14*500/(1000*2000)</f>
        <v>219340.987199334</v>
      </c>
      <c r="CA15" s="4" t="n">
        <f aca="false">D15*Populations!R14*15/(1000*2000)</f>
        <v>6580.22961598001</v>
      </c>
      <c r="CB15" s="4" t="n">
        <v>1</v>
      </c>
      <c r="CC15" s="4" t="n">
        <f aca="false">D15*40*Populations!R14/(1000*2000)</f>
        <v>17547.2789759467</v>
      </c>
      <c r="CD15" s="4" t="n">
        <f aca="false">D15*40*Populations!R14/(1000*2000)</f>
        <v>17547.2789759467</v>
      </c>
      <c r="CE15" s="4" t="n">
        <f aca="false">D15*20*Populations!R14/(1000*2000)</f>
        <v>8773.63948797335</v>
      </c>
      <c r="CF15" s="4" t="n">
        <f aca="false">D15*8.3454*32*Populations!$S14/(1000*2000)</f>
        <v>9276.709252608</v>
      </c>
      <c r="CG15" s="4" t="n">
        <f aca="false">D15*50*2*Populations!$S14/(3*1000*2000)</f>
        <v>1157.912</v>
      </c>
      <c r="CH15" s="4" t="n">
        <f aca="false">IF(B15="Mts",20*D15*Populations!$R14/1000,0.001)</f>
        <v>0.001</v>
      </c>
      <c r="CI15" s="4" t="n">
        <f aca="false">IF(NOT(CH15=0.001),0.006*CH15/3,0.001)</f>
        <v>0.001</v>
      </c>
      <c r="CJ15" s="4" t="n">
        <f aca="false">IF(NOT(CH15=0.001),0.7*CH15/3,0.001)</f>
        <v>0.001</v>
      </c>
      <c r="CK15" s="4" t="n">
        <f aca="false">IF(NOT(CH15=0.001),0.65*CH15/3,0.001)</f>
        <v>0.001</v>
      </c>
      <c r="CL15" s="4" t="n">
        <f aca="false">IF(NOT(CH15=0.001),0.002*CH15/3,0.001)</f>
        <v>0.001</v>
      </c>
      <c r="CM15" s="4" t="n">
        <f aca="false">IF(NOT(CH15=0.001),0.001*CH15/3,0.001)</f>
        <v>0.001</v>
      </c>
      <c r="CN15" s="4" t="n">
        <f aca="false">D15*3*110/(24*2000)*Populations!$S14</f>
        <v>477638.7</v>
      </c>
      <c r="CO15" s="4" t="n">
        <f aca="false">D15*3*12/(24*2000)*Populations!$S14</f>
        <v>52106.04</v>
      </c>
      <c r="CP15" s="4" t="n">
        <f aca="false">D15*3*1.4/(24*2000)*Populations!$S14</f>
        <v>6079.038</v>
      </c>
      <c r="CQ15" s="4" t="n">
        <f aca="false">D15*6400*8.3454*Populations!$S14/(10*1000*2000)</f>
        <v>185534.18505216</v>
      </c>
      <c r="CR15" s="4" t="n">
        <f aca="false">D15*2*Populations!$S14/(1000*2000)</f>
        <v>69.47472</v>
      </c>
      <c r="CS15" s="4" t="n">
        <f aca="false">D15*2*30*Populations!$S14/(1000*2000)</f>
        <v>2084.2416</v>
      </c>
      <c r="CT15" s="4" t="n">
        <f aca="false">27*Populations!$R14/(4*1000*2000)</f>
        <v>12.3379305299625</v>
      </c>
      <c r="CU15" s="4" t="n">
        <f aca="false">27*Populations!$R14/(16*1000*2000)</f>
        <v>3.08448263249063</v>
      </c>
      <c r="CV15" s="4" t="n">
        <f aca="false">AP15*0.9</f>
        <v>8474.00528520001</v>
      </c>
      <c r="CW15" s="4" t="n">
        <f aca="false">2.5*D15*Populations!$R14/(60*2000)</f>
        <v>18278.4155999445</v>
      </c>
      <c r="CX15" s="4" t="n">
        <f aca="false">D15*125*Populations!R14/(6*1000*2000)</f>
        <v>9139.20779997224</v>
      </c>
      <c r="CY15" s="4" t="n">
        <f aca="false">D15*1.875*2*Populations!R14/(6*1000*2000)</f>
        <v>274.176233999167</v>
      </c>
      <c r="CZ15" s="4" t="n">
        <f aca="false">D15*2*20*Populations!$R14/(1000*2000)</f>
        <v>17547.2789759467</v>
      </c>
      <c r="DA15" s="4" t="n">
        <f aca="false">IF(NOT(CH15=0.001),CH15*0.00001,0.001)</f>
        <v>0.001</v>
      </c>
      <c r="DB15" s="4" t="n">
        <f aca="false">IF(NOT(CH15=0.001),CH15*0.00001,0.001)</f>
        <v>0.001</v>
      </c>
      <c r="DC15" s="4" t="n">
        <f aca="false">D15*0.02*12*Populations!$S14/(3*1000*2000)</f>
        <v>2.7789888</v>
      </c>
      <c r="DD15" s="4" t="n">
        <f aca="false">D15*0.5*12*Populations!$S14/(5*1000*2000)</f>
        <v>41.684832</v>
      </c>
      <c r="DE15" s="4" t="n">
        <f aca="false">D15*6*25*Populations!$S14/(1000*2000)</f>
        <v>5210.604</v>
      </c>
      <c r="DG15" s="4" t="n">
        <f aca="false">PRODUCT(AC15:AD15)</f>
        <v>7.16006404823616</v>
      </c>
      <c r="DH15" s="4" t="n">
        <f aca="false">LOG(PRODUCT(S15,V15,Y15:AB15,AE15:AH15,AL15:AO15,AR15:AT15,AW15,BQ15:BU15,BZ15,CH15:CM15,CT15:CU15,CW15:DB15),2)</f>
        <v>268.838128347999</v>
      </c>
      <c r="DI15" s="4" t="n">
        <f aca="false">LOG(PRODUCT($AI15:$AK15,$AP15:$AQ15,$AU15:$AV15,AX15:BP15,BV15:BY15,CA15:CG15,CN15:CS15,CV15,DC15:DE15),2)</f>
        <v>422.501124205489</v>
      </c>
      <c r="DK15" s="4" t="n">
        <f aca="false">SUM(DG15:DI15)</f>
        <v>698.499316601723</v>
      </c>
    </row>
    <row r="16" s="4" customFormat="true" ht="12.8" hidden="false" customHeight="false" outlineLevel="0" collapsed="false">
      <c r="A16" s="0" t="s">
        <v>150</v>
      </c>
      <c r="B16" s="0" t="s">
        <v>146</v>
      </c>
      <c r="C16" s="0" t="n">
        <v>115</v>
      </c>
      <c r="D16" s="0" t="n">
        <f aca="false">IF(B16="Taiga",265,IF(B16="Mts",265,IF(B16="Temp",230,IF(B16="Steppe",265,IF(B16="Jungle",180,IF(B16="Sav",240,IF(B16="Medi",230,0)))))))</f>
        <v>180</v>
      </c>
      <c r="E16" s="0" t="n">
        <v>1</v>
      </c>
      <c r="F16" s="4" t="n">
        <f aca="false">IF(B16="Taiga",0.43,IF(B16="Mts",0.21,IF(B16="Temp",0.64,IF(B16="Steppe",0.57,IF(B16="Jungle",0.43,IF(B16="Sav",0.57,IF(B16="Medi",0.43,0)))))))</f>
        <v>0.43</v>
      </c>
      <c r="G16" s="4" t="n">
        <f aca="false">IF(B16="Taiga",0.43,IF(B16="Mts",0.8,IF(B16="Temp",0.64,IF(B16="Steppe",0.64,IF(B16="Jungle",0.43,IF(B16="Sav",0.8,IF(B16="Medi",0.6,0)))))))</f>
        <v>0.43</v>
      </c>
      <c r="H16" s="4" t="n">
        <f aca="false">$H$31*IF(B16="Taiga",528,IF(B16="Mts",855.27,IF(B16="Temp",565.94,IF(B16="Steppe",551.72,IF(B16="Jungle",575.43,IF(B16="Sav",599.15,IF(B16="Medi",564.36,0)))))))</f>
        <v>1150.86</v>
      </c>
      <c r="I16" s="4" t="n">
        <f aca="false">$H$31*IF(B16="Taiga",2608.19,IF(B16="Mts",2100,IF(B16="Temp",2976.19,IF(B16="Steppe",2450.48,IF(B16="Jungle",2135.05,IF(B16="Sav",2310.29,IF(B16="Medi",2485.52,0)))))))</f>
        <v>4270.1</v>
      </c>
      <c r="J16" s="4" t="n">
        <f aca="false">$H$31*IF(B16="Taiga",500.54,IF(B16="Mts",360,IF(B16="Temp",570.81,IF(B16="Steppe",441.95,IF(B16="Jungle",486.49,IF(B16="Sav",518.92,IF(B16="Medi",640,0)))))))</f>
        <v>972.98</v>
      </c>
      <c r="K16" s="4" t="n">
        <f aca="false">$H$31*IF(B16="Taiga",2003.09,IF(B16="Mts",1612.8,IF(B16="Temp",2285.71,IF(B16="Steppe",1881.97,IF(B16="Jungle",1639.72,IF(B16="Sav",1774.3,IF(B16="Medi",1908.88,0)))))))</f>
        <v>3279.44</v>
      </c>
      <c r="L16" s="4" t="n">
        <f aca="false">$H$31*IF(B16="Taiga",260.82,IF(B16="Mts",210,IF(B16="Temp",297.62,IF(B16="Steppe",245.05,IF(B16="Jungle",213.5,IF(B16="Sav",231.03,IF(B16="Medi",248.55,0)))))))</f>
        <v>427</v>
      </c>
      <c r="M16" s="4" t="n">
        <f aca="false">$H$31*IF(B16="Taiga",250,IF(B16="Mts",640,IF(B16="Temp",295.2174,IF(B16="Steppe",278.2609,IF(B16="Jungle",306.5217,IF(B16="Sav",334.7826,IF(B16="Medi",293.3333,0)))))))</f>
        <v>613.0434</v>
      </c>
      <c r="N16" s="4" t="n">
        <f aca="false">$H$31*IF(B16="Taiga",1491.9691,IF(B16="Mts",980,IF(B16="Temp",1747.9537,IF(B16="Steppe",1278.5174,IF(B16="Jungle",1440.7722,IF(B16="Sav",1558.9189,IF(B16="Medi",2000,0)))))))</f>
        <v>2881.5444</v>
      </c>
      <c r="O16" s="4" t="n">
        <f aca="false">$H$31*IF(B16="Taiga",68.5,IF(B16="Mts",25,IF(B16="Temp",100,IF(B16="Steppe",55,IF(B16="Jungle",28,IF(B16="Sav",43,IF(B16="Medi",58,0)))))))</f>
        <v>56</v>
      </c>
      <c r="P16" s="4" t="n">
        <f aca="false">$H$31*20*15/8000</f>
        <v>0.075</v>
      </c>
      <c r="Q16" s="4" t="n">
        <f aca="false">$H$31*20*15/8000</f>
        <v>0.075</v>
      </c>
      <c r="R16" s="1" t="s">
        <v>39</v>
      </c>
      <c r="S16" s="4" t="n">
        <f aca="false">C16*F16*G16*360*640*1393.66125/(2000*1000)</f>
        <v>3413.850161976</v>
      </c>
      <c r="T16" s="4" t="n">
        <f aca="false">C16*F16*G16*J16*640*1393.66125*2/(1000*2000*3)</f>
        <v>6151.12579740631</v>
      </c>
      <c r="U16" s="4" t="n">
        <f aca="false">T16*J$28</f>
        <v>2050.3752658021</v>
      </c>
      <c r="V16" s="4" t="n">
        <f aca="false">T16-U16</f>
        <v>4100.75053160421</v>
      </c>
      <c r="W16" s="4" t="n">
        <f aca="false">C16*F16*G16*H16*640*1393.66125*2/(1000*2000*3)</f>
        <v>7275.67332854018</v>
      </c>
      <c r="X16" s="4" t="n">
        <f aca="false">W16*H$28</f>
        <v>1984.27454414732</v>
      </c>
      <c r="Y16" s="4" t="n">
        <f aca="false">W16-X16</f>
        <v>5291.39878439286</v>
      </c>
      <c r="Z16" s="4" t="n">
        <f aca="false">C16*F16*G16*M16*640*1393.66125/(1000*2000*3)</f>
        <v>1937.81325035955</v>
      </c>
      <c r="AA16" s="4" t="n">
        <f aca="false">C16*F16*G16*N16*640*1393.66125/(2000*1000)</f>
        <v>27325.4467130029</v>
      </c>
      <c r="AB16" s="4" t="n">
        <f aca="false">C16*F16*G16*O16*640*1393.66125/(2000*1000)</f>
        <v>531.0433585296</v>
      </c>
      <c r="AC16" s="4" t="n">
        <f aca="false">C16*P16*640*1393.66125/(2000*1000)</f>
        <v>3.84650505</v>
      </c>
      <c r="AD16" s="4" t="n">
        <f aca="false">C16*Q16*640*1393.66125/(2000*1000)</f>
        <v>3.84650505</v>
      </c>
      <c r="AE16" s="4" t="n">
        <f aca="false">($V16+$Z16)*2000*1000/(3*365)</f>
        <v>11029340.2410297</v>
      </c>
      <c r="AF16" s="4" t="n">
        <f aca="false">($V16+$Z16)*2000*1000/(18*100)</f>
        <v>6709515.31329307</v>
      </c>
      <c r="AG16" s="4" t="n">
        <f aca="false">($V16+$Z16)*2000*1000/(3*365)</f>
        <v>11029340.2410297</v>
      </c>
      <c r="AH16" s="4" t="n">
        <f aca="false">C16*F16*G16*K16*640*1393.66125/(2000*1000)</f>
        <v>31098.6577088627</v>
      </c>
      <c r="AI16" s="4" t="n">
        <f aca="false">3*12*D16*Populations!$S15/(5*1000)</f>
        <v>528981.84</v>
      </c>
      <c r="AJ16" s="4" t="n">
        <f aca="false">1.5*D16*750*Populations!$S15/(1000*2000*15)</f>
        <v>2755.11375</v>
      </c>
      <c r="AK16" s="4" t="n">
        <f aca="false">66*10*D16*Populations!$S15/(1000*2000*6)</f>
        <v>4040.8335</v>
      </c>
      <c r="AL16" s="4" t="n">
        <f aca="false">AE16*365/(2000*1000)</f>
        <v>2012.85459398792</v>
      </c>
      <c r="AM16" s="4" t="n">
        <f aca="false">AF16*25*238/(51*2000*1000)</f>
        <v>391.388393275429</v>
      </c>
      <c r="AN16" s="4" t="n">
        <f aca="false">AG16*100*238/(600*1000*2000)</f>
        <v>218.748581447089</v>
      </c>
      <c r="AO16" s="4" t="n">
        <f aca="false">AG16*120*2/(16*1000*2000)</f>
        <v>82.7200518077228</v>
      </c>
      <c r="AP16" s="4" t="n">
        <f aca="false">D16*4800*Populations!$S15/($AP$28*10*1000*2000)</f>
        <v>9956.98109250002</v>
      </c>
      <c r="AQ16" s="4" t="n">
        <f aca="false">D16*2*4800*Populations!$S15/($AQ$28*10*1000*2000)</f>
        <v>38296.081125</v>
      </c>
      <c r="AR16" s="4" t="n">
        <f aca="false">C16*F16*G16*L16*640*1393.66125/(2000*1000)</f>
        <v>4049.2056087882</v>
      </c>
      <c r="AS16" s="4" t="n">
        <f aca="false">AF16*600*6/(90*1000*2000)</f>
        <v>134.190306265861</v>
      </c>
      <c r="AT16" s="4" t="n">
        <f aca="false">IF(B16="Taiga",236.2,IF(B16="Mts",10,IF(B16="Temp",400,IF(B16="Steppe",25,IF(B16="Jungle",400,IF(B16="Sav",103.6,IF(B16="Medi",181.6,0)))))))*D16*AT$36*Populations!$R15/1000</f>
        <v>410558.422883354</v>
      </c>
      <c r="AU16" s="4" t="n">
        <f aca="false">INDEX(Tech!$F$3:$F$13,MATCH(E16,Tech!$E$3:$E$13,1))*D16*AT$36*Populations!$S15/(365*1000)</f>
        <v>13775.56875</v>
      </c>
      <c r="AV16" s="4" t="n">
        <f aca="false">D16*12.5*AT$36*Populations!$S15/(10*30)</f>
        <v>5739.8203125</v>
      </c>
      <c r="AW16" s="4" t="n">
        <f aca="false">0.125*D16*AW$30*Populations!$R15/1000</f>
        <v>264.617733499037</v>
      </c>
      <c r="AX16" s="4" t="n">
        <f aca="false">D16*AW$30*Populations!$S15/(3*1000)</f>
        <v>94.70703515625</v>
      </c>
      <c r="AY16" s="4" t="n">
        <f aca="false">D16*Populations!$S15/(2*1000*AY$30)/1000</f>
        <v>66.12273</v>
      </c>
      <c r="AZ16" s="4" t="n">
        <f aca="false">D16*AZ$30*Populations!$S15/(2*1000)</f>
        <v>45.9185625</v>
      </c>
      <c r="BA16" s="4" t="n">
        <f aca="false">D16*2*BA$30*Populations!$S15/1000</f>
        <v>220.4091</v>
      </c>
      <c r="BB16" s="4" t="n">
        <f aca="false">D16*3*BB$30*Populations!$S15/1000</f>
        <v>165.306825</v>
      </c>
      <c r="BC16" s="4" t="n">
        <f aca="false">D16*11*BC$30*Populations!$S15/(15*1000)</f>
        <v>32.326668</v>
      </c>
      <c r="BD16" s="4" t="n">
        <f aca="false">D16*11*BD$30*Populations!$S15/(8*1000)</f>
        <v>75.765628125</v>
      </c>
      <c r="BE16" s="4" t="n">
        <f aca="false">D16*11*BE$30*Populations!$S15/(3*1000)</f>
        <v>49.0672639285714</v>
      </c>
      <c r="BF16" s="4" t="n">
        <f aca="false">D16*11*BF$30*Populations!$S15/(5*1000)</f>
        <v>35.357293125</v>
      </c>
      <c r="BG16" s="4" t="n">
        <f aca="false">D16*11*BG$30*Populations!$S15/(9*1000)</f>
        <v>89.7963</v>
      </c>
      <c r="BH16" s="4" t="n">
        <f aca="false">D16*11*BH$30*Populations!$S15/(12*1000)</f>
        <v>50.51041875</v>
      </c>
      <c r="BI16" s="4" t="n">
        <f aca="false">D16*BI$30*Populations!$S15/(1000*125/12)</f>
        <v>141.061824</v>
      </c>
      <c r="BJ16" s="4" t="n">
        <f aca="false">D16*BJ$30*Populations!$S15/(30*1000)</f>
        <v>64.1145582</v>
      </c>
      <c r="BK16" s="4" t="n">
        <f aca="false">D16*BK$30*Populations!$S15/(7*1000)</f>
        <v>8.85572276785714</v>
      </c>
      <c r="BL16" s="4" t="n">
        <f aca="false">D16*BL$30*Populations!$S15/(8.5*1000)</f>
        <v>14.5858963235294</v>
      </c>
      <c r="BM16" s="4" t="n">
        <f aca="false">D16*BM$30*Populations!$S15/1000</f>
        <v>30.9950296875</v>
      </c>
      <c r="BN16" s="4" t="n">
        <f aca="false">D16*BN$30*Populations!$S15/(1.5*1000)</f>
        <v>73.4697</v>
      </c>
      <c r="BO16" s="4" t="n">
        <f aca="false">D16*BO$30*Populations!$S15/(2*1000)</f>
        <v>59.69413125</v>
      </c>
      <c r="BP16" s="4" t="n">
        <f aca="false">D16*BP$30*Populations!$S15/(4*1000)</f>
        <v>13.77556875</v>
      </c>
      <c r="BQ16" s="4" t="n">
        <f aca="false">D16*Populations!$R15*10/(3*1000*2000)</f>
        <v>912.352050851898</v>
      </c>
      <c r="BR16" s="4" t="n">
        <f aca="false">D16*2*Populations!$R15/(30*1000*2000)</f>
        <v>18.247041017038</v>
      </c>
      <c r="BS16" s="4" t="n">
        <f aca="false">D16*2*Populations!$S15/((37.5/12)*1000*2000)</f>
        <v>23.510304</v>
      </c>
      <c r="BT16" s="4" t="n">
        <f aca="false">D16*2*Populations!$S15/((20/9)*1000*2000)</f>
        <v>33.061365</v>
      </c>
      <c r="BU16" s="4" t="n">
        <f aca="false">AF16*25*4/(51*$BU$32)</f>
        <v>3.2889780947515</v>
      </c>
      <c r="BV16" s="4" t="n">
        <f aca="false">D16*Populations!$S15*12/($BV$30*3)</f>
        <v>231.429555</v>
      </c>
      <c r="BW16" s="4" t="n">
        <f aca="false">D16*Populations!$S15*12/(2*$BW$30)</f>
        <v>198.36819</v>
      </c>
      <c r="BX16" s="4" t="n">
        <f aca="false">D16*Populations!$S15*12/(5*$BX$30)</f>
        <v>99.1840949999999</v>
      </c>
      <c r="BY16" s="4" t="n">
        <f aca="false">D16*Populations!$S15/(2*$BY$30)</f>
        <v>57.85738875</v>
      </c>
      <c r="BZ16" s="4" t="n">
        <f aca="false">D16*Populations!$R15*500/(1000*2000)</f>
        <v>136852.807627785</v>
      </c>
      <c r="CA16" s="4" t="n">
        <f aca="false">D16*Populations!R15*15/(1000*2000)</f>
        <v>4105.58422883354</v>
      </c>
      <c r="CB16" s="4" t="n">
        <f aca="false">IF(B16="Mts",1,D16*Populations!R15*30/(1000*2000))</f>
        <v>8211.16845766708</v>
      </c>
      <c r="CC16" s="4" t="n">
        <f aca="false">D16*40*Populations!R15/(1000*2000)</f>
        <v>10948.2246102228</v>
      </c>
      <c r="CD16" s="4" t="n">
        <f aca="false">D16*40*Populations!R15/(1000*2000)</f>
        <v>10948.2246102228</v>
      </c>
      <c r="CE16" s="4" t="n">
        <f aca="false">D16*20*Populations!R15/(1000*2000)</f>
        <v>5474.11230511139</v>
      </c>
      <c r="CF16" s="4" t="n">
        <f aca="false">D16*8.3454*32*Populations!$S15/(1000*2000)</f>
        <v>9810.14455008</v>
      </c>
      <c r="CG16" s="4" t="n">
        <f aca="false">D16*50*2*Populations!$S15/(3*1000*2000)</f>
        <v>1224.495</v>
      </c>
      <c r="CH16" s="4" t="n">
        <f aca="false">IF(B16="Mts",20*D16*Populations!$R15/1000,0.001)</f>
        <v>0.001</v>
      </c>
      <c r="CI16" s="4" t="n">
        <f aca="false">IF(NOT(CH16=0.001),0.006*CH16/3,0.001)</f>
        <v>0.001</v>
      </c>
      <c r="CJ16" s="4" t="n">
        <f aca="false">IF(NOT(CH16=0.001),0.7*CH16/3,0.001)</f>
        <v>0.001</v>
      </c>
      <c r="CK16" s="4" t="n">
        <f aca="false">IF(NOT(CH16=0.001),0.65*CH16/3,0.001)</f>
        <v>0.001</v>
      </c>
      <c r="CL16" s="4" t="n">
        <f aca="false">IF(NOT(CH16=0.001),0.002*CH16/3,0.001)</f>
        <v>0.001</v>
      </c>
      <c r="CM16" s="4" t="n">
        <f aca="false">IF(NOT(CH16=0.001),0.001*CH16/3,0.001)</f>
        <v>0.001</v>
      </c>
      <c r="CN16" s="4" t="n">
        <f aca="false">D16*3*110/(24*2000)*Populations!$S15</f>
        <v>505104.1875</v>
      </c>
      <c r="CO16" s="4" t="n">
        <f aca="false">D16*3*12/(24*2000)*Populations!$S15</f>
        <v>55102.275</v>
      </c>
      <c r="CP16" s="4" t="n">
        <f aca="false">D16*3*1.4/(24*2000)*Populations!$S15</f>
        <v>6428.59875</v>
      </c>
      <c r="CQ16" s="4" t="n">
        <f aca="false">D16*6400*8.3454*Populations!$S15/(10*1000*2000)</f>
        <v>196202.8910016</v>
      </c>
      <c r="CR16" s="4" t="n">
        <f aca="false">D16*2*Populations!$S15/(1000*2000)</f>
        <v>73.4697</v>
      </c>
      <c r="CS16" s="4" t="n">
        <f aca="false">D16*2*30*Populations!$S15/(1000*2000)</f>
        <v>2204.091</v>
      </c>
      <c r="CT16" s="4" t="n">
        <f aca="false">27*Populations!$R15/(4*1000*2000)</f>
        <v>10.2639605720839</v>
      </c>
      <c r="CU16" s="4" t="n">
        <f aca="false">27*Populations!$R15/(16*1000*2000)</f>
        <v>2.56599014302096</v>
      </c>
      <c r="CV16" s="4" t="n">
        <f aca="false">AP16*0.9</f>
        <v>8961.28298325002</v>
      </c>
      <c r="CW16" s="4" t="n">
        <f aca="false">2.5*D16*Populations!$R15/(60*2000)</f>
        <v>11404.4006356487</v>
      </c>
      <c r="CX16" s="4" t="n">
        <f aca="false">D16*125*Populations!R15/(6*1000*2000)</f>
        <v>5702.20031782436</v>
      </c>
      <c r="CY16" s="4" t="n">
        <f aca="false">D16*1.875*2*Populations!R15/(6*1000*2000)</f>
        <v>171.066009534731</v>
      </c>
      <c r="CZ16" s="4" t="n">
        <f aca="false">D16*2*20*Populations!$R15/(1000*2000)</f>
        <v>10948.2246102228</v>
      </c>
      <c r="DA16" s="4" t="n">
        <f aca="false">IF(NOT(CH16=0.001),CH16*0.00001,0.001)</f>
        <v>0.001</v>
      </c>
      <c r="DB16" s="4" t="n">
        <f aca="false">IF(NOT(CH16=0.001),CH16*0.00001,0.001)</f>
        <v>0.001</v>
      </c>
      <c r="DC16" s="4" t="n">
        <f aca="false">D16*0.02*12*Populations!$S15/(3*1000*2000)</f>
        <v>2.938788</v>
      </c>
      <c r="DD16" s="4" t="n">
        <f aca="false">D16*0.5*12*Populations!$S15/(5*1000*2000)</f>
        <v>44.08182</v>
      </c>
      <c r="DE16" s="4" t="n">
        <f aca="false">D16*6*25*Populations!$S15/(1000*2000)</f>
        <v>5510.2275</v>
      </c>
      <c r="DG16" s="4" t="n">
        <f aca="false">PRODUCT(AC16:AD16)</f>
        <v>14.7956010996755</v>
      </c>
      <c r="DH16" s="4" t="n">
        <f aca="false">LOG(PRODUCT(S16,V16,Y16:AB16,AE16:AH16,AL16:AO16,AR16:AT16,AW16,BQ16:BU16,BZ16,CH16:CM16,CT16:CU16,CW16:DB16),2)</f>
        <v>248.877927858262</v>
      </c>
      <c r="DI16" s="4" t="n">
        <f aca="false">LOG(PRODUCT($AI16:$AK16,$AP16:$AQ16,$AU16:$AV16,AX16:BP16,BV16:BY16,CA16:CG16,CN16:CS16,CV16,DC16:DE16),2)</f>
        <v>436.1700677308</v>
      </c>
      <c r="DK16" s="4" t="n">
        <f aca="false">SUM(DG16:DI16)</f>
        <v>699.843596688738</v>
      </c>
    </row>
    <row r="17" s="4" customFormat="true" ht="12.8" hidden="false" customHeight="false" outlineLevel="0" collapsed="false">
      <c r="A17" s="0" t="s">
        <v>151</v>
      </c>
      <c r="B17" s="0" t="s">
        <v>136</v>
      </c>
      <c r="C17" s="0" t="n">
        <v>155</v>
      </c>
      <c r="D17" s="0" t="n">
        <f aca="false">IF(B17="Taiga",265,IF(B17="Mts",265,IF(B17="Temp",230,IF(B17="Steppe",265,IF(B17="Jungle",180,IF(B17="Sav",240,IF(B17="Medi",230,0)))))))</f>
        <v>230</v>
      </c>
      <c r="E17" s="0" t="n">
        <v>1</v>
      </c>
      <c r="F17" s="4" t="n">
        <f aca="false">IF(B17="Taiga",0.43,IF(B17="Mts",0.21,IF(B17="Temp",0.64,IF(B17="Steppe",0.57,IF(B17="Jungle",0.43,IF(B17="Sav",0.57,IF(B17="Medi",0.43,0)))))))</f>
        <v>0.64</v>
      </c>
      <c r="G17" s="4" t="n">
        <f aca="false">IF(B17="Taiga",0.43,IF(B17="Mts",0.8,IF(B17="Temp",0.64,IF(B17="Steppe",0.64,IF(B17="Jungle",0.43,IF(B17="Sav",0.8,IF(B17="Medi",0.6,0)))))))</f>
        <v>0.64</v>
      </c>
      <c r="H17" s="4" t="n">
        <f aca="false">$H$31*IF(B17="Taiga",528,IF(B17="Mts",855.27,IF(B17="Temp",565.94,IF(B17="Steppe",551.72,IF(B17="Jungle",575.43,IF(B17="Sav",599.15,IF(B17="Medi",564.36,0)))))))</f>
        <v>1131.88</v>
      </c>
      <c r="I17" s="4" t="n">
        <f aca="false">$H$31*IF(B17="Taiga",2608.19,IF(B17="Mts",2100,IF(B17="Temp",2976.19,IF(B17="Steppe",2450.48,IF(B17="Jungle",2135.05,IF(B17="Sav",2310.29,IF(B17="Medi",2485.52,0)))))))</f>
        <v>5952.38</v>
      </c>
      <c r="J17" s="4" t="n">
        <f aca="false">$H$31*IF(B17="Taiga",500.54,IF(B17="Mts",360,IF(B17="Temp",570.81,IF(B17="Steppe",441.95,IF(B17="Jungle",486.49,IF(B17="Sav",518.92,IF(B17="Medi",640,0)))))))</f>
        <v>1141.62</v>
      </c>
      <c r="K17" s="4" t="n">
        <f aca="false">$H$31*IF(B17="Taiga",2003.09,IF(B17="Mts",1612.8,IF(B17="Temp",2285.71,IF(B17="Steppe",1881.97,IF(B17="Jungle",1639.72,IF(B17="Sav",1774.3,IF(B17="Medi",1908.88,0)))))))</f>
        <v>4571.42</v>
      </c>
      <c r="L17" s="4" t="n">
        <f aca="false">$H$31*IF(B17="Taiga",260.82,IF(B17="Mts",210,IF(B17="Temp",297.62,IF(B17="Steppe",245.05,IF(B17="Jungle",213.5,IF(B17="Sav",231.03,IF(B17="Medi",248.55,0)))))))</f>
        <v>595.24</v>
      </c>
      <c r="M17" s="4" t="n">
        <f aca="false">$H$31*IF(B17="Taiga",250,IF(B17="Mts",640,IF(B17="Temp",295.2174,IF(B17="Steppe",278.2609,IF(B17="Jungle",306.5217,IF(B17="Sav",334.7826,IF(B17="Medi",293.3333,0)))))))</f>
        <v>590.4348</v>
      </c>
      <c r="N17" s="4" t="n">
        <f aca="false">$H$31*IF(B17="Taiga",1491.9691,IF(B17="Mts",980,IF(B17="Temp",1747.9537,IF(B17="Steppe",1278.5174,IF(B17="Jungle",1440.7722,IF(B17="Sav",1558.9189,IF(B17="Medi",2000,0)))))))</f>
        <v>3495.9074</v>
      </c>
      <c r="O17" s="4" t="n">
        <f aca="false">$H$31*IF(B17="Taiga",68.5,IF(B17="Mts",25,IF(B17="Temp",100,IF(B17="Steppe",55,IF(B17="Jungle",28,IF(B17="Sav",43,IF(B17="Medi",58,0)))))))</f>
        <v>200</v>
      </c>
      <c r="P17" s="4" t="n">
        <f aca="false">$H$31*20*15/8000</f>
        <v>0.075</v>
      </c>
      <c r="Q17" s="4" t="n">
        <f aca="false">$H$31*20*15/8000</f>
        <v>0.075</v>
      </c>
      <c r="R17" s="1" t="s">
        <v>39</v>
      </c>
      <c r="S17" s="4" t="n">
        <f aca="false">C17*F17*G17*360*640*1393.66125/(2000*1000)</f>
        <v>10192.984178688</v>
      </c>
      <c r="T17" s="4" t="n">
        <f aca="false">C17*F17*G17*J17*640*1393.66125*2/(1000*2000*3)</f>
        <v>21549.1011075441</v>
      </c>
      <c r="U17" s="4" t="n">
        <f aca="false">T17*J$28</f>
        <v>7183.03370251469</v>
      </c>
      <c r="V17" s="4" t="n">
        <f aca="false">T17-U17</f>
        <v>14366.0674050294</v>
      </c>
      <c r="W17" s="4" t="n">
        <f aca="false">C17*F17*G17*H17*640*1393.66125*2/(1000*2000*3)</f>
        <v>21365.2498743951</v>
      </c>
      <c r="X17" s="4" t="n">
        <f aca="false">W17*H$28</f>
        <v>5826.88632938049</v>
      </c>
      <c r="Y17" s="4" t="n">
        <f aca="false">W17-X17</f>
        <v>15538.3635450146</v>
      </c>
      <c r="Z17" s="4" t="n">
        <f aca="false">C17*F17*G17*M17*640*1393.66125/(1000*2000*3)</f>
        <v>5572.49312495075</v>
      </c>
      <c r="AA17" s="4" t="n">
        <f aca="false">C17*F17*G17*N17*640*1393.66125/(2000*1000)</f>
        <v>98982.5800509953</v>
      </c>
      <c r="AB17" s="4" t="n">
        <f aca="false">C17*F17*G17*O17*640*1393.66125/(2000*1000)</f>
        <v>5662.76898816</v>
      </c>
      <c r="AC17" s="4" t="n">
        <f aca="false">C17*P17*640*1393.66125/(2000*1000)</f>
        <v>5.18441985</v>
      </c>
      <c r="AD17" s="4" t="n">
        <f aca="false">C17*Q17*640*1393.66125/(2000*1000)</f>
        <v>5.18441985</v>
      </c>
      <c r="AE17" s="4" t="n">
        <f aca="false">($V17+$Z17)*2000*1000/(3*365)</f>
        <v>36417462.1552148</v>
      </c>
      <c r="AF17" s="4" t="n">
        <f aca="false">($V17+$Z17)*2000*1000/(18*100)</f>
        <v>22153956.1444224</v>
      </c>
      <c r="AG17" s="4" t="n">
        <f aca="false">($V17+$Z17)*2000*1000/(3*365)</f>
        <v>36417462.1552148</v>
      </c>
      <c r="AH17" s="4" t="n">
        <f aca="false">C17*F17*G17*K17*640*1393.66125/(2000*1000)</f>
        <v>129434.477039272</v>
      </c>
      <c r="AI17" s="4" t="n">
        <f aca="false">3*12*D17*Populations!$S16/(5*1000)</f>
        <v>1330456.896</v>
      </c>
      <c r="AJ17" s="4" t="n">
        <f aca="false">1.5*D17*750*Populations!$S16/(1000*2000*15)</f>
        <v>6929.463</v>
      </c>
      <c r="AK17" s="4" t="n">
        <f aca="false">66*10*D17*Populations!$S16/(1000*2000*6)</f>
        <v>10163.2124</v>
      </c>
      <c r="AL17" s="4" t="n">
        <f aca="false">AE17*365/(2000*1000)</f>
        <v>6646.18684332671</v>
      </c>
      <c r="AM17" s="4" t="n">
        <f aca="false">AF17*25*238/(51*2000*1000)</f>
        <v>1292.31410842464</v>
      </c>
      <c r="AN17" s="4" t="n">
        <f aca="false">AG17*100*238/(600*1000*2000)</f>
        <v>722.279666078428</v>
      </c>
      <c r="AO17" s="4" t="n">
        <f aca="false">AG17*120*2/(16*1000*2000)</f>
        <v>273.130966164111</v>
      </c>
      <c r="AP17" s="4" t="n">
        <f aca="false">D17*4800*Populations!$S16/($AP$28*10*1000*2000)</f>
        <v>25043.079282</v>
      </c>
      <c r="AQ17" s="4" t="n">
        <f aca="false">D17*2*4800*Populations!$S16/($AQ$28*10*1000*2000)</f>
        <v>96319.5357</v>
      </c>
      <c r="AR17" s="4" t="n">
        <f aca="false">C17*F17*G17*L17*640*1393.66125/(2000*1000)</f>
        <v>16853.5330625618</v>
      </c>
      <c r="AS17" s="4" t="n">
        <f aca="false">AF17*600*6/(90*1000*2000)</f>
        <v>443.079122888447</v>
      </c>
      <c r="AT17" s="4" t="n">
        <f aca="false">IF(B17="Taiga",236.2,IF(B17="Mts",10,IF(B17="Temp",400,IF(B17="Steppe",25,IF(B17="Jungle",400,IF(B17="Sav",103.6,IF(B17="Medi",181.6,0)))))))*D17*AT$36*Populations!$R16/1000</f>
        <v>1045789.59272462</v>
      </c>
      <c r="AU17" s="4" t="n">
        <f aca="false">INDEX(Tech!$F$3:$F$13,MATCH(E17,Tech!$E$3:$E$13,1))*D17*AT$36*Populations!$S16/(365*1000)</f>
        <v>34647.315</v>
      </c>
      <c r="AV17" s="4" t="n">
        <f aca="false">D17*12.5*AT$36*Populations!$S16/(10*30)</f>
        <v>14436.38125</v>
      </c>
      <c r="AW17" s="4" t="n">
        <f aca="false">0.125*D17*AW$30*Populations!$R16/1000</f>
        <v>674.044073435789</v>
      </c>
      <c r="AX17" s="4" t="n">
        <f aca="false">D17*AW$30*Populations!$S16/(3*1000)</f>
        <v>238.200290625</v>
      </c>
      <c r="AY17" s="4" t="n">
        <f aca="false">D17*Populations!$S16/(2*1000*AY$30)/1000</f>
        <v>166.307112</v>
      </c>
      <c r="AZ17" s="4" t="n">
        <f aca="false">D17*AZ$30*Populations!$S16/(2*1000)</f>
        <v>115.49105</v>
      </c>
      <c r="BA17" s="4" t="n">
        <f aca="false">D17*2*BA$30*Populations!$S16/1000</f>
        <v>554.35704</v>
      </c>
      <c r="BB17" s="4" t="n">
        <f aca="false">D17*3*BB$30*Populations!$S16/1000</f>
        <v>415.76778</v>
      </c>
      <c r="BC17" s="4" t="n">
        <f aca="false">D17*11*BC$30*Populations!$S16/(15*1000)</f>
        <v>81.3056992</v>
      </c>
      <c r="BD17" s="4" t="n">
        <f aca="false">D17*11*BD$30*Populations!$S16/(8*1000)</f>
        <v>190.5602325</v>
      </c>
      <c r="BE17" s="4" t="n">
        <f aca="false">D17*11*BE$30*Populations!$S16/(3*1000)</f>
        <v>123.410436285714</v>
      </c>
      <c r="BF17" s="4" t="n">
        <f aca="false">D17*11*BF$30*Populations!$S16/(5*1000)</f>
        <v>88.9281085</v>
      </c>
      <c r="BG17" s="4" t="n">
        <f aca="false">D17*11*BG$30*Populations!$S16/(9*1000)</f>
        <v>225.849164444444</v>
      </c>
      <c r="BH17" s="4" t="n">
        <f aca="false">D17*11*BH$30*Populations!$S16/(12*1000)</f>
        <v>127.040155</v>
      </c>
      <c r="BI17" s="4" t="n">
        <f aca="false">D17*BI$30*Populations!$S16/(1000*125/12)</f>
        <v>354.7885056</v>
      </c>
      <c r="BJ17" s="4" t="n">
        <f aca="false">D17*BJ$30*Populations!$S16/(30*1000)</f>
        <v>161.256303413333</v>
      </c>
      <c r="BK17" s="4" t="n">
        <f aca="false">D17*BK$30*Populations!$S16/(7*1000)</f>
        <v>22.2732739285714</v>
      </c>
      <c r="BL17" s="4" t="n">
        <f aca="false">D17*BL$30*Populations!$S16/(8.5*1000)</f>
        <v>36.6853923529412</v>
      </c>
      <c r="BM17" s="4" t="n">
        <f aca="false">D17*BM$30*Populations!$S16/1000</f>
        <v>77.95645875</v>
      </c>
      <c r="BN17" s="4" t="n">
        <f aca="false">D17*BN$30*Populations!$S16/(1.5*1000)</f>
        <v>184.78568</v>
      </c>
      <c r="BO17" s="4" t="n">
        <f aca="false">D17*BO$30*Populations!$S16/(2*1000)</f>
        <v>150.138365</v>
      </c>
      <c r="BP17" s="4" t="n">
        <f aca="false">D17*BP$30*Populations!$S16/(4*1000)</f>
        <v>34.647315</v>
      </c>
      <c r="BQ17" s="4" t="n">
        <f aca="false">D17*Populations!$R16*10/(3*1000*2000)</f>
        <v>2323.97687272137</v>
      </c>
      <c r="BR17" s="4" t="n">
        <f aca="false">D17*2*Populations!$R16/(30*1000*2000)</f>
        <v>46.4795374544275</v>
      </c>
      <c r="BS17" s="4" t="n">
        <f aca="false">D17*2*Populations!$S16/((37.5/12)*1000*2000)</f>
        <v>59.1314176</v>
      </c>
      <c r="BT17" s="4" t="n">
        <f aca="false">D17*2*Populations!$S16/((20/9)*1000*2000)</f>
        <v>83.153556</v>
      </c>
      <c r="BU17" s="4" t="n">
        <f aca="false">AF17*25*4/(51*$BU$32)</f>
        <v>10.8597824237365</v>
      </c>
      <c r="BV17" s="4" t="n">
        <f aca="false">D17*Populations!$S16*12/($BV$30*3)</f>
        <v>582.074892</v>
      </c>
      <c r="BW17" s="4" t="n">
        <f aca="false">D17*Populations!$S16*12/(2*$BW$30)</f>
        <v>498.921336</v>
      </c>
      <c r="BX17" s="4" t="n">
        <f aca="false">D17*Populations!$S16*12/(5*$BX$30)</f>
        <v>249.460668</v>
      </c>
      <c r="BY17" s="4" t="n">
        <f aca="false">D17*Populations!$S16/(2*$BY$30)</f>
        <v>145.518723</v>
      </c>
      <c r="BZ17" s="4" t="n">
        <f aca="false">D17*Populations!$R16*500/(1000*2000)</f>
        <v>348596.530908206</v>
      </c>
      <c r="CA17" s="4" t="n">
        <f aca="false">D17*Populations!R16*15/(1000*2000)</f>
        <v>10457.8959272462</v>
      </c>
      <c r="CB17" s="4" t="n">
        <f aca="false">IF(B17="Mts",1,D17*Populations!R16*30/(1000*2000))</f>
        <v>20915.7918544924</v>
      </c>
      <c r="CC17" s="4" t="n">
        <f aca="false">D17*40*Populations!R16/(1000*2000)</f>
        <v>27887.7224726565</v>
      </c>
      <c r="CD17" s="4" t="n">
        <f aca="false">D17*40*Populations!R16/(1000*2000)</f>
        <v>27887.7224726565</v>
      </c>
      <c r="CE17" s="4" t="n">
        <f aca="false">D17*20*Populations!R16/(1000*2000)</f>
        <v>13943.8612363282</v>
      </c>
      <c r="CF17" s="4" t="n">
        <f aca="false">D17*8.3454*32*Populations!$S16/(1000*2000)</f>
        <v>24673.766621952</v>
      </c>
      <c r="CG17" s="4" t="n">
        <f aca="false">D17*50*2*Populations!$S16/(3*1000*2000)</f>
        <v>3079.76133333333</v>
      </c>
      <c r="CH17" s="4" t="n">
        <f aca="false">IF(B17="Mts",20*D17*Populations!$R16/1000,0.001)</f>
        <v>0.001</v>
      </c>
      <c r="CI17" s="4" t="n">
        <f aca="false">IF(NOT(CH17=0.001),0.006*CH17/3,0.001)</f>
        <v>0.001</v>
      </c>
      <c r="CJ17" s="4" t="n">
        <f aca="false">IF(NOT(CH17=0.001),0.7*CH17/3,0.001)</f>
        <v>0.001</v>
      </c>
      <c r="CK17" s="4" t="n">
        <f aca="false">IF(NOT(CH17=0.001),0.65*CH17/3,0.001)</f>
        <v>0.001</v>
      </c>
      <c r="CL17" s="4" t="n">
        <f aca="false">IF(NOT(CH17=0.001),0.002*CH17/3,0.001)</f>
        <v>0.001</v>
      </c>
      <c r="CM17" s="4" t="n">
        <f aca="false">IF(NOT(CH17=0.001),0.001*CH17/3,0.001)</f>
        <v>0.001</v>
      </c>
      <c r="CN17" s="4" t="n">
        <f aca="false">D17*3*110/(24*2000)*Populations!$S16</f>
        <v>1270401.55</v>
      </c>
      <c r="CO17" s="4" t="n">
        <f aca="false">D17*3*12/(24*2000)*Populations!$S16</f>
        <v>138589.26</v>
      </c>
      <c r="CP17" s="4" t="n">
        <f aca="false">D17*3*1.4/(24*2000)*Populations!$S16</f>
        <v>16168.747</v>
      </c>
      <c r="CQ17" s="4" t="n">
        <f aca="false">D17*6400*8.3454*Populations!$S16/(10*1000*2000)</f>
        <v>493475.33243904</v>
      </c>
      <c r="CR17" s="4" t="n">
        <f aca="false">D17*2*Populations!$S16/(1000*2000)</f>
        <v>184.78568</v>
      </c>
      <c r="CS17" s="4" t="n">
        <f aca="false">D17*2*30*Populations!$S16/(1000*2000)</f>
        <v>5543.5704</v>
      </c>
      <c r="CT17" s="4" t="n">
        <f aca="false">27*Populations!$R16/(4*1000*2000)</f>
        <v>20.4611007272208</v>
      </c>
      <c r="CU17" s="4" t="n">
        <f aca="false">27*Populations!$R16/(16*1000*2000)</f>
        <v>5.11527518180519</v>
      </c>
      <c r="CV17" s="4" t="n">
        <f aca="false">AP17*0.9</f>
        <v>22538.7713538</v>
      </c>
      <c r="CW17" s="4" t="n">
        <f aca="false">2.5*D17*Populations!$R16/(60*2000)</f>
        <v>29049.7109090172</v>
      </c>
      <c r="CX17" s="4" t="n">
        <f aca="false">D17*125*Populations!R16/(6*1000*2000)</f>
        <v>14524.8554545086</v>
      </c>
      <c r="CY17" s="4" t="n">
        <f aca="false">D17*1.875*2*Populations!R16/(6*1000*2000)</f>
        <v>435.745663635257</v>
      </c>
      <c r="CZ17" s="4" t="n">
        <f aca="false">D17*2*20*Populations!$R16/(1000*2000)</f>
        <v>27887.7224726565</v>
      </c>
      <c r="DA17" s="4" t="n">
        <f aca="false">IF(NOT(CH17=0.001),CH17*0.00001,0.001)</f>
        <v>0.001</v>
      </c>
      <c r="DB17" s="4" t="n">
        <f aca="false">IF(NOT(CH17=0.001),CH17*0.00001,0.001)</f>
        <v>0.001</v>
      </c>
      <c r="DC17" s="4" t="n">
        <f aca="false">D17*0.02*12*Populations!$S16/(3*1000*2000)</f>
        <v>7.3914272</v>
      </c>
      <c r="DD17" s="4" t="n">
        <f aca="false">D17*0.5*12*Populations!$S16/(5*1000*2000)</f>
        <v>110.871408</v>
      </c>
      <c r="DE17" s="4" t="n">
        <f aca="false">D17*6*25*Populations!$S16/(1000*2000)</f>
        <v>13858.926</v>
      </c>
      <c r="DG17" s="4" t="n">
        <f aca="false">PRODUCT(AC17:AD17)</f>
        <v>26.878209181074</v>
      </c>
      <c r="DH17" s="4" t="n">
        <f aca="false">LOG(PRODUCT(S17,V17,Y17:AB17,AE17:AH17,AL17:AO17,AR17:AT17,AW17,BQ17:BU17,BZ17,CH17:CM17,CT17:CU17,CW17:DB17),2)</f>
        <v>297.030728037913</v>
      </c>
      <c r="DI17" s="4" t="n">
        <f aca="false">LOG(PRODUCT($AI17:$AK17,$AP17:$AQ17,$AU17:$AV17,AX17:BP17,BV17:BY17,CA17:CG17,CN17:CS17,CV17,DC17:DE17),2)</f>
        <v>498.801263785432</v>
      </c>
      <c r="DK17" s="4" t="n">
        <f aca="false">SUM(DG17:DI17)</f>
        <v>822.710201004419</v>
      </c>
    </row>
    <row r="18" s="4" customFormat="true" ht="12.8" hidden="false" customHeight="false" outlineLevel="0" collapsed="false">
      <c r="A18" s="0" t="s">
        <v>152</v>
      </c>
      <c r="B18" s="0" t="s">
        <v>136</v>
      </c>
      <c r="C18" s="0" t="n">
        <v>143</v>
      </c>
      <c r="D18" s="0" t="n">
        <f aca="false">IF(B18="Taiga",265,IF(B18="Mts",265,IF(B18="Temp",230,IF(B18="Steppe",265,IF(B18="Jungle",180,IF(B18="Sav",240,IF(B18="Medi",230,0)))))))</f>
        <v>230</v>
      </c>
      <c r="E18" s="0" t="n">
        <v>1</v>
      </c>
      <c r="F18" s="4" t="n">
        <f aca="false">IF(B18="Taiga",0.43,IF(B18="Mts",0.21,IF(B18="Temp",0.64,IF(B18="Steppe",0.57,IF(B18="Jungle",0.43,IF(B18="Sav",0.57,IF(B18="Medi",0.43,0)))))))</f>
        <v>0.64</v>
      </c>
      <c r="G18" s="4" t="n">
        <f aca="false">IF(B18="Taiga",0.43,IF(B18="Mts",0.8,IF(B18="Temp",0.64,IF(B18="Steppe",0.64,IF(B18="Jungle",0.43,IF(B18="Sav",0.8,IF(B18="Medi",0.6,0)))))))</f>
        <v>0.64</v>
      </c>
      <c r="H18" s="4" t="n">
        <f aca="false">$H$31*IF(B18="Taiga",528,IF(B18="Mts",855.27,IF(B18="Temp",565.94,IF(B18="Steppe",551.72,IF(B18="Jungle",575.43,IF(B18="Sav",599.15,IF(B18="Medi",564.36,0)))))))</f>
        <v>1131.88</v>
      </c>
      <c r="I18" s="4" t="n">
        <f aca="false">$H$31*IF(B18="Taiga",2608.19,IF(B18="Mts",2100,IF(B18="Temp",2976.19,IF(B18="Steppe",2450.48,IF(B18="Jungle",2135.05,IF(B18="Sav",2310.29,IF(B18="Medi",2485.52,0)))))))</f>
        <v>5952.38</v>
      </c>
      <c r="J18" s="4" t="n">
        <f aca="false">$H$31*IF(B18="Taiga",500.54,IF(B18="Mts",360,IF(B18="Temp",570.81,IF(B18="Steppe",441.95,IF(B18="Jungle",486.49,IF(B18="Sav",518.92,IF(B18="Medi",640,0)))))))</f>
        <v>1141.62</v>
      </c>
      <c r="K18" s="4" t="n">
        <f aca="false">$H$31*IF(B18="Taiga",2003.09,IF(B18="Mts",1612.8,IF(B18="Temp",2285.71,IF(B18="Steppe",1881.97,IF(B18="Jungle",1639.72,IF(B18="Sav",1774.3,IF(B18="Medi",1908.88,0)))))))</f>
        <v>4571.42</v>
      </c>
      <c r="L18" s="4" t="n">
        <f aca="false">$H$31*IF(B18="Taiga",260.82,IF(B18="Mts",210,IF(B18="Temp",297.62,IF(B18="Steppe",245.05,IF(B18="Jungle",213.5,IF(B18="Sav",231.03,IF(B18="Medi",248.55,0)))))))</f>
        <v>595.24</v>
      </c>
      <c r="M18" s="4" t="n">
        <f aca="false">$H$31*IF(B18="Taiga",250,IF(B18="Mts",640,IF(B18="Temp",295.2174,IF(B18="Steppe",278.2609,IF(B18="Jungle",306.5217,IF(B18="Sav",334.7826,IF(B18="Medi",293.3333,0)))))))</f>
        <v>590.4348</v>
      </c>
      <c r="N18" s="4" t="n">
        <f aca="false">$H$31*IF(B18="Taiga",1491.9691,IF(B18="Mts",980,IF(B18="Temp",1747.9537,IF(B18="Steppe",1278.5174,IF(B18="Jungle",1440.7722,IF(B18="Sav",1558.9189,IF(B18="Medi",2000,0)))))))</f>
        <v>3495.9074</v>
      </c>
      <c r="O18" s="4" t="n">
        <f aca="false">$H$31*IF(B18="Taiga",68.5,IF(B18="Mts",25,IF(B18="Temp",100,IF(B18="Steppe",55,IF(B18="Jungle",28,IF(B18="Sav",43,IF(B18="Medi",58,0)))))))</f>
        <v>200</v>
      </c>
      <c r="P18" s="4" t="n">
        <f aca="false">$H$31*20*15/8000</f>
        <v>0.075</v>
      </c>
      <c r="Q18" s="4" t="n">
        <f aca="false">$H$31*20*15/8000</f>
        <v>0.075</v>
      </c>
      <c r="R18" s="1" t="s">
        <v>39</v>
      </c>
      <c r="S18" s="4" t="n">
        <f aca="false">C18*F18*G18*360*640*1393.66125/(2000*1000)</f>
        <v>9403.8499196928</v>
      </c>
      <c r="T18" s="4" t="n">
        <f aca="false">C18*F18*G18*J18*640*1393.66125*2/(1000*2000*3)</f>
        <v>19880.7836024439</v>
      </c>
      <c r="U18" s="4" t="n">
        <f aca="false">T18*J$28</f>
        <v>6626.92786748129</v>
      </c>
      <c r="V18" s="4" t="n">
        <f aca="false">T18-U18</f>
        <v>13253.8557349626</v>
      </c>
      <c r="W18" s="4" t="n">
        <f aca="false">C18*F18*G18*H18*640*1393.66125*2/(1000*2000*3)</f>
        <v>19711.1660131516</v>
      </c>
      <c r="X18" s="4" t="n">
        <f aca="false">W18*H$28</f>
        <v>5375.77254904136</v>
      </c>
      <c r="Y18" s="4" t="n">
        <f aca="false">W18-X18</f>
        <v>14335.3934641103</v>
      </c>
      <c r="Z18" s="4" t="n">
        <f aca="false">C18*F18*G18*M18*640*1393.66125/(1000*2000*3)</f>
        <v>5141.07430237392</v>
      </c>
      <c r="AA18" s="4" t="n">
        <f aca="false">C18*F18*G18*N18*640*1393.66125/(2000*1000)</f>
        <v>91319.4125631763</v>
      </c>
      <c r="AB18" s="4" t="n">
        <f aca="false">C18*F18*G18*O18*640*1393.66125/(2000*1000)</f>
        <v>5224.361066496</v>
      </c>
      <c r="AC18" s="4" t="n">
        <f aca="false">C18*P18*640*1393.66125/(2000*1000)</f>
        <v>4.78304541</v>
      </c>
      <c r="AD18" s="4" t="n">
        <f aca="false">C18*Q18*640*1393.66125/(2000*1000)</f>
        <v>4.78304541</v>
      </c>
      <c r="AE18" s="4" t="n">
        <f aca="false">($V18+$Z18)*2000*1000/(3*365)</f>
        <v>33598045.730295</v>
      </c>
      <c r="AF18" s="4" t="n">
        <f aca="false">($V18+$Z18)*2000*1000/(18*100)</f>
        <v>20438811.1525961</v>
      </c>
      <c r="AG18" s="4" t="n">
        <f aca="false">($V18+$Z18)*2000*1000/(3*365)</f>
        <v>33598045.730295</v>
      </c>
      <c r="AH18" s="4" t="n">
        <f aca="false">C18*F18*G18*K18*640*1393.66125/(2000*1000)</f>
        <v>119413.743333006</v>
      </c>
      <c r="AI18" s="4" t="n">
        <f aca="false">3*12*D18*Populations!$S17/(5*1000)</f>
        <v>1471177.152</v>
      </c>
      <c r="AJ18" s="4" t="n">
        <f aca="false">1.5*D18*750*Populations!$S17/(1000*2000*15)</f>
        <v>7662.381</v>
      </c>
      <c r="AK18" s="4" t="n">
        <f aca="false">66*10*D18*Populations!$S17/(1000*2000*6)</f>
        <v>11238.1588</v>
      </c>
      <c r="AL18" s="4" t="n">
        <f aca="false">AE18*365/(2000*1000)</f>
        <v>6131.64334577883</v>
      </c>
      <c r="AM18" s="4" t="n">
        <f aca="false">AF18*25*238/(51*2000*1000)</f>
        <v>1192.26398390144</v>
      </c>
      <c r="AN18" s="4" t="n">
        <f aca="false">AG18*100*238/(600*1000*2000)</f>
        <v>666.361240317517</v>
      </c>
      <c r="AO18" s="4" t="n">
        <f aca="false">AG18*120*2/(16*1000*2000)</f>
        <v>251.985342977212</v>
      </c>
      <c r="AP18" s="4" t="n">
        <f aca="false">D18*4800*Populations!$S17/($AP$28*10*1000*2000)</f>
        <v>27691.844934</v>
      </c>
      <c r="AQ18" s="4" t="n">
        <f aca="false">D18*2*4800*Populations!$S17/($AQ$28*10*1000*2000)</f>
        <v>106507.0959</v>
      </c>
      <c r="AR18" s="4" t="n">
        <f aca="false">C18*F18*G18*L18*640*1393.66125/(2000*1000)</f>
        <v>15548.7434061054</v>
      </c>
      <c r="AS18" s="4" t="n">
        <f aca="false">AF18*600*6/(90*1000*2000)</f>
        <v>408.776223051922</v>
      </c>
      <c r="AT18" s="4" t="n">
        <f aca="false">IF(B18="Taiga",236.2,IF(B18="Mts",10,IF(B18="Temp",400,IF(B18="Steppe",25,IF(B18="Jungle",400,IF(B18="Sav",103.6,IF(B18="Medi",181.6,0)))))))*D18*AT$36*Populations!$R17/1000</f>
        <v>939437.328146356</v>
      </c>
      <c r="AU18" s="4" t="n">
        <f aca="false">INDEX(Tech!$F$3:$F$13,MATCH(E18,Tech!$E$3:$E$13,1))*D18*AT$36*Populations!$S17/(365*1000)</f>
        <v>38311.905</v>
      </c>
      <c r="AV18" s="4" t="n">
        <f aca="false">D18*12.5*AT$36*Populations!$S17/(10*30)</f>
        <v>15963.29375</v>
      </c>
      <c r="AW18" s="4" t="n">
        <f aca="false">0.125*D18*AW$30*Populations!$R17/1000</f>
        <v>605.496715406831</v>
      </c>
      <c r="AX18" s="4" t="n">
        <f aca="false">D18*AW$30*Populations!$S17/(3*1000)</f>
        <v>263.394346875</v>
      </c>
      <c r="AY18" s="4" t="n">
        <f aca="false">D18*Populations!$S17/(2*1000*AY$30)/1000</f>
        <v>183.897144</v>
      </c>
      <c r="AZ18" s="4" t="n">
        <f aca="false">D18*AZ$30*Populations!$S17/(2*1000)</f>
        <v>127.70635</v>
      </c>
      <c r="BA18" s="4" t="n">
        <f aca="false">D18*2*BA$30*Populations!$S17/1000</f>
        <v>612.99048</v>
      </c>
      <c r="BB18" s="4" t="n">
        <f aca="false">D18*3*BB$30*Populations!$S17/1000</f>
        <v>459.74286</v>
      </c>
      <c r="BC18" s="4" t="n">
        <f aca="false">D18*11*BC$30*Populations!$S17/(15*1000)</f>
        <v>89.9052704</v>
      </c>
      <c r="BD18" s="4" t="n">
        <f aca="false">D18*11*BD$30*Populations!$S17/(8*1000)</f>
        <v>210.7154775</v>
      </c>
      <c r="BE18" s="4" t="n">
        <f aca="false">D18*11*BE$30*Populations!$S17/(3*1000)</f>
        <v>136.463356857143</v>
      </c>
      <c r="BF18" s="4" t="n">
        <f aca="false">D18*11*BF$30*Populations!$S17/(5*1000)</f>
        <v>98.3338895</v>
      </c>
      <c r="BG18" s="4" t="n">
        <f aca="false">D18*11*BG$30*Populations!$S17/(9*1000)</f>
        <v>249.736862222222</v>
      </c>
      <c r="BH18" s="4" t="n">
        <f aca="false">D18*11*BH$30*Populations!$S17/(12*1000)</f>
        <v>140.476985</v>
      </c>
      <c r="BI18" s="4" t="n">
        <f aca="false">D18*BI$30*Populations!$S17/(1000*125/12)</f>
        <v>392.3139072</v>
      </c>
      <c r="BJ18" s="4" t="n">
        <f aca="false">D18*BJ$30*Populations!$S17/(30*1000)</f>
        <v>178.312119626667</v>
      </c>
      <c r="BK18" s="4" t="n">
        <f aca="false">D18*BK$30*Populations!$S17/(7*1000)</f>
        <v>24.6290817857143</v>
      </c>
      <c r="BL18" s="4" t="n">
        <f aca="false">D18*BL$30*Populations!$S17/(8.5*1000)</f>
        <v>40.5655464705882</v>
      </c>
      <c r="BM18" s="4" t="n">
        <f aca="false">D18*BM$30*Populations!$S17/1000</f>
        <v>86.20178625</v>
      </c>
      <c r="BN18" s="4" t="n">
        <f aca="false">D18*BN$30*Populations!$S17/(1.5*1000)</f>
        <v>204.33016</v>
      </c>
      <c r="BO18" s="4" t="n">
        <f aca="false">D18*BO$30*Populations!$S17/(2*1000)</f>
        <v>166.018255</v>
      </c>
      <c r="BP18" s="4" t="n">
        <f aca="false">D18*BP$30*Populations!$S17/(4*1000)</f>
        <v>38.311905</v>
      </c>
      <c r="BQ18" s="4" t="n">
        <f aca="false">D18*Populations!$R17*10/(3*1000*2000)</f>
        <v>2087.6385069919</v>
      </c>
      <c r="BR18" s="4" t="n">
        <f aca="false">D18*2*Populations!$R17/(30*1000*2000)</f>
        <v>41.752770139838</v>
      </c>
      <c r="BS18" s="4" t="n">
        <f aca="false">D18*2*Populations!$S17/((37.5/12)*1000*2000)</f>
        <v>65.3856512</v>
      </c>
      <c r="BT18" s="4" t="n">
        <f aca="false">D18*2*Populations!$S17/((20/9)*1000*2000)</f>
        <v>91.948572</v>
      </c>
      <c r="BU18" s="4" t="n">
        <f aca="false">AF18*25*4/(51*$BU$32)</f>
        <v>10.019025074802</v>
      </c>
      <c r="BV18" s="4" t="n">
        <f aca="false">D18*Populations!$S17*12/($BV$30*3)</f>
        <v>643.640004</v>
      </c>
      <c r="BW18" s="4" t="n">
        <f aca="false">D18*Populations!$S17*12/(2*$BW$30)</f>
        <v>551.691432000001</v>
      </c>
      <c r="BX18" s="4" t="n">
        <f aca="false">D18*Populations!$S17*12/(5*$BX$30)</f>
        <v>275.845716</v>
      </c>
      <c r="BY18" s="4" t="n">
        <f aca="false">D18*Populations!$S17/(2*$BY$30)</f>
        <v>160.910001</v>
      </c>
      <c r="BZ18" s="4" t="n">
        <f aca="false">D18*Populations!$R17*500/(1000*2000)</f>
        <v>313145.776048785</v>
      </c>
      <c r="CA18" s="4" t="n">
        <f aca="false">D18*Populations!R17*15/(1000*2000)</f>
        <v>9394.37328146356</v>
      </c>
      <c r="CB18" s="4" t="n">
        <f aca="false">IF(B18="Mts",1,D18*Populations!R17*30/(1000*2000))</f>
        <v>18788.7465629271</v>
      </c>
      <c r="CC18" s="4" t="n">
        <f aca="false">D18*40*Populations!R17/(1000*2000)</f>
        <v>25051.6620839028</v>
      </c>
      <c r="CD18" s="4" t="n">
        <f aca="false">D18*40*Populations!R17/(1000*2000)</f>
        <v>25051.6620839028</v>
      </c>
      <c r="CE18" s="4" t="n">
        <f aca="false">D18*20*Populations!R17/(1000*2000)</f>
        <v>12525.8310419514</v>
      </c>
      <c r="CF18" s="4" t="n">
        <f aca="false">D18*8.3454*32*Populations!$S17/(1000*2000)</f>
        <v>27283.470676224</v>
      </c>
      <c r="CG18" s="4" t="n">
        <f aca="false">D18*50*2*Populations!$S17/(3*1000*2000)</f>
        <v>3405.50266666667</v>
      </c>
      <c r="CH18" s="4" t="n">
        <f aca="false">20*D18*Populations!$R17/1000</f>
        <v>25051662.0839028</v>
      </c>
      <c r="CI18" s="4" t="n">
        <f aca="false">IF(NOT(CH18=0.001),0.006*CH18/3,0.001)</f>
        <v>50103.3241678056</v>
      </c>
      <c r="CJ18" s="4" t="n">
        <f aca="false">IF(NOT(CH18=0.001),0.7*CH18/3,0.001)</f>
        <v>5845387.81957733</v>
      </c>
      <c r="CK18" s="4" t="n">
        <f aca="false">IF(NOT(CH18=0.001),0.65*CH18/3,0.001)</f>
        <v>5427860.11817894</v>
      </c>
      <c r="CL18" s="4" t="n">
        <f aca="false">IF(NOT(CH18=0.001),0.002*CH18/3,0.001)</f>
        <v>16701.1080559352</v>
      </c>
      <c r="CM18" s="4" t="n">
        <f aca="false">IF(NOT(CH18=0.001),0.001*CH18/3,0.001)</f>
        <v>8350.55402796761</v>
      </c>
      <c r="CN18" s="4" t="n">
        <f aca="false">D18*3*110/(24*2000)*Populations!$S17</f>
        <v>1404769.85</v>
      </c>
      <c r="CO18" s="4" t="n">
        <f aca="false">D18*3*12/(24*2000)*Populations!$S17</f>
        <v>153247.62</v>
      </c>
      <c r="CP18" s="4" t="n">
        <f aca="false">D18*3*1.4/(24*2000)*Populations!$S17</f>
        <v>17878.889</v>
      </c>
      <c r="CQ18" s="4" t="n">
        <f aca="false">D18*6400*8.3454*Populations!$S17/(10*1000*2000)</f>
        <v>545669.41352448</v>
      </c>
      <c r="CR18" s="4" t="n">
        <f aca="false">D18*2*Populations!$S17/(1000*2000)</f>
        <v>204.33016</v>
      </c>
      <c r="CS18" s="4" t="n">
        <f aca="false">D18*2*30*Populations!$S17/(1000*2000)</f>
        <v>6129.9048</v>
      </c>
      <c r="CT18" s="4" t="n">
        <f aca="false">27*Populations!$R17/(4*1000*2000)</f>
        <v>18.3802955506896</v>
      </c>
      <c r="CU18" s="4" t="n">
        <f aca="false">27*Populations!$R17/(16*1000*2000)</f>
        <v>4.59507388767239</v>
      </c>
      <c r="CV18" s="4" t="n">
        <f aca="false">AP18*0.9</f>
        <v>24922.6604406</v>
      </c>
      <c r="CW18" s="4" t="n">
        <f aca="false">2.5*D18*Populations!$R17/(60*2000)</f>
        <v>26095.4813373988</v>
      </c>
      <c r="CX18" s="4" t="n">
        <f aca="false">D18*125*Populations!R17/(6*1000*2000)</f>
        <v>13047.7406686994</v>
      </c>
      <c r="CY18" s="4" t="n">
        <f aca="false">D18*1.875*2*Populations!R17/(6*1000*2000)</f>
        <v>391.432220060982</v>
      </c>
      <c r="CZ18" s="4" t="n">
        <f aca="false">D18*2*20*Populations!$R17/(1000*2000)</f>
        <v>25051.6620839028</v>
      </c>
      <c r="DA18" s="4" t="n">
        <f aca="false">IF(NOT(CH18=0.001),CH18*0.00001,0.001)</f>
        <v>250.516620839028</v>
      </c>
      <c r="DB18" s="4" t="n">
        <f aca="false">IF(NOT(CH18=0.001),CH18*0.00001,0.001)</f>
        <v>250.516620839028</v>
      </c>
      <c r="DC18" s="4" t="n">
        <f aca="false">D18*0.02*12*Populations!$S17/(3*1000*2000)</f>
        <v>8.1732064</v>
      </c>
      <c r="DD18" s="4" t="n">
        <f aca="false">D18*0.5*12*Populations!$S17/(5*1000*2000)</f>
        <v>122.598096</v>
      </c>
      <c r="DE18" s="4" t="n">
        <f aca="false">D18*6*25*Populations!$S17/(1000*2000)</f>
        <v>15324.762</v>
      </c>
      <c r="DG18" s="4" t="n">
        <f aca="false">PRODUCT(AC18:AD18)</f>
        <v>22.8775233941221</v>
      </c>
      <c r="DH18" s="4" t="n">
        <f aca="false">LOG(PRODUCT(S18,V18,Y18:AB18,AE18:AH18,AL18:AO18,AR18:AT18,AW18,BQ18:BU18,BZ18,CH18:CM18,CT18:CU18,CW18:DB18),2)</f>
        <v>501.403515389507</v>
      </c>
      <c r="DI18" s="4" t="n">
        <f aca="false">LOG(PRODUCT($AI18:$AK18,$AP18:$AQ18,$AU18:$AV18,AX18:BP18,BV18:BY18,CA18:CG18,CN18:CS18,CV18,DC18:DE18),2)</f>
        <v>504.119711576398</v>
      </c>
      <c r="DK18" s="4" t="n">
        <f aca="false">SUM(DG18:DI18)</f>
        <v>1028.40075036003</v>
      </c>
    </row>
    <row r="19" s="4" customFormat="true" ht="12.8" hidden="false" customHeight="false" outlineLevel="0" collapsed="false">
      <c r="A19" s="0" t="s">
        <v>153</v>
      </c>
      <c r="B19" s="0" t="s">
        <v>154</v>
      </c>
      <c r="C19" s="0" t="n">
        <v>84</v>
      </c>
      <c r="D19" s="0" t="n">
        <f aca="false">IF(B19="Taiga",265,IF(B19="Mts",265,IF(B19="Temp",230,IF(B19="Steppe",265,IF(B19="Jungle",180,IF(B19="Sav",240,IF(B19="Medi",230,0)))))))</f>
        <v>230</v>
      </c>
      <c r="E19" s="0" t="n">
        <v>1</v>
      </c>
      <c r="F19" s="4" t="n">
        <f aca="false">IF(B19="Taiga",0.43,IF(B19="Mts",0.21,IF(B19="Temp",0.64,IF(B19="Steppe",0.57,IF(B19="Jungle",0.43,IF(B19="Sav",0.57,IF(B19="Medi",0.43,0)))))))</f>
        <v>0.43</v>
      </c>
      <c r="G19" s="4" t="n">
        <f aca="false">IF(B19="Taiga",0.43,IF(B19="Mts",0.8,IF(B19="Temp",0.64,IF(B19="Steppe",0.64,IF(B19="Jungle",0.43,IF(B19="Sav",0.8,IF(B19="Medi",0.6,0)))))))</f>
        <v>0.6</v>
      </c>
      <c r="H19" s="4" t="n">
        <f aca="false">$H$31*IF(B19="Taiga",528,IF(B19="Mts",855.27,IF(B19="Temp",565.94,IF(B19="Steppe",551.72,IF(B19="Jungle",575.43,IF(B19="Sav",599.15,IF(B19="Medi",564.36,0)))))))</f>
        <v>1128.72</v>
      </c>
      <c r="I19" s="4" t="n">
        <f aca="false">$H$31*IF(B19="Taiga",2608.19,IF(B19="Mts",2100,IF(B19="Temp",2976.19,IF(B19="Steppe",2450.48,IF(B19="Jungle",2135.05,IF(B19="Sav",2310.29,IF(B19="Medi",2485.52,0)))))))</f>
        <v>4971.04</v>
      </c>
      <c r="J19" s="4" t="n">
        <f aca="false">$H$31*IF(B19="Taiga",500.54,IF(B19="Mts",360,IF(B19="Temp",570.81,IF(B19="Steppe",441.95,IF(B19="Jungle",486.49,IF(B19="Sav",518.92,IF(B19="Medi",640,0)))))))</f>
        <v>1280</v>
      </c>
      <c r="K19" s="4" t="n">
        <f aca="false">$H$31*IF(B19="Taiga",2003.09,IF(B19="Mts",1612.8,IF(B19="Temp",2285.71,IF(B19="Steppe",1881.97,IF(B19="Jungle",1639.72,IF(B19="Sav",1774.3,IF(B19="Medi",1908.88,0)))))))</f>
        <v>3817.76</v>
      </c>
      <c r="L19" s="4" t="n">
        <f aca="false">$H$31*IF(B19="Taiga",260.82,IF(B19="Mts",210,IF(B19="Temp",297.62,IF(B19="Steppe",245.05,IF(B19="Jungle",213.5,IF(B19="Sav",231.03,IF(B19="Medi",248.55,0)))))))</f>
        <v>497.1</v>
      </c>
      <c r="M19" s="4" t="n">
        <f aca="false">$H$31*IF(B19="Taiga",250,IF(B19="Mts",640,IF(B19="Temp",295.2174,IF(B19="Steppe",278.2609,IF(B19="Jungle",306.5217,IF(B19="Sav",334.7826,IF(B19="Medi",293.3333,0)))))))</f>
        <v>586.6666</v>
      </c>
      <c r="N19" s="4" t="n">
        <f aca="false">$H$31*IF(B19="Taiga",1491.9691,IF(B19="Mts",980,IF(B19="Temp",1747.9537,IF(B19="Steppe",1278.5174,IF(B19="Jungle",1440.7722,IF(B19="Sav",1558.9189,IF(B19="Medi",2000,0)))))))</f>
        <v>4000</v>
      </c>
      <c r="O19" s="4" t="n">
        <f aca="false">$H$31*IF(B19="Taiga",68.5,IF(B19="Mts",25,IF(B19="Temp",100,IF(B19="Steppe",55,IF(B19="Jungle",28,IF(B19="Sav",43,IF(B19="Medi",58,0)))))))</f>
        <v>116</v>
      </c>
      <c r="P19" s="4" t="n">
        <f aca="false">$H$31*20*15/8000</f>
        <v>0.075</v>
      </c>
      <c r="Q19" s="4" t="n">
        <f aca="false">$H$31*20*15/8000</f>
        <v>0.075</v>
      </c>
      <c r="R19" s="1" t="s">
        <v>39</v>
      </c>
      <c r="S19" s="4" t="n">
        <f aca="false">C19*F19*G19*360*640*1393.66125/(2000*1000)</f>
        <v>3479.434745472</v>
      </c>
      <c r="T19" s="4" t="n">
        <f aca="false">C19*F19*G19*J19*640*1393.66125*2/(1000*2000*3)</f>
        <v>8247.549026304</v>
      </c>
      <c r="U19" s="4" t="n">
        <f aca="false">T19*J$28</f>
        <v>2749.183008768</v>
      </c>
      <c r="V19" s="4" t="n">
        <f aca="false">T19-U19</f>
        <v>5498.366017536</v>
      </c>
      <c r="W19" s="4" t="n">
        <f aca="false">C19*F19*G19*H19*640*1393.66125*2/(1000*2000*3)</f>
        <v>7272.7918257577</v>
      </c>
      <c r="X19" s="4" t="n">
        <f aca="false">W19*H$28</f>
        <v>1983.4886797521</v>
      </c>
      <c r="Y19" s="4" t="n">
        <f aca="false">W19-X19</f>
        <v>5289.3031460056</v>
      </c>
      <c r="Z19" s="4" t="n">
        <f aca="false">C19*F19*G19*M19*640*1393.66125/(1000*2000*3)</f>
        <v>1890.06310374808</v>
      </c>
      <c r="AA19" s="4" t="n">
        <f aca="false">C19*F19*G19*N19*640*1393.66125/(2000*1000)</f>
        <v>38660.3860608</v>
      </c>
      <c r="AB19" s="4" t="n">
        <f aca="false">C19*F19*G19*O19*640*1393.66125/(2000*1000)</f>
        <v>1121.1511957632</v>
      </c>
      <c r="AC19" s="4" t="n">
        <f aca="false">C19*P19*640*1393.66125/(2000*1000)</f>
        <v>2.80962108</v>
      </c>
      <c r="AD19" s="4" t="n">
        <f aca="false">C19*Q19*640*1393.66125/(2000*1000)</f>
        <v>2.80962108</v>
      </c>
      <c r="AE19" s="4" t="n">
        <f aca="false">($V19+$Z19)*2000*1000/(3*365)</f>
        <v>13494847.7101079</v>
      </c>
      <c r="AF19" s="4" t="n">
        <f aca="false">($V19+$Z19)*2000*1000/(18*100)</f>
        <v>8209365.69031564</v>
      </c>
      <c r="AG19" s="4" t="n">
        <f aca="false">($V19+$Z19)*2000*1000/(3*365)</f>
        <v>13494847.7101079</v>
      </c>
      <c r="AH19" s="4" t="n">
        <f aca="false">C19*F19*G19*K19*640*1393.66125/(2000*1000)</f>
        <v>36899.01887187</v>
      </c>
      <c r="AI19" s="4" t="n">
        <f aca="false">3*12*D19*Populations!$S18/(5*1000)</f>
        <v>827907.264</v>
      </c>
      <c r="AJ19" s="4" t="n">
        <f aca="false">1.5*D19*750*Populations!$S18/(1000*2000*15)</f>
        <v>4312.017</v>
      </c>
      <c r="AK19" s="4" t="n">
        <f aca="false">66*10*D19*Populations!$S18/(1000*2000*6)</f>
        <v>6324.2916</v>
      </c>
      <c r="AL19" s="4" t="n">
        <f aca="false">AE19*365/(2000*1000)</f>
        <v>2462.80970709469</v>
      </c>
      <c r="AM19" s="4" t="n">
        <f aca="false">AF19*25*238/(51*2000*1000)</f>
        <v>478.879665268412</v>
      </c>
      <c r="AN19" s="4" t="n">
        <f aca="false">AG19*100*238/(600*1000*2000)</f>
        <v>267.64781291714</v>
      </c>
      <c r="AO19" s="4" t="n">
        <f aca="false">AG19*120*2/(16*1000*2000)</f>
        <v>101.211357825809</v>
      </c>
      <c r="AP19" s="4" t="n">
        <f aca="false">D19*4800*Populations!$S18/($AP$28*10*1000*2000)</f>
        <v>15583.629438</v>
      </c>
      <c r="AQ19" s="4" t="n">
        <f aca="false">D19*2*4800*Populations!$S18/($AQ$28*10*1000*2000)</f>
        <v>59937.0363</v>
      </c>
      <c r="AR19" s="4" t="n">
        <f aca="false">C19*F19*G19*L19*640*1393.66125/(2000*1000)</f>
        <v>4804.51947770592</v>
      </c>
      <c r="AS19" s="4" t="n">
        <f aca="false">AF19*600*6/(90*1000*2000)</f>
        <v>164.187313806313</v>
      </c>
      <c r="AT19" s="4" t="n">
        <f aca="false">IF(B19="Taiga",236.2,IF(B19="Mts",10,IF(B19="Temp",400,IF(B19="Steppe",25,IF(B19="Jungle",400,IF(B19="Sav",103.6,IF(B19="Medi",181.6,0)))))))*D19*AT$36*Populations!$R18/1000</f>
        <v>236171.485691707</v>
      </c>
      <c r="AU19" s="4" t="n">
        <f aca="false">INDEX(Tech!$F$3:$F$13,MATCH(E19,Tech!$E$3:$E$13,1))*D19*AT$36*Populations!$S18/(365*1000)</f>
        <v>21560.085</v>
      </c>
      <c r="AV19" s="4" t="n">
        <f aca="false">D19*12.5*AT$36*Populations!$S18/(10*30)</f>
        <v>8983.36875</v>
      </c>
      <c r="AW19" s="4" t="n">
        <f aca="false">0.125*D19*AW$30*Populations!$R18/1000</f>
        <v>335.286129707562</v>
      </c>
      <c r="AX19" s="4" t="n">
        <f aca="false">D19*AW$30*Populations!$S18/(3*1000)</f>
        <v>148.225584375</v>
      </c>
      <c r="AY19" s="4" t="n">
        <f aca="false">D19*Populations!$S18/(2*1000*AY$30)/1000</f>
        <v>103.488408</v>
      </c>
      <c r="AZ19" s="4" t="n">
        <f aca="false">D19*AZ$30*Populations!$S18/(2*1000)</f>
        <v>71.86695</v>
      </c>
      <c r="BA19" s="4" t="n">
        <f aca="false">D19*2*BA$30*Populations!$S18/1000</f>
        <v>344.96136</v>
      </c>
      <c r="BB19" s="4" t="n">
        <f aca="false">D19*3*BB$30*Populations!$S18/1000</f>
        <v>258.72102</v>
      </c>
      <c r="BC19" s="4" t="n">
        <f aca="false">D19*11*BC$30*Populations!$S18/(15*1000)</f>
        <v>50.5943328</v>
      </c>
      <c r="BD19" s="4" t="n">
        <f aca="false">D19*11*BD$30*Populations!$S18/(8*1000)</f>
        <v>118.5804675</v>
      </c>
      <c r="BE19" s="4" t="n">
        <f aca="false">D19*11*BE$30*Populations!$S18/(3*1000)</f>
        <v>76.7949694285714</v>
      </c>
      <c r="BF19" s="4" t="n">
        <f aca="false">D19*11*BF$30*Populations!$S18/(5*1000)</f>
        <v>55.3375515</v>
      </c>
      <c r="BG19" s="4" t="n">
        <f aca="false">D19*11*BG$30*Populations!$S18/(9*1000)</f>
        <v>140.539813333333</v>
      </c>
      <c r="BH19" s="4" t="n">
        <f aca="false">D19*11*BH$30*Populations!$S18/(12*1000)</f>
        <v>79.053645</v>
      </c>
      <c r="BI19" s="4" t="n">
        <f aca="false">D19*BI$30*Populations!$S18/(1000*125/12)</f>
        <v>220.7752704</v>
      </c>
      <c r="BJ19" s="4" t="n">
        <f aca="false">D19*BJ$30*Populations!$S18/(30*1000)</f>
        <v>100.34542672</v>
      </c>
      <c r="BK19" s="4" t="n">
        <f aca="false">D19*BK$30*Populations!$S18/(7*1000)</f>
        <v>13.8600546428571</v>
      </c>
      <c r="BL19" s="4" t="n">
        <f aca="false">D19*BL$30*Populations!$S18/(8.5*1000)</f>
        <v>22.8283252941176</v>
      </c>
      <c r="BM19" s="4" t="n">
        <f aca="false">D19*BM$30*Populations!$S18/1000</f>
        <v>48.51019125</v>
      </c>
      <c r="BN19" s="4" t="n">
        <f aca="false">D19*BN$30*Populations!$S18/(1.5*1000)</f>
        <v>114.98712</v>
      </c>
      <c r="BO19" s="4" t="n">
        <f aca="false">D19*BO$30*Populations!$S18/(2*1000)</f>
        <v>93.427035</v>
      </c>
      <c r="BP19" s="4" t="n">
        <f aca="false">D19*BP$30*Populations!$S18/(4*1000)</f>
        <v>21.560085</v>
      </c>
      <c r="BQ19" s="4" t="n">
        <f aca="false">D19*Populations!$R18*10/(3*1000*2000)</f>
        <v>1156.00335629813</v>
      </c>
      <c r="BR19" s="4" t="n">
        <f aca="false">D19*2*Populations!$R18/(30*1000*2000)</f>
        <v>23.1200671259625</v>
      </c>
      <c r="BS19" s="4" t="n">
        <f aca="false">D19*2*Populations!$S18/((37.5/12)*1000*2000)</f>
        <v>36.7958784</v>
      </c>
      <c r="BT19" s="4" t="n">
        <f aca="false">D19*2*Populations!$S18/((20/9)*1000*2000)</f>
        <v>51.744204</v>
      </c>
      <c r="BU19" s="4" t="n">
        <f aca="false">AF19*25*4/(51*$BU$32)</f>
        <v>4.02419886780179</v>
      </c>
      <c r="BV19" s="4" t="n">
        <f aca="false">D19*Populations!$S18*12/($BV$30*3)</f>
        <v>362.209428</v>
      </c>
      <c r="BW19" s="4" t="n">
        <f aca="false">D19*Populations!$S18*12/(2*$BW$30)</f>
        <v>310.465224</v>
      </c>
      <c r="BX19" s="4" t="n">
        <f aca="false">D19*Populations!$S18*12/(5*$BX$30)</f>
        <v>155.232612</v>
      </c>
      <c r="BY19" s="4" t="n">
        <f aca="false">D19*Populations!$S18/(2*$BY$30)</f>
        <v>90.552357</v>
      </c>
      <c r="BZ19" s="4" t="n">
        <f aca="false">D19*Populations!$R18*500/(1000*2000)</f>
        <v>173400.503444719</v>
      </c>
      <c r="CA19" s="4" t="n">
        <f aca="false">D19*Populations!R18*15/(1000*2000)</f>
        <v>5202.01510334156</v>
      </c>
      <c r="CB19" s="4" t="n">
        <f aca="false">IF(B19="Mts",1,D19*Populations!R18*30/(1000*2000))</f>
        <v>10404.0302066831</v>
      </c>
      <c r="CC19" s="4" t="n">
        <f aca="false">D19*40*Populations!R18/(1000*2000)</f>
        <v>13872.0402755775</v>
      </c>
      <c r="CD19" s="4" t="n">
        <f aca="false">D19*40*Populations!R18/(1000*2000)</f>
        <v>13872.0402755775</v>
      </c>
      <c r="CE19" s="4" t="n">
        <f aca="false">D19*20*Populations!R18/(1000*2000)</f>
        <v>6936.02013778875</v>
      </c>
      <c r="CF19" s="4" t="n">
        <f aca="false">D19*8.3454*32*Populations!$S18/(1000*2000)</f>
        <v>15353.816179968</v>
      </c>
      <c r="CG19" s="4" t="n">
        <f aca="false">D19*50*2*Populations!$S18/(3*1000*2000)</f>
        <v>1916.452</v>
      </c>
      <c r="CH19" s="4" t="n">
        <f aca="false">IF(B19="Mts",20*D19*Populations!$R18/1000,0.001)</f>
        <v>0.001</v>
      </c>
      <c r="CI19" s="4" t="n">
        <f aca="false">IF(NOT(CH19=0.001),0.006*CH19/3,0.001)</f>
        <v>0.001</v>
      </c>
      <c r="CJ19" s="4" t="n">
        <f aca="false">IF(NOT(CH19=0.001),0.7*CH19/3,0.001)</f>
        <v>0.001</v>
      </c>
      <c r="CK19" s="4" t="n">
        <f aca="false">IF(NOT(CH19=0.001),0.65*CH19/3,0.001)</f>
        <v>0.001</v>
      </c>
      <c r="CL19" s="4" t="n">
        <f aca="false">IF(NOT(CH19=0.001),0.002*CH19/3,0.001)</f>
        <v>0.001</v>
      </c>
      <c r="CM19" s="4" t="n">
        <f aca="false">IF(NOT(CH19=0.001),0.001*CH19/3,0.001)</f>
        <v>0.001</v>
      </c>
      <c r="CN19" s="4" t="n">
        <f aca="false">D19*3*110/(24*2000)*Populations!$S18</f>
        <v>790536.45</v>
      </c>
      <c r="CO19" s="4" t="n">
        <f aca="false">D19*3*12/(24*2000)*Populations!$S18</f>
        <v>86240.34</v>
      </c>
      <c r="CP19" s="4" t="n">
        <f aca="false">D19*3*1.4/(24*2000)*Populations!$S18</f>
        <v>10061.373</v>
      </c>
      <c r="CQ19" s="4" t="n">
        <f aca="false">D19*6400*8.3454*Populations!$S18/(10*1000*2000)</f>
        <v>307076.32359936</v>
      </c>
      <c r="CR19" s="4" t="n">
        <f aca="false">D19*2*Populations!$S18/(1000*2000)</f>
        <v>114.98712</v>
      </c>
      <c r="CS19" s="4" t="n">
        <f aca="false">D19*2*30*Populations!$S18/(1000*2000)</f>
        <v>3449.6136</v>
      </c>
      <c r="CT19" s="4" t="n">
        <f aca="false">27*Populations!$R18/(4*1000*2000)</f>
        <v>10.1778556369726</v>
      </c>
      <c r="CU19" s="4" t="n">
        <f aca="false">27*Populations!$R18/(16*1000*2000)</f>
        <v>2.54446390924316</v>
      </c>
      <c r="CV19" s="4" t="n">
        <f aca="false">AP19*0.9</f>
        <v>14025.2664942</v>
      </c>
      <c r="CW19" s="4" t="n">
        <f aca="false">2.5*D19*Populations!$R18/(60*2000)</f>
        <v>14450.0419537266</v>
      </c>
      <c r="CX19" s="4" t="n">
        <f aca="false">D19*125*Populations!R18/(6*1000*2000)</f>
        <v>7225.02097686328</v>
      </c>
      <c r="CY19" s="4" t="n">
        <f aca="false">D19*1.875*2*Populations!R18/(6*1000*2000)</f>
        <v>216.750629305898</v>
      </c>
      <c r="CZ19" s="4" t="n">
        <f aca="false">D19*2*20*Populations!$R18/(1000*2000)</f>
        <v>13872.0402755775</v>
      </c>
      <c r="DA19" s="4" t="n">
        <f aca="false">IF(NOT(CH19=0.001),CH19*0.00001,0.001)</f>
        <v>0.001</v>
      </c>
      <c r="DB19" s="4" t="n">
        <f aca="false">IF(NOT(CH19=0.001),CH19*0.00001,0.001)</f>
        <v>0.001</v>
      </c>
      <c r="DC19" s="4" t="n">
        <f aca="false">D19*0.02*12*Populations!$S18/(3*1000*2000)</f>
        <v>4.5994848</v>
      </c>
      <c r="DD19" s="4" t="n">
        <f aca="false">D19*0.5*12*Populations!$S18/(5*1000*2000)</f>
        <v>68.992272</v>
      </c>
      <c r="DE19" s="4" t="n">
        <f aca="false">D19*6*25*Populations!$S18/(1000*2000)</f>
        <v>8624.034</v>
      </c>
      <c r="DG19" s="4" t="n">
        <f aca="false">PRODUCT(AC19:AD19)</f>
        <v>7.89397061318037</v>
      </c>
      <c r="DH19" s="4" t="n">
        <f aca="false">LOG(PRODUCT(S19,V19,Y19:AB19,AE19:AH19,AL19:AO19,AR19:AT19,AW19,BQ19:BU19,BZ19,CH19:CM19,CT19:CU19,CW19:DB19),2)</f>
        <v>257.185968727317</v>
      </c>
      <c r="DI19" s="4" t="n">
        <f aca="false">LOG(PRODUCT($AI19:$AK19,$AP19:$AQ19,$AU19:$AV19,AX19:BP19,BV19:BY19,CA19:CG19,CN19:CS19,CV19,DC19:DE19),2)</f>
        <v>465.020024225951</v>
      </c>
      <c r="DK19" s="4" t="n">
        <f aca="false">SUM(DG19:DI19)</f>
        <v>730.099963566448</v>
      </c>
    </row>
    <row r="20" s="4" customFormat="true" ht="12.8" hidden="false" customHeight="false" outlineLevel="0" collapsed="false">
      <c r="A20" s="0" t="s">
        <v>155</v>
      </c>
      <c r="B20" s="0" t="s">
        <v>134</v>
      </c>
      <c r="C20" s="0" t="n">
        <v>44</v>
      </c>
      <c r="D20" s="0" t="n">
        <f aca="false">IF(B20="Taiga",265,IF(B20="Mts",265,IF(B20="Temp",230,IF(B20="Steppe",265,IF(B20="Jungle",180,IF(B20="Sav",240,IF(B20="Medi",230,0)))))))</f>
        <v>265</v>
      </c>
      <c r="E20" s="0" t="n">
        <v>1</v>
      </c>
      <c r="F20" s="4" t="n">
        <f aca="false">IF(B20="Taiga",0.43,IF(B20="Mts",0.21,IF(B20="Temp",0.64,IF(B20="Steppe",0.57,IF(B20="Jungle",0.43,IF(B20="Sav",0.57,IF(B20="Medi",0.43,0)))))))</f>
        <v>0.21</v>
      </c>
      <c r="G20" s="4" t="n">
        <f aca="false">IF(B20="Taiga",0.43,IF(B20="Mts",0.8,IF(B20="Temp",0.64,IF(B20="Steppe",0.64,IF(B20="Jungle",0.43,IF(B20="Sav",0.8,IF(B20="Medi",0.6,0)))))))</f>
        <v>0.8</v>
      </c>
      <c r="H20" s="4" t="n">
        <f aca="false">$H$31*IF(B20="Taiga",528,IF(B20="Mts",855.27,IF(B20="Temp",565.94,IF(B20="Steppe",551.72,IF(B20="Jungle",575.43,IF(B20="Sav",599.15,IF(B20="Medi",564.36,0)))))))</f>
        <v>1710.54</v>
      </c>
      <c r="I20" s="4" t="n">
        <f aca="false">$H$31*IF(B20="Taiga",2608.19,IF(B20="Mts",2100,IF(B20="Temp",2976.19,IF(B20="Steppe",2450.48,IF(B20="Jungle",2135.05,IF(B20="Sav",2310.29,IF(B20="Medi",2485.52,0)))))))</f>
        <v>4200</v>
      </c>
      <c r="J20" s="4" t="n">
        <f aca="false">$H$31*IF(B20="Taiga",500.54,IF(B20="Mts",360,IF(B20="Temp",570.81,IF(B20="Steppe",441.95,IF(B20="Jungle",486.49,IF(B20="Sav",518.92,IF(B20="Medi",640,0)))))))</f>
        <v>720</v>
      </c>
      <c r="K20" s="4" t="n">
        <f aca="false">$H$31*IF(B20="Taiga",2003.09,IF(B20="Mts",1612.8,IF(B20="Temp",2285.71,IF(B20="Steppe",1881.97,IF(B20="Jungle",1639.72,IF(B20="Sav",1774.3,IF(B20="Medi",1908.88,0)))))))</f>
        <v>3225.6</v>
      </c>
      <c r="L20" s="4" t="n">
        <f aca="false">$H$31*IF(B20="Taiga",260.82,IF(B20="Mts",210,IF(B20="Temp",297.62,IF(B20="Steppe",245.05,IF(B20="Jungle",213.5,IF(B20="Sav",231.03,IF(B20="Medi",248.55,0)))))))</f>
        <v>420</v>
      </c>
      <c r="M20" s="4" t="n">
        <f aca="false">$H$31*IF(B20="Taiga",250,IF(B20="Mts",640,IF(B20="Temp",295.2174,IF(B20="Steppe",278.2609,IF(B20="Jungle",306.5217,IF(B20="Sav",334.7826,IF(B20="Medi",293.3333,0)))))))</f>
        <v>1280</v>
      </c>
      <c r="N20" s="4" t="n">
        <f aca="false">$H$31*IF(B20="Taiga",1491.9691,IF(B20="Mts",980,IF(B20="Temp",1747.9537,IF(B20="Steppe",1278.5174,IF(B20="Jungle",1440.7722,IF(B20="Sav",1558.9189,IF(B20="Medi",2000,0)))))))</f>
        <v>1960</v>
      </c>
      <c r="O20" s="4" t="n">
        <f aca="false">$H$31*IF(B20="Taiga",68.5,IF(B20="Mts",25,IF(B20="Temp",100,IF(B20="Steppe",55,IF(B20="Jungle",28,IF(B20="Sav",43,IF(B20="Medi",58,0)))))))</f>
        <v>50</v>
      </c>
      <c r="P20" s="4" t="n">
        <f aca="false">$H$31*20*15/8000</f>
        <v>0.075</v>
      </c>
      <c r="Q20" s="4" t="n">
        <f aca="false">$H$31*20*15/8000</f>
        <v>0.075</v>
      </c>
      <c r="R20" s="1" t="s">
        <v>39</v>
      </c>
      <c r="S20" s="4" t="n">
        <f aca="false">C20*F20*G20*360*640*1393.66125/(2000*1000)</f>
        <v>1186.783944192</v>
      </c>
      <c r="T20" s="4" t="n">
        <f aca="false">C20*F20*G20*J20*640*1393.66125*2/(1000*2000*3)</f>
        <v>1582.378592256</v>
      </c>
      <c r="U20" s="4" t="n">
        <f aca="false">T20*J$28</f>
        <v>527.459530752</v>
      </c>
      <c r="V20" s="4" t="n">
        <f aca="false">T20-U20</f>
        <v>1054.919061504</v>
      </c>
      <c r="W20" s="4" t="n">
        <f aca="false">C20*F20*G20*H20*640*1393.66125*2/(1000*2000*3)</f>
        <v>3759.33594055219</v>
      </c>
      <c r="X20" s="4" t="n">
        <f aca="false">W20*H$28</f>
        <v>1025.27343833242</v>
      </c>
      <c r="Y20" s="4" t="n">
        <f aca="false">W20-X20</f>
        <v>2734.06250221978</v>
      </c>
      <c r="Z20" s="4" t="n">
        <f aca="false">C20*F20*G20*M20*640*1393.66125/(1000*2000*3)</f>
        <v>1406.558748672</v>
      </c>
      <c r="AA20" s="4" t="n">
        <f aca="false">C20*F20*G20*N20*640*1393.66125/(2000*1000)</f>
        <v>6461.379251712</v>
      </c>
      <c r="AB20" s="4" t="n">
        <f aca="false">C20*F20*G20*O20*640*1393.66125/(2000*1000)</f>
        <v>164.83110336</v>
      </c>
      <c r="AC20" s="4" t="n">
        <f aca="false">C20*P20*640*1393.66125/(2000*1000)</f>
        <v>1.47170628</v>
      </c>
      <c r="AD20" s="4" t="n">
        <f aca="false">C20*Q20*640*1393.66125/(2000*1000)</f>
        <v>1.47170628</v>
      </c>
      <c r="AE20" s="4" t="n">
        <f aca="false">($V20+$Z20)*2000*1000/(3*365)</f>
        <v>4495849.8816</v>
      </c>
      <c r="AF20" s="4" t="n">
        <f aca="false">($V20+$Z20)*2000*1000/(18*100)</f>
        <v>2734975.34464</v>
      </c>
      <c r="AG20" s="4" t="n">
        <f aca="false">($V20+$Z20)*2000*1000/(3*365)</f>
        <v>4495849.8816</v>
      </c>
      <c r="AH20" s="4" t="n">
        <f aca="false">C20*F20*G20*K20*640*1393.66125/(2000*1000)</f>
        <v>10633.5841399603</v>
      </c>
      <c r="AI20" s="4" t="n">
        <f aca="false">3*12*D20*Populations!$S19/(5*1000)</f>
        <v>38621.736</v>
      </c>
      <c r="AJ20" s="4" t="n">
        <f aca="false">1.5*D20*750*Populations!$S19/(1000*2000*15)</f>
        <v>201.154875</v>
      </c>
      <c r="AK20" s="4" t="n">
        <f aca="false">66*10*D20*Populations!$S19/(1000*2000*6)</f>
        <v>295.02715</v>
      </c>
      <c r="AL20" s="4" t="n">
        <f aca="false">AE20*365/(2000*1000)</f>
        <v>820.492603392</v>
      </c>
      <c r="AM20" s="4" t="n">
        <f aca="false">AF20*25*238/(51*2000*1000)</f>
        <v>159.540228437333</v>
      </c>
      <c r="AN20" s="4" t="n">
        <f aca="false">AG20*100*238/(600*1000*2000)</f>
        <v>89.1676893184</v>
      </c>
      <c r="AO20" s="4" t="n">
        <f aca="false">AG20*120*2/(16*1000*2000)</f>
        <v>33.718874112</v>
      </c>
      <c r="AP20" s="4" t="n">
        <f aca="false">D20*4800*Populations!$S19/($AP$28*10*1000*2000)</f>
        <v>726.973718250001</v>
      </c>
      <c r="AQ20" s="4" t="n">
        <f aca="false">D20*2*4800*Populations!$S19/($AQ$28*10*1000*2000)</f>
        <v>2796.0527625</v>
      </c>
      <c r="AR20" s="4" t="n">
        <f aca="false">C20*F20*G20*L20*640*1393.66125/(2000*1000)</f>
        <v>1384.581268224</v>
      </c>
      <c r="AS20" s="4" t="n">
        <f aca="false">AF20*600*6/(90*1000*2000)</f>
        <v>54.6995068928</v>
      </c>
      <c r="AT20" s="4" t="n">
        <f aca="false">IF(B20="Taiga",236.2,IF(B20="Mts",10,IF(B20="Temp",400,IF(B20="Steppe",25,IF(B20="Jungle",400,IF(B20="Sav",103.6,IF(B20="Medi",181.6,0)))))))*D20*AT$36*Populations!$R19/1000</f>
        <v>1885.4686721018</v>
      </c>
      <c r="AU20" s="4" t="n">
        <f aca="false">INDEX(Tech!$F$3:$F$13,MATCH(E20,Tech!$E$3:$E$13,1))*D20*AT$36*Populations!$S19/(365*1000)</f>
        <v>1005.774375</v>
      </c>
      <c r="AV20" s="4" t="n">
        <f aca="false">D20*12.5*AT$36*Populations!$S19/(10*30)</f>
        <v>419.07265625</v>
      </c>
      <c r="AW20" s="4" t="n">
        <f aca="false">0.125*D20*AW$30*Populations!$R19/1000</f>
        <v>48.6097392026244</v>
      </c>
      <c r="AX20" s="4" t="n">
        <f aca="false">D20*AW$30*Populations!$S19/(3*1000)</f>
        <v>6.914698828125</v>
      </c>
      <c r="AY20" s="4" t="n">
        <f aca="false">D20*Populations!$S19/(2*1000*AY$30)/1000</f>
        <v>4.827717</v>
      </c>
      <c r="AZ20" s="4" t="n">
        <f aca="false">D20*AZ$30*Populations!$S19/(2*1000)</f>
        <v>3.35258125</v>
      </c>
      <c r="BA20" s="4" t="n">
        <f aca="false">D20*2*BA$30*Populations!$S19/1000</f>
        <v>16.09239</v>
      </c>
      <c r="BB20" s="4" t="n">
        <f aca="false">D20*3*BB$30*Populations!$S19/1000</f>
        <v>12.0692925</v>
      </c>
      <c r="BC20" s="4" t="n">
        <f aca="false">D20*11*BC$30*Populations!$S19/(15*1000)</f>
        <v>2.3602172</v>
      </c>
      <c r="BD20" s="4" t="n">
        <f aca="false">D20*11*BD$30*Populations!$S19/(8*1000)</f>
        <v>5.5317590625</v>
      </c>
      <c r="BE20" s="4" t="n">
        <f aca="false">D20*11*BE$30*Populations!$S19/(3*1000)</f>
        <v>3.58247253571428</v>
      </c>
      <c r="BF20" s="4" t="n">
        <f aca="false">D20*11*BF$30*Populations!$S19/(5*1000)</f>
        <v>2.5814875625</v>
      </c>
      <c r="BG20" s="4" t="n">
        <f aca="false">D20*11*BG$30*Populations!$S19/(9*1000)</f>
        <v>6.55615888888889</v>
      </c>
      <c r="BH20" s="4" t="n">
        <f aca="false">D20*11*BH$30*Populations!$S19/(12*1000)</f>
        <v>3.687839375</v>
      </c>
      <c r="BI20" s="4" t="n">
        <f aca="false">D20*BI$30*Populations!$S19/(1000*125/12)</f>
        <v>10.2991296</v>
      </c>
      <c r="BJ20" s="4" t="n">
        <f aca="false">D20*BJ$30*Populations!$S19/(30*1000)</f>
        <v>4.68109744666667</v>
      </c>
      <c r="BK20" s="4" t="n">
        <f aca="false">D20*BK$30*Populations!$S19/(7*1000)</f>
        <v>0.646569241071429</v>
      </c>
      <c r="BL20" s="4" t="n">
        <f aca="false">D20*BL$30*Populations!$S19/(8.5*1000)</f>
        <v>1.06493757352941</v>
      </c>
      <c r="BM20" s="4" t="n">
        <f aca="false">D20*BM$30*Populations!$S19/1000</f>
        <v>2.26299234375</v>
      </c>
      <c r="BN20" s="4" t="n">
        <f aca="false">D20*BN$30*Populations!$S19/(1.5*1000)</f>
        <v>5.36413</v>
      </c>
      <c r="BO20" s="4" t="n">
        <f aca="false">D20*BO$30*Populations!$S19/(2*1000)</f>
        <v>4.358355625</v>
      </c>
      <c r="BP20" s="4" t="n">
        <f aca="false">D20*BP$30*Populations!$S19/(4*1000)</f>
        <v>1.005774375</v>
      </c>
      <c r="BQ20" s="4" t="n">
        <f aca="false">D20*Populations!$R19*10/(3*1000*2000)</f>
        <v>167.597215297937</v>
      </c>
      <c r="BR20" s="4" t="n">
        <f aca="false">D20*2*Populations!$R19/(30*1000*2000)</f>
        <v>3.35194430595875</v>
      </c>
      <c r="BS20" s="4" t="n">
        <f aca="false">D20*2*Populations!$S19/((37.5/12)*1000*2000)</f>
        <v>1.7165216</v>
      </c>
      <c r="BT20" s="4" t="n">
        <f aca="false">D20*2*Populations!$S19/((20/9)*1000*2000)</f>
        <v>2.4138585</v>
      </c>
      <c r="BU20" s="4" t="n">
        <f aca="false">AF20*25*4/(51*$BU$32)</f>
        <v>1.34067418854902</v>
      </c>
      <c r="BV20" s="4" t="n">
        <f aca="false">D20*Populations!$S19*12/($BV$30*3)</f>
        <v>16.8970095</v>
      </c>
      <c r="BW20" s="4" t="n">
        <f aca="false">D20*Populations!$S19*12/(2*$BW$30)</f>
        <v>14.483151</v>
      </c>
      <c r="BX20" s="4" t="n">
        <f aca="false">D20*Populations!$S19*12/(5*$BX$30)</f>
        <v>7.24157549999999</v>
      </c>
      <c r="BY20" s="4" t="n">
        <f aca="false">D20*Populations!$S19/(2*$BY$30)</f>
        <v>4.224252375</v>
      </c>
      <c r="BZ20" s="4" t="n">
        <f aca="false">D20*Populations!$R19*500/(1000*2000)</f>
        <v>25139.5822946906</v>
      </c>
      <c r="CA20" s="4" t="n">
        <f aca="false">D20*Populations!R19*15/(1000*2000)</f>
        <v>754.187468840718</v>
      </c>
      <c r="CB20" s="4" t="n">
        <f aca="false">IF(B20="Mts",1,D20*Populations!R19*30/(1000*2000))</f>
        <v>1</v>
      </c>
      <c r="CC20" s="4" t="n">
        <f aca="false">D20*40*Populations!R19/(1000*2000)</f>
        <v>2011.16658357525</v>
      </c>
      <c r="CD20" s="4" t="n">
        <f aca="false">D20*40*Populations!R19/(1000*2000)</f>
        <v>2011.16658357525</v>
      </c>
      <c r="CE20" s="4" t="n">
        <f aca="false">D20*20*Populations!R19/(1000*2000)</f>
        <v>1005.58329178762</v>
      </c>
      <c r="CF20" s="4" t="n">
        <f aca="false">D20*8.3454*32*Populations!$S19/(1000*2000)</f>
        <v>716.252968032</v>
      </c>
      <c r="CG20" s="4" t="n">
        <f aca="false">D20*50*2*Populations!$S19/(3*1000*2000)</f>
        <v>89.4021666666667</v>
      </c>
      <c r="CH20" s="4" t="n">
        <f aca="false">IF(B20="Mts",20*D20*Populations!$R19/1000,0.001)</f>
        <v>2011166.58357525</v>
      </c>
      <c r="CI20" s="4" t="n">
        <f aca="false">IF(NOT(CH20=0.001),0.006*CH20/3,0.001)</f>
        <v>4022.3331671505</v>
      </c>
      <c r="CJ20" s="4" t="n">
        <f aca="false">IF(NOT(CH20=0.001),0.7*CH20/3,0.001)</f>
        <v>469272.202834225</v>
      </c>
      <c r="CK20" s="4" t="n">
        <f aca="false">IF(NOT(CH20=0.001),0.65*CH20/3,0.001)</f>
        <v>435752.759774637</v>
      </c>
      <c r="CL20" s="4" t="n">
        <f aca="false">IF(NOT(CH20=0.001),0.002*CH20/3,0.001)</f>
        <v>1340.7777223835</v>
      </c>
      <c r="CM20" s="4" t="n">
        <f aca="false">IF(NOT(CH20=0.001),0.001*CH20/3,0.001)</f>
        <v>670.38886119175</v>
      </c>
      <c r="CN20" s="4" t="n">
        <f aca="false">D20*3*110/(24*2000)*Populations!$S19</f>
        <v>36878.39375</v>
      </c>
      <c r="CO20" s="4" t="n">
        <f aca="false">D20*3*12/(24*2000)*Populations!$S19</f>
        <v>4023.0975</v>
      </c>
      <c r="CP20" s="4" t="n">
        <f aca="false">D20*3*1.4/(24*2000)*Populations!$S19</f>
        <v>469.361375</v>
      </c>
      <c r="CQ20" s="4" t="n">
        <f aca="false">D20*6400*8.3454*Populations!$S19/(10*1000*2000)</f>
        <v>14325.05936064</v>
      </c>
      <c r="CR20" s="4" t="n">
        <f aca="false">D20*2*Populations!$S19/(1000*2000)</f>
        <v>5.36413</v>
      </c>
      <c r="CS20" s="4" t="n">
        <f aca="false">D20*2*30*Populations!$S19/(1000*2000)</f>
        <v>160.9239</v>
      </c>
      <c r="CT20" s="4" t="n">
        <f aca="false">27*Populations!$R19/(4*1000*2000)</f>
        <v>1.28069570180499</v>
      </c>
      <c r="CU20" s="4" t="n">
        <f aca="false">27*Populations!$R19/(16*1000*2000)</f>
        <v>0.320173925451248</v>
      </c>
      <c r="CV20" s="4" t="n">
        <f aca="false">AP20*0.9</f>
        <v>654.276346425001</v>
      </c>
      <c r="CW20" s="4" t="n">
        <f aca="false">2.5*D20*Populations!$R19/(60*2000)</f>
        <v>2094.96519122422</v>
      </c>
      <c r="CX20" s="4" t="n">
        <f aca="false">D20*125*Populations!R19/(6*1000*2000)</f>
        <v>1047.48259561211</v>
      </c>
      <c r="CY20" s="4" t="n">
        <f aca="false">D20*1.875*2*Populations!R19/(6*1000*2000)</f>
        <v>31.4244778683633</v>
      </c>
      <c r="CZ20" s="4" t="n">
        <f aca="false">D20*2*20*Populations!$R19/(1000*2000)</f>
        <v>2011.16658357525</v>
      </c>
      <c r="DA20" s="4" t="n">
        <f aca="false">IF(NOT(CH20=0.001),CH20*0.00001,0.001)</f>
        <v>20.1116658357525</v>
      </c>
      <c r="DB20" s="4" t="n">
        <f aca="false">IF(NOT(CH20=0.001),CH20*0.00001,0.001)</f>
        <v>20.1116658357525</v>
      </c>
      <c r="DC20" s="4" t="n">
        <f aca="false">D20*0.02*12*Populations!$S19/(3*1000*2000)</f>
        <v>0.2145652</v>
      </c>
      <c r="DD20" s="4" t="n">
        <f aca="false">D20*0.5*12*Populations!$S19/(5*1000*2000)</f>
        <v>3.218478</v>
      </c>
      <c r="DE20" s="4" t="n">
        <f aca="false">D20*6*25*Populations!$S19/(1000*2000)</f>
        <v>402.30975</v>
      </c>
      <c r="DG20" s="4" t="n">
        <f aca="false">PRODUCT(AC20:AD20)</f>
        <v>2.16591937459144</v>
      </c>
      <c r="DH20" s="4" t="n">
        <f aca="false">LOG(PRODUCT(S20,V20,Y20:AB20,AE20:AH20,AL20:AO20,AR20:AT20,AW20,BQ20:BU20,BZ20,CH20:CM20,CT20:CU20,CW20:DB20),2)</f>
        <v>363.233890545469</v>
      </c>
      <c r="DI20" s="4" t="n">
        <f aca="false">LOG(PRODUCT($AI20:$AK20,$AP20:$AQ20,$AU20:$AV20,AX20:BP20,BV20:BY20,CA20:CG20,CN20:CS20,CV20,DC20:DE20),2)</f>
        <v>254.807528479955</v>
      </c>
      <c r="DK20" s="4" t="n">
        <f aca="false">SUM(DG20:DI20)</f>
        <v>620.207338400015</v>
      </c>
    </row>
    <row r="21" s="4" customFormat="true" ht="12.8" hidden="false" customHeight="false" outlineLevel="0" collapsed="false">
      <c r="A21" s="0" t="s">
        <v>156</v>
      </c>
      <c r="B21" s="0" t="s">
        <v>154</v>
      </c>
      <c r="C21" s="0" t="n">
        <v>196</v>
      </c>
      <c r="D21" s="0" t="n">
        <f aca="false">IF(B21="Taiga",265,IF(B21="Mts",265,IF(B21="Temp",230,IF(B21="Steppe",265,IF(B21="Jungle",180,IF(B21="Sav",240,IF(B21="Medi",230,0)))))))</f>
        <v>230</v>
      </c>
      <c r="E21" s="0" t="n">
        <v>1</v>
      </c>
      <c r="F21" s="4" t="n">
        <f aca="false">IF(B21="Taiga",0.43,IF(B21="Mts",0.21,IF(B21="Temp",0.64,IF(B21="Steppe",0.57,IF(B21="Jungle",0.43,IF(B21="Sav",0.57,IF(B21="Medi",0.43,0)))))))</f>
        <v>0.43</v>
      </c>
      <c r="G21" s="4" t="n">
        <f aca="false">IF(B21="Taiga",0.43,IF(B21="Mts",0.8,IF(B21="Temp",0.64,IF(B21="Steppe",0.64,IF(B21="Jungle",0.43,IF(B21="Sav",0.8,IF(B21="Medi",0.6,0)))))))</f>
        <v>0.6</v>
      </c>
      <c r="H21" s="4" t="n">
        <f aca="false">$H$31*IF(B21="Taiga",528,IF(B21="Mts",855.27,IF(B21="Temp",565.94,IF(B21="Steppe",551.72,IF(B21="Jungle",575.43,IF(B21="Sav",599.15,IF(B21="Medi",564.36,0)))))))</f>
        <v>1128.72</v>
      </c>
      <c r="I21" s="4" t="n">
        <f aca="false">$H$31*IF(B21="Taiga",2608.19,IF(B21="Mts",2100,IF(B21="Temp",2976.19,IF(B21="Steppe",2450.48,IF(B21="Jungle",2135.05,IF(B21="Sav",2310.29,IF(B21="Medi",2485.52,0)))))))</f>
        <v>4971.04</v>
      </c>
      <c r="J21" s="4" t="n">
        <f aca="false">$H$31*IF(B21="Taiga",500.54,IF(B21="Mts",360,IF(B21="Temp",570.81,IF(B21="Steppe",441.95,IF(B21="Jungle",486.49,IF(B21="Sav",518.92,IF(B21="Medi",640,0)))))))</f>
        <v>1280</v>
      </c>
      <c r="K21" s="4" t="n">
        <f aca="false">$H$31*IF(B21="Taiga",2003.09,IF(B21="Mts",1612.8,IF(B21="Temp",2285.71,IF(B21="Steppe",1881.97,IF(B21="Jungle",1639.72,IF(B21="Sav",1774.3,IF(B21="Medi",1908.88,0)))))))</f>
        <v>3817.76</v>
      </c>
      <c r="L21" s="4" t="n">
        <f aca="false">$H$31*IF(B21="Taiga",260.82,IF(B21="Mts",210,IF(B21="Temp",297.62,IF(B21="Steppe",245.05,IF(B21="Jungle",213.5,IF(B21="Sav",231.03,IF(B21="Medi",248.55,0)))))))</f>
        <v>497.1</v>
      </c>
      <c r="M21" s="4" t="n">
        <f aca="false">$H$31*IF(B21="Taiga",250,IF(B21="Mts",640,IF(B21="Temp",295.2174,IF(B21="Steppe",278.2609,IF(B21="Jungle",306.5217,IF(B21="Sav",334.7826,IF(B21="Medi",293.3333,0)))))))</f>
        <v>586.6666</v>
      </c>
      <c r="N21" s="4" t="n">
        <f aca="false">$H$31*IF(B21="Taiga",1491.9691,IF(B21="Mts",980,IF(B21="Temp",1747.9537,IF(B21="Steppe",1278.5174,IF(B21="Jungle",1440.7722,IF(B21="Sav",1558.9189,IF(B21="Medi",2000,0)))))))</f>
        <v>4000</v>
      </c>
      <c r="O21" s="4" t="n">
        <f aca="false">$H$31*IF(B21="Taiga",68.5,IF(B21="Mts",25,IF(B21="Temp",100,IF(B21="Steppe",55,IF(B21="Jungle",28,IF(B21="Sav",43,IF(B21="Medi",58,0)))))))</f>
        <v>116</v>
      </c>
      <c r="P21" s="4" t="n">
        <f aca="false">$H$31*20*15/8000</f>
        <v>0.075</v>
      </c>
      <c r="Q21" s="4" t="n">
        <f aca="false">$H$31*20*15/8000</f>
        <v>0.075</v>
      </c>
      <c r="R21" s="1" t="s">
        <v>39</v>
      </c>
      <c r="S21" s="4" t="n">
        <f aca="false">C21*F21*G21*360*640*1393.66125/(2000*1000)</f>
        <v>8118.681072768</v>
      </c>
      <c r="T21" s="4" t="n">
        <f aca="false">C21*F21*G21*J21*640*1393.66125*2/(1000*2000*3)</f>
        <v>19244.281061376</v>
      </c>
      <c r="U21" s="4" t="n">
        <f aca="false">T21*J$28</f>
        <v>6414.760353792</v>
      </c>
      <c r="V21" s="4" t="n">
        <f aca="false">T21-U21</f>
        <v>12829.520707584</v>
      </c>
      <c r="W21" s="4" t="n">
        <f aca="false">C21*F21*G21*H21*640*1393.66125*2/(1000*2000*3)</f>
        <v>16969.8475934346</v>
      </c>
      <c r="X21" s="4" t="n">
        <f aca="false">W21*H$28</f>
        <v>4628.1402527549</v>
      </c>
      <c r="Y21" s="4" t="n">
        <f aca="false">W21-X21</f>
        <v>12341.7073406797</v>
      </c>
      <c r="Z21" s="4" t="n">
        <f aca="false">C21*F21*G21*M21*640*1393.66125/(1000*2000*3)</f>
        <v>4410.14724207885</v>
      </c>
      <c r="AA21" s="4" t="n">
        <f aca="false">C21*F21*G21*N21*640*1393.66125/(2000*1000)</f>
        <v>90207.5674752</v>
      </c>
      <c r="AB21" s="4" t="n">
        <f aca="false">C21*F21*G21*O21*640*1393.66125/(2000*1000)</f>
        <v>2616.0194567808</v>
      </c>
      <c r="AC21" s="4" t="n">
        <f aca="false">C21*P21*640*1393.66125/(2000*1000)</f>
        <v>6.55578252</v>
      </c>
      <c r="AD21" s="4" t="n">
        <f aca="false">C21*Q21*640*1393.66125/(2000*1000)</f>
        <v>6.55578252</v>
      </c>
      <c r="AE21" s="4" t="n">
        <f aca="false">($V21+$Z21)*2000*1000/(3*365)</f>
        <v>31487977.9902518</v>
      </c>
      <c r="AF21" s="4" t="n">
        <f aca="false">($V21+$Z21)*2000*1000/(18*100)</f>
        <v>19155186.6107365</v>
      </c>
      <c r="AG21" s="4" t="n">
        <f aca="false">($V21+$Z21)*2000*1000/(3*365)</f>
        <v>31487977.9902518</v>
      </c>
      <c r="AH21" s="4" t="n">
        <f aca="false">C21*F21*G21*K21*640*1393.66125/(2000*1000)</f>
        <v>86097.7107010299</v>
      </c>
      <c r="AI21" s="4" t="n">
        <f aca="false">3*12*D21*Populations!$S20/(5*1000)</f>
        <v>2037645.072</v>
      </c>
      <c r="AJ21" s="4" t="n">
        <f aca="false">1.5*D21*750*Populations!$S20/(1000*2000*15)</f>
        <v>10612.73475</v>
      </c>
      <c r="AK21" s="4" t="n">
        <f aca="false">66*10*D21*Populations!$S20/(1000*2000*6)</f>
        <v>15565.3443</v>
      </c>
      <c r="AL21" s="4" t="n">
        <f aca="false">AE21*365/(2000*1000)</f>
        <v>5746.55598322095</v>
      </c>
      <c r="AM21" s="4" t="n">
        <f aca="false">AF21*25*238/(51*2000*1000)</f>
        <v>1117.3858856263</v>
      </c>
      <c r="AN21" s="4" t="n">
        <f aca="false">AG21*100*238/(600*1000*2000)</f>
        <v>624.511563473327</v>
      </c>
      <c r="AO21" s="4" t="n">
        <f aca="false">AG21*120*2/(16*1000*2000)</f>
        <v>236.159834926888</v>
      </c>
      <c r="AP21" s="4" t="n">
        <f aca="false">D21*4800*Populations!$S20/($AP$28*10*1000*2000)</f>
        <v>38354.4233865001</v>
      </c>
      <c r="AQ21" s="4" t="n">
        <f aca="false">D21*2*4800*Populations!$S20/($AQ$28*10*1000*2000)</f>
        <v>147517.013025</v>
      </c>
      <c r="AR21" s="4" t="n">
        <f aca="false">C21*F21*G21*L21*640*1393.66125/(2000*1000)</f>
        <v>11210.5454479805</v>
      </c>
      <c r="AS21" s="4" t="n">
        <f aca="false">AF21*600*6/(90*1000*2000)</f>
        <v>383.10373221473</v>
      </c>
      <c r="AT21" s="4" t="n">
        <f aca="false">IF(B21="Taiga",236.2,IF(B21="Mts",10,IF(B21="Temp",400,IF(B21="Steppe",25,IF(B21="Jungle",400,IF(B21="Sav",103.6,IF(B21="Medi",181.6,0)))))))*D21*AT$36*Populations!$R20/1000</f>
        <v>546060.51210225</v>
      </c>
      <c r="AU21" s="4" t="n">
        <f aca="false">INDEX(Tech!$F$3:$F$13,MATCH(E21,Tech!$E$3:$E$13,1))*D21*AT$36*Populations!$S20/(365*1000)</f>
        <v>53063.67375</v>
      </c>
      <c r="AV21" s="4" t="n">
        <f aca="false">D21*12.5*AT$36*Populations!$S20/(10*30)</f>
        <v>22109.8640625</v>
      </c>
      <c r="AW21" s="4" t="n">
        <f aca="false">0.125*D21*AW$30*Populations!$R20/1000</f>
        <v>775.227014187012</v>
      </c>
      <c r="AX21" s="4" t="n">
        <f aca="false">D21*AW$30*Populations!$S20/(3*1000)</f>
        <v>364.81275703125</v>
      </c>
      <c r="AY21" s="4" t="n">
        <f aca="false">D21*Populations!$S20/(2*1000*AY$30)/1000</f>
        <v>254.705634</v>
      </c>
      <c r="AZ21" s="4" t="n">
        <f aca="false">D21*AZ$30*Populations!$S20/(2*1000)</f>
        <v>176.8789125</v>
      </c>
      <c r="BA21" s="4" t="n">
        <f aca="false">D21*2*BA$30*Populations!$S20/1000</f>
        <v>849.01878</v>
      </c>
      <c r="BB21" s="4" t="n">
        <f aca="false">D21*3*BB$30*Populations!$S20/1000</f>
        <v>636.764085</v>
      </c>
      <c r="BC21" s="4" t="n">
        <f aca="false">D21*11*BC$30*Populations!$S20/(15*1000)</f>
        <v>124.5227544</v>
      </c>
      <c r="BD21" s="4" t="n">
        <f aca="false">D21*11*BD$30*Populations!$S20/(8*1000)</f>
        <v>291.850205625</v>
      </c>
      <c r="BE21" s="4" t="n">
        <f aca="false">D21*11*BE$30*Populations!$S20/(3*1000)</f>
        <v>189.007752214286</v>
      </c>
      <c r="BF21" s="4" t="n">
        <f aca="false">D21*11*BF$30*Populations!$S20/(5*1000)</f>
        <v>136.196762625</v>
      </c>
      <c r="BG21" s="4" t="n">
        <f aca="false">D21*11*BG$30*Populations!$S20/(9*1000)</f>
        <v>345.89654</v>
      </c>
      <c r="BH21" s="4" t="n">
        <f aca="false">D21*11*BH$30*Populations!$S20/(12*1000)</f>
        <v>194.56680375</v>
      </c>
      <c r="BI21" s="4" t="n">
        <f aca="false">D21*BI$30*Populations!$S20/(1000*125/12)</f>
        <v>543.3720192</v>
      </c>
      <c r="BJ21" s="4" t="n">
        <f aca="false">D21*BJ$30*Populations!$S20/(30*1000)</f>
        <v>246.97012956</v>
      </c>
      <c r="BK21" s="4" t="n">
        <f aca="false">D21*BK$30*Populations!$S20/(7*1000)</f>
        <v>34.1123616964286</v>
      </c>
      <c r="BL21" s="4" t="n">
        <f aca="false">D21*BL$30*Populations!$S20/(8.5*1000)</f>
        <v>56.1850663235294</v>
      </c>
      <c r="BM21" s="4" t="n">
        <f aca="false">D21*BM$30*Populations!$S20/1000</f>
        <v>119.3932659375</v>
      </c>
      <c r="BN21" s="4" t="n">
        <f aca="false">D21*BN$30*Populations!$S20/(1.5*1000)</f>
        <v>283.00626</v>
      </c>
      <c r="BO21" s="4" t="n">
        <f aca="false">D21*BO$30*Populations!$S20/(2*1000)</f>
        <v>229.94258625</v>
      </c>
      <c r="BP21" s="4" t="n">
        <f aca="false">D21*BP$30*Populations!$S20/(4*1000)</f>
        <v>53.06367375</v>
      </c>
      <c r="BQ21" s="4" t="n">
        <f aca="false">D21*Populations!$R20*10/(3*1000*2000)</f>
        <v>2672.83657416667</v>
      </c>
      <c r="BR21" s="4" t="n">
        <f aca="false">D21*2*Populations!$R20/(30*1000*2000)</f>
        <v>53.4567314833333</v>
      </c>
      <c r="BS21" s="4" t="n">
        <f aca="false">D21*2*Populations!$S20/((37.5/12)*1000*2000)</f>
        <v>90.5620032</v>
      </c>
      <c r="BT21" s="4" t="n">
        <f aca="false">D21*2*Populations!$S20/((20/9)*1000*2000)</f>
        <v>127.352817</v>
      </c>
      <c r="BU21" s="4" t="n">
        <f aca="false">AF21*25*4/(51*$BU$32)</f>
        <v>9.38979735820417</v>
      </c>
      <c r="BV21" s="4" t="n">
        <f aca="false">D21*Populations!$S20*12/($BV$30*3)</f>
        <v>891.469719</v>
      </c>
      <c r="BW21" s="4" t="n">
        <f aca="false">D21*Populations!$S20*12/(2*$BW$30)</f>
        <v>764.116902000001</v>
      </c>
      <c r="BX21" s="4" t="n">
        <f aca="false">D21*Populations!$S20*12/(5*$BX$30)</f>
        <v>382.058450999999</v>
      </c>
      <c r="BY21" s="4" t="n">
        <f aca="false">D21*Populations!$S20/(2*$BY$30)</f>
        <v>222.86742975</v>
      </c>
      <c r="BZ21" s="4" t="n">
        <f aca="false">D21*Populations!$R20*500/(1000*2000)</f>
        <v>400925.486125</v>
      </c>
      <c r="CA21" s="4" t="n">
        <f aca="false">D21*Populations!R20*15/(1000*2000)</f>
        <v>12027.76458375</v>
      </c>
      <c r="CB21" s="4" t="n">
        <f aca="false">IF(B21="Mts",1,D21*Populations!R20*30/(1000*2000))</f>
        <v>24055.5291675</v>
      </c>
      <c r="CC21" s="4" t="n">
        <f aca="false">D21*40*Populations!R20/(1000*2000)</f>
        <v>32074.03889</v>
      </c>
      <c r="CD21" s="4" t="n">
        <f aca="false">D21*40*Populations!R20/(1000*2000)</f>
        <v>32074.03889</v>
      </c>
      <c r="CE21" s="4" t="n">
        <f aca="false">D21*20*Populations!R20/(1000*2000)</f>
        <v>16037.019445</v>
      </c>
      <c r="CF21" s="4" t="n">
        <f aca="false">D21*8.3454*32*Populations!$S20/(1000*2000)</f>
        <v>37788.807075264</v>
      </c>
      <c r="CG21" s="4" t="n">
        <f aca="false">D21*50*2*Populations!$S20/(3*1000*2000)</f>
        <v>4716.771</v>
      </c>
      <c r="CH21" s="4" t="n">
        <f aca="false">IF(B21="Mts",20*D21*Populations!$R20/1000,0.001)</f>
        <v>0.001</v>
      </c>
      <c r="CI21" s="4" t="n">
        <f aca="false">IF(NOT(CH21=0.001),0.006*CH21/3,0.001)</f>
        <v>0.001</v>
      </c>
      <c r="CJ21" s="4" t="n">
        <f aca="false">IF(NOT(CH21=0.001),0.7*CH21/3,0.001)</f>
        <v>0.001</v>
      </c>
      <c r="CK21" s="4" t="n">
        <f aca="false">IF(NOT(CH21=0.001),0.65*CH21/3,0.001)</f>
        <v>0.001</v>
      </c>
      <c r="CL21" s="4" t="n">
        <f aca="false">IF(NOT(CH21=0.001),0.002*CH21/3,0.001)</f>
        <v>0.001</v>
      </c>
      <c r="CM21" s="4" t="n">
        <f aca="false">IF(NOT(CH21=0.001),0.001*CH21/3,0.001)</f>
        <v>0.001</v>
      </c>
      <c r="CN21" s="4" t="n">
        <f aca="false">D21*3*110/(24*2000)*Populations!$S20</f>
        <v>1945668.0375</v>
      </c>
      <c r="CO21" s="4" t="n">
        <f aca="false">D21*3*12/(24*2000)*Populations!$S20</f>
        <v>212254.695</v>
      </c>
      <c r="CP21" s="4" t="n">
        <f aca="false">D21*3*1.4/(24*2000)*Populations!$S20</f>
        <v>24763.04775</v>
      </c>
      <c r="CQ21" s="4" t="n">
        <f aca="false">D21*6400*8.3454*Populations!$S20/(10*1000*2000)</f>
        <v>755776.14150528</v>
      </c>
      <c r="CR21" s="4" t="n">
        <f aca="false">D21*2*Populations!$S20/(1000*2000)</f>
        <v>283.00626</v>
      </c>
      <c r="CS21" s="4" t="n">
        <f aca="false">D21*2*30*Populations!$S20/(1000*2000)</f>
        <v>8490.1878</v>
      </c>
      <c r="CT21" s="4" t="n">
        <f aca="false">27*Populations!$R20/(4*1000*2000)</f>
        <v>23.53258288125</v>
      </c>
      <c r="CU21" s="4" t="n">
        <f aca="false">27*Populations!$R20/(16*1000*2000)</f>
        <v>5.8831457203125</v>
      </c>
      <c r="CV21" s="4" t="n">
        <f aca="false">AP21*0.9</f>
        <v>34518.9810478501</v>
      </c>
      <c r="CW21" s="4" t="n">
        <f aca="false">2.5*D21*Populations!$R20/(60*2000)</f>
        <v>33410.4571770833</v>
      </c>
      <c r="CX21" s="4" t="n">
        <f aca="false">D21*125*Populations!R20/(6*1000*2000)</f>
        <v>16705.2285885417</v>
      </c>
      <c r="CY21" s="4" t="n">
        <f aca="false">D21*1.875*2*Populations!R20/(6*1000*2000)</f>
        <v>501.15685765625</v>
      </c>
      <c r="CZ21" s="4" t="n">
        <f aca="false">D21*2*20*Populations!$R20/(1000*2000)</f>
        <v>32074.03889</v>
      </c>
      <c r="DA21" s="4" t="n">
        <f aca="false">IF(NOT(CH21=0.001),CH21*0.00001,0.001)</f>
        <v>0.001</v>
      </c>
      <c r="DB21" s="4" t="n">
        <f aca="false">IF(NOT(CH21=0.001),CH21*0.00001,0.001)</f>
        <v>0.001</v>
      </c>
      <c r="DC21" s="4" t="n">
        <f aca="false">D21*0.02*12*Populations!$S20/(3*1000*2000)</f>
        <v>11.3202504</v>
      </c>
      <c r="DD21" s="4" t="n">
        <f aca="false">D21*0.5*12*Populations!$S20/(5*1000*2000)</f>
        <v>169.803756</v>
      </c>
      <c r="DE21" s="4" t="n">
        <f aca="false">D21*6*25*Populations!$S20/(1000*2000)</f>
        <v>21225.4695</v>
      </c>
      <c r="DG21" s="4" t="n">
        <f aca="false">PRODUCT(AC21:AD21)</f>
        <v>42.9782844495376</v>
      </c>
      <c r="DH21" s="4" t="n">
        <f aca="false">LOG(PRODUCT(S21,V21,Y21:AB21,AE21:AH21,AL21:AO21,AR21:AT21,AW21,BQ21:BU21,BZ21,CH21:CM21,CT21:CU21,CW21:DB21),2)</f>
        <v>293.866849750325</v>
      </c>
      <c r="DI21" s="4" t="n">
        <f aca="false">LOG(PRODUCT($AI21:$AK21,$AP21:$AQ21,$AU21:$AV21,AX21:BP21,BV21:BY21,CA21:CG21,CN21:CS21,CV21,DC21:DE21),2)</f>
        <v>525.639345631634</v>
      </c>
      <c r="DK21" s="4" t="n">
        <f aca="false">SUM(DG21:DI21)</f>
        <v>862.484479831497</v>
      </c>
    </row>
    <row r="22" s="4" customFormat="true" ht="12.8" hidden="false" customHeight="false" outlineLevel="0" collapsed="false">
      <c r="A22" s="0" t="s">
        <v>157</v>
      </c>
      <c r="B22" s="0" t="s">
        <v>134</v>
      </c>
      <c r="C22" s="0" t="n">
        <v>126</v>
      </c>
      <c r="D22" s="0" t="n">
        <f aca="false">IF(B22="Taiga",265,IF(B22="Mts",265,IF(B22="Temp",230,IF(B22="Steppe",265,IF(B22="Jungle",180,IF(B22="Sav",240,IF(B22="Medi",230,0)))))))</f>
        <v>265</v>
      </c>
      <c r="E22" s="0" t="n">
        <v>1</v>
      </c>
      <c r="F22" s="4" t="n">
        <f aca="false">IF(B22="Taiga",0.43,IF(B22="Mts",0.21,IF(B22="Temp",0.64,IF(B22="Steppe",0.57,IF(B22="Jungle",0.43,IF(B22="Sav",0.57,IF(B22="Medi",0.43,0)))))))</f>
        <v>0.21</v>
      </c>
      <c r="G22" s="4" t="n">
        <f aca="false">IF(B22="Taiga",0.43,IF(B22="Mts",0.8,IF(B22="Temp",0.64,IF(B22="Steppe",0.64,IF(B22="Jungle",0.43,IF(B22="Sav",0.8,IF(B22="Medi",0.6,0)))))))</f>
        <v>0.8</v>
      </c>
      <c r="H22" s="4" t="n">
        <f aca="false">$H$31*IF(B22="Taiga",528,IF(B22="Mts",855.27,IF(B22="Temp",565.94,IF(B22="Steppe",551.72,IF(B22="Jungle",575.43,IF(B22="Sav",599.15,IF(B22="Medi",564.36,0)))))))</f>
        <v>1710.54</v>
      </c>
      <c r="I22" s="4" t="n">
        <f aca="false">$H$31*IF(B22="Taiga",2608.19,IF(B22="Mts",2100,IF(B22="Temp",2976.19,IF(B22="Steppe",2450.48,IF(B22="Jungle",2135.05,IF(B22="Sav",2310.29,IF(B22="Medi",2485.52,0)))))))</f>
        <v>4200</v>
      </c>
      <c r="J22" s="4" t="n">
        <f aca="false">$H$31*IF(B22="Taiga",500.54,IF(B22="Mts",360,IF(B22="Temp",570.81,IF(B22="Steppe",441.95,IF(B22="Jungle",486.49,IF(B22="Sav",518.92,IF(B22="Medi",640,0)))))))</f>
        <v>720</v>
      </c>
      <c r="K22" s="4" t="n">
        <f aca="false">$H$31*IF(B22="Taiga",2003.09,IF(B22="Mts",1612.8,IF(B22="Temp",2285.71,IF(B22="Steppe",1881.97,IF(B22="Jungle",1639.72,IF(B22="Sav",1774.3,IF(B22="Medi",1908.88,0)))))))</f>
        <v>3225.6</v>
      </c>
      <c r="L22" s="4" t="n">
        <f aca="false">$H$31*IF(B22="Taiga",260.82,IF(B22="Mts",210,IF(B22="Temp",297.62,IF(B22="Steppe",245.05,IF(B22="Jungle",213.5,IF(B22="Sav",231.03,IF(B22="Medi",248.55,0)))))))</f>
        <v>420</v>
      </c>
      <c r="M22" s="4" t="n">
        <f aca="false">$H$31*IF(B22="Taiga",250,IF(B22="Mts",640,IF(B22="Temp",295.2174,IF(B22="Steppe",278.2609,IF(B22="Jungle",306.5217,IF(B22="Sav",334.7826,IF(B22="Medi",293.3333,0)))))))</f>
        <v>1280</v>
      </c>
      <c r="N22" s="4" t="n">
        <f aca="false">$H$31*IF(B22="Taiga",1491.9691,IF(B22="Mts",980,IF(B22="Temp",1747.9537,IF(B22="Steppe",1278.5174,IF(B22="Jungle",1440.7722,IF(B22="Sav",1558.9189,IF(B22="Medi",2000,0)))))))</f>
        <v>1960</v>
      </c>
      <c r="O22" s="4" t="n">
        <f aca="false">$H$31*IF(B22="Taiga",68.5,IF(B22="Mts",25,IF(B22="Temp",100,IF(B22="Steppe",55,IF(B22="Jungle",28,IF(B22="Sav",43,IF(B22="Medi",58,0)))))))</f>
        <v>50</v>
      </c>
      <c r="P22" s="4" t="n">
        <f aca="false">$H$31*20*15/8000</f>
        <v>0.075</v>
      </c>
      <c r="Q22" s="4" t="n">
        <f aca="false">$H$31*20*15/8000</f>
        <v>0.075</v>
      </c>
      <c r="R22" s="1" t="s">
        <v>39</v>
      </c>
      <c r="S22" s="4" t="n">
        <f aca="false">C22*F22*G22*360*640*1393.66125/(2000*1000)</f>
        <v>3398.517658368</v>
      </c>
      <c r="T22" s="4" t="n">
        <f aca="false">C22*F22*G22*J22*640*1393.66125*2/(1000*2000*3)</f>
        <v>4531.356877824</v>
      </c>
      <c r="U22" s="4" t="n">
        <f aca="false">T22*J$28</f>
        <v>1510.452292608</v>
      </c>
      <c r="V22" s="4" t="n">
        <f aca="false">T22-U22</f>
        <v>3020.904585216</v>
      </c>
      <c r="W22" s="4" t="n">
        <f aca="false">C22*F22*G22*H22*640*1393.66125*2/(1000*2000*3)</f>
        <v>10765.3711024904</v>
      </c>
      <c r="X22" s="4" t="n">
        <f aca="false">W22*H$28</f>
        <v>2936.01030067919</v>
      </c>
      <c r="Y22" s="4" t="n">
        <f aca="false">W22-X22</f>
        <v>7829.36080181118</v>
      </c>
      <c r="Z22" s="4" t="n">
        <f aca="false">C22*F22*G22*M22*640*1393.66125/(1000*2000*3)</f>
        <v>4027.872780288</v>
      </c>
      <c r="AA22" s="4" t="n">
        <f aca="false">C22*F22*G22*N22*640*1393.66125/(2000*1000)</f>
        <v>18503.040584448</v>
      </c>
      <c r="AB22" s="4" t="n">
        <f aca="false">C22*F22*G22*O22*640*1393.66125/(2000*1000)</f>
        <v>472.01634144</v>
      </c>
      <c r="AC22" s="4" t="n">
        <f aca="false">C22*P22*640*1393.66125/(2000*1000)</f>
        <v>4.21443162</v>
      </c>
      <c r="AD22" s="4" t="n">
        <f aca="false">C22*Q22*640*1393.66125/(2000*1000)</f>
        <v>4.21443162</v>
      </c>
      <c r="AE22" s="4" t="n">
        <f aca="false">($V22+$Z22)*2000*1000/(3*365)</f>
        <v>12874479.2064</v>
      </c>
      <c r="AF22" s="4" t="n">
        <f aca="false">($V22+$Z22)*2000*1000/(18*100)</f>
        <v>7831974.85056</v>
      </c>
      <c r="AG22" s="4" t="n">
        <f aca="false">($V22+$Z22)*2000*1000/(3*365)</f>
        <v>12874479.2064</v>
      </c>
      <c r="AH22" s="4" t="n">
        <f aca="false">C22*F22*G22*K22*640*1393.66125/(2000*1000)</f>
        <v>30450.7182189773</v>
      </c>
      <c r="AI22" s="4" t="n">
        <f aca="false">3*12*D22*Populations!$S21/(5*1000)</f>
        <v>145555.596</v>
      </c>
      <c r="AJ22" s="4" t="n">
        <f aca="false">1.5*D22*750*Populations!$S21/(1000*2000*15)</f>
        <v>758.1020625</v>
      </c>
      <c r="AK22" s="4" t="n">
        <f aca="false">66*10*D22*Populations!$S21/(1000*2000*6)</f>
        <v>1111.883025</v>
      </c>
      <c r="AL22" s="4" t="n">
        <f aca="false">AE22*365/(2000*1000)</f>
        <v>2349.592455168</v>
      </c>
      <c r="AM22" s="4" t="n">
        <f aca="false">AF22*25*238/(51*2000*1000)</f>
        <v>456.865199616</v>
      </c>
      <c r="AN22" s="4" t="n">
        <f aca="false">AG22*100*238/(600*1000*2000)</f>
        <v>255.3438375936</v>
      </c>
      <c r="AO22" s="4" t="n">
        <f aca="false">AG22*120*2/(16*1000*2000)</f>
        <v>96.558594048</v>
      </c>
      <c r="AP22" s="4" t="n">
        <f aca="false">D22*4800*Populations!$S21/($AP$28*10*1000*2000)</f>
        <v>2739.780853875</v>
      </c>
      <c r="AQ22" s="4" t="n">
        <f aca="false">D22*2*4800*Populations!$S21/($AQ$28*10*1000*2000)</f>
        <v>10537.61866875</v>
      </c>
      <c r="AR22" s="4" t="n">
        <f aca="false">C22*F22*G22*L22*640*1393.66125/(2000*1000)</f>
        <v>3964.937268096</v>
      </c>
      <c r="AS22" s="4" t="n">
        <f aca="false">AF22*600*6/(90*1000*2000)</f>
        <v>156.6394970112</v>
      </c>
      <c r="AT22" s="4" t="n">
        <f aca="false">IF(B22="Taiga",236.2,IF(B22="Mts",10,IF(B22="Temp",400,IF(B22="Steppe",25,IF(B22="Jungle",400,IF(B22="Sav",103.6,IF(B22="Medi",181.6,0)))))))*D22*AT$36*Populations!$R21/1000</f>
        <v>5308.25828710428</v>
      </c>
      <c r="AU22" s="4" t="n">
        <f aca="false">INDEX(Tech!$F$3:$F$13,MATCH(E22,Tech!$E$3:$E$13,1))*D22*AT$36*Populations!$S21/(365*1000)</f>
        <v>3790.5103125</v>
      </c>
      <c r="AV22" s="4" t="n">
        <f aca="false">D22*12.5*AT$36*Populations!$S21/(10*30)</f>
        <v>1579.379296875</v>
      </c>
      <c r="AW22" s="4" t="n">
        <f aca="false">0.125*D22*AW$30*Populations!$R21/1000</f>
        <v>136.853533964407</v>
      </c>
      <c r="AX22" s="4" t="n">
        <f aca="false">D22*AW$30*Populations!$S21/(3*1000)</f>
        <v>26.0597583984375</v>
      </c>
      <c r="AY22" s="4" t="n">
        <f aca="false">D22*Populations!$S21/(2*1000*AY$30)/1000</f>
        <v>18.1944495</v>
      </c>
      <c r="AZ22" s="4" t="n">
        <f aca="false">D22*AZ$30*Populations!$S21/(2*1000)</f>
        <v>12.635034375</v>
      </c>
      <c r="BA22" s="4" t="n">
        <f aca="false">D22*2*BA$30*Populations!$S21/1000</f>
        <v>60.648165</v>
      </c>
      <c r="BB22" s="4" t="n">
        <f aca="false">D22*3*BB$30*Populations!$S21/1000</f>
        <v>45.48612375</v>
      </c>
      <c r="BC22" s="4" t="n">
        <f aca="false">D22*11*BC$30*Populations!$S21/(15*1000)</f>
        <v>8.8950642</v>
      </c>
      <c r="BD22" s="4" t="n">
        <f aca="false">D22*11*BD$30*Populations!$S21/(8*1000)</f>
        <v>20.84780671875</v>
      </c>
      <c r="BE22" s="4" t="n">
        <f aca="false">D22*11*BE$30*Populations!$S21/(3*1000)</f>
        <v>13.5014367321428</v>
      </c>
      <c r="BF22" s="4" t="n">
        <f aca="false">D22*11*BF$30*Populations!$S21/(5*1000)</f>
        <v>9.72897646875</v>
      </c>
      <c r="BG22" s="4" t="n">
        <f aca="false">D22*11*BG$30*Populations!$S21/(9*1000)</f>
        <v>24.7085116666667</v>
      </c>
      <c r="BH22" s="4" t="n">
        <f aca="false">D22*11*BH$30*Populations!$S21/(12*1000)</f>
        <v>13.8985378125</v>
      </c>
      <c r="BI22" s="4" t="n">
        <f aca="false">D22*BI$30*Populations!$S21/(1000*125/12)</f>
        <v>38.8148256</v>
      </c>
      <c r="BJ22" s="4" t="n">
        <f aca="false">D22*BJ$30*Populations!$S21/(30*1000)</f>
        <v>17.64187733</v>
      </c>
      <c r="BK22" s="4" t="n">
        <f aca="false">D22*BK$30*Populations!$S21/(7*1000)</f>
        <v>2.43675662946429</v>
      </c>
      <c r="BL22" s="4" t="n">
        <f aca="false">D22*BL$30*Populations!$S21/(8.5*1000)</f>
        <v>4.01348150735294</v>
      </c>
      <c r="BM22" s="4" t="n">
        <f aca="false">D22*BM$30*Populations!$S21/1000</f>
        <v>8.528648203125</v>
      </c>
      <c r="BN22" s="4" t="n">
        <f aca="false">D22*BN$30*Populations!$S21/(1.5*1000)</f>
        <v>20.216055</v>
      </c>
      <c r="BO22" s="4" t="n">
        <f aca="false">D22*BO$30*Populations!$S21/(2*1000)</f>
        <v>16.4255446875</v>
      </c>
      <c r="BP22" s="4" t="n">
        <f aca="false">D22*BP$30*Populations!$S21/(4*1000)</f>
        <v>3.7905103125</v>
      </c>
      <c r="BQ22" s="4" t="n">
        <f aca="false">D22*Populations!$R21*10/(3*1000*2000)</f>
        <v>471.845181075936</v>
      </c>
      <c r="BR22" s="4" t="n">
        <f aca="false">D22*2*Populations!$R21/(30*1000*2000)</f>
        <v>9.43690362151872</v>
      </c>
      <c r="BS22" s="4" t="n">
        <f aca="false">D22*2*Populations!$S21/((37.5/12)*1000*2000)</f>
        <v>6.4691376</v>
      </c>
      <c r="BT22" s="4" t="n">
        <f aca="false">D22*2*Populations!$S21/((20/9)*1000*2000)</f>
        <v>9.09722475</v>
      </c>
      <c r="BU22" s="4" t="n">
        <f aca="false">AF22*25*4/(51*$BU$32)</f>
        <v>3.83920335811765</v>
      </c>
      <c r="BV22" s="4" t="n">
        <f aca="false">D22*Populations!$S21*12/($BV$30*3)</f>
        <v>63.68057325</v>
      </c>
      <c r="BW22" s="4" t="n">
        <f aca="false">D22*Populations!$S21*12/(2*$BW$30)</f>
        <v>54.5833485000001</v>
      </c>
      <c r="BX22" s="4" t="n">
        <f aca="false">D22*Populations!$S21*12/(5*$BX$30)</f>
        <v>27.29167425</v>
      </c>
      <c r="BY22" s="4" t="n">
        <f aca="false">D22*Populations!$S21/(2*$BY$30)</f>
        <v>15.9201433125</v>
      </c>
      <c r="BZ22" s="4" t="n">
        <f aca="false">D22*Populations!$R21*500/(1000*2000)</f>
        <v>70776.7771613904</v>
      </c>
      <c r="CA22" s="4" t="n">
        <f aca="false">D22*Populations!R21*15/(1000*2000)</f>
        <v>2123.30331484171</v>
      </c>
      <c r="CB22" s="4" t="n">
        <f aca="false">IF(B22="Mts",1,D22*Populations!R21*30/(1000*2000))</f>
        <v>1</v>
      </c>
      <c r="CC22" s="4" t="n">
        <f aca="false">D22*40*Populations!R21/(1000*2000)</f>
        <v>5662.14217291123</v>
      </c>
      <c r="CD22" s="4" t="n">
        <f aca="false">D22*40*Populations!R21/(1000*2000)</f>
        <v>5662.14217291123</v>
      </c>
      <c r="CE22" s="4" t="n">
        <f aca="false">D22*20*Populations!R21/(1000*2000)</f>
        <v>2831.07108645562</v>
      </c>
      <c r="CF22" s="4" t="n">
        <f aca="false">D22*8.3454*32*Populations!$S21/(1000*2000)</f>
        <v>2699.377046352</v>
      </c>
      <c r="CG22" s="4" t="n">
        <f aca="false">D22*50*2*Populations!$S21/(3*1000*2000)</f>
        <v>336.93425</v>
      </c>
      <c r="CH22" s="4" t="n">
        <f aca="false">IF(B22="Mts",20*D22*Populations!$R21/1000,0.001)</f>
        <v>5662142.17291124</v>
      </c>
      <c r="CI22" s="4" t="n">
        <f aca="false">IF(NOT(CH22=0.001),0.006*CH22/3,0.001)</f>
        <v>11324.2843458225</v>
      </c>
      <c r="CJ22" s="4" t="n">
        <f aca="false">IF(NOT(CH22=0.001),0.7*CH22/3,0.001)</f>
        <v>1321166.50701262</v>
      </c>
      <c r="CK22" s="4" t="n">
        <f aca="false">IF(NOT(CH22=0.001),0.65*CH22/3,0.001)</f>
        <v>1226797.47079743</v>
      </c>
      <c r="CL22" s="4" t="n">
        <f aca="false">IF(NOT(CH22=0.001),0.002*CH22/3,0.001)</f>
        <v>3774.76144860749</v>
      </c>
      <c r="CM22" s="4" t="n">
        <f aca="false">IF(NOT(CH22=0.001),0.001*CH22/3,0.001)</f>
        <v>1887.38072430375</v>
      </c>
      <c r="CN22" s="4" t="n">
        <f aca="false">D22*3*110/(24*2000)*Populations!$S21</f>
        <v>138985.378125</v>
      </c>
      <c r="CO22" s="4" t="n">
        <f aca="false">D22*3*12/(24*2000)*Populations!$S21</f>
        <v>15162.04125</v>
      </c>
      <c r="CP22" s="4" t="n">
        <f aca="false">D22*3*1.4/(24*2000)*Populations!$S21</f>
        <v>1768.9048125</v>
      </c>
      <c r="CQ22" s="4" t="n">
        <f aca="false">D22*6400*8.3454*Populations!$S21/(10*1000*2000)</f>
        <v>53987.54092704</v>
      </c>
      <c r="CR22" s="4" t="n">
        <f aca="false">D22*2*Populations!$S21/(1000*2000)</f>
        <v>20.216055</v>
      </c>
      <c r="CS22" s="4" t="n">
        <f aca="false">D22*2*30*Populations!$S21/(1000*2000)</f>
        <v>606.48165</v>
      </c>
      <c r="CT22" s="4" t="n">
        <f aca="false">27*Populations!$R21/(4*1000*2000)</f>
        <v>3.6056094025614</v>
      </c>
      <c r="CU22" s="4" t="n">
        <f aca="false">27*Populations!$R21/(16*1000*2000)</f>
        <v>0.90140235064035</v>
      </c>
      <c r="CV22" s="4" t="n">
        <f aca="false">AP22*0.9</f>
        <v>2465.8027684875</v>
      </c>
      <c r="CW22" s="4" t="n">
        <f aca="false">2.5*D22*Populations!$R21/(60*2000)</f>
        <v>5898.0647634492</v>
      </c>
      <c r="CX22" s="4" t="n">
        <f aca="false">D22*125*Populations!R21/(6*1000*2000)</f>
        <v>2949.0323817246</v>
      </c>
      <c r="CY22" s="4" t="n">
        <f aca="false">D22*1.875*2*Populations!R21/(6*1000*2000)</f>
        <v>88.470971451738</v>
      </c>
      <c r="CZ22" s="4" t="n">
        <f aca="false">D22*2*20*Populations!$R21/(1000*2000)</f>
        <v>5662.14217291123</v>
      </c>
      <c r="DA22" s="4" t="n">
        <f aca="false">IF(NOT(CH22=0.001),CH22*0.00001,0.001)</f>
        <v>56.6214217291124</v>
      </c>
      <c r="DB22" s="4" t="n">
        <f aca="false">IF(NOT(CH22=0.001),CH22*0.00001,0.001)</f>
        <v>56.6214217291124</v>
      </c>
      <c r="DC22" s="4" t="n">
        <f aca="false">D22*0.02*12*Populations!$S21/(3*1000*2000)</f>
        <v>0.8086422</v>
      </c>
      <c r="DD22" s="4" t="n">
        <f aca="false">D22*0.5*12*Populations!$S21/(5*1000*2000)</f>
        <v>12.129633</v>
      </c>
      <c r="DE22" s="4" t="n">
        <f aca="false">D22*6*25*Populations!$S21/(1000*2000)</f>
        <v>1516.204125</v>
      </c>
      <c r="DG22" s="4" t="n">
        <f aca="false">PRODUCT(AC22:AD22)</f>
        <v>17.7614338796558</v>
      </c>
      <c r="DH22" s="4" t="n">
        <f aca="false">LOG(PRODUCT(S22,V22,Y22:AB22,AE22:AH22,AL22:AO22,AR22:AT22,AW22,BQ22:BU22,BZ22,CH22:CM22,CT22:CU22,CW22:DB22),2)</f>
        <v>421.238474929617</v>
      </c>
      <c r="DI22" s="4" t="n">
        <f aca="false">LOG(PRODUCT($AI22:$AK22,$AP22:$AQ22,$AU22:$AV22,AX22:BP22,BV22:BY22,CA22:CG22,CN22:CS22,CV22,DC22:DE22),2)</f>
        <v>341.172376332348</v>
      </c>
      <c r="DK22" s="4" t="n">
        <f aca="false">SUM(DG22:DI22)</f>
        <v>780.172285141621</v>
      </c>
    </row>
    <row r="23" s="4" customFormat="true" ht="12.8" hidden="false" customHeight="false" outlineLevel="0" collapsed="false">
      <c r="A23" s="0" t="s">
        <v>158</v>
      </c>
      <c r="B23" s="0" t="s">
        <v>149</v>
      </c>
      <c r="C23" s="0" t="n">
        <v>113</v>
      </c>
      <c r="D23" s="0" t="n">
        <f aca="false">IF(B23="Taiga",265,IF(B23="Mts",265,IF(B23="Temp",230,IF(B23="Steppe",265,IF(B23="Jungle",180,IF(B23="Sav",240,IF(B23="Medi",230,0)))))))</f>
        <v>240</v>
      </c>
      <c r="E23" s="0" t="n">
        <v>1</v>
      </c>
      <c r="F23" s="4" t="n">
        <f aca="false">IF(B23="Taiga",0.43,IF(B23="Mts",0.21,IF(B23="Temp",0.64,IF(B23="Steppe",0.57,IF(B23="Jungle",0.43,IF(B23="Sav",0.57,IF(B23="Medi",0.43,0)))))))</f>
        <v>0.57</v>
      </c>
      <c r="G23" s="4" t="n">
        <f aca="false">IF(B23="Taiga",0.43,IF(B23="Mts",0.8,IF(B23="Temp",0.64,IF(B23="Steppe",0.64,IF(B23="Jungle",0.43,IF(B23="Sav",0.8,IF(B23="Medi",0.6,0)))))))</f>
        <v>0.8</v>
      </c>
      <c r="H23" s="4" t="n">
        <f aca="false">$H$31*IF(B23="Taiga",528,IF(B23="Mts",855.27,IF(B23="Temp",565.94,IF(B23="Steppe",551.72,IF(B23="Jungle",575.43,IF(B23="Sav",599.15,IF(B23="Medi",564.36,0)))))))</f>
        <v>1198.3</v>
      </c>
      <c r="I23" s="4" t="n">
        <f aca="false">$H$31*IF(B23="Taiga",2608.19,IF(B23="Mts",2100,IF(B23="Temp",2976.19,IF(B23="Steppe",2450.48,IF(B23="Jungle",2135.05,IF(B23="Sav",2310.29,IF(B23="Medi",2485.52,0)))))))</f>
        <v>4620.58</v>
      </c>
      <c r="J23" s="4" t="n">
        <f aca="false">$H$31*IF(B23="Taiga",500.54,IF(B23="Mts",360,IF(B23="Temp",570.81,IF(B23="Steppe",441.95,IF(B23="Jungle",486.49,IF(B23="Sav",518.92,IF(B23="Medi",640,0)))))))</f>
        <v>1037.84</v>
      </c>
      <c r="K23" s="4" t="n">
        <f aca="false">$H$31*IF(B23="Taiga",2003.09,IF(B23="Mts",1612.8,IF(B23="Temp",2285.71,IF(B23="Steppe",1881.97,IF(B23="Jungle",1639.72,IF(B23="Sav",1774.3,IF(B23="Medi",1908.88,0)))))))</f>
        <v>3548.6</v>
      </c>
      <c r="L23" s="4" t="n">
        <f aca="false">$H$31*IF(B23="Taiga",260.82,IF(B23="Mts",210,IF(B23="Temp",297.62,IF(B23="Steppe",245.05,IF(B23="Jungle",213.5,IF(B23="Sav",231.03,IF(B23="Medi",248.55,0)))))))</f>
        <v>462.06</v>
      </c>
      <c r="M23" s="4" t="n">
        <f aca="false">$H$31*IF(B23="Taiga",250,IF(B23="Mts",640,IF(B23="Temp",295.2174,IF(B23="Steppe",278.2609,IF(B23="Jungle",306.5217,IF(B23="Sav",334.7826,IF(B23="Medi",293.3333,0)))))))</f>
        <v>669.5652</v>
      </c>
      <c r="N23" s="4" t="n">
        <f aca="false">$H$31*IF(B23="Taiga",1491.9691,IF(B23="Mts",980,IF(B23="Temp",1747.9537,IF(B23="Steppe",1278.5174,IF(B23="Jungle",1440.7722,IF(B23="Sav",1558.9189,IF(B23="Medi",2000,0)))))))</f>
        <v>3117.8378</v>
      </c>
      <c r="O23" s="4" t="n">
        <f aca="false">$H$31*IF(B23="Taiga",68.5,IF(B23="Mts",25,IF(B23="Temp",100,IF(B23="Steppe",55,IF(B23="Jungle",28,IF(B23="Sav",43,IF(B23="Medi",58,0)))))))</f>
        <v>86</v>
      </c>
      <c r="P23" s="4" t="n">
        <f aca="false">$H$31*20*15/8000</f>
        <v>0.075</v>
      </c>
      <c r="Q23" s="4" t="n">
        <f aca="false">$H$31*20*15/8000</f>
        <v>0.075</v>
      </c>
      <c r="R23" s="1" t="s">
        <v>39</v>
      </c>
      <c r="S23" s="4" t="n">
        <f aca="false">C23*F23*G23*360*640*1393.66125/(2000*1000)</f>
        <v>8272.808857728</v>
      </c>
      <c r="T23" s="4" t="n">
        <f aca="false">C23*F23*G23*J23*640*1393.66125*2/(1000*2000*3)</f>
        <v>15899.7258238971</v>
      </c>
      <c r="U23" s="4" t="n">
        <f aca="false">T23*J$28</f>
        <v>5299.9086079657</v>
      </c>
      <c r="V23" s="4" t="n">
        <f aca="false">T23-U23</f>
        <v>10599.8172159314</v>
      </c>
      <c r="W23" s="4" t="n">
        <f aca="false">C23*F23*G23*H23*640*1393.66125*2/(1000*2000*3)</f>
        <v>18357.9756559546</v>
      </c>
      <c r="X23" s="4" t="n">
        <f aca="false">W23*H$28</f>
        <v>5006.72063344215</v>
      </c>
      <c r="Y23" s="4" t="n">
        <f aca="false">W23-X23</f>
        <v>13351.2550225124</v>
      </c>
      <c r="Z23" s="4" t="n">
        <f aca="false">C23*F23*G23*M23*640*1393.66125/(1000*2000*3)</f>
        <v>5128.87492350595</v>
      </c>
      <c r="AA23" s="4" t="n">
        <f aca="false">C23*F23*G23*N23*640*1393.66125/(2000*1000)</f>
        <v>71647.9893577755</v>
      </c>
      <c r="AB23" s="4" t="n">
        <f aca="false">C23*F23*G23*O23*640*1393.66125/(2000*1000)</f>
        <v>1976.2821160128</v>
      </c>
      <c r="AC23" s="4" t="n">
        <f aca="false">C23*P23*640*1393.66125/(2000*1000)</f>
        <v>3.77960931</v>
      </c>
      <c r="AD23" s="4" t="n">
        <f aca="false">C23*Q23*640*1393.66125/(2000*1000)</f>
        <v>3.77960931</v>
      </c>
      <c r="AE23" s="4" t="n">
        <f aca="false">($V23+$Z23)*2000*1000/(3*365)</f>
        <v>28728204.8208901</v>
      </c>
      <c r="AF23" s="4" t="n">
        <f aca="false">($V23+$Z23)*2000*1000/(18*100)</f>
        <v>17476324.5993748</v>
      </c>
      <c r="AG23" s="4" t="n">
        <f aca="false">($V23+$Z23)*2000*1000/(3*365)</f>
        <v>28728204.8208901</v>
      </c>
      <c r="AH23" s="4" t="n">
        <f aca="false">C23*F23*G23*K23*640*1393.66125/(2000*1000)</f>
        <v>81546.9153125933</v>
      </c>
      <c r="AI23" s="4" t="n">
        <f aca="false">3*12*D23*Populations!$S22/(5*1000)</f>
        <v>918715.392</v>
      </c>
      <c r="AJ23" s="4" t="n">
        <f aca="false">1.5*D23*750*Populations!$S22/(1000*2000*15)</f>
        <v>4784.976</v>
      </c>
      <c r="AK23" s="4" t="n">
        <f aca="false">66*10*D23*Populations!$S22/(1000*2000*6)</f>
        <v>7017.9648</v>
      </c>
      <c r="AL23" s="4" t="n">
        <f aca="false">AE23*365/(2000*1000)</f>
        <v>5242.89737981245</v>
      </c>
      <c r="AM23" s="4" t="n">
        <f aca="false">AF23*25*238/(51*2000*1000)</f>
        <v>1019.45226829686</v>
      </c>
      <c r="AN23" s="4" t="n">
        <f aca="false">AG23*100*238/(600*1000*2000)</f>
        <v>569.776062280987</v>
      </c>
      <c r="AO23" s="4" t="n">
        <f aca="false">AG23*120*2/(16*1000*2000)</f>
        <v>215.461536156676</v>
      </c>
      <c r="AP23" s="4" t="n">
        <f aca="false">D23*4800*Populations!$S22/($AP$28*10*1000*2000)</f>
        <v>17292.903264</v>
      </c>
      <c r="AQ23" s="4" t="n">
        <f aca="false">D23*2*4800*Populations!$S22/($AQ$28*10*1000*2000)</f>
        <v>66511.1664</v>
      </c>
      <c r="AR23" s="4" t="n">
        <f aca="false">C23*F23*G23*L23*640*1393.66125/(2000*1000)</f>
        <v>10618.1501688939</v>
      </c>
      <c r="AS23" s="4" t="n">
        <f aca="false">AF23*600*6/(90*1000*2000)</f>
        <v>349.526491987496</v>
      </c>
      <c r="AT23" s="4" t="n">
        <f aca="false">IF(B23="Taiga",236.2,IF(B23="Mts",10,IF(B23="Temp",400,IF(B23="Steppe",25,IF(B23="Jungle",400,IF(B23="Sav",103.6,IF(B23="Medi",181.6,0)))))))*D23*AT$36*Populations!$R22/1000</f>
        <v>235005.581899599</v>
      </c>
      <c r="AU23" s="4" t="n">
        <f aca="false">INDEX(Tech!$F$3:$F$13,MATCH(E23,Tech!$E$3:$E$13,1))*D23*AT$36*Populations!$S22/(365*1000)</f>
        <v>23924.88</v>
      </c>
      <c r="AV23" s="4" t="n">
        <f aca="false">D23*12.5*AT$36*Populations!$S22/(10*30)</f>
        <v>9968.7</v>
      </c>
      <c r="AW23" s="4" t="n">
        <f aca="false">0.125*D23*AW$30*Populations!$R22/1000</f>
        <v>584.820237292378</v>
      </c>
      <c r="AX23" s="4" t="n">
        <f aca="false">D23*AW$30*Populations!$S22/(3*1000)</f>
        <v>164.48355</v>
      </c>
      <c r="AY23" s="4" t="n">
        <f aca="false">D23*Populations!$S22/(2*1000*AY$30)/1000</f>
        <v>114.839424</v>
      </c>
      <c r="AZ23" s="4" t="n">
        <f aca="false">D23*AZ$30*Populations!$S22/(2*1000)</f>
        <v>79.7496</v>
      </c>
      <c r="BA23" s="4" t="n">
        <f aca="false">D23*2*BA$30*Populations!$S22/1000</f>
        <v>382.79808</v>
      </c>
      <c r="BB23" s="4" t="n">
        <f aca="false">D23*3*BB$30*Populations!$S22/1000</f>
        <v>287.09856</v>
      </c>
      <c r="BC23" s="4" t="n">
        <f aca="false">D23*11*BC$30*Populations!$S22/(15*1000)</f>
        <v>56.1437184</v>
      </c>
      <c r="BD23" s="4" t="n">
        <f aca="false">D23*11*BD$30*Populations!$S22/(8*1000)</f>
        <v>131.58684</v>
      </c>
      <c r="BE23" s="4" t="n">
        <f aca="false">D23*11*BE$30*Populations!$S22/(3*1000)</f>
        <v>85.2181439999999</v>
      </c>
      <c r="BF23" s="4" t="n">
        <f aca="false">D23*11*BF$30*Populations!$S22/(5*1000)</f>
        <v>61.407192</v>
      </c>
      <c r="BG23" s="4" t="n">
        <f aca="false">D23*11*BG$30*Populations!$S22/(9*1000)</f>
        <v>155.954773333333</v>
      </c>
      <c r="BH23" s="4" t="n">
        <f aca="false">D23*11*BH$30*Populations!$S22/(12*1000)</f>
        <v>87.72456</v>
      </c>
      <c r="BI23" s="4" t="n">
        <f aca="false">D23*BI$30*Populations!$S22/(1000*125/12)</f>
        <v>244.9907712</v>
      </c>
      <c r="BJ23" s="4" t="n">
        <f aca="false">D23*BJ$30*Populations!$S22/(30*1000)</f>
        <v>111.35170816</v>
      </c>
      <c r="BK23" s="4" t="n">
        <f aca="false">D23*BK$30*Populations!$S22/(7*1000)</f>
        <v>15.38028</v>
      </c>
      <c r="BL23" s="4" t="n">
        <f aca="false">D23*BL$30*Populations!$S22/(8.5*1000)</f>
        <v>25.3322258823529</v>
      </c>
      <c r="BM23" s="4" t="n">
        <f aca="false">D23*BM$30*Populations!$S22/1000</f>
        <v>53.83098</v>
      </c>
      <c r="BN23" s="4" t="n">
        <f aca="false">D23*BN$30*Populations!$S22/(1.5*1000)</f>
        <v>127.59936</v>
      </c>
      <c r="BO23" s="4" t="n">
        <f aca="false">D23*BO$30*Populations!$S22/(2*1000)</f>
        <v>103.67448</v>
      </c>
      <c r="BP23" s="4" t="n">
        <f aca="false">D23*BP$30*Populations!$S22/(4*1000)</f>
        <v>23.92488</v>
      </c>
      <c r="BQ23" s="4" t="n">
        <f aca="false">D23*Populations!$R22*10/(3*1000*2000)</f>
        <v>2016.34990904847</v>
      </c>
      <c r="BR23" s="4" t="n">
        <f aca="false">D23*2*Populations!$R22/(30*1000*2000)</f>
        <v>40.3269981809694</v>
      </c>
      <c r="BS23" s="4" t="n">
        <f aca="false">D23*2*Populations!$S22/((37.5/12)*1000*2000)</f>
        <v>40.8317952</v>
      </c>
      <c r="BT23" s="4" t="n">
        <f aca="false">D23*2*Populations!$S22/((20/9)*1000*2000)</f>
        <v>57.419712</v>
      </c>
      <c r="BU23" s="4" t="n">
        <f aca="false">AF23*25*4/(51*$BU$32)</f>
        <v>8.56682578400727</v>
      </c>
      <c r="BV23" s="4" t="n">
        <f aca="false">D23*Populations!$S22*12/($BV$30*3)</f>
        <v>401.937984</v>
      </c>
      <c r="BW23" s="4" t="n">
        <f aca="false">D23*Populations!$S22*12/(2*$BW$30)</f>
        <v>344.518272</v>
      </c>
      <c r="BX23" s="4" t="n">
        <f aca="false">D23*Populations!$S22*12/(5*$BX$30)</f>
        <v>172.259136</v>
      </c>
      <c r="BY23" s="4" t="n">
        <f aca="false">D23*Populations!$S22/(2*$BY$30)</f>
        <v>100.484496</v>
      </c>
      <c r="BZ23" s="4" t="n">
        <f aca="false">D23*Populations!$R22*500/(1000*2000)</f>
        <v>302452.48635727</v>
      </c>
      <c r="CA23" s="4" t="n">
        <f aca="false">D23*Populations!R22*15/(1000*2000)</f>
        <v>9073.5745907181</v>
      </c>
      <c r="CB23" s="4" t="n">
        <f aca="false">IF(B23="Mts",1,D23*Populations!R22*30/(1000*2000))</f>
        <v>18147.1491814362</v>
      </c>
      <c r="CC23" s="4" t="n">
        <f aca="false">D23*40*Populations!R22/(1000*2000)</f>
        <v>24196.1989085816</v>
      </c>
      <c r="CD23" s="4" t="n">
        <f aca="false">D23*40*Populations!R22/(1000*2000)</f>
        <v>24196.1989085816</v>
      </c>
      <c r="CE23" s="4" t="n">
        <f aca="false">D23*20*Populations!R22/(1000*2000)</f>
        <v>12098.0994542908</v>
      </c>
      <c r="CF23" s="4" t="n">
        <f aca="false">D23*8.3454*32*Populations!$S22/(1000*2000)</f>
        <v>17037.883183104</v>
      </c>
      <c r="CG23" s="4" t="n">
        <f aca="false">D23*50*2*Populations!$S22/(3*1000*2000)</f>
        <v>2126.656</v>
      </c>
      <c r="CH23" s="4" t="n">
        <f aca="false">IF(B23="Mts",20*D23*Populations!$R22/1000,0.001)</f>
        <v>0.001</v>
      </c>
      <c r="CI23" s="4" t="n">
        <f aca="false">IF(NOT(CH23=0.001),0.006*CH23/3,0.001)</f>
        <v>0.001</v>
      </c>
      <c r="CJ23" s="4" t="n">
        <f aca="false">IF(NOT(CH23=0.001),0.7*CH23/3,0.001)</f>
        <v>0.001</v>
      </c>
      <c r="CK23" s="4" t="n">
        <f aca="false">IF(NOT(CH23=0.001),0.65*CH23/3,0.001)</f>
        <v>0.001</v>
      </c>
      <c r="CL23" s="4" t="n">
        <f aca="false">IF(NOT(CH23=0.001),0.002*CH23/3,0.001)</f>
        <v>0.001</v>
      </c>
      <c r="CM23" s="4" t="n">
        <f aca="false">IF(NOT(CH23=0.001),0.001*CH23/3,0.001)</f>
        <v>0.001</v>
      </c>
      <c r="CN23" s="4" t="n">
        <f aca="false">D23*3*110/(24*2000)*Populations!$S22</f>
        <v>877245.6</v>
      </c>
      <c r="CO23" s="4" t="n">
        <f aca="false">D23*3*12/(24*2000)*Populations!$S22</f>
        <v>95699.52</v>
      </c>
      <c r="CP23" s="4" t="n">
        <f aca="false">D23*3*1.4/(24*2000)*Populations!$S22</f>
        <v>11164.944</v>
      </c>
      <c r="CQ23" s="4" t="n">
        <f aca="false">D23*6400*8.3454*Populations!$S22/(10*1000*2000)</f>
        <v>340757.66366208</v>
      </c>
      <c r="CR23" s="4" t="n">
        <f aca="false">D23*2*Populations!$S22/(1000*2000)</f>
        <v>127.59936</v>
      </c>
      <c r="CS23" s="4" t="n">
        <f aca="false">D23*2*30*Populations!$S22/(1000*2000)</f>
        <v>3827.9808</v>
      </c>
      <c r="CT23" s="4" t="n">
        <f aca="false">27*Populations!$R22/(4*1000*2000)</f>
        <v>17.0129523575964</v>
      </c>
      <c r="CU23" s="4" t="n">
        <f aca="false">27*Populations!$R22/(16*1000*2000)</f>
        <v>4.25323808939911</v>
      </c>
      <c r="CV23" s="4" t="n">
        <f aca="false">AP23*0.9</f>
        <v>15563.6129376</v>
      </c>
      <c r="CW23" s="4" t="n">
        <f aca="false">2.5*D23*Populations!$R22/(60*2000)</f>
        <v>25204.3738631058</v>
      </c>
      <c r="CX23" s="4" t="n">
        <f aca="false">D23*125*Populations!R22/(6*1000*2000)</f>
        <v>12602.1869315529</v>
      </c>
      <c r="CY23" s="4" t="n">
        <f aca="false">D23*1.875*2*Populations!R22/(6*1000*2000)</f>
        <v>378.065607946588</v>
      </c>
      <c r="CZ23" s="4" t="n">
        <f aca="false">D23*2*20*Populations!$R22/(1000*2000)</f>
        <v>24196.1989085816</v>
      </c>
      <c r="DA23" s="4" t="n">
        <f aca="false">IF(NOT(CH23=0.001),CH23*0.00001,0.001)</f>
        <v>0.001</v>
      </c>
      <c r="DB23" s="4" t="n">
        <f aca="false">IF(NOT(CH23=0.001),CH23*0.00001,0.001)</f>
        <v>0.001</v>
      </c>
      <c r="DC23" s="4" t="n">
        <f aca="false">D23*0.02*12*Populations!$S22/(3*1000*2000)</f>
        <v>5.1039744</v>
      </c>
      <c r="DD23" s="4" t="n">
        <f aca="false">D23*0.5*12*Populations!$S22/(5*1000*2000)</f>
        <v>76.559616</v>
      </c>
      <c r="DE23" s="4" t="n">
        <f aca="false">D23*6*25*Populations!$S22/(1000*2000)</f>
        <v>9569.952</v>
      </c>
      <c r="DG23" s="4" t="n">
        <f aca="false">PRODUCT(AC23:AD23)</f>
        <v>14.2854465362387</v>
      </c>
      <c r="DH23" s="4" t="n">
        <f aca="false">LOG(PRODUCT(S23,V23,Y23:AB23,AE23:AH23,AL23:AO23,AR23:AT23,AW23,BQ23:BU23,BZ23,CH23:CM23,CT23:CU23,CW23:DB23),2)</f>
        <v>284.161379274807</v>
      </c>
      <c r="DI23" s="4" t="n">
        <f aca="false">LOG(PRODUCT($AI23:$AK23,$AP23:$AQ23,$AU23:$AV23,AX23:BP23,BV23:BY23,CA23:CG23,CN23:CS23,CV23,DC23:DE23),2)</f>
        <v>475.339276947219</v>
      </c>
      <c r="DK23" s="4" t="n">
        <f aca="false">SUM(DG23:DI23)</f>
        <v>773.786102758265</v>
      </c>
    </row>
    <row r="24" s="4" customFormat="true" ht="12.8" hidden="false" customHeight="false" outlineLevel="0" collapsed="false">
      <c r="A24" s="0" t="s">
        <v>159</v>
      </c>
      <c r="B24" s="0" t="s">
        <v>132</v>
      </c>
      <c r="C24" s="0" t="n">
        <v>100</v>
      </c>
      <c r="D24" s="0" t="n">
        <f aca="false">IF(B24="Taiga",265,IF(B24="Mts",265,IF(B24="Temp",230,IF(B24="Steppe",265,IF(B24="Jungle",180,IF(B24="Sav",240,IF(B24="Medi",230,0)))))))</f>
        <v>265</v>
      </c>
      <c r="E24" s="0" t="n">
        <v>1</v>
      </c>
      <c r="F24" s="4" t="n">
        <f aca="false">IF(B24="Taiga",0.43,IF(B24="Mts",0.21,IF(B24="Temp",0.64,IF(B24="Steppe",0.57,IF(B24="Jungle",0.43,IF(B24="Sav",0.57,IF(B24="Medi",0.43,0)))))))</f>
        <v>0.43</v>
      </c>
      <c r="G24" s="4" t="n">
        <f aca="false">IF(B24="Taiga",0.43,IF(B24="Mts",0.8,IF(B24="Temp",0.64,IF(B24="Steppe",0.64,IF(B24="Jungle",0.43,IF(B24="Sav",0.8,IF(B24="Medi",0.6,0)))))))</f>
        <v>0.43</v>
      </c>
      <c r="H24" s="4" t="n">
        <f aca="false">$H$31*IF(B24="Taiga",528,IF(B24="Mts",855.27,IF(B24="Temp",565.94,IF(B24="Steppe",551.72,IF(B24="Jungle",575.43,IF(B24="Sav",599.15,IF(B24="Medi",564.36,0)))))))</f>
        <v>1056</v>
      </c>
      <c r="I24" s="4" t="n">
        <f aca="false">$H$31*IF(B24="Taiga",2608.19,IF(B24="Mts",2100,IF(B24="Temp",2976.19,IF(B24="Steppe",2450.48,IF(B24="Jungle",2135.05,IF(B24="Sav",2310.29,IF(B24="Medi",2485.52,0)))))))</f>
        <v>5216.38</v>
      </c>
      <c r="J24" s="4" t="n">
        <f aca="false">$H$31*IF(B24="Taiga",500.54,IF(B24="Mts",360,IF(B24="Temp",570.81,IF(B24="Steppe",441.95,IF(B24="Jungle",486.49,IF(B24="Sav",518.92,IF(B24="Medi",640,0)))))))</f>
        <v>1001.08</v>
      </c>
      <c r="K24" s="4" t="n">
        <f aca="false">$H$31*IF(B24="Taiga",2003.09,IF(B24="Mts",1612.8,IF(B24="Temp",2285.71,IF(B24="Steppe",1881.97,IF(B24="Jungle",1639.72,IF(B24="Sav",1774.3,IF(B24="Medi",1908.88,0)))))))</f>
        <v>4006.18</v>
      </c>
      <c r="L24" s="4" t="n">
        <f aca="false">$H$31*IF(B24="Taiga",260.82,IF(B24="Mts",210,IF(B24="Temp",297.62,IF(B24="Steppe",245.05,IF(B24="Jungle",213.5,IF(B24="Sav",231.03,IF(B24="Medi",248.55,0)))))))</f>
        <v>521.64</v>
      </c>
      <c r="M24" s="4" t="n">
        <f aca="false">$H$31*IF(B24="Taiga",250,IF(B24="Mts",640,IF(B24="Temp",295.2174,IF(B24="Steppe",278.2609,IF(B24="Jungle",306.5217,IF(B24="Sav",334.7826,IF(B24="Medi",293.3333,0)))))))</f>
        <v>500</v>
      </c>
      <c r="N24" s="4" t="n">
        <f aca="false">$H$31*IF(B24="Taiga",1491.9691,IF(B24="Mts",980,IF(B24="Temp",1747.9537,IF(B24="Steppe",1278.5174,IF(B24="Jungle",1440.7722,IF(B24="Sav",1558.9189,IF(B24="Medi",2000,0)))))))</f>
        <v>2983.9382</v>
      </c>
      <c r="O24" s="4" t="n">
        <f aca="false">$H$31*IF(B24="Taiga",68.5,IF(B24="Mts",25,IF(B24="Temp",100,IF(B24="Steppe",55,IF(B24="Jungle",28,IF(B24="Sav",43,IF(B24="Medi",58,0)))))))</f>
        <v>137</v>
      </c>
      <c r="P24" s="4" t="n">
        <f aca="false">$H$31*20*15/8000</f>
        <v>0.075</v>
      </c>
      <c r="Q24" s="4" t="n">
        <f aca="false">$H$31*20*15/8000</f>
        <v>0.075</v>
      </c>
      <c r="R24" s="1" t="s">
        <v>39</v>
      </c>
      <c r="S24" s="4" t="n">
        <f aca="false">C24*F24*G24*360*640*1393.66125/(2000*1000)</f>
        <v>2968.56535824</v>
      </c>
      <c r="T24" s="4" t="n">
        <f aca="false">C24*F24*G24*J24*640*1393.66125*2/(1000*2000*3)</f>
        <v>5503.28038671648</v>
      </c>
      <c r="U24" s="4" t="n">
        <f aca="false">T24*J$28</f>
        <v>1834.42679557216</v>
      </c>
      <c r="V24" s="4" t="n">
        <f aca="false">T24-U24</f>
        <v>3668.85359114432</v>
      </c>
      <c r="W24" s="4" t="n">
        <f aca="false">C24*F24*G24*H24*640*1393.66125*2/(1000*2000*3)</f>
        <v>5805.194478336</v>
      </c>
      <c r="X24" s="4" t="n">
        <f aca="false">W24*H$28</f>
        <v>1583.234857728</v>
      </c>
      <c r="Y24" s="4" t="n">
        <f aca="false">W24-X24</f>
        <v>4221.959620608</v>
      </c>
      <c r="Z24" s="4" t="n">
        <f aca="false">C24*F24*G24*M24*640*1393.66125/(1000*2000*3)</f>
        <v>1374.335814</v>
      </c>
      <c r="AA24" s="4" t="n">
        <f aca="false">C24*F24*G24*N24*640*1393.66125/(2000*1000)</f>
        <v>24605.5988101362</v>
      </c>
      <c r="AB24" s="4" t="n">
        <f aca="false">C24*F24*G24*O24*640*1393.66125/(2000*1000)</f>
        <v>1129.704039108</v>
      </c>
      <c r="AC24" s="4" t="n">
        <f aca="false">C24*P24*640*1393.66125/(2000*1000)</f>
        <v>3.344787</v>
      </c>
      <c r="AD24" s="4" t="n">
        <f aca="false">C24*Q24*640*1393.66125/(2000*1000)</f>
        <v>3.344787</v>
      </c>
      <c r="AE24" s="4" t="n">
        <f aca="false">($V24+$Z24)*2000*1000/(3*365)</f>
        <v>9211304.84957867</v>
      </c>
      <c r="AF24" s="4" t="n">
        <f aca="false">($V24+$Z24)*2000*1000/(18*100)</f>
        <v>5603543.78349369</v>
      </c>
      <c r="AG24" s="4" t="n">
        <f aca="false">($V24+$Z24)*2000*1000/(3*365)</f>
        <v>9211304.84957867</v>
      </c>
      <c r="AH24" s="4" t="n">
        <f aca="false">C24*F24*G24*K24*640*1393.66125/(2000*1000)</f>
        <v>33035.0199079831</v>
      </c>
      <c r="AI24" s="4" t="n">
        <f aca="false">3*12*D24*Populations!$S23/(5*1000)</f>
        <v>99414.432</v>
      </c>
      <c r="AJ24" s="4" t="n">
        <f aca="false">1.5*D24*750*Populations!$S23/(1000*2000*15)</f>
        <v>517.7835</v>
      </c>
      <c r="AK24" s="4" t="n">
        <f aca="false">66*10*D24*Populations!$S23/(1000*2000*6)</f>
        <v>759.4158</v>
      </c>
      <c r="AL24" s="4" t="n">
        <f aca="false">AE24*365/(2000*1000)</f>
        <v>1681.06313504811</v>
      </c>
      <c r="AM24" s="4" t="n">
        <f aca="false">AF24*25*238/(51*2000*1000)</f>
        <v>326.873387370465</v>
      </c>
      <c r="AN24" s="4" t="n">
        <f aca="false">AG24*100*238/(600*1000*2000)</f>
        <v>182.690879516644</v>
      </c>
      <c r="AO24" s="4" t="n">
        <f aca="false">AG24*120*2/(16*1000*2000)</f>
        <v>69.08478637184</v>
      </c>
      <c r="AP24" s="4" t="n">
        <f aca="false">D24*4800*Populations!$S23/($AP$28*10*1000*2000)</f>
        <v>1871.269569</v>
      </c>
      <c r="AQ24" s="4" t="n">
        <f aca="false">D24*2*4800*Populations!$S23/($AQ$28*10*1000*2000)</f>
        <v>7197.19065</v>
      </c>
      <c r="AR24" s="4" t="n">
        <f aca="false">C24*F24*G24*L24*640*1393.66125/(2000*1000)</f>
        <v>4301.45120408976</v>
      </c>
      <c r="AS24" s="4" t="n">
        <f aca="false">AF24*600*6/(90*1000*2000)</f>
        <v>112.070875669874</v>
      </c>
      <c r="AT24" s="4" t="n">
        <f aca="false">IF(B24="Taiga",236.2,IF(B24="Mts",10,IF(B24="Temp",400,IF(B24="Steppe",25,IF(B24="Jungle",400,IF(B24="Sav",103.6,IF(B24="Medi",181.6,0)))))))*D24*AT$36*Populations!$R23/1000</f>
        <v>72111.2797450694</v>
      </c>
      <c r="AU24" s="4" t="n">
        <f aca="false">INDEX(Tech!$F$3:$F$13,MATCH(E24,Tech!$E$3:$E$13,1))*D24*AT$36*Populations!$S23/(365*1000)</f>
        <v>2588.9175</v>
      </c>
      <c r="AV24" s="4" t="n">
        <f aca="false">D24*12.5*AT$36*Populations!$S23/(10*30)</f>
        <v>1078.715625</v>
      </c>
      <c r="AW24" s="4" t="n">
        <f aca="false">0.125*D24*AW$30*Populations!$R23/1000</f>
        <v>78.709522901252</v>
      </c>
      <c r="AX24" s="4" t="n">
        <f aca="false">D24*AW$30*Populations!$S23/(3*1000)</f>
        <v>17.7988078125</v>
      </c>
      <c r="AY24" s="4" t="n">
        <f aca="false">D24*Populations!$S23/(2*1000*AY$30)/1000</f>
        <v>12.426804</v>
      </c>
      <c r="AZ24" s="4" t="n">
        <f aca="false">D24*AZ$30*Populations!$S23/(2*1000)</f>
        <v>8.629725</v>
      </c>
      <c r="BA24" s="4" t="n">
        <f aca="false">D24*2*BA$30*Populations!$S23/1000</f>
        <v>41.42268</v>
      </c>
      <c r="BB24" s="4" t="n">
        <f aca="false">D24*3*BB$30*Populations!$S23/1000</f>
        <v>31.06701</v>
      </c>
      <c r="BC24" s="4" t="n">
        <f aca="false">D24*11*BC$30*Populations!$S23/(15*1000)</f>
        <v>6.0753264</v>
      </c>
      <c r="BD24" s="4" t="n">
        <f aca="false">D24*11*BD$30*Populations!$S23/(8*1000)</f>
        <v>14.23904625</v>
      </c>
      <c r="BE24" s="4" t="n">
        <f aca="false">D24*11*BE$30*Populations!$S23/(3*1000)</f>
        <v>9.22147757142857</v>
      </c>
      <c r="BF24" s="4" t="n">
        <f aca="false">D24*11*BF$30*Populations!$S23/(5*1000)</f>
        <v>6.64488825</v>
      </c>
      <c r="BG24" s="4" t="n">
        <f aca="false">D24*11*BG$30*Populations!$S23/(9*1000)</f>
        <v>16.8759066666667</v>
      </c>
      <c r="BH24" s="4" t="n">
        <f aca="false">D24*11*BH$30*Populations!$S23/(12*1000)</f>
        <v>9.4926975</v>
      </c>
      <c r="BI24" s="4" t="n">
        <f aca="false">D24*BI$30*Populations!$S23/(1000*125/12)</f>
        <v>26.5105152</v>
      </c>
      <c r="BJ24" s="4" t="n">
        <f aca="false">D24*BJ$30*Populations!$S23/(30*1000)</f>
        <v>12.04939736</v>
      </c>
      <c r="BK24" s="4" t="n">
        <f aca="false">D24*BK$30*Populations!$S23/(7*1000)</f>
        <v>1.66430410714286</v>
      </c>
      <c r="BL24" s="4" t="n">
        <f aca="false">D24*BL$30*Populations!$S23/(8.5*1000)</f>
        <v>2.74120676470588</v>
      </c>
      <c r="BM24" s="4" t="n">
        <f aca="false">D24*BM$30*Populations!$S23/1000</f>
        <v>5.825064375</v>
      </c>
      <c r="BN24" s="4" t="n">
        <f aca="false">D24*BN$30*Populations!$S23/(1.5*1000)</f>
        <v>13.80756</v>
      </c>
      <c r="BO24" s="4" t="n">
        <f aca="false">D24*BO$30*Populations!$S23/(2*1000)</f>
        <v>11.2186425</v>
      </c>
      <c r="BP24" s="4" t="n">
        <f aca="false">D24*BP$30*Populations!$S23/(4*1000)</f>
        <v>2.5889175</v>
      </c>
      <c r="BQ24" s="4" t="n">
        <f aca="false">D24*Populations!$R23*10/(3*1000*2000)</f>
        <v>271.375594110714</v>
      </c>
      <c r="BR24" s="4" t="n">
        <f aca="false">D24*2*Populations!$R23/(30*1000*2000)</f>
        <v>5.42751188221428</v>
      </c>
      <c r="BS24" s="4" t="n">
        <f aca="false">D24*2*Populations!$S23/((37.5/12)*1000*2000)</f>
        <v>4.4184192</v>
      </c>
      <c r="BT24" s="4" t="n">
        <f aca="false">D24*2*Populations!$S23/((20/9)*1000*2000)</f>
        <v>6.213402</v>
      </c>
      <c r="BU24" s="4" t="n">
        <f aca="false">AF24*25*4/(51*$BU$32)</f>
        <v>2.7468351879871</v>
      </c>
      <c r="BV24" s="4" t="n">
        <f aca="false">D24*Populations!$S23*12/($BV$30*3)</f>
        <v>43.493814</v>
      </c>
      <c r="BW24" s="4" t="n">
        <f aca="false">D24*Populations!$S23*12/(2*$BW$30)</f>
        <v>37.280412</v>
      </c>
      <c r="BX24" s="4" t="n">
        <f aca="false">D24*Populations!$S23*12/(5*$BX$30)</f>
        <v>18.640206</v>
      </c>
      <c r="BY24" s="4" t="n">
        <f aca="false">D24*Populations!$S23/(2*$BY$30)</f>
        <v>10.8734535</v>
      </c>
      <c r="BZ24" s="4" t="n">
        <f aca="false">D24*Populations!$R23*500/(1000*2000)</f>
        <v>40706.3391166071</v>
      </c>
      <c r="CA24" s="4" t="n">
        <f aca="false">D24*Populations!R23*15/(1000*2000)</f>
        <v>1221.19017349821</v>
      </c>
      <c r="CB24" s="4" t="n">
        <f aca="false">IF(B24="Mts",1,D24*Populations!R23*30/(1000*2000))</f>
        <v>2442.38034699642</v>
      </c>
      <c r="CC24" s="4" t="n">
        <f aca="false">D24*40*Populations!R23/(1000*2000)</f>
        <v>3256.50712932857</v>
      </c>
      <c r="CD24" s="4" t="n">
        <f aca="false">D24*40*Populations!R23/(1000*2000)</f>
        <v>3256.50712932857</v>
      </c>
      <c r="CE24" s="4" t="n">
        <f aca="false">D24*20*Populations!R23/(1000*2000)</f>
        <v>1628.25356466428</v>
      </c>
      <c r="CF24" s="4" t="n">
        <f aca="false">D24*8.3454*32*Populations!$S23/(1000*2000)</f>
        <v>1843.673779584</v>
      </c>
      <c r="CG24" s="4" t="n">
        <f aca="false">D24*50*2*Populations!$S23/(3*1000*2000)</f>
        <v>230.126</v>
      </c>
      <c r="CH24" s="4" t="n">
        <f aca="false">IF(B24="Mts",20*D24*Populations!$R23/1000,0.001)</f>
        <v>0.001</v>
      </c>
      <c r="CI24" s="4" t="n">
        <f aca="false">IF(NOT(CH24=0.001),0.006*CH24/3,0.001)</f>
        <v>0.001</v>
      </c>
      <c r="CJ24" s="4" t="n">
        <f aca="false">IF(NOT(CH24=0.001),0.7*CH24/3,0.001)</f>
        <v>0.001</v>
      </c>
      <c r="CK24" s="4" t="n">
        <f aca="false">IF(NOT(CH24=0.001),0.65*CH24/3,0.001)</f>
        <v>0.001</v>
      </c>
      <c r="CL24" s="4" t="n">
        <f aca="false">IF(NOT(CH24=0.001),0.002*CH24/3,0.001)</f>
        <v>0.001</v>
      </c>
      <c r="CM24" s="4" t="n">
        <f aca="false">IF(NOT(CH24=0.001),0.001*CH24/3,0.001)</f>
        <v>0.001</v>
      </c>
      <c r="CN24" s="4" t="n">
        <f aca="false">D24*3*110/(24*2000)*Populations!$S23</f>
        <v>94926.975</v>
      </c>
      <c r="CO24" s="4" t="n">
        <f aca="false">D24*3*12/(24*2000)*Populations!$S23</f>
        <v>10355.67</v>
      </c>
      <c r="CP24" s="4" t="n">
        <f aca="false">D24*3*1.4/(24*2000)*Populations!$S23</f>
        <v>1208.1615</v>
      </c>
      <c r="CQ24" s="4" t="n">
        <f aca="false">D24*6400*8.3454*Populations!$S23/(10*1000*2000)</f>
        <v>36873.47559168</v>
      </c>
      <c r="CR24" s="4" t="n">
        <f aca="false">D24*2*Populations!$S23/(1000*2000)</f>
        <v>13.80756</v>
      </c>
      <c r="CS24" s="4" t="n">
        <f aca="false">D24*2*30*Populations!$S23/(1000*2000)</f>
        <v>414.2268</v>
      </c>
      <c r="CT24" s="4" t="n">
        <f aca="false">27*Populations!$R23/(4*1000*2000)</f>
        <v>2.07371916254413</v>
      </c>
      <c r="CU24" s="4" t="n">
        <f aca="false">27*Populations!$R23/(16*1000*2000)</f>
        <v>0.518429790636033</v>
      </c>
      <c r="CV24" s="4" t="n">
        <f aca="false">AP24*0.9</f>
        <v>1684.1426121</v>
      </c>
      <c r="CW24" s="4" t="n">
        <f aca="false">2.5*D24*Populations!$R23/(60*2000)</f>
        <v>3392.19492638392</v>
      </c>
      <c r="CX24" s="4" t="n">
        <f aca="false">D24*125*Populations!R23/(6*1000*2000)</f>
        <v>1696.09746319196</v>
      </c>
      <c r="CY24" s="4" t="n">
        <f aca="false">D24*1.875*2*Populations!R23/(6*1000*2000)</f>
        <v>50.8829238957588</v>
      </c>
      <c r="CZ24" s="4" t="n">
        <f aca="false">D24*2*20*Populations!$R23/(1000*2000)</f>
        <v>3256.50712932857</v>
      </c>
      <c r="DA24" s="4" t="n">
        <f aca="false">IF(NOT(CH24=0.001),CH24*0.00001,0.001)</f>
        <v>0.001</v>
      </c>
      <c r="DB24" s="4" t="n">
        <f aca="false">IF(NOT(CH24=0.001),CH24*0.00001,0.001)</f>
        <v>0.001</v>
      </c>
      <c r="DC24" s="4" t="n">
        <f aca="false">D24*0.02*12*Populations!$S23/(3*1000*2000)</f>
        <v>0.5523024</v>
      </c>
      <c r="DD24" s="4" t="n">
        <f aca="false">D24*0.5*12*Populations!$S23/(5*1000*2000)</f>
        <v>8.284536</v>
      </c>
      <c r="DE24" s="4" t="n">
        <f aca="false">D24*6*25*Populations!$S23/(1000*2000)</f>
        <v>1035.567</v>
      </c>
      <c r="DG24" s="4" t="n">
        <f aca="false">PRODUCT(AC24:AD24)</f>
        <v>11.187600075369</v>
      </c>
      <c r="DH24" s="4" t="n">
        <f aca="false">LOG(PRODUCT(S24,V24,Y24:AB24,AE24:AH24,AL24:AO24,AR24:AT24,AW24,BQ24:BU24,BZ24,CH24:CM24,CT24:CU24,CW24:DB24),2)</f>
        <v>220.525935836707</v>
      </c>
      <c r="DI24" s="4" t="n">
        <f aca="false">LOG(PRODUCT($AI24:$AK24,$AP24:$AQ24,$AU24:$AV24,AX24:BP24,BV24:BY24,CA24:CG24,CN24:CS24,CV24,DC24:DE24),2)</f>
        <v>326.132548034624</v>
      </c>
      <c r="DK24" s="4" t="n">
        <f aca="false">SUM(DG24:DI24)</f>
        <v>557.8460839467</v>
      </c>
    </row>
    <row r="25" s="4" customFormat="true" ht="12.8" hidden="false" customHeight="false" outlineLevel="0" collapsed="false">
      <c r="A25" s="0" t="s">
        <v>160</v>
      </c>
      <c r="B25" s="0" t="s">
        <v>132</v>
      </c>
      <c r="C25" s="0" t="n">
        <v>151</v>
      </c>
      <c r="D25" s="0" t="n">
        <f aca="false">IF(B25="Taiga",265,IF(B25="Mts",265,IF(B25="Temp",230,IF(B25="Steppe",265,IF(B25="Jungle",180,IF(B25="Sav",240,IF(B25="Medi",230,0)))))))</f>
        <v>265</v>
      </c>
      <c r="E25" s="0" t="n">
        <v>1</v>
      </c>
      <c r="F25" s="4" t="n">
        <f aca="false">IF(B25="Taiga",0.43,IF(B25="Mts",0.21,IF(B25="Temp",0.64,IF(B25="Steppe",0.57,IF(B25="Jungle",0.43,IF(B25="Sav",0.57,IF(B25="Medi",0.43,0)))))))</f>
        <v>0.43</v>
      </c>
      <c r="G25" s="4" t="n">
        <f aca="false">IF(B25="Taiga",0.43,IF(B25="Mts",0.8,IF(B25="Temp",0.64,IF(B25="Steppe",0.64,IF(B25="Jungle",0.43,IF(B25="Sav",0.8,IF(B25="Medi",0.6,0)))))))</f>
        <v>0.43</v>
      </c>
      <c r="H25" s="4" t="n">
        <f aca="false">$H$31*IF(B25="Taiga",528,IF(B25="Mts",855.27,IF(B25="Temp",565.94,IF(B25="Steppe",551.72,IF(B25="Jungle",575.43,IF(B25="Sav",599.15,IF(B25="Medi",564.36,0)))))))</f>
        <v>1056</v>
      </c>
      <c r="I25" s="4" t="n">
        <f aca="false">$H$31*IF(B25="Taiga",2608.19,IF(B25="Mts",2100,IF(B25="Temp",2976.19,IF(B25="Steppe",2450.48,IF(B25="Jungle",2135.05,IF(B25="Sav",2310.29,IF(B25="Medi",2485.52,0)))))))</f>
        <v>5216.38</v>
      </c>
      <c r="J25" s="4" t="n">
        <f aca="false">$H$31*IF(B25="Taiga",500.54,IF(B25="Mts",360,IF(B25="Temp",570.81,IF(B25="Steppe",441.95,IF(B25="Jungle",486.49,IF(B25="Sav",518.92,IF(B25="Medi",640,0)))))))</f>
        <v>1001.08</v>
      </c>
      <c r="K25" s="4" t="n">
        <f aca="false">$H$31*IF(B25="Taiga",2003.09,IF(B25="Mts",1612.8,IF(B25="Temp",2285.71,IF(B25="Steppe",1881.97,IF(B25="Jungle",1639.72,IF(B25="Sav",1774.3,IF(B25="Medi",1908.88,0)))))))</f>
        <v>4006.18</v>
      </c>
      <c r="L25" s="4" t="n">
        <f aca="false">$H$31*IF(B25="Taiga",260.82,IF(B25="Mts",210,IF(B25="Temp",297.62,IF(B25="Steppe",245.05,IF(B25="Jungle",213.5,IF(B25="Sav",231.03,IF(B25="Medi",248.55,0)))))))</f>
        <v>521.64</v>
      </c>
      <c r="M25" s="4" t="n">
        <f aca="false">$H$31*IF(B25="Taiga",250,IF(B25="Mts",640,IF(B25="Temp",295.2174,IF(B25="Steppe",278.2609,IF(B25="Jungle",306.5217,IF(B25="Sav",334.7826,IF(B25="Medi",293.3333,0)))))))</f>
        <v>500</v>
      </c>
      <c r="N25" s="4" t="n">
        <f aca="false">$H$31*IF(B25="Taiga",1491.9691,IF(B25="Mts",980,IF(B25="Temp",1747.9537,IF(B25="Steppe",1278.5174,IF(B25="Jungle",1440.7722,IF(B25="Sav",1558.9189,IF(B25="Medi",2000,0)))))))</f>
        <v>2983.9382</v>
      </c>
      <c r="O25" s="4" t="n">
        <f aca="false">$H$31*IF(B25="Taiga",68.5,IF(B25="Mts",25,IF(B25="Temp",100,IF(B25="Steppe",55,IF(B25="Jungle",28,IF(B25="Sav",43,IF(B25="Medi",58,0)))))))</f>
        <v>137</v>
      </c>
      <c r="P25" s="4" t="n">
        <f aca="false">$H$31*20*15/8000</f>
        <v>0.075</v>
      </c>
      <c r="Q25" s="4" t="n">
        <f aca="false">$H$31*20*15/8000</f>
        <v>0.075</v>
      </c>
      <c r="R25" s="1" t="s">
        <v>39</v>
      </c>
      <c r="S25" s="4" t="n">
        <f aca="false">C25*F25*G25*360*640*1393.66125/(2000*1000)</f>
        <v>4482.5336909424</v>
      </c>
      <c r="T25" s="4" t="n">
        <f aca="false">C25*F25*G25*J25*640*1393.66125*2/(1000*2000*3)</f>
        <v>8309.95338394188</v>
      </c>
      <c r="U25" s="4" t="n">
        <f aca="false">T25*J$28</f>
        <v>2769.98446131396</v>
      </c>
      <c r="V25" s="4" t="n">
        <f aca="false">T25-U25</f>
        <v>5539.96892262792</v>
      </c>
      <c r="W25" s="4" t="n">
        <f aca="false">C25*F25*G25*H25*640*1393.66125*2/(1000*2000*3)</f>
        <v>8765.84366228736</v>
      </c>
      <c r="X25" s="4" t="n">
        <f aca="false">W25*H$28</f>
        <v>2390.68463516928</v>
      </c>
      <c r="Y25" s="4" t="n">
        <f aca="false">W25-X25</f>
        <v>6375.15902711808</v>
      </c>
      <c r="Z25" s="4" t="n">
        <f aca="false">C25*F25*G25*M25*640*1393.66125/(1000*2000*3)</f>
        <v>2075.24707914</v>
      </c>
      <c r="AA25" s="4" t="n">
        <f aca="false">C25*F25*G25*N25*640*1393.66125/(2000*1000)</f>
        <v>37154.4542033056</v>
      </c>
      <c r="AB25" s="4" t="n">
        <f aca="false">C25*F25*G25*O25*640*1393.66125/(2000*1000)</f>
        <v>1705.85309905308</v>
      </c>
      <c r="AC25" s="4" t="n">
        <f aca="false">C25*P25*640*1393.66125/(2000*1000)</f>
        <v>5.05062837</v>
      </c>
      <c r="AD25" s="4" t="n">
        <f aca="false">C25*Q25*640*1393.66125/(2000*1000)</f>
        <v>5.05062837</v>
      </c>
      <c r="AE25" s="4" t="n">
        <f aca="false">($V25+$Z25)*2000*1000/(3*365)</f>
        <v>13909070.3228638</v>
      </c>
      <c r="AF25" s="4" t="n">
        <f aca="false">($V25+$Z25)*2000*1000/(18*100)</f>
        <v>8461351.11307547</v>
      </c>
      <c r="AG25" s="4" t="n">
        <f aca="false">($V25+$Z25)*2000*1000/(3*365)</f>
        <v>13909070.3228638</v>
      </c>
      <c r="AH25" s="4" t="n">
        <f aca="false">C25*F25*G25*K25*640*1393.66125/(2000*1000)</f>
        <v>49882.8800610545</v>
      </c>
      <c r="AI25" s="4" t="n">
        <f aca="false">3*12*D25*Populations!$S24/(5*1000)</f>
        <v>162916.488</v>
      </c>
      <c r="AJ25" s="4" t="n">
        <f aca="false">1.5*D25*750*Populations!$S24/(1000*2000*15)</f>
        <v>848.523375</v>
      </c>
      <c r="AK25" s="4" t="n">
        <f aca="false">66*10*D25*Populations!$S24/(1000*2000*6)</f>
        <v>1244.50095</v>
      </c>
      <c r="AL25" s="4" t="n">
        <f aca="false">AE25*365/(2000*1000)</f>
        <v>2538.40533392264</v>
      </c>
      <c r="AM25" s="4" t="n">
        <f aca="false">AF25*25*238/(51*2000*1000)</f>
        <v>493.578814929402</v>
      </c>
      <c r="AN25" s="4" t="n">
        <f aca="false">AG25*100*238/(600*1000*2000)</f>
        <v>275.863228070132</v>
      </c>
      <c r="AO25" s="4" t="n">
        <f aca="false">AG25*120*2/(16*1000*2000)</f>
        <v>104.318027421478</v>
      </c>
      <c r="AP25" s="4" t="n">
        <f aca="false">D25*4800*Populations!$S24/($AP$28*10*1000*2000)</f>
        <v>3066.56347725001</v>
      </c>
      <c r="AQ25" s="4" t="n">
        <f aca="false">D25*2*4800*Populations!$S24/($AQ$28*10*1000*2000)</f>
        <v>11794.4749125</v>
      </c>
      <c r="AR25" s="4" t="n">
        <f aca="false">C25*F25*G25*L25*640*1393.66125/(2000*1000)</f>
        <v>6495.19131817554</v>
      </c>
      <c r="AS25" s="4" t="n">
        <f aca="false">AF25*600*6/(90*1000*2000)</f>
        <v>169.227022261509</v>
      </c>
      <c r="AT25" s="4" t="n">
        <f aca="false">IF(B25="Taiga",236.2,IF(B25="Mts",10,IF(B25="Temp",400,IF(B25="Steppe",25,IF(B25="Jungle",400,IF(B25="Sav",103.6,IF(B25="Medi",181.6,0)))))))*D25*AT$36*Populations!$R24/1000</f>
        <v>108100.669051729</v>
      </c>
      <c r="AU25" s="4" t="n">
        <f aca="false">INDEX(Tech!$F$3:$F$13,MATCH(E25,Tech!$E$3:$E$13,1))*D25*AT$36*Populations!$S24/(365*1000)</f>
        <v>4242.616875</v>
      </c>
      <c r="AV25" s="4" t="n">
        <f aca="false">D25*12.5*AT$36*Populations!$S24/(10*30)</f>
        <v>1767.75703125</v>
      </c>
      <c r="AW25" s="4" t="n">
        <f aca="false">0.125*D25*AW$30*Populations!$R24/1000</f>
        <v>117.991971803128</v>
      </c>
      <c r="AX25" s="4" t="n">
        <f aca="false">D25*AW$30*Populations!$S24/(3*1000)</f>
        <v>29.167991015625</v>
      </c>
      <c r="AY25" s="4" t="n">
        <f aca="false">D25*Populations!$S24/(2*1000*AY$30)/1000</f>
        <v>20.364561</v>
      </c>
      <c r="AZ25" s="4" t="n">
        <f aca="false">D25*AZ$30*Populations!$S24/(2*1000)</f>
        <v>14.14205625</v>
      </c>
      <c r="BA25" s="4" t="n">
        <f aca="false">D25*2*BA$30*Populations!$S24/1000</f>
        <v>67.88187</v>
      </c>
      <c r="BB25" s="4" t="n">
        <f aca="false">D25*3*BB$30*Populations!$S24/1000</f>
        <v>50.9114025</v>
      </c>
      <c r="BC25" s="4" t="n">
        <f aca="false">D25*11*BC$30*Populations!$S24/(15*1000)</f>
        <v>9.9560076</v>
      </c>
      <c r="BD25" s="4" t="n">
        <f aca="false">D25*11*BD$30*Populations!$S24/(8*1000)</f>
        <v>23.3343928125</v>
      </c>
      <c r="BE25" s="4" t="n">
        <f aca="false">D25*11*BE$30*Populations!$S24/(3*1000)</f>
        <v>15.11179725</v>
      </c>
      <c r="BF25" s="4" t="n">
        <f aca="false">D25*11*BF$30*Populations!$S24/(5*1000)</f>
        <v>10.8893833125</v>
      </c>
      <c r="BG25" s="4" t="n">
        <f aca="false">D25*11*BG$30*Populations!$S24/(9*1000)</f>
        <v>27.6555766666667</v>
      </c>
      <c r="BH25" s="4" t="n">
        <f aca="false">D25*11*BH$30*Populations!$S24/(12*1000)</f>
        <v>15.556261875</v>
      </c>
      <c r="BI25" s="4" t="n">
        <f aca="false">D25*BI$30*Populations!$S24/(1000*125/12)</f>
        <v>43.4443968</v>
      </c>
      <c r="BJ25" s="4" t="n">
        <f aca="false">D25*BJ$30*Populations!$S24/(30*1000)</f>
        <v>19.74608174</v>
      </c>
      <c r="BK25" s="4" t="n">
        <f aca="false">D25*BK$30*Populations!$S24/(7*1000)</f>
        <v>2.7273965625</v>
      </c>
      <c r="BL25" s="4" t="n">
        <f aca="false">D25*BL$30*Populations!$S24/(8.5*1000)</f>
        <v>4.49218257352941</v>
      </c>
      <c r="BM25" s="4" t="n">
        <f aca="false">D25*BM$30*Populations!$S24/1000</f>
        <v>9.54588796875</v>
      </c>
      <c r="BN25" s="4" t="n">
        <f aca="false">D25*BN$30*Populations!$S24/(1.5*1000)</f>
        <v>22.62729</v>
      </c>
      <c r="BO25" s="4" t="n">
        <f aca="false">D25*BO$30*Populations!$S24/(2*1000)</f>
        <v>18.384673125</v>
      </c>
      <c r="BP25" s="4" t="n">
        <f aca="false">D25*BP$30*Populations!$S24/(4*1000)</f>
        <v>4.242616875</v>
      </c>
      <c r="BQ25" s="4" t="n">
        <f aca="false">D25*Populations!$R24*10/(3*1000*2000)</f>
        <v>406.814071132669</v>
      </c>
      <c r="BR25" s="4" t="n">
        <f aca="false">D25*2*Populations!$R24/(30*1000*2000)</f>
        <v>8.13628142265338</v>
      </c>
      <c r="BS25" s="4" t="n">
        <f aca="false">D25*2*Populations!$S24/((37.5/12)*1000*2000)</f>
        <v>7.2407328</v>
      </c>
      <c r="BT25" s="4" t="n">
        <f aca="false">D25*2*Populations!$S24/((20/9)*1000*2000)</f>
        <v>10.1822805</v>
      </c>
      <c r="BU25" s="4" t="n">
        <f aca="false">AF25*25*4/(51*$BU$32)</f>
        <v>4.14772113386052</v>
      </c>
      <c r="BV25" s="4" t="n">
        <f aca="false">D25*Populations!$S24*12/($BV$30*3)</f>
        <v>71.2759635</v>
      </c>
      <c r="BW25" s="4" t="n">
        <f aca="false">D25*Populations!$S24*12/(2*$BW$30)</f>
        <v>61.0936830000001</v>
      </c>
      <c r="BX25" s="4" t="n">
        <f aca="false">D25*Populations!$S24*12/(5*$BX$30)</f>
        <v>30.5468415</v>
      </c>
      <c r="BY25" s="4" t="n">
        <f aca="false">D25*Populations!$S24/(2*$BY$30)</f>
        <v>17.818990875</v>
      </c>
      <c r="BZ25" s="4" t="n">
        <f aca="false">D25*Populations!$R24*500/(1000*2000)</f>
        <v>61022.1106699004</v>
      </c>
      <c r="CA25" s="4" t="n">
        <f aca="false">D25*Populations!R24*15/(1000*2000)</f>
        <v>1830.66332009701</v>
      </c>
      <c r="CB25" s="4" t="n">
        <f aca="false">IF(B25="Mts",1,D25*Populations!R24*30/(1000*2000))</f>
        <v>3661.32664019402</v>
      </c>
      <c r="CC25" s="4" t="n">
        <f aca="false">D25*40*Populations!R24/(1000*2000)</f>
        <v>4881.76885359203</v>
      </c>
      <c r="CD25" s="4" t="n">
        <f aca="false">D25*40*Populations!R24/(1000*2000)</f>
        <v>4881.76885359203</v>
      </c>
      <c r="CE25" s="4" t="n">
        <f aca="false">D25*20*Populations!R24/(1000*2000)</f>
        <v>2440.88442679601</v>
      </c>
      <c r="CF25" s="4" t="n">
        <f aca="false">D25*8.3454*32*Populations!$S24/(1000*2000)</f>
        <v>3021.340575456</v>
      </c>
      <c r="CG25" s="4" t="n">
        <f aca="false">D25*50*2*Populations!$S24/(3*1000*2000)</f>
        <v>377.1215</v>
      </c>
      <c r="CH25" s="4" t="n">
        <f aca="false">IF(B25="Mts",20*D25*Populations!$R24/1000,0.001)</f>
        <v>0.001</v>
      </c>
      <c r="CI25" s="4" t="n">
        <f aca="false">IF(NOT(CH25=0.001),0.006*CH25/3,0.001)</f>
        <v>0.001</v>
      </c>
      <c r="CJ25" s="4" t="n">
        <f aca="false">IF(NOT(CH25=0.001),0.7*CH25/3,0.001)</f>
        <v>0.001</v>
      </c>
      <c r="CK25" s="4" t="n">
        <f aca="false">IF(NOT(CH25=0.001),0.65*CH25/3,0.001)</f>
        <v>0.001</v>
      </c>
      <c r="CL25" s="4" t="n">
        <f aca="false">IF(NOT(CH25=0.001),0.002*CH25/3,0.001)</f>
        <v>0.001</v>
      </c>
      <c r="CM25" s="4" t="n">
        <f aca="false">IF(NOT(CH25=0.001),0.001*CH25/3,0.001)</f>
        <v>0.001</v>
      </c>
      <c r="CN25" s="4" t="n">
        <f aca="false">D25*3*110/(24*2000)*Populations!$S24</f>
        <v>155562.61875</v>
      </c>
      <c r="CO25" s="4" t="n">
        <f aca="false">D25*3*12/(24*2000)*Populations!$S24</f>
        <v>16970.4675</v>
      </c>
      <c r="CP25" s="4" t="n">
        <f aca="false">D25*3*1.4/(24*2000)*Populations!$S24</f>
        <v>1979.887875</v>
      </c>
      <c r="CQ25" s="4" t="n">
        <f aca="false">D25*6400*8.3454*Populations!$S24/(10*1000*2000)</f>
        <v>60426.81150912</v>
      </c>
      <c r="CR25" s="4" t="n">
        <f aca="false">D25*2*Populations!$S24/(1000*2000)</f>
        <v>22.62729</v>
      </c>
      <c r="CS25" s="4" t="n">
        <f aca="false">D25*2*30*Populations!$S24/(1000*2000)</f>
        <v>678.8187</v>
      </c>
      <c r="CT25" s="4" t="n">
        <f aca="false">27*Populations!$R24/(4*1000*2000)</f>
        <v>3.10867356242889</v>
      </c>
      <c r="CU25" s="4" t="n">
        <f aca="false">27*Populations!$R24/(16*1000*2000)</f>
        <v>0.777168390607222</v>
      </c>
      <c r="CV25" s="4" t="n">
        <f aca="false">AP25*0.9</f>
        <v>2759.907129525</v>
      </c>
      <c r="CW25" s="4" t="n">
        <f aca="false">2.5*D25*Populations!$R24/(60*2000)</f>
        <v>5085.17588915836</v>
      </c>
      <c r="CX25" s="4" t="n">
        <f aca="false">D25*125*Populations!R24/(6*1000*2000)</f>
        <v>2542.58794457918</v>
      </c>
      <c r="CY25" s="4" t="n">
        <f aca="false">D25*1.875*2*Populations!R24/(6*1000*2000)</f>
        <v>76.2776383373755</v>
      </c>
      <c r="CZ25" s="4" t="n">
        <f aca="false">D25*2*20*Populations!$R24/(1000*2000)</f>
        <v>4881.76885359203</v>
      </c>
      <c r="DA25" s="4" t="n">
        <f aca="false">IF(NOT(CH25=0.001),CH25*0.00001,0.001)</f>
        <v>0.001</v>
      </c>
      <c r="DB25" s="4" t="n">
        <f aca="false">IF(NOT(CH25=0.001),CH25*0.00001,0.001)</f>
        <v>0.001</v>
      </c>
      <c r="DC25" s="4" t="n">
        <f aca="false">D25*0.02*12*Populations!$S24/(3*1000*2000)</f>
        <v>0.9050916</v>
      </c>
      <c r="DD25" s="4" t="n">
        <f aca="false">D25*0.5*12*Populations!$S24/(5*1000*2000)</f>
        <v>13.576374</v>
      </c>
      <c r="DE25" s="4" t="n">
        <f aca="false">D25*6*25*Populations!$S24/(1000*2000)</f>
        <v>1697.04675</v>
      </c>
      <c r="DG25" s="4" t="n">
        <f aca="false">PRODUCT(AC25:AD25)</f>
        <v>25.5088469318489</v>
      </c>
      <c r="DH25" s="4" t="n">
        <f aca="false">LOG(PRODUCT(S25,V25,Y25:AB25,AE25:AH25,AL25:AO25,AR25:AT25,AW25,BQ25:BU25,BZ25,CH25:CM25,CT25:CU25,CW25:DB25),2)</f>
        <v>238.483336619232</v>
      </c>
      <c r="DI25" s="4" t="n">
        <f aca="false">LOG(PRODUCT($AI25:$AK25,$AP25:$AQ25,$AU25:$AV25,AX25:BP25,BV25:BY25,CA25:CG25,CN25:CS25,CV25,DC25:DE25),2)</f>
        <v>358.982368316683</v>
      </c>
      <c r="DK25" s="4" t="n">
        <f aca="false">SUM(DG25:DI25)</f>
        <v>622.974551867765</v>
      </c>
    </row>
    <row r="26" customFormat="false" ht="12.8" hidden="false" customHeight="false" outlineLevel="0" collapsed="false">
      <c r="CF26" s="5"/>
    </row>
    <row r="27" s="1" customFormat="true" ht="12.8" hidden="false" customHeight="false" outlineLevel="0" collapsed="false">
      <c r="G27" s="1" t="s">
        <v>161</v>
      </c>
      <c r="H27" s="1" t="s">
        <v>162</v>
      </c>
      <c r="I27" s="1" t="s">
        <v>163</v>
      </c>
      <c r="J27" s="1" t="s">
        <v>164</v>
      </c>
      <c r="N27" s="6"/>
      <c r="O27" s="0"/>
      <c r="S27" s="0"/>
      <c r="T27" s="0"/>
      <c r="U27" s="0"/>
      <c r="V27" s="1" t="n">
        <f aca="false">(1/($V$3+Dists!$Q$2))+(1/($V$4+Dists!$Q$3))+(1/($V$5+Dists!$Q$4))</f>
        <v>0.00050471429290952</v>
      </c>
      <c r="Z27" s="0"/>
      <c r="AA27" s="0"/>
      <c r="AD27" s="1" t="s">
        <v>165</v>
      </c>
      <c r="AI27" s="1" t="s">
        <v>166</v>
      </c>
      <c r="AJ27" s="1" t="s">
        <v>166</v>
      </c>
      <c r="AK27" s="1" t="s">
        <v>165</v>
      </c>
      <c r="AT27" s="1" t="s">
        <v>167</v>
      </c>
      <c r="AV27" s="7"/>
      <c r="AW27" s="1" t="s">
        <v>168</v>
      </c>
      <c r="AY27" s="1" t="s">
        <v>169</v>
      </c>
      <c r="AZ27" s="1" t="s">
        <v>170</v>
      </c>
      <c r="BA27" s="1" t="s">
        <v>171</v>
      </c>
      <c r="BB27" s="1" t="s">
        <v>172</v>
      </c>
      <c r="BC27" s="1" t="s">
        <v>173</v>
      </c>
      <c r="BD27" s="1" t="s">
        <v>174</v>
      </c>
      <c r="BE27" s="1" t="s">
        <v>175</v>
      </c>
      <c r="BF27" s="1" t="s">
        <v>176</v>
      </c>
      <c r="BG27" s="1" t="s">
        <v>177</v>
      </c>
      <c r="BH27" s="1" t="s">
        <v>178</v>
      </c>
      <c r="BI27" s="1" t="s">
        <v>179</v>
      </c>
      <c r="BJ27" s="1" t="s">
        <v>180</v>
      </c>
      <c r="BK27" s="1" t="s">
        <v>181</v>
      </c>
      <c r="BL27" s="1" t="s">
        <v>182</v>
      </c>
      <c r="BM27" s="1" t="s">
        <v>183</v>
      </c>
      <c r="BN27" s="1" t="s">
        <v>184</v>
      </c>
      <c r="BO27" s="1" t="s">
        <v>185</v>
      </c>
      <c r="BP27" s="1" t="s">
        <v>186</v>
      </c>
      <c r="BQ27" s="1" t="s">
        <v>165</v>
      </c>
      <c r="BR27" s="1" t="s">
        <v>165</v>
      </c>
      <c r="BS27" s="1" t="s">
        <v>165</v>
      </c>
      <c r="BT27" s="1" t="s">
        <v>165</v>
      </c>
      <c r="BU27" s="1" t="s">
        <v>165</v>
      </c>
      <c r="BV27" s="1" t="s">
        <v>165</v>
      </c>
      <c r="BW27" s="1" t="s">
        <v>165</v>
      </c>
      <c r="BX27" s="1" t="s">
        <v>165</v>
      </c>
      <c r="BY27" s="1" t="s">
        <v>165</v>
      </c>
      <c r="CA27" s="1" t="n">
        <f aca="false">AVERAGE(AM3,AN3,CX3)</f>
        <v>971.592661222518</v>
      </c>
      <c r="CF27" s="1" t="s">
        <v>165</v>
      </c>
      <c r="CG27" s="1" t="s">
        <v>165</v>
      </c>
      <c r="CN27" s="1" t="s">
        <v>165</v>
      </c>
      <c r="CO27" s="1" t="s">
        <v>165</v>
      </c>
      <c r="CP27" s="1" t="s">
        <v>165</v>
      </c>
      <c r="CR27" s="1" t="s">
        <v>165</v>
      </c>
      <c r="CS27" s="1" t="s">
        <v>165</v>
      </c>
      <c r="CW27" s="1" t="s">
        <v>165</v>
      </c>
      <c r="CY27" s="1" t="s">
        <v>165</v>
      </c>
      <c r="DC27" s="1" t="s">
        <v>165</v>
      </c>
      <c r="DD27" s="1" t="s">
        <v>165</v>
      </c>
      <c r="DE27" s="1" t="s">
        <v>165</v>
      </c>
      <c r="DK27" s="1" t="s">
        <v>187</v>
      </c>
    </row>
    <row r="28" customFormat="false" ht="12.8" hidden="false" customHeight="false" outlineLevel="0" collapsed="false">
      <c r="G28" s="8" t="n">
        <f aca="false" t="array" ref="G28:G28">AVERAGE(C3:C25*F3:F25*G3:G25*40.82766)</f>
        <v>1556.76701884357</v>
      </c>
      <c r="H28" s="9" t="n">
        <f aca="false">144/528</f>
        <v>0.272727272727273</v>
      </c>
      <c r="I28" s="9" t="n">
        <f aca="false">400/2100</f>
        <v>0.19047619047619</v>
      </c>
      <c r="J28" s="9" t="n">
        <f aca="false">1/3</f>
        <v>0.333333333333333</v>
      </c>
      <c r="T28" s="0" t="n">
        <f aca="false">T3*1000*2000*0.8*0.8/(1.5*365)</f>
        <v>16854612.8811803</v>
      </c>
      <c r="V28" s="0" t="n">
        <f aca="false" t="array" ref="V28:V28">SUM(1/(V3:V5+Dists!Q2:Q4))</f>
        <v>0.00050471429290952</v>
      </c>
      <c r="AD28" s="0" t="s">
        <v>188</v>
      </c>
      <c r="AF28" s="4"/>
      <c r="AG28" s="4"/>
      <c r="AI28" s="0" t="n">
        <f aca="false">AVERAGE(0.7,0.7,1)</f>
        <v>0.8</v>
      </c>
      <c r="AJ28" s="0" t="n">
        <v>0.8</v>
      </c>
      <c r="AK28" s="0" t="s">
        <v>189</v>
      </c>
      <c r="AP28" s="0" t="n">
        <f aca="false">48/(3.25*8.34)</f>
        <v>1.77089097952407</v>
      </c>
      <c r="AQ28" s="0" t="n">
        <f aca="false">(4*48)/(25*8.34)</f>
        <v>0.920863309352518</v>
      </c>
      <c r="AT28" s="0" t="n">
        <f aca="false">45*128</f>
        <v>5760</v>
      </c>
      <c r="AW28" s="5" t="n">
        <f aca="false">110*(9/12)*(3/12)*(4.5/12)</f>
        <v>7.734375</v>
      </c>
      <c r="AY28" s="5" t="n">
        <f aca="false">2000*1000/60</f>
        <v>33333.3333333333</v>
      </c>
      <c r="AZ28" s="0" t="n">
        <v>2.5</v>
      </c>
      <c r="BA28" s="0" t="n">
        <v>3</v>
      </c>
      <c r="BB28" s="0" t="n">
        <v>1.5</v>
      </c>
      <c r="BC28" s="0" t="n">
        <v>1.2</v>
      </c>
      <c r="BD28" s="0" t="n">
        <v>1.5</v>
      </c>
      <c r="BE28" s="4" t="n">
        <f aca="false">2.55/7</f>
        <v>0.364285714285714</v>
      </c>
      <c r="BF28" s="0" t="n">
        <f aca="false">7/16</f>
        <v>0.4375</v>
      </c>
      <c r="BG28" s="0" t="n">
        <v>2</v>
      </c>
      <c r="BH28" s="0" t="n">
        <v>1.5</v>
      </c>
      <c r="BI28" s="0" t="n">
        <v>40</v>
      </c>
      <c r="BJ28" s="0" t="n">
        <f aca="false">4.8*2.2+4*2.2+4.2*2.2+1.2*2.2+4.8*2.2+4.8*2.2</f>
        <v>52.36</v>
      </c>
      <c r="BK28" s="0" t="n">
        <f aca="false">BL28/2</f>
        <v>1.6875</v>
      </c>
      <c r="BL28" s="0" t="n">
        <f aca="false">3+(3/8)</f>
        <v>3.375</v>
      </c>
      <c r="BM28" s="0" t="n">
        <f aca="false">BL28/4</f>
        <v>0.84375</v>
      </c>
      <c r="BN28" s="0" t="n">
        <v>3</v>
      </c>
      <c r="BO28" s="0" t="n">
        <f aca="false">52/16</f>
        <v>3.25</v>
      </c>
      <c r="BP28" s="0" t="n">
        <v>1.5</v>
      </c>
      <c r="BQ28" s="0" t="n">
        <v>15000</v>
      </c>
      <c r="BR28" s="0" t="s">
        <v>190</v>
      </c>
      <c r="BS28" s="0" t="s">
        <v>191</v>
      </c>
      <c r="BT28" s="0" t="s">
        <v>192</v>
      </c>
      <c r="BU28" s="0" t="s">
        <v>193</v>
      </c>
      <c r="BV28" s="0" t="s">
        <v>194</v>
      </c>
      <c r="BW28" s="0" t="s">
        <v>195</v>
      </c>
      <c r="BX28" s="0" t="s">
        <v>196</v>
      </c>
      <c r="BY28" s="0" t="s">
        <v>197</v>
      </c>
      <c r="CF28" s="0" t="s">
        <v>198</v>
      </c>
      <c r="CG28" s="0" t="s">
        <v>199</v>
      </c>
      <c r="CN28" s="0" t="s">
        <v>200</v>
      </c>
      <c r="CO28" s="0" t="s">
        <v>200</v>
      </c>
      <c r="CP28" s="0" t="s">
        <v>200</v>
      </c>
      <c r="CR28" s="0" t="s">
        <v>201</v>
      </c>
      <c r="CS28" s="0" t="s">
        <v>202</v>
      </c>
      <c r="CW28" s="0" t="s">
        <v>203</v>
      </c>
      <c r="CY28" s="0" t="s">
        <v>204</v>
      </c>
      <c r="DC28" s="0" t="s">
        <v>205</v>
      </c>
      <c r="DD28" s="0" t="s">
        <v>206</v>
      </c>
      <c r="DE28" s="0" t="s">
        <v>207</v>
      </c>
      <c r="DK28" s="0" t="n">
        <f aca="false">MAX(DK3:DK25)</f>
        <v>1073.74154825845</v>
      </c>
    </row>
    <row r="29" customFormat="false" ht="12.8" hidden="false" customHeight="false" outlineLevel="0" collapsed="false">
      <c r="T29" s="0" t="n">
        <f aca="false">T4*1000*2000*0.8*0.8/(1.5*365)</f>
        <v>17740506.857472</v>
      </c>
      <c r="AD29" s="0" t="s">
        <v>208</v>
      </c>
      <c r="AH29" s="10"/>
      <c r="AK29" s="0" t="s">
        <v>209</v>
      </c>
      <c r="AP29" s="0" t="s">
        <v>210</v>
      </c>
      <c r="AQ29" s="0" t="s">
        <v>210</v>
      </c>
      <c r="AT29" s="1" t="s">
        <v>211</v>
      </c>
      <c r="AW29" s="1" t="s">
        <v>212</v>
      </c>
      <c r="AY29" s="1" t="s">
        <v>213</v>
      </c>
      <c r="AZ29" s="1" t="s">
        <v>214</v>
      </c>
      <c r="BA29" s="1" t="s">
        <v>215</v>
      </c>
      <c r="BB29" s="1" t="s">
        <v>215</v>
      </c>
      <c r="BC29" s="1" t="s">
        <v>215</v>
      </c>
      <c r="BD29" s="1" t="s">
        <v>215</v>
      </c>
      <c r="BE29" s="1" t="s">
        <v>215</v>
      </c>
      <c r="BF29" s="1" t="s">
        <v>215</v>
      </c>
      <c r="BG29" s="1" t="s">
        <v>215</v>
      </c>
      <c r="BH29" s="1" t="s">
        <v>215</v>
      </c>
      <c r="BI29" s="1" t="s">
        <v>215</v>
      </c>
      <c r="BJ29" s="1" t="s">
        <v>215</v>
      </c>
      <c r="BK29" s="1" t="s">
        <v>215</v>
      </c>
      <c r="BL29" s="1" t="s">
        <v>215</v>
      </c>
      <c r="BM29" s="1" t="s">
        <v>215</v>
      </c>
      <c r="BN29" s="1" t="s">
        <v>215</v>
      </c>
      <c r="BO29" s="1" t="s">
        <v>215</v>
      </c>
      <c r="BP29" s="1" t="s">
        <v>215</v>
      </c>
      <c r="BQ29" s="1" t="s">
        <v>216</v>
      </c>
      <c r="BR29" s="0" t="s">
        <v>217</v>
      </c>
      <c r="BS29" s="0" t="s">
        <v>218</v>
      </c>
      <c r="BT29" s="0" t="s">
        <v>219</v>
      </c>
      <c r="BU29" s="0" t="s">
        <v>220</v>
      </c>
      <c r="BV29" s="0" t="s">
        <v>221</v>
      </c>
      <c r="BW29" s="0" t="s">
        <v>222</v>
      </c>
      <c r="BX29" s="0" t="s">
        <v>223</v>
      </c>
      <c r="BY29" s="0" t="s">
        <v>224</v>
      </c>
      <c r="CF29" s="0" t="n">
        <f aca="false">ROUND(8.3454*32,0)</f>
        <v>267</v>
      </c>
      <c r="CN29" s="0" t="s">
        <v>225</v>
      </c>
      <c r="CO29" s="0" t="s">
        <v>225</v>
      </c>
      <c r="CP29" s="0" t="s">
        <v>225</v>
      </c>
      <c r="CR29" s="0" t="s">
        <v>226</v>
      </c>
      <c r="CS29" s="0" t="s">
        <v>227</v>
      </c>
      <c r="CW29" s="0" t="n">
        <f aca="false">1/60</f>
        <v>0.0166666666666667</v>
      </c>
      <c r="CY29" s="0" t="s">
        <v>228</v>
      </c>
      <c r="DC29" s="0" t="s">
        <v>229</v>
      </c>
      <c r="DD29" s="0" t="s">
        <v>230</v>
      </c>
      <c r="DE29" s="0" t="s">
        <v>231</v>
      </c>
    </row>
    <row r="30" customFormat="false" ht="12.8" hidden="false" customHeight="false" outlineLevel="0" collapsed="false">
      <c r="H30" s="1" t="s">
        <v>232</v>
      </c>
      <c r="T30" s="0" t="n">
        <f aca="false">T5*1000*2000*0.8*0.8/(1.5*365)</f>
        <v>35428258.4949129</v>
      </c>
      <c r="AH30" s="10"/>
      <c r="AK30" s="0" t="s">
        <v>233</v>
      </c>
      <c r="AP30" s="0" t="s">
        <v>234</v>
      </c>
      <c r="AQ30" s="0" t="s">
        <v>235</v>
      </c>
      <c r="AT30" s="5" t="n">
        <f aca="false">AT28/2000</f>
        <v>2.88</v>
      </c>
      <c r="AW30" s="11" t="n">
        <f aca="false">AW28/2000</f>
        <v>0.0038671875</v>
      </c>
      <c r="AY30" s="5" t="n">
        <f aca="false">AY28/(60*1000)</f>
        <v>0.555555555555556</v>
      </c>
      <c r="AZ30" s="0" t="n">
        <f aca="false">AZ28/2000</f>
        <v>0.00125</v>
      </c>
      <c r="BA30" s="0" t="n">
        <f aca="false">BA28/2000</f>
        <v>0.0015</v>
      </c>
      <c r="BB30" s="0" t="n">
        <f aca="false">BB28/2000</f>
        <v>0.00075</v>
      </c>
      <c r="BC30" s="0" t="n">
        <f aca="false">BC28/2000</f>
        <v>0.0006</v>
      </c>
      <c r="BD30" s="0" t="n">
        <f aca="false">BD28/2000</f>
        <v>0.00075</v>
      </c>
      <c r="BE30" s="0" t="n">
        <f aca="false">BE28/2000</f>
        <v>0.000182142857142857</v>
      </c>
      <c r="BF30" s="0" t="n">
        <f aca="false">BF28/2000</f>
        <v>0.00021875</v>
      </c>
      <c r="BG30" s="0" t="n">
        <f aca="false">BG28/2000</f>
        <v>0.001</v>
      </c>
      <c r="BH30" s="0" t="n">
        <f aca="false">BH28/2000</f>
        <v>0.00075</v>
      </c>
      <c r="BI30" s="0" t="n">
        <f aca="false">BI28/2000</f>
        <v>0.02</v>
      </c>
      <c r="BJ30" s="0" t="n">
        <f aca="false">BJ28/2000</f>
        <v>0.02618</v>
      </c>
      <c r="BK30" s="0" t="n">
        <f aca="false">BK28/2000</f>
        <v>0.00084375</v>
      </c>
      <c r="BL30" s="0" t="n">
        <f aca="false">BL28/2000</f>
        <v>0.0016875</v>
      </c>
      <c r="BM30" s="0" t="n">
        <f aca="false">BM28/2000</f>
        <v>0.000421875</v>
      </c>
      <c r="BN30" s="0" t="n">
        <f aca="false">BN28/2000</f>
        <v>0.0015</v>
      </c>
      <c r="BO30" s="0" t="n">
        <f aca="false">BO28/2000</f>
        <v>0.001625</v>
      </c>
      <c r="BP30" s="0" t="n">
        <f aca="false">BP28/2000</f>
        <v>0.00075</v>
      </c>
      <c r="BQ30" s="10" t="n">
        <f aca="false">BQ28*2000</f>
        <v>30000000</v>
      </c>
      <c r="BR30" s="10" t="n">
        <f aca="false">2000*1000/2</f>
        <v>1000000</v>
      </c>
      <c r="BS30" s="10" t="n">
        <f aca="false">2000*1000*4</f>
        <v>8000000</v>
      </c>
      <c r="BT30" s="10" t="n">
        <f aca="false">2000*1000*(20/9)</f>
        <v>4444444.44444444</v>
      </c>
      <c r="BU30" s="0" t="s">
        <v>236</v>
      </c>
      <c r="BV30" s="10" t="n">
        <f aca="false">2000*1000*(20/9)/3.5</f>
        <v>1269841.26984127</v>
      </c>
      <c r="BW30" s="10" t="n">
        <f aca="false">2000*1000*(20/9)/2</f>
        <v>2222222.22222222</v>
      </c>
      <c r="BX30" s="10" t="n">
        <f aca="false">2000*1000*(20/9)/2.5</f>
        <v>1777777.77777778</v>
      </c>
      <c r="BY30" s="10" t="n">
        <f aca="false">2000*1000*(20/9)/7</f>
        <v>634920.634920635</v>
      </c>
      <c r="CF30" s="0" t="s">
        <v>237</v>
      </c>
      <c r="CN30" s="0" t="s">
        <v>238</v>
      </c>
      <c r="CO30" s="0" t="s">
        <v>238</v>
      </c>
      <c r="CP30" s="0" t="s">
        <v>238</v>
      </c>
      <c r="CR30" s="0" t="s">
        <v>239</v>
      </c>
      <c r="CS30" s="0" t="s">
        <v>240</v>
      </c>
      <c r="CW30" s="0" t="s">
        <v>213</v>
      </c>
      <c r="DC30" s="10" t="n">
        <f aca="false">2000*1000/0.02</f>
        <v>100000000</v>
      </c>
      <c r="DD30" s="0" t="s">
        <v>241</v>
      </c>
      <c r="DE30" s="10" t="n">
        <f aca="false">2000*1000/25</f>
        <v>80000</v>
      </c>
    </row>
    <row r="31" customFormat="false" ht="12.8" hidden="false" customHeight="false" outlineLevel="0" collapsed="false">
      <c r="H31" s="0" t="n">
        <v>2</v>
      </c>
      <c r="T31" s="0" t="n">
        <f aca="false">T6*1000*2000*0.8*0.8/(1.5*365)</f>
        <v>101754964.403552</v>
      </c>
      <c r="AC31" s="0" t="n">
        <f aca="false">LOG(AC3*AD3,10)</f>
        <v>1.28327952450577</v>
      </c>
      <c r="AF31" s="0" t="n">
        <f aca="false">AF3/AM3</f>
        <v>17142.8571428571</v>
      </c>
      <c r="AG31" s="0" t="n">
        <f aca="false">AG3/AN3</f>
        <v>50420.1680672269</v>
      </c>
      <c r="AH31" s="10"/>
      <c r="AK31" s="0" t="s">
        <v>242</v>
      </c>
      <c r="AT31" s="1" t="s">
        <v>243</v>
      </c>
      <c r="AW31" s="1" t="s">
        <v>244</v>
      </c>
      <c r="AY31" s="1" t="s">
        <v>245</v>
      </c>
      <c r="AZ31" s="1" t="s">
        <v>246</v>
      </c>
      <c r="BA31" s="1" t="s">
        <v>246</v>
      </c>
      <c r="BB31" s="1" t="s">
        <v>246</v>
      </c>
      <c r="BC31" s="1" t="s">
        <v>246</v>
      </c>
      <c r="BD31" s="1" t="s">
        <v>246</v>
      </c>
      <c r="BE31" s="1" t="s">
        <v>246</v>
      </c>
      <c r="BF31" s="1" t="s">
        <v>246</v>
      </c>
      <c r="BG31" s="1" t="s">
        <v>246</v>
      </c>
      <c r="BH31" s="1" t="s">
        <v>246</v>
      </c>
      <c r="BI31" s="1" t="s">
        <v>246</v>
      </c>
      <c r="BJ31" s="1" t="s">
        <v>246</v>
      </c>
      <c r="BK31" s="1" t="s">
        <v>246</v>
      </c>
      <c r="BL31" s="1" t="s">
        <v>246</v>
      </c>
      <c r="BM31" s="1" t="s">
        <v>246</v>
      </c>
      <c r="BN31" s="1" t="s">
        <v>246</v>
      </c>
      <c r="BO31" s="1" t="s">
        <v>246</v>
      </c>
      <c r="BP31" s="1" t="s">
        <v>246</v>
      </c>
      <c r="BQ31" s="1" t="s">
        <v>247</v>
      </c>
      <c r="BT31" s="0" t="s">
        <v>248</v>
      </c>
      <c r="BU31" s="0" t="s">
        <v>219</v>
      </c>
      <c r="CF31" s="0" t="n">
        <f aca="false">ROUND(2000*1000/CF29,0)</f>
        <v>7491</v>
      </c>
      <c r="CS31" s="0" t="s">
        <v>249</v>
      </c>
      <c r="CW31" s="0" t="n">
        <f aca="false">2000*1000/60</f>
        <v>33333.3333333333</v>
      </c>
    </row>
    <row r="32" customFormat="false" ht="12.8" hidden="false" customHeight="false" outlineLevel="0" collapsed="false">
      <c r="T32" s="0" t="n">
        <f aca="false">T7*1000*2000*0.8*0.8/(1.5*365)</f>
        <v>8660057.849856</v>
      </c>
      <c r="BU32" s="10" t="n">
        <f aca="false">2000*1000*2</f>
        <v>4000000</v>
      </c>
      <c r="CR32" s="0" t="s">
        <v>250</v>
      </c>
      <c r="CW32" s="0" t="s">
        <v>251</v>
      </c>
      <c r="CY32" s="0" t="n">
        <f aca="false">(1.25+2.5)/2</f>
        <v>1.875</v>
      </c>
      <c r="DC32" s="0" t="s">
        <v>252</v>
      </c>
    </row>
    <row r="33" customFormat="false" ht="12.8" hidden="false" customHeight="false" outlineLevel="0" collapsed="false">
      <c r="T33" s="0" t="n">
        <f aca="false">T8*1000*2000*0.8*0.8/(1.5*365)</f>
        <v>21777002.9280657</v>
      </c>
      <c r="AF33" s="0" t="n">
        <v>17142.8571428571</v>
      </c>
      <c r="AG33" s="0" t="n">
        <v>50420.1680672271</v>
      </c>
      <c r="AK33" s="5" t="n">
        <f aca="false">(30/4)/(66/2000)</f>
        <v>227.272727272727</v>
      </c>
      <c r="AT33" s="1" t="s">
        <v>253</v>
      </c>
      <c r="BT33" s="10" t="n">
        <f aca="false">BT3*4444</f>
        <v>31302.909396</v>
      </c>
      <c r="CR33" s="0" t="s">
        <v>254</v>
      </c>
      <c r="CS33" s="0" t="s">
        <v>255</v>
      </c>
      <c r="CW33" s="0" t="n">
        <f aca="false">0.5</f>
        <v>0.5</v>
      </c>
      <c r="DC33" s="0" t="s">
        <v>241</v>
      </c>
    </row>
    <row r="34" customFormat="false" ht="12.8" hidden="false" customHeight="false" outlineLevel="0" collapsed="false">
      <c r="T34" s="0" t="n">
        <f aca="false">T9*1000*2000*0.8*0.8/(1.5*365)</f>
        <v>26327421.4503481</v>
      </c>
      <c r="AK34" s="1" t="s">
        <v>256</v>
      </c>
      <c r="AT34" s="5" t="n">
        <f aca="false">45/12</f>
        <v>3.75</v>
      </c>
      <c r="BU34" s="0" t="s">
        <v>257</v>
      </c>
      <c r="CR34" s="0" t="s">
        <v>258</v>
      </c>
      <c r="CS34" s="0" t="s">
        <v>259</v>
      </c>
      <c r="CW34" s="0" t="s">
        <v>260</v>
      </c>
    </row>
    <row r="35" customFormat="false" ht="12.8" hidden="false" customHeight="false" outlineLevel="0" collapsed="false">
      <c r="T35" s="0" t="n">
        <f aca="false">T10*1000*2000*0.8*0.8/(1.5*365)</f>
        <v>12107265.343488</v>
      </c>
      <c r="AE35" s="0" t="n">
        <f aca="false">2000*1000/(3*365)</f>
        <v>1826.48401826484</v>
      </c>
      <c r="AF35" s="0" t="n">
        <f aca="false">2000*1000/(18*100)</f>
        <v>1111.11111111111</v>
      </c>
      <c r="AT35" s="1" t="s">
        <v>261</v>
      </c>
      <c r="CR35" s="0" t="s">
        <v>262</v>
      </c>
      <c r="CS35" s="0" t="s">
        <v>258</v>
      </c>
      <c r="CW35" s="10" t="n">
        <f aca="false">2000*1000*2</f>
        <v>4000000</v>
      </c>
    </row>
    <row r="36" customFormat="false" ht="12.8" hidden="false" customHeight="false" outlineLevel="0" collapsed="false">
      <c r="T36" s="0" t="n">
        <f aca="false">T11*1000*2000*0.8*0.8/(1.5*365)</f>
        <v>46479274.9061702</v>
      </c>
      <c r="V36" s="5"/>
      <c r="AT36" s="11" t="n">
        <f aca="false">AT34/2000</f>
        <v>0.001875</v>
      </c>
      <c r="BU36" s="0" t="s">
        <v>263</v>
      </c>
      <c r="CS36" s="0" t="s">
        <v>264</v>
      </c>
    </row>
    <row r="37" customFormat="false" ht="12.8" hidden="false" customHeight="false" outlineLevel="0" collapsed="false">
      <c r="T37" s="0" t="n">
        <f aca="false">T12*1000*2000*0.8*0.8/(1.5*365)</f>
        <v>13032125.89056</v>
      </c>
      <c r="AE37" s="0" t="n">
        <v>1826.48401826484</v>
      </c>
      <c r="AF37" s="0" t="n">
        <v>1111.11111111111</v>
      </c>
      <c r="AT37" s="1" t="s">
        <v>265</v>
      </c>
      <c r="BU37" s="0" t="s">
        <v>266</v>
      </c>
    </row>
    <row r="38" customFormat="false" ht="12.8" hidden="false" customHeight="false" outlineLevel="0" collapsed="false">
      <c r="T38" s="0" t="n">
        <f aca="false">T13*1000*2000*0.8*0.8/(1.5*365)</f>
        <v>15881310.4566428</v>
      </c>
      <c r="AT38" s="11"/>
    </row>
    <row r="39" customFormat="false" ht="12.8" hidden="false" customHeight="false" outlineLevel="0" collapsed="false">
      <c r="T39" s="0" t="n">
        <f aca="false">T14*1000*2000*0.8*0.8/(1.5*365)</f>
        <v>12379919.1748633</v>
      </c>
      <c r="AT39" s="0" t="s">
        <v>267</v>
      </c>
    </row>
    <row r="40" customFormat="false" ht="12.8" hidden="false" customHeight="false" outlineLevel="0" collapsed="false">
      <c r="Q40" s="10"/>
      <c r="S40" s="1"/>
      <c r="T40" s="0" t="n">
        <f aca="false">T15*1000*2000*0.8*0.8/(1.5*365)</f>
        <v>26316433.0927719</v>
      </c>
      <c r="U40" s="1"/>
      <c r="V40" s="1"/>
      <c r="W40" s="1"/>
      <c r="X40" s="1"/>
      <c r="Y40" s="1"/>
      <c r="Z40" s="1"/>
      <c r="AB40" s="1"/>
      <c r="AC40" s="1"/>
      <c r="AD40" s="1"/>
      <c r="AH40" s="1"/>
      <c r="AI40" s="1"/>
      <c r="AJ40" s="1"/>
      <c r="AK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customFormat="false" ht="12.8" hidden="false" customHeight="false" outlineLevel="0" collapsed="false">
      <c r="T41" s="0" t="n">
        <f aca="false">T16*1000*2000*0.8*0.8/(1.5*365)</f>
        <v>14380714.193023</v>
      </c>
    </row>
    <row r="42" customFormat="false" ht="12.8" hidden="false" customHeight="false" outlineLevel="0" collapsed="false">
      <c r="S42" s="1"/>
      <c r="T42" s="0" t="n">
        <f aca="false">T17*1000*2000*0.8*0.8/(1.5*365)</f>
        <v>50379633.6395551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1"/>
      <c r="AH42" s="1"/>
      <c r="AI42" s="1"/>
      <c r="AJ42" s="1"/>
      <c r="AK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3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customFormat="false" ht="12.8" hidden="false" customHeight="false" outlineLevel="0" collapsed="false">
      <c r="S43" s="4"/>
      <c r="T43" s="0" t="n">
        <f aca="false">T18*1000*2000*0.8*0.8/(1.5*365)</f>
        <v>46479274.9061702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customFormat="false" ht="12.8" hidden="false" customHeight="false" outlineLevel="0" collapsed="false">
      <c r="S44" s="4"/>
      <c r="T44" s="0" t="n">
        <f aca="false">T19*1000*2000*0.8*0.8/(1.5*365)</f>
        <v>19281941.102592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customFormat="false" ht="12.8" hidden="false" customHeight="false" outlineLevel="0" collapsed="false">
      <c r="S45" s="4"/>
      <c r="T45" s="0" t="n">
        <f aca="false">T20*1000*2000*0.8*0.8/(1.5*365)</f>
        <v>3699442.188288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customFormat="false" ht="12.8" hidden="false" customHeight="false" outlineLevel="0" collapsed="false">
      <c r="S46" s="4"/>
      <c r="T46" s="0" t="n">
        <f aca="false">T21*1000*2000*0.8*0.8/(1.5*365)</f>
        <v>44991195.906048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</row>
    <row r="47" customFormat="false" ht="12.8" hidden="false" customHeight="false" outlineLevel="0" collapsed="false">
      <c r="S47" s="4"/>
      <c r="T47" s="0" t="n">
        <f aca="false">T22*1000*2000*0.8*0.8/(1.5*365)</f>
        <v>10593857.175552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customFormat="false" ht="12.8" hidden="false" customHeight="false" outlineLevel="0" collapsed="false">
      <c r="S48" s="4"/>
      <c r="T48" s="0" t="n">
        <f aca="false">T23*1000*2000*0.8*0.8/(1.5*365)</f>
        <v>37171961.7435402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customFormat="false" ht="12.8" hidden="false" customHeight="false" outlineLevel="0" collapsed="false">
      <c r="S49" s="4"/>
      <c r="T49" s="0" t="n">
        <f aca="false">T24*1000*2000*0.8*0.8/(1.5*365)</f>
        <v>12866116.703191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</row>
    <row r="50" customFormat="false" ht="12.8" hidden="false" customHeight="false" outlineLevel="0" collapsed="false">
      <c r="S50" s="4"/>
      <c r="T50" s="0" t="n">
        <f aca="false">T25*1000*2000*0.8*0.8/(1.5*365)</f>
        <v>19427836.2218185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customFormat="false" ht="12.8" hidden="false" customHeight="false" outlineLevel="0" collapsed="false"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customFormat="false" ht="12.8" hidden="false" customHeight="false" outlineLevel="0" collapsed="false">
      <c r="S52" s="4"/>
      <c r="T52" s="10" t="n">
        <f aca="false">SUM(T28:T50)</f>
        <v>614011127.509661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</row>
    <row r="53" customFormat="false" ht="12.8" hidden="false" customHeight="false" outlineLevel="0" collapsed="false"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</row>
    <row r="54" customFormat="false" ht="12.8" hidden="false" customHeight="false" outlineLevel="0" collapsed="false">
      <c r="S54" s="4"/>
      <c r="T54" s="4" t="n">
        <f aca="false">T52/Populations!P26</f>
        <v>194.218529691732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customFormat="false" ht="12.8" hidden="false" customHeight="false" outlineLevel="0" collapsed="false"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customFormat="false" ht="12.8" hidden="false" customHeight="false" outlineLevel="0" collapsed="false"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customFormat="false" ht="12.8" hidden="false" customHeight="false" outlineLevel="0" collapsed="false"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</row>
    <row r="58" customFormat="false" ht="12.8" hidden="false" customHeight="false" outlineLevel="0" collapsed="false"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customFormat="false" ht="12.8" hidden="false" customHeight="false" outlineLevel="0" collapsed="false"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customFormat="false" ht="12.8" hidden="false" customHeight="false" outlineLevel="0" collapsed="false"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</row>
    <row r="61" customFormat="false" ht="12.8" hidden="false" customHeight="false" outlineLevel="0" collapsed="false"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</row>
    <row r="62" customFormat="false" ht="12.8" hidden="false" customHeight="false" outlineLevel="0" collapsed="false"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</row>
    <row r="63" customFormat="false" ht="12.8" hidden="false" customHeight="false" outlineLevel="0" collapsed="false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</row>
    <row r="64" customFormat="false" ht="12.8" hidden="false" customHeight="false" outlineLevel="0" collapsed="false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</row>
    <row r="65" customFormat="false" ht="12.8" hidden="false" customHeight="false" outlineLevel="0" collapsed="false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</row>
    <row r="66" customFormat="false" ht="12.8" hidden="false" customHeight="false" outlineLevel="0" collapsed="false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</row>
    <row r="67" customFormat="false" ht="12.8" hidden="false" customHeight="false" outlineLevel="0" collapsed="false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</row>
    <row r="68" customFormat="false" ht="12.8" hidden="false" customHeight="false" outlineLevel="0" collapsed="false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</row>
    <row r="69" customFormat="false" ht="12.8" hidden="false" customHeight="false" outlineLevel="0" collapsed="false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</row>
    <row r="70" customFormat="false" ht="12.8" hidden="false" customHeight="false" outlineLevel="0" collapsed="false">
      <c r="S70" s="4"/>
    </row>
    <row r="71" customFormat="false" ht="12.8" hidden="false" customHeight="false" outlineLevel="0" collapsed="false">
      <c r="S71" s="4"/>
    </row>
    <row r="72" customFormat="false" ht="12.8" hidden="false" customHeight="false" outlineLevel="0" collapsed="false">
      <c r="S72" s="4"/>
    </row>
    <row r="73" customFormat="false" ht="12.8" hidden="false" customHeight="false" outlineLevel="0" collapsed="false">
      <c r="S73" s="4"/>
    </row>
    <row r="74" customFormat="false" ht="12.8" hidden="false" customHeight="false" outlineLevel="0" collapsed="false">
      <c r="S7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45"/>
  <sheetViews>
    <sheetView showFormulas="false" showGridLines="true" showRowColHeaders="true" showZeros="true" rightToLeft="false" tabSelected="false" showOutlineSymbols="true" defaultGridColor="true" view="normal" topLeftCell="AM1" colorId="64" zoomScale="75" zoomScaleNormal="75" zoomScalePageLayoutView="100" workbookViewId="0">
      <pane xSplit="0" ySplit="1" topLeftCell="A2" activePane="bottomLeft" state="frozen"/>
      <selection pane="topLeft" activeCell="AM1" activeCellId="0" sqref="AM1"/>
      <selection pane="bottomLeft" activeCell="AZ3" activeCellId="0" sqref="AZ3"/>
    </sheetView>
  </sheetViews>
  <sheetFormatPr defaultRowHeight="12.8" zeroHeight="false" outlineLevelRow="0" outlineLevelCol="0"/>
  <cols>
    <col collapsed="false" customWidth="true" hidden="false" outlineLevel="0" max="1" min="1" style="4" width="11.12"/>
    <col collapsed="false" customWidth="true" hidden="false" outlineLevel="0" max="2" min="2" style="4" width="3.9"/>
    <col collapsed="false" customWidth="true" hidden="false" outlineLevel="0" max="3" min="3" style="4" width="11.27"/>
    <col collapsed="false" customWidth="true" hidden="false" outlineLevel="0" max="5" min="4" style="4" width="10.84"/>
    <col collapsed="false" customWidth="true" hidden="false" outlineLevel="0" max="6" min="6" style="4" width="10.69"/>
    <col collapsed="false" customWidth="true" hidden="false" outlineLevel="0" max="7" min="7" style="4" width="12.99"/>
    <col collapsed="false" customWidth="true" hidden="false" outlineLevel="0" max="8" min="8" style="4" width="9.82"/>
    <col collapsed="false" customWidth="true" hidden="false" outlineLevel="0" max="9" min="9" style="4" width="11.41"/>
    <col collapsed="false" customWidth="true" hidden="false" outlineLevel="0" max="10" min="10" style="4" width="9.53"/>
    <col collapsed="false" customWidth="true" hidden="false" outlineLevel="0" max="11" min="11" style="4" width="16.17"/>
    <col collapsed="false" customWidth="true" hidden="false" outlineLevel="0" max="12" min="12" style="4" width="9.96"/>
    <col collapsed="false" customWidth="true" hidden="false" outlineLevel="0" max="13" min="13" style="4" width="9.39"/>
    <col collapsed="false" customWidth="true" hidden="false" outlineLevel="0" max="14" min="14" style="4" width="11.7"/>
    <col collapsed="false" customWidth="true" hidden="false" outlineLevel="0" max="15" min="15" style="4" width="10.54"/>
    <col collapsed="false" customWidth="true" hidden="false" outlineLevel="0" max="16" min="16" style="4" width="10.98"/>
    <col collapsed="false" customWidth="true" hidden="false" outlineLevel="0" max="18" min="17" style="4" width="12.28"/>
    <col collapsed="false" customWidth="true" hidden="false" outlineLevel="0" max="19" min="19" style="4" width="15.16"/>
    <col collapsed="false" customWidth="true" hidden="false" outlineLevel="0" max="20" min="20" style="4" width="14.59"/>
    <col collapsed="false" customWidth="true" hidden="false" outlineLevel="0" max="21" min="21" style="4" width="10.39"/>
    <col collapsed="false" customWidth="true" hidden="false" outlineLevel="0" max="22" min="22" style="4" width="10.54"/>
    <col collapsed="false" customWidth="true" hidden="false" outlineLevel="0" max="23" min="23" style="4" width="11.27"/>
    <col collapsed="false" customWidth="true" hidden="false" outlineLevel="0" max="24" min="24" style="4" width="11.99"/>
    <col collapsed="false" customWidth="true" hidden="false" outlineLevel="0" max="25" min="25" style="4" width="10.39"/>
    <col collapsed="false" customWidth="true" hidden="false" outlineLevel="0" max="26" min="26" style="4" width="12.71"/>
    <col collapsed="false" customWidth="true" hidden="false" outlineLevel="0" max="27" min="27" style="4" width="12.13"/>
    <col collapsed="false" customWidth="true" hidden="false" outlineLevel="0" max="28" min="28" style="4" width="14.44"/>
    <col collapsed="false" customWidth="true" hidden="false" outlineLevel="0" max="29" min="29" style="4" width="11.41"/>
    <col collapsed="false" customWidth="true" hidden="false" outlineLevel="0" max="30" min="30" style="4" width="11.7"/>
    <col collapsed="false" customWidth="true" hidden="false" outlineLevel="0" max="31" min="31" style="4" width="11.84"/>
    <col collapsed="false" customWidth="true" hidden="false" outlineLevel="0" max="32" min="32" style="4" width="16.6"/>
    <col collapsed="false" customWidth="true" hidden="false" outlineLevel="0" max="33" min="33" style="4" width="9.24"/>
    <col collapsed="false" customWidth="true" hidden="false" outlineLevel="0" max="34" min="34" style="4" width="12.42"/>
    <col collapsed="false" customWidth="true" hidden="false" outlineLevel="0" max="35" min="35" style="4" width="11.12"/>
    <col collapsed="false" customWidth="true" hidden="false" outlineLevel="0" max="36" min="36" style="4" width="13.57"/>
    <col collapsed="false" customWidth="true" hidden="false" outlineLevel="0" max="37" min="37" style="4" width="12.42"/>
    <col collapsed="false" customWidth="true" hidden="false" outlineLevel="0" max="38" min="38" style="4" width="14.3"/>
    <col collapsed="false" customWidth="true" hidden="false" outlineLevel="0" max="39" min="39" style="4" width="11.27"/>
    <col collapsed="false" customWidth="true" hidden="false" outlineLevel="0" max="40" min="40" style="4" width="9.1"/>
    <col collapsed="false" customWidth="true" hidden="false" outlineLevel="0" max="41" min="41" style="4" width="14.88"/>
    <col collapsed="false" customWidth="true" hidden="false" outlineLevel="0" max="42" min="42" style="4" width="14.16"/>
    <col collapsed="false" customWidth="true" hidden="false" outlineLevel="0" max="43" min="43" style="4" width="16.17"/>
    <col collapsed="false" customWidth="true" hidden="false" outlineLevel="0" max="44" min="44" style="4" width="15.88"/>
    <col collapsed="false" customWidth="true" hidden="false" outlineLevel="0" max="45" min="45" style="4" width="12.13"/>
    <col collapsed="false" customWidth="true" hidden="false" outlineLevel="0" max="46" min="46" style="4" width="9.82"/>
    <col collapsed="false" customWidth="true" hidden="false" outlineLevel="0" max="47" min="47" style="4" width="10.98"/>
    <col collapsed="false" customWidth="true" hidden="false" outlineLevel="0" max="48" min="48" style="4" width="13.87"/>
    <col collapsed="false" customWidth="true" hidden="false" outlineLevel="0" max="49" min="49" style="4" width="11.99"/>
    <col collapsed="false" customWidth="true" hidden="false" outlineLevel="0" max="50" min="50" style="4" width="12.85"/>
    <col collapsed="false" customWidth="true" hidden="false" outlineLevel="0" max="51" min="51" style="4" width="14.59"/>
    <col collapsed="false" customWidth="true" hidden="false" outlineLevel="0" max="52" min="52" style="4" width="10.54"/>
    <col collapsed="false" customWidth="true" hidden="false" outlineLevel="0" max="53" min="53" style="4" width="12.42"/>
    <col collapsed="false" customWidth="true" hidden="false" outlineLevel="0" max="54" min="54" style="4" width="11.12"/>
    <col collapsed="false" customWidth="true" hidden="false" outlineLevel="0" max="55" min="55" style="4" width="13.14"/>
    <col collapsed="false" customWidth="true" hidden="false" outlineLevel="0" max="56" min="56" style="4" width="10.84"/>
    <col collapsed="false" customWidth="true" hidden="false" outlineLevel="0" max="57" min="57" style="4" width="9.82"/>
    <col collapsed="false" customWidth="true" hidden="false" outlineLevel="0" max="58" min="58" style="4" width="11.84"/>
    <col collapsed="false" customWidth="true" hidden="false" outlineLevel="0" max="60" min="59" style="4" width="15.88"/>
    <col collapsed="false" customWidth="true" hidden="false" outlineLevel="0" max="61" min="61" style="4" width="13.43"/>
    <col collapsed="false" customWidth="true" hidden="false" outlineLevel="0" max="62" min="62" style="4" width="12.28"/>
    <col collapsed="false" customWidth="true" hidden="false" outlineLevel="0" max="63" min="63" style="4" width="18.92"/>
    <col collapsed="false" customWidth="true" hidden="false" outlineLevel="0" max="64" min="64" style="4" width="15.74"/>
    <col collapsed="false" customWidth="true" hidden="false" outlineLevel="0" max="65" min="65" style="4" width="12.13"/>
    <col collapsed="false" customWidth="true" hidden="false" outlineLevel="0" max="66" min="66" style="4" width="13.43"/>
    <col collapsed="false" customWidth="true" hidden="false" outlineLevel="0" max="67" min="67" style="4" width="10.84"/>
    <col collapsed="false" customWidth="true" hidden="false" outlineLevel="0" max="69" min="68" style="4" width="13.43"/>
    <col collapsed="false" customWidth="true" hidden="false" outlineLevel="0" max="71" min="70" style="4" width="9.82"/>
    <col collapsed="false" customWidth="true" hidden="false" outlineLevel="0" max="72" min="72" style="4" width="13.43"/>
    <col collapsed="false" customWidth="true" hidden="false" outlineLevel="0" max="74" min="73" style="4" width="12.99"/>
    <col collapsed="false" customWidth="true" hidden="false" outlineLevel="0" max="75" min="75" style="4" width="9.82"/>
    <col collapsed="false" customWidth="true" hidden="false" outlineLevel="0" max="76" min="76" style="4" width="10.39"/>
    <col collapsed="false" customWidth="true" hidden="false" outlineLevel="0" max="77" min="77" style="4" width="14.88"/>
    <col collapsed="false" customWidth="true" hidden="false" outlineLevel="0" max="78" min="78" style="4" width="14.44"/>
    <col collapsed="false" customWidth="true" hidden="false" outlineLevel="0" max="79" min="79" style="4" width="15.6"/>
    <col collapsed="false" customWidth="true" hidden="false" outlineLevel="0" max="80" min="80" style="4" width="12.56"/>
    <col collapsed="false" customWidth="true" hidden="false" outlineLevel="0" max="81" min="81" style="4" width="9.82"/>
    <col collapsed="false" customWidth="true" hidden="false" outlineLevel="0" max="82" min="82" style="4" width="15.74"/>
    <col collapsed="false" customWidth="true" hidden="false" outlineLevel="0" max="83" min="83" style="4" width="18.2"/>
    <col collapsed="false" customWidth="true" hidden="false" outlineLevel="0" max="84" min="84" style="4" width="16.32"/>
    <col collapsed="false" customWidth="true" hidden="false" outlineLevel="0" max="85" min="85" style="4" width="14.88"/>
    <col collapsed="false" customWidth="true" hidden="false" outlineLevel="0" max="86" min="86" style="4" width="10.98"/>
    <col collapsed="false" customWidth="true" hidden="false" outlineLevel="0" max="87" min="87" style="4" width="12.13"/>
    <col collapsed="false" customWidth="true" hidden="false" outlineLevel="0" max="88" min="88" style="4" width="15.31"/>
    <col collapsed="false" customWidth="true" hidden="false" outlineLevel="0" max="89" min="89" style="4" width="12.99"/>
    <col collapsed="false" customWidth="true" hidden="false" outlineLevel="0" max="90" min="90" style="4" width="6.21"/>
    <col collapsed="false" customWidth="false" hidden="false" outlineLevel="0" max="91" min="91" style="4" width="11.52"/>
    <col collapsed="false" customWidth="true" hidden="false" outlineLevel="0" max="92" min="92" style="4" width="18.34"/>
    <col collapsed="false" customWidth="true" hidden="false" outlineLevel="0" max="93" min="93" style="4" width="7.22"/>
    <col collapsed="false" customWidth="true" hidden="false" outlineLevel="0" max="94" min="94" style="4" width="6.79"/>
    <col collapsed="false" customWidth="false" hidden="false" outlineLevel="0" max="95" min="95" style="4" width="11.52"/>
    <col collapsed="false" customWidth="true" hidden="false" outlineLevel="0" max="96" min="96" style="4" width="25.85"/>
    <col collapsed="false" customWidth="false" hidden="false" outlineLevel="0" max="1025" min="97" style="4" width="11.52"/>
  </cols>
  <sheetData>
    <row r="1" customFormat="false" ht="12.8" hidden="false" customHeight="false" outlineLevel="0" collapsed="false">
      <c r="A1" s="7"/>
      <c r="B1" s="7" t="s">
        <v>39</v>
      </c>
      <c r="C1" s="7" t="s">
        <v>40</v>
      </c>
      <c r="D1" s="12" t="s">
        <v>41</v>
      </c>
      <c r="E1" s="12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2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3" t="s">
        <v>69</v>
      </c>
      <c r="AC1" s="14" t="s">
        <v>70</v>
      </c>
      <c r="AD1" s="13" t="s">
        <v>71</v>
      </c>
      <c r="AE1" s="1" t="s">
        <v>268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3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3" t="s">
        <v>100</v>
      </c>
      <c r="BH1" s="13" t="s">
        <v>101</v>
      </c>
      <c r="BI1" s="13" t="s">
        <v>102</v>
      </c>
      <c r="BJ1" s="1" t="s">
        <v>103</v>
      </c>
      <c r="BK1" s="13" t="s">
        <v>104</v>
      </c>
      <c r="BL1" s="3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4" t="n">
        <v>0</v>
      </c>
    </row>
    <row r="2" s="10" customFormat="true" ht="12.8" hidden="false" customHeight="false" outlineLevel="0" collapsed="false">
      <c r="A2" s="6" t="s">
        <v>269</v>
      </c>
      <c r="B2" s="6" t="s">
        <v>39</v>
      </c>
      <c r="C2" s="6" t="n">
        <v>1</v>
      </c>
      <c r="D2" s="6" t="n">
        <v>2</v>
      </c>
      <c r="E2" s="6" t="n">
        <v>3</v>
      </c>
      <c r="F2" s="6" t="n">
        <v>4</v>
      </c>
      <c r="G2" s="6" t="n">
        <v>5</v>
      </c>
      <c r="H2" s="6" t="n">
        <v>6</v>
      </c>
      <c r="I2" s="6" t="n">
        <v>7</v>
      </c>
      <c r="J2" s="6" t="n">
        <v>8</v>
      </c>
      <c r="K2" s="6" t="n">
        <v>9</v>
      </c>
      <c r="L2" s="6" t="n">
        <v>10</v>
      </c>
      <c r="M2" s="6" t="n">
        <v>11</v>
      </c>
      <c r="N2" s="6" t="n">
        <v>12</v>
      </c>
      <c r="O2" s="6" t="n">
        <v>13</v>
      </c>
      <c r="P2" s="6" t="n">
        <v>14</v>
      </c>
      <c r="Q2" s="6" t="n">
        <v>15</v>
      </c>
      <c r="R2" s="6" t="n">
        <v>16</v>
      </c>
      <c r="S2" s="6" t="n">
        <v>17</v>
      </c>
      <c r="T2" s="6" t="n">
        <v>18</v>
      </c>
      <c r="U2" s="6" t="n">
        <v>19</v>
      </c>
      <c r="V2" s="6" t="n">
        <v>20</v>
      </c>
      <c r="W2" s="6" t="n">
        <v>21</v>
      </c>
      <c r="X2" s="6" t="n">
        <v>22</v>
      </c>
      <c r="Y2" s="6" t="n">
        <v>23</v>
      </c>
      <c r="Z2" s="6" t="n">
        <v>24</v>
      </c>
      <c r="AA2" s="6" t="n">
        <v>25</v>
      </c>
      <c r="AB2" s="6" t="n">
        <v>26</v>
      </c>
      <c r="AC2" s="6" t="n">
        <v>27</v>
      </c>
      <c r="AD2" s="6" t="n">
        <v>28</v>
      </c>
      <c r="AE2" s="6" t="n">
        <v>29</v>
      </c>
      <c r="AF2" s="6" t="n">
        <v>30</v>
      </c>
      <c r="AG2" s="6" t="n">
        <v>31</v>
      </c>
      <c r="AH2" s="6" t="n">
        <v>32</v>
      </c>
      <c r="AI2" s="6" t="n">
        <v>33</v>
      </c>
      <c r="AJ2" s="6" t="n">
        <v>34</v>
      </c>
      <c r="AK2" s="6" t="n">
        <v>35</v>
      </c>
      <c r="AL2" s="6" t="n">
        <v>36</v>
      </c>
      <c r="AM2" s="6" t="n">
        <v>37</v>
      </c>
      <c r="AN2" s="6" t="n">
        <v>38</v>
      </c>
      <c r="AO2" s="6" t="n">
        <v>39</v>
      </c>
      <c r="AP2" s="6" t="n">
        <v>40</v>
      </c>
      <c r="AQ2" s="6" t="n">
        <v>41</v>
      </c>
      <c r="AR2" s="6" t="n">
        <v>42</v>
      </c>
      <c r="AS2" s="6" t="n">
        <v>43</v>
      </c>
      <c r="AT2" s="6" t="n">
        <v>44</v>
      </c>
      <c r="AU2" s="6" t="n">
        <v>45</v>
      </c>
      <c r="AV2" s="6" t="n">
        <v>46</v>
      </c>
      <c r="AW2" s="6" t="n">
        <v>47</v>
      </c>
      <c r="AX2" s="6" t="n">
        <v>48</v>
      </c>
      <c r="AY2" s="6" t="n">
        <v>49</v>
      </c>
      <c r="AZ2" s="6" t="n">
        <v>50</v>
      </c>
      <c r="BA2" s="6" t="n">
        <v>51</v>
      </c>
      <c r="BB2" s="6" t="n">
        <v>52</v>
      </c>
      <c r="BC2" s="6" t="n">
        <v>53</v>
      </c>
      <c r="BD2" s="6" t="n">
        <v>54</v>
      </c>
      <c r="BE2" s="6" t="n">
        <v>55</v>
      </c>
      <c r="BF2" s="6" t="n">
        <v>56</v>
      </c>
      <c r="BG2" s="6" t="n">
        <v>57</v>
      </c>
      <c r="BH2" s="6" t="n">
        <v>58</v>
      </c>
      <c r="BI2" s="6" t="n">
        <v>59</v>
      </c>
      <c r="BJ2" s="6" t="n">
        <v>60</v>
      </c>
      <c r="BK2" s="6" t="n">
        <v>61</v>
      </c>
      <c r="BL2" s="6" t="n">
        <v>62</v>
      </c>
      <c r="BM2" s="6" t="n">
        <v>63</v>
      </c>
      <c r="BN2" s="6" t="n">
        <v>64</v>
      </c>
      <c r="BO2" s="6" t="n">
        <v>65</v>
      </c>
      <c r="BP2" s="6" t="n">
        <v>66</v>
      </c>
      <c r="BQ2" s="6" t="n">
        <v>67</v>
      </c>
      <c r="BR2" s="6" t="n">
        <v>68</v>
      </c>
      <c r="BS2" s="6" t="n">
        <v>69</v>
      </c>
      <c r="BT2" s="6" t="n">
        <v>70</v>
      </c>
      <c r="BU2" s="6" t="n">
        <v>71</v>
      </c>
      <c r="BV2" s="6" t="n">
        <v>72</v>
      </c>
      <c r="BW2" s="6" t="n">
        <v>73</v>
      </c>
      <c r="BX2" s="6" t="n">
        <v>74</v>
      </c>
      <c r="BY2" s="6" t="n">
        <v>75</v>
      </c>
      <c r="BZ2" s="6" t="n">
        <v>76</v>
      </c>
      <c r="CA2" s="6" t="n">
        <v>77</v>
      </c>
      <c r="CB2" s="6" t="n">
        <v>78</v>
      </c>
      <c r="CC2" s="6" t="n">
        <v>79</v>
      </c>
      <c r="CD2" s="6" t="n">
        <v>80</v>
      </c>
      <c r="CE2" s="6" t="n">
        <v>81</v>
      </c>
      <c r="CF2" s="6" t="n">
        <v>82</v>
      </c>
      <c r="CG2" s="6" t="n">
        <v>83</v>
      </c>
      <c r="CH2" s="6" t="n">
        <v>84</v>
      </c>
      <c r="CI2" s="6" t="n">
        <v>85</v>
      </c>
      <c r="CJ2" s="6" t="n">
        <v>86</v>
      </c>
      <c r="CK2" s="6" t="n">
        <v>87</v>
      </c>
      <c r="CL2" s="10" t="n">
        <v>0</v>
      </c>
      <c r="CQ2" s="0"/>
    </row>
    <row r="3" customFormat="false" ht="12.8" hidden="false" customHeight="false" outlineLevel="0" collapsed="false">
      <c r="A3" s="4" t="s">
        <v>131</v>
      </c>
      <c r="B3" s="7" t="s">
        <v>39</v>
      </c>
      <c r="C3" s="4" t="n">
        <f aca="false">Flows!$BG3*2*Capacity!$S3/(5*15*C60*(Capacity!$S3+Capacity!$BZ3))</f>
        <v>1.2615307395536E-006</v>
      </c>
      <c r="D3" s="4" t="n">
        <f aca="false">(DemClcs!$A$32*(Populations!$R2+3*Populations!$S2)/D60)+MAX((Flows!K3+Flows!M3)/1826.484018+Flows!L3/1111.111111-Flows!$F3,0)/D60</f>
        <v>0.0677901646137625</v>
      </c>
      <c r="E3" s="4" t="n">
        <f aca="false">DemClcs!$A$40*(Populations!$R2+3*Populations!$S2)/E60</f>
        <v>0.0176092356096967</v>
      </c>
      <c r="F3" s="4" t="n">
        <v>0</v>
      </c>
      <c r="G3" s="4" t="n">
        <f aca="false">Flows!Q3*40/G60</f>
        <v>3.68681263983947E-005</v>
      </c>
      <c r="H3" s="4" t="n">
        <f aca="false">IF(Flows!$AW3&gt;Flows!$Y3,(Flows!$AW3-Flows!$Y3)/H60)</f>
        <v>0.000119746117239735</v>
      </c>
      <c r="I3" s="4" t="n">
        <f aca="false">I30/$CN30</f>
        <v>0.280885099925383</v>
      </c>
      <c r="J3" s="4" t="n">
        <f aca="false">J30/$CN30</f>
        <v>0.719114900074617</v>
      </c>
      <c r="K3" s="4" t="n">
        <v>0</v>
      </c>
      <c r="L3" s="4" t="n">
        <v>0</v>
      </c>
      <c r="M3" s="4" t="n">
        <v>0</v>
      </c>
      <c r="N3" s="4" t="n">
        <f aca="false">SUM(Flows!$V3,Flows!$W3)/$N60</f>
        <v>0.00247852852688162</v>
      </c>
      <c r="O3" s="4" t="n">
        <v>0</v>
      </c>
      <c r="P3" s="4" t="n">
        <v>0</v>
      </c>
      <c r="Q3" s="4" t="n">
        <f aca="false">$Q$27*Q30*(1/COUNTIF($C$26:$CK$26,1))/(MAX(Q$30:Q$52)-MIN(Q$30:Q$52))</f>
        <v>4.53213953929045E-005</v>
      </c>
      <c r="R3" s="4" t="n">
        <f aca="false">$R$27*R30*(1/COUNTIF($C$26:$CK$26,1))/(MAX(R$30:R$52)-MIN(R$30:R$52))+0.5/COUNTIF($C$26:$CK$26,1)</f>
        <v>0.0284173625726569</v>
      </c>
      <c r="S3" s="4" t="n">
        <v>0</v>
      </c>
      <c r="T3" s="4" t="n">
        <v>0</v>
      </c>
      <c r="U3" s="4" t="n">
        <v>0</v>
      </c>
      <c r="V3" s="4" t="n">
        <f aca="false">$V$27*V30*(1/COUNTIF($C$26:$CK$26,1))/(MAX(V$30:V$52)-MIN(V$30:V$52))</f>
        <v>0.00565087870511538</v>
      </c>
      <c r="W3" s="4" t="n">
        <f aca="false">$V$27*W30*(1/COUNTIF($C$26:$CK$26,1))/(MAX(W$30:W$52)-MIN(W$30:W$52))</f>
        <v>0.00416337248761545</v>
      </c>
      <c r="X3" s="4" t="n">
        <f aca="false">X30/$CO30</f>
        <v>0.252551039843915</v>
      </c>
      <c r="Y3" s="4" t="n">
        <v>0</v>
      </c>
      <c r="Z3" s="4" t="n">
        <f aca="false">Flows!$AA3/$Z60</f>
        <v>2.40387486348923E-005</v>
      </c>
      <c r="AA3" s="4" t="n">
        <f aca="false">Flows!$AB3/$AA60</f>
        <v>0.000523268623352885</v>
      </c>
      <c r="AB3" s="4" t="n">
        <f aca="false">DemClcs!$A$20*(Populations!$R2+3*Populations!$S2)/AB60</f>
        <v>0.00189079663843112</v>
      </c>
      <c r="AC3" s="4" t="n">
        <f aca="false">Flows!$AD3/$AC60</f>
        <v>0.00375942337613735</v>
      </c>
      <c r="AD3" s="4" t="n">
        <f aca="false">DemClcs!$A$25*(Populations!$R2+3*Populations!$S2)/AD60</f>
        <v>0.0187602163241882</v>
      </c>
      <c r="AE3" s="4" t="n">
        <f aca="false">AE30/$CP30</f>
        <v>0.0327108108718075</v>
      </c>
      <c r="AF3" s="4" t="n">
        <f aca="false">$AF$27*AF30*(1/COUNTIF($C$26:$CK$26,1))/(MAX(AF$30:AF$52)-MIN(AF$30:AF$52))</f>
        <v>0.0248883430725798</v>
      </c>
      <c r="AG3" s="4" t="n">
        <f aca="false">$AF$27*AG30*(1/COUNTIF($C$26:$CK$26,1))/(MAX(AG$30:AG$52)-MIN(AG$30:AG$52))</f>
        <v>0.00783763634041504</v>
      </c>
      <c r="AH3" s="4" t="n">
        <f aca="false">$AF$27*AH30*(1/COUNTIF($C$26:$CK$26,1))/(MAX(AH$30:AH$52)-MIN(AH$30:AH$52))</f>
        <v>0.0288109353615081</v>
      </c>
      <c r="AI3" s="4" t="n">
        <f aca="false">$AF$27*AI30*(1/COUNTIF($C$26:$CK$26,1))/(MAX(AI$30:AI$52)-MIN(AI$30:AI$52))</f>
        <v>0.0232629591455144</v>
      </c>
      <c r="AJ3" s="4" t="n">
        <f aca="false">$AF$27*AJ30*(1/COUNTIF($C$26:$CK$26,1))/(MAX(AJ$30:AJ$52)-MIN(AJ$30:AJ$52))</f>
        <v>0.0214165705055786</v>
      </c>
      <c r="AK3" s="4" t="n">
        <f aca="false">$AF$27*AK30*(1/COUNTIF($C$26:$CK$26,1))/(MAX(AK$30:AK$52)-MIN(AK$30:AK$52))</f>
        <v>0.0141012672198959</v>
      </c>
      <c r="AL3" s="4" t="n">
        <f aca="false">$AF$27*AL30*(1/COUNTIF($C$26:$CK$26,1))/(MAX(AL$30:AL$52)-MIN(AL$30:AL$52))</f>
        <v>0.0156978739729961</v>
      </c>
      <c r="AM3" s="4" t="n">
        <f aca="false">$AF$27*AM30*(1/COUNTIF($C$26:$CK$26,1))/(MAX(AM$30:AM$52)-MIN(AM$30:AM$52))</f>
        <v>0.0030769065915063</v>
      </c>
      <c r="AN3" s="4" t="n">
        <f aca="false">$AF$27*AN30*(1/COUNTIF($C$26:$CK$26,1))/(MAX(AN$30:AN$52)-MIN(AN$30:AN$52))</f>
        <v>0.00196091839532662</v>
      </c>
      <c r="AO3" s="4" t="n">
        <f aca="false">$AF$27*AO30*(1/COUNTIF($C$26:$CK$26,1))/(MAX(AO$30:AO$52)-MIN(AO$30:AO$52))</f>
        <v>0.0019430432836709</v>
      </c>
      <c r="AP3" s="4" t="n">
        <f aca="false">$AF$27*AP30*(1/COUNTIF($C$26:$CK$26,1))/(MAX(AP$30:AP$52)-MIN(AP$30:AP$52))</f>
        <v>0.0203220262687765</v>
      </c>
      <c r="AQ3" s="4" t="n">
        <f aca="false">$AF$27*AQ30*(1/COUNTIF($C$26:$CK$26,1))/(MAX(AQ$30:AQ$52)-MIN(AQ$30:AQ$52))</f>
        <v>0.00420619571426748</v>
      </c>
      <c r="AR3" s="4" t="n">
        <f aca="false">$AF$27*AR30*(1/COUNTIF($C$26:$CK$26,1))/(MAX(AR$30:AR$52)-MIN(AR$30:AR$52))</f>
        <v>0.00778995040947892</v>
      </c>
      <c r="AS3" s="4" t="n">
        <f aca="false">$AF$27*AS30*(1/COUNTIF($C$26:$CK$26,1))/(MAX(AS$30:AS$52)-MIN(AS$30:AS$52))</f>
        <v>0.00143891361810853</v>
      </c>
      <c r="AT3" s="4" t="n">
        <f aca="false">AT30/$CP30</f>
        <v>0.0186942269494745</v>
      </c>
      <c r="AU3" s="4" t="n">
        <f aca="false">AU30/$CP30</f>
        <v>0.0921428179843806</v>
      </c>
      <c r="AV3" s="4" t="n">
        <f aca="false">$AF$27*AV30*(1/COUNTIF($C$26:$CK$26,1))/(MAX(AV$30:AV$52)-MIN(AV$30:AV$52))</f>
        <v>0.0144601572386862</v>
      </c>
      <c r="AW3" s="4" t="n">
        <f aca="false">SUM(Flows!AX3,Flows!$AZ3)/$AW60</f>
        <v>0.000659213269807121</v>
      </c>
      <c r="AX3" s="4" t="n">
        <f aca="false">$AX$27*AX30*(1/COUNTIF($C$26:$CK$26,1))/(MAX(AX$30:AX$52)-MIN(AX$30:AX$52))</f>
        <v>0.0254039706186946</v>
      </c>
      <c r="AY3" s="4" t="n">
        <f aca="false">SUM(Flows!$BB3:$BE3)*Capacity!BS3/(AY60*SUM(Capacity!$BS3:$BT3))</f>
        <v>0.00448270777538888</v>
      </c>
      <c r="AZ3" s="4" t="n">
        <f aca="false">SUM(Flows!$BB3:$BE3)*Capacity!BT3/(AZ60*SUM(Capacity!$BS3:$BT3))+(DemClcs!$A$54*Populations!$Q2/AZ60)</f>
        <v>0.0247627836532967</v>
      </c>
      <c r="BA3" s="4" t="n">
        <v>0</v>
      </c>
      <c r="BB3" s="4" t="n">
        <f aca="false">$BB$27*BB30*(1/COUNTIF($C$26:$CK$26,1))/(MAX(BB$30:BB$52)-MIN(BB$30:BB$52))</f>
        <v>0.0019642245392178</v>
      </c>
      <c r="BC3" s="4" t="n">
        <f aca="false">$BB$27*BC30*(1/COUNTIF($C$26:$CK$26,1))/(MAX(BC$30:BC$52)-MIN(BC$30:BC$52))</f>
        <v>0.00197619628020974</v>
      </c>
      <c r="BD3" s="4" t="n">
        <f aca="false">$BB$27*BD30*(1/COUNTIF($C$26:$CK$26,1))/(MAX(BD$30:BD$52)-MIN(BD$30:BD$52))</f>
        <v>0.00241251620394525</v>
      </c>
      <c r="BE3" s="4" t="n">
        <f aca="false">$BB$27*BE30*(1/COUNTIF($C$26:$CK$26,1))/(MAX(BE$30:BE$52)-MIN(BE$30:BE$52))</f>
        <v>0.000910190915788662</v>
      </c>
      <c r="BF3" s="4" t="n">
        <f aca="false">(Flows!$BG3+Flows!$BI3)*1.5*Capacity!$BZ4/(15*$BF60*(Capacity!$S3+Capacity!$BZ3))</f>
        <v>9.21678733598396E-006</v>
      </c>
      <c r="BG3" s="4" t="n">
        <f aca="false">DemClcs!$A$45*(Populations!$R2+3*Populations!$S2)*Capacity!CA3/(BG60*SUM(Capacity!$CA3:$CC3,Capacity!$CE3))</f>
        <v>0.000668008039489142</v>
      </c>
      <c r="BH3" s="4" t="n">
        <f aca="false">DemClcs!$A$45*(Populations!$R2+3*Populations!$S2)*Capacity!CB3/(BH60*SUM(Capacity!$CA3:$CC3,Capacity!$CE3))</f>
        <v>0.000957181816947895</v>
      </c>
      <c r="BI3" s="4" t="n">
        <f aca="false">DemClcs!$A$45*(Populations!$R2+3*Populations!$S2)*Capacity!CC3/(BI60*SUM(Capacity!$CA3:$CC3,Capacity!$CE3))</f>
        <v>0.000668008039489141</v>
      </c>
      <c r="BJ3" s="4" t="n">
        <f aca="false">BJ30/$CP30</f>
        <v>0.107431622252059</v>
      </c>
      <c r="BK3" s="4" t="n">
        <f aca="false">DemClcs!$A$45*(Populations!$R2+3*Populations!$S2)*Capacity!CE3/(BK60*SUM(Capacity!$CA3:$CC3,Capacity!$CE3))</f>
        <v>0.000668008039489141</v>
      </c>
      <c r="BL3" s="4" t="n">
        <f aca="false">BL30/$CP30</f>
        <v>0.143226560315617</v>
      </c>
      <c r="BM3" s="4" t="n">
        <f aca="false">BM30/$CP30</f>
        <v>0.0224059372714053</v>
      </c>
      <c r="BN3" s="4" t="n">
        <v>0</v>
      </c>
      <c r="BO3" s="4" t="n">
        <f aca="false">Flows!BT3*16/(25*BR60)</f>
        <v>0.000386466122326121</v>
      </c>
      <c r="BP3" s="4" t="n">
        <f aca="false">SUM(Flows!$AF3:$AS3,Flows!$AV3)/BP60</f>
        <v>1.08224895387057E-005</v>
      </c>
      <c r="BQ3" s="4" t="n">
        <v>0</v>
      </c>
      <c r="BR3" s="4" t="n">
        <f aca="false">Flows!BU3*16/(25*BR60)</f>
        <v>3.86466122326121E-005</v>
      </c>
      <c r="BS3" s="4" t="n">
        <f aca="false">Flows!BV3*16/(25*BS60)</f>
        <v>7.729316769221E-006</v>
      </c>
      <c r="BT3" s="4" t="n">
        <f aca="false">Flows!$D31*0.8*0.8*$BT$27/(0.75*BT60)</f>
        <v>5.01864256110793E-006</v>
      </c>
      <c r="BU3" s="4" t="n">
        <f aca="false">Flows!$D31*0.8*0.8*$BT$27/(0.75*BU60*10)</f>
        <v>4.60042234768227E-006</v>
      </c>
      <c r="BV3" s="4" t="n">
        <f aca="false">Flows!$D31*0.8*0.8*$BT$27/(0.75*BV60*100)</f>
        <v>3.94321915515623E-006</v>
      </c>
      <c r="BW3" s="4" t="n">
        <v>0</v>
      </c>
      <c r="BX3" s="4" t="n">
        <f aca="false">BX30/$CP30</f>
        <v>0.0457418157204003</v>
      </c>
      <c r="BY3" s="4" t="n">
        <f aca="false">BY30/$CP30</f>
        <v>0.13809058490539</v>
      </c>
      <c r="BZ3" s="4" t="n">
        <f aca="false">BZ30/$CO30</f>
        <v>0.13771615633263</v>
      </c>
      <c r="CA3" s="4" t="n">
        <f aca="false">CA30/$CO30</f>
        <v>0.212921353266286</v>
      </c>
      <c r="CB3" s="4" t="n">
        <f aca="false">CB30/$CP30</f>
        <v>0.0632083749530006</v>
      </c>
      <c r="CC3" s="4" t="n">
        <f aca="false">CC30/$CO30</f>
        <v>0.132352599073502</v>
      </c>
      <c r="CD3" s="4" t="n">
        <v>0</v>
      </c>
      <c r="CE3" s="4" t="n">
        <f aca="false">IF(SUM(Flows!$CJ3:$CK3)&gt;Flows!$BA3,(SUM(Flows!$CJ3:$CK3)-Flows!$BA3)/CE60)</f>
        <v>0.0106681826164787</v>
      </c>
      <c r="CF3" s="4" t="n">
        <f aca="false">CF30/$CO30</f>
        <v>0.0244245620587211</v>
      </c>
      <c r="CG3" s="4" t="n">
        <f aca="false">CG30/$CO30</f>
        <v>0.00827481301597163</v>
      </c>
      <c r="CH3" s="4" t="n">
        <f aca="false">CH30/$CO30</f>
        <v>0.0450931079249573</v>
      </c>
      <c r="CI3" s="4" t="n">
        <f aca="false">CI30/$CP30</f>
        <v>0.100564032819356</v>
      </c>
      <c r="CJ3" s="4" t="n">
        <f aca="false">CJ$27*CJ30*(1/COUNTIF($C$26:$CK$26,1))/(MAX(CJ$30:CJ$52)-MIN(CJ$30:CJ$52))</f>
        <v>0.00164515463399733</v>
      </c>
      <c r="CK3" s="4" t="n">
        <f aca="false">CK$27*CK30*(1/COUNTIF($C$26:$CK$26,1))/(MAX(CK$30:CK$52)-MIN(CK$30:CK$52))</f>
        <v>0.00165261385206696</v>
      </c>
      <c r="CL3" s="4" t="n">
        <v>0</v>
      </c>
      <c r="CN3" s="4" t="n">
        <f aca="false">SUM(C3:CK3)</f>
        <v>3</v>
      </c>
      <c r="CP3" s="0"/>
      <c r="CR3" s="1" t="s">
        <v>165</v>
      </c>
    </row>
    <row r="4" customFormat="false" ht="12.8" hidden="false" customHeight="false" outlineLevel="0" collapsed="false">
      <c r="A4" s="4" t="s">
        <v>133</v>
      </c>
      <c r="B4" s="7" t="s">
        <v>39</v>
      </c>
      <c r="C4" s="4" t="n">
        <f aca="false">Flows!$BG4*2*Capacity!$S4/(5*15*C61*(Capacity!$S4+Capacity!$BZ4))</f>
        <v>1.40703831936842E-006</v>
      </c>
      <c r="D4" s="4" t="n">
        <f aca="false">(DemClcs!$A$32*(Populations!$R3+3*Populations!$S3)/D61)+MAX((Flows!K4+Flows!M4)/1826.484018+Flows!L4/1111.111111-Flows!$F4,0)/D61</f>
        <v>0.0955017885813216</v>
      </c>
      <c r="E4" s="4" t="n">
        <f aca="false">DemClcs!$A$40*(Populations!$R3+3*Populations!$S3)/E61</f>
        <v>0.0243628884062736</v>
      </c>
      <c r="F4" s="4" t="n">
        <v>0</v>
      </c>
      <c r="G4" s="4" t="n">
        <f aca="false">Flows!Q4*40/G61</f>
        <v>0.00282808893025694</v>
      </c>
      <c r="H4" s="4" t="n">
        <f aca="false">IF(Flows!$AW4&gt;Flows!$Y4,(Flows!$AW4-Flows!$Y4)/H61)</f>
        <v>6.40003837006696E-005</v>
      </c>
      <c r="I4" s="4" t="n">
        <f aca="false">I31/$CN31</f>
        <v>0.521576669206621</v>
      </c>
      <c r="J4" s="4" t="n">
        <f aca="false">J31/$CN31</f>
        <v>0.478423330793379</v>
      </c>
      <c r="K4" s="4" t="n">
        <v>0</v>
      </c>
      <c r="L4" s="4" t="n">
        <v>0</v>
      </c>
      <c r="M4" s="4" t="n">
        <v>0</v>
      </c>
      <c r="N4" s="4" t="n">
        <f aca="false">SUM(Flows!$V4,Flows!$W4)/$N61</f>
        <v>0.00354551762991113</v>
      </c>
      <c r="O4" s="4" t="n">
        <v>0</v>
      </c>
      <c r="P4" s="4" t="n">
        <v>0</v>
      </c>
      <c r="Q4" s="4" t="n">
        <f aca="false">$Q$27*Q31*(1/COUNTIF($C$26:$CK$26,1))/(MAX(Q$30:Q$52)-MIN(Q$30:Q$52))</f>
        <v>0.00270381088975274</v>
      </c>
      <c r="R4" s="4" t="n">
        <f aca="false">$R$27*R31*(1/COUNTIF($C$26:$CK$26,1))/(MAX(R$30:R$52)-MIN(R$30:R$52))+0.5/COUNTIF($C$26:$CK$26,1)</f>
        <v>0.0276283003640664</v>
      </c>
      <c r="S4" s="4" t="n">
        <v>0</v>
      </c>
      <c r="T4" s="4" t="n">
        <v>0</v>
      </c>
      <c r="U4" s="4" t="n">
        <v>0</v>
      </c>
      <c r="V4" s="4" t="n">
        <f aca="false">$V$27*V31*(1/COUNTIF($C$26:$CK$26,1))/(MAX(V$30:V$52)-MIN(V$30:V$52))</f>
        <v>0.0208892729387617</v>
      </c>
      <c r="W4" s="4" t="n">
        <f aca="false">$V$27*W31*(1/COUNTIF($C$26:$CK$26,1))/(MAX(W$30:W$52)-MIN(W$30:W$52))</f>
        <v>0.0156985027821368</v>
      </c>
      <c r="X4" s="4" t="n">
        <f aca="false">X31/$CO31</f>
        <v>0.101879134893626</v>
      </c>
      <c r="Y4" s="4" t="n">
        <v>0</v>
      </c>
      <c r="Z4" s="4" t="n">
        <f aca="false">Flows!$AA4/$Z61</f>
        <v>2.40283610731171E-005</v>
      </c>
      <c r="AA4" s="4" t="n">
        <f aca="false">Flows!$AB4/$AA61</f>
        <v>0.000942972493047024</v>
      </c>
      <c r="AB4" s="4" t="n">
        <f aca="false">DemClcs!$A$20*(Populations!$R3+3*Populations!$S3)/AB61</f>
        <v>0.00449869099013522</v>
      </c>
      <c r="AC4" s="4" t="n">
        <f aca="false">Flows!$AD4/$AC61</f>
        <v>0.00438126711172398</v>
      </c>
      <c r="AD4" s="4" t="n">
        <f aca="false">DemClcs!$A$25*(Populations!$R3+3*Populations!$S3)/AD61</f>
        <v>0.0446353745480743</v>
      </c>
      <c r="AE4" s="4" t="n">
        <f aca="false">AE31/$CP31</f>
        <v>0.122736066576729</v>
      </c>
      <c r="AF4" s="4" t="n">
        <f aca="false">$AF$27*AF31*(1/COUNTIF($C$26:$CK$26,1))/(MAX(AF$30:AF$52)-MIN(AF$30:AF$52))</f>
        <v>0.0130691070505655</v>
      </c>
      <c r="AG4" s="4" t="n">
        <f aca="false">$AF$27*AG31*(1/COUNTIF($C$26:$CK$26,1))/(MAX(AG$30:AG$52)-MIN(AG$30:AG$52))</f>
        <v>0.0234091244277108</v>
      </c>
      <c r="AH4" s="4" t="n">
        <f aca="false">$AF$27*AH31*(1/COUNTIF($C$26:$CK$26,1))/(MAX(AH$30:AH$52)-MIN(AH$30:AH$52))</f>
        <v>0.0139883520112499</v>
      </c>
      <c r="AI4" s="4" t="n">
        <f aca="false">$AF$27*AI31*(1/COUNTIF($C$26:$CK$26,1))/(MAX(AI$30:AI$52)-MIN(AI$30:AI$52))</f>
        <v>0.0261873461904366</v>
      </c>
      <c r="AJ4" s="4" t="n">
        <f aca="false">$AF$27*AJ31*(1/COUNTIF($C$26:$CK$26,1))/(MAX(AJ$30:AJ$52)-MIN(AJ$30:AJ$52))</f>
        <v>0.00477140983821532</v>
      </c>
      <c r="AK4" s="4" t="n">
        <f aca="false">$AF$27*AK31*(1/COUNTIF($C$26:$CK$26,1))/(MAX(AK$30:AK$52)-MIN(AK$30:AK$52))</f>
        <v>0.0108888105203402</v>
      </c>
      <c r="AL4" s="4" t="n">
        <f aca="false">$AF$27*AL31*(1/COUNTIF($C$26:$CK$26,1))/(MAX(AL$30:AL$52)-MIN(AL$30:AL$52))</f>
        <v>0.000928346152063246</v>
      </c>
      <c r="AM4" s="4" t="n">
        <f aca="false">$AF$27*AM31*(1/COUNTIF($C$26:$CK$26,1))/(MAX(AM$30:AM$52)-MIN(AM$30:AM$52))</f>
        <v>0.0155781064006931</v>
      </c>
      <c r="AN4" s="4" t="n">
        <f aca="false">$AF$27*AN31*(1/COUNTIF($C$26:$CK$26,1))/(MAX(AN$30:AN$52)-MIN(AN$30:AN$52))</f>
        <v>0.0227420384280364</v>
      </c>
      <c r="AO4" s="4" t="n">
        <f aca="false">$AF$27*AO31*(1/COUNTIF($C$26:$CK$26,1))/(MAX(AO$30:AO$52)-MIN(AO$30:AO$52))</f>
        <v>0.00230703915850916</v>
      </c>
      <c r="AP4" s="4" t="n">
        <f aca="false">$AF$27*AP31*(1/COUNTIF($C$26:$CK$26,1))/(MAX(AP$30:AP$52)-MIN(AP$30:AP$52))</f>
        <v>0.0254475020928259</v>
      </c>
      <c r="AQ4" s="4" t="n">
        <f aca="false">$AF$27*AQ31*(1/COUNTIF($C$26:$CK$26,1))/(MAX(AQ$30:AQ$52)-MIN(AQ$30:AQ$52))</f>
        <v>0.0205399600683729</v>
      </c>
      <c r="AR4" s="4" t="n">
        <f aca="false">$AF$27*AR31*(1/COUNTIF($C$26:$CK$26,1))/(MAX(AR$30:AR$52)-MIN(AR$30:AR$52))</f>
        <v>0.00965890791919268</v>
      </c>
      <c r="AS4" s="4" t="n">
        <f aca="false">$AF$27*AS31*(1/COUNTIF($C$26:$CK$26,1))/(MAX(AS$30:AS$52)-MIN(AS$30:AS$52))</f>
        <v>0.0102774636900057</v>
      </c>
      <c r="AT4" s="4" t="n">
        <f aca="false">AT31/$CP31</f>
        <v>0.0736836360263295</v>
      </c>
      <c r="AU4" s="4" t="n">
        <f aca="false">AU31/$CP31</f>
        <v>0.000225113729990247</v>
      </c>
      <c r="AV4" s="4" t="n">
        <f aca="false">$AF$27*AV31*(1/COUNTIF($C$26:$CK$26,1))/(MAX(AV$30:AV$52)-MIN(AV$30:AV$52))</f>
        <v>0.0193448249339821</v>
      </c>
      <c r="AW4" s="4" t="n">
        <f aca="false">SUM(Flows!AX4,Flows!$AZ4)/$AW61</f>
        <v>0.000773590756277581</v>
      </c>
      <c r="AX4" s="4" t="n">
        <f aca="false">$AX$27*AX31*(1/COUNTIF($C$26:$CK$26,1))/(MAX(AX$30:AX$52)-MIN(AX$30:AX$52))</f>
        <v>0.0152874957555032</v>
      </c>
      <c r="AY4" s="4" t="n">
        <f aca="false">SUM(Flows!$BB4:$BE4)*Capacity!BS4/(AY61*SUM(Capacity!$BS4:$BT4))</f>
        <v>0.00440200125124747</v>
      </c>
      <c r="AZ4" s="4" t="n">
        <f aca="false">SUM(Flows!$BB4:$BE4)*Capacity!BT4/(AZ61*SUM(Capacity!$BS4:$BT4))+(DemClcs!$A$54*Populations!$Q3/AZ61)</f>
        <v>0.0369623593526746</v>
      </c>
      <c r="BA4" s="4" t="n">
        <v>0</v>
      </c>
      <c r="BB4" s="4" t="n">
        <f aca="false">$BB$27*BB31*(1/COUNTIF($C$26:$CK$26,1))/(MAX(BB$30:BB$52)-MIN(BB$30:BB$52))</f>
        <v>0.000693519794789962</v>
      </c>
      <c r="BC4" s="4" t="n">
        <f aca="false">$BB$27*BC31*(1/COUNTIF($C$26:$CK$26,1))/(MAX(BC$30:BC$52)-MIN(BC$30:BC$52))</f>
        <v>0.0007997727304158</v>
      </c>
      <c r="BD4" s="4" t="n">
        <f aca="false">$BB$27*BD31*(1/COUNTIF($C$26:$CK$26,1))/(MAX(BD$30:BD$52)-MIN(BD$30:BD$52))</f>
        <v>0.000382940023561081</v>
      </c>
      <c r="BE4" s="4" t="n">
        <f aca="false">$BB$27*BE31*(1/COUNTIF($C$26:$CK$26,1))/(MAX(BE$30:BE$52)-MIN(BE$30:BE$52))</f>
        <v>0.00249802137565064</v>
      </c>
      <c r="BF4" s="4" t="n">
        <f aca="false">(Flows!$BG4+Flows!$BI4)*1.5*Capacity!$BZ5/(15*$BF61*(Capacity!$S4+Capacity!$BZ4))</f>
        <v>2.87303498245463E-005</v>
      </c>
      <c r="BG4" s="4" t="n">
        <f aca="false">DemClcs!$A$45*(Populations!$R3+3*Populations!$S3)*Capacity!CA4/(BG61*SUM(Capacity!$CA4:$CC4,Capacity!$CE4))</f>
        <v>0.00220074245377217</v>
      </c>
      <c r="BH4" s="4" t="n">
        <f aca="false">DemClcs!$A$45*(Populations!$R3+3*Populations!$S3)*Capacity!CB4/(BH61*SUM(Capacity!$CA4:$CC4,Capacity!$CE4))</f>
        <v>4.45188427682539E-007</v>
      </c>
      <c r="BI4" s="4" t="n">
        <f aca="false">DemClcs!$A$45*(Populations!$R3+3*Populations!$S3)*Capacity!CC4/(BI61*SUM(Capacity!$CA4:$CC4,Capacity!$CE4))</f>
        <v>0.00220074245377217</v>
      </c>
      <c r="BJ4" s="4" t="n">
        <f aca="false">BJ31/$CP31</f>
        <v>0.104408635071488</v>
      </c>
      <c r="BK4" s="4" t="n">
        <f aca="false">DemClcs!$A$45*(Populations!$R3+3*Populations!$S3)*Capacity!CE4/(BK61*SUM(Capacity!$CA4:$CC4,Capacity!$CE4))</f>
        <v>0.00220074245377217</v>
      </c>
      <c r="BL4" s="4" t="n">
        <f aca="false">BL31/$CP31</f>
        <v>0.101398898793118</v>
      </c>
      <c r="BM4" s="4" t="n">
        <f aca="false">BM31/$CP31</f>
        <v>0.03457507681149</v>
      </c>
      <c r="BN4" s="4" t="n">
        <v>0</v>
      </c>
      <c r="BO4" s="4" t="n">
        <f aca="false">Flows!BT4*16/(25*BR61)</f>
        <v>0.000338578651261795</v>
      </c>
      <c r="BP4" s="4" t="n">
        <f aca="false">SUM(Flows!$AF4:$AS4,Flows!$AV4)/BP61</f>
        <v>4.80061108581874E-006</v>
      </c>
      <c r="BQ4" s="4" t="n">
        <v>0</v>
      </c>
      <c r="BR4" s="4" t="n">
        <f aca="false">Flows!BU4*16/(25*BR61)</f>
        <v>3.38578651261795E-005</v>
      </c>
      <c r="BS4" s="4" t="n">
        <f aca="false">Flows!BV4*16/(25*BS61)</f>
        <v>6.77157153413741E-006</v>
      </c>
      <c r="BT4" s="4" t="n">
        <f aca="false">Flows!$D32*0.8*0.8*$BT$27/(0.75*BT61)</f>
        <v>1.00844525355584E-005</v>
      </c>
      <c r="BU4" s="4" t="n">
        <f aca="false">Flows!$D32*0.8*0.8*$BT$27/(0.75*BU61*10)</f>
        <v>9.24408149092854E-006</v>
      </c>
      <c r="BV4" s="4" t="n">
        <f aca="false">Flows!$D32*0.8*0.8*$BT$27/(0.75*BV61*100)</f>
        <v>7.92349842079589E-006</v>
      </c>
      <c r="BW4" s="4" t="n">
        <v>0</v>
      </c>
      <c r="BX4" s="4" t="n">
        <f aca="false">BX31/$CP31</f>
        <v>0.107052130498876</v>
      </c>
      <c r="BY4" s="4" t="n">
        <f aca="false">BY31/$CP31</f>
        <v>0.0533234693938568</v>
      </c>
      <c r="BZ4" s="4" t="n">
        <f aca="false">BZ31/$CO31</f>
        <v>0.147911328612418</v>
      </c>
      <c r="CA4" s="4" t="n">
        <f aca="false">CA31/$CO31</f>
        <v>0.143342079987988</v>
      </c>
      <c r="CB4" s="4" t="n">
        <f aca="false">CB31/$CP31</f>
        <v>0.0228124563952675</v>
      </c>
      <c r="CC4" s="4" t="n">
        <f aca="false">CC31/$CO31</f>
        <v>0.000401090226206891</v>
      </c>
      <c r="CD4" s="4" t="n">
        <v>0</v>
      </c>
      <c r="CE4" s="4" t="n">
        <f aca="false">IF(SUM(Flows!$CJ4:$CK4)&gt;Flows!$BA4,(SUM(Flows!$CJ4:$CK4)-Flows!$BA4)/CE61)</f>
        <v>0.0175857167107067</v>
      </c>
      <c r="CF4" s="4" t="n">
        <f aca="false">CF31/$CO31</f>
        <v>0.127794679247797</v>
      </c>
      <c r="CG4" s="4" t="n">
        <f aca="false">CG31/$CO31</f>
        <v>0.171551095779695</v>
      </c>
      <c r="CH4" s="4" t="n">
        <f aca="false">CH31/$CO31</f>
        <v>0.0733594015703801</v>
      </c>
      <c r="CI4" s="4" t="n">
        <f aca="false">CI31/$CP31</f>
        <v>0.0569923425305198</v>
      </c>
      <c r="CJ4" s="4" t="n">
        <f aca="false">CJ$27*CJ31*(1/COUNTIF($C$26:$CK$26,1))/(MAX(CJ$30:CJ$52)-MIN(CJ$30:CJ$52))</f>
        <v>0.000948139474962015</v>
      </c>
      <c r="CK4" s="4" t="n">
        <f aca="false">CK$27*CK31*(1/COUNTIF($C$26:$CK$26,1))/(MAX(CK$30:CK$52)-MIN(CK$30:CK$52))</f>
        <v>0.00233289266665665</v>
      </c>
      <c r="CL4" s="4" t="n">
        <v>0</v>
      </c>
      <c r="CN4" s="4" t="n">
        <f aca="false">SUM(C4:CK4)</f>
        <v>3</v>
      </c>
      <c r="CP4" s="0"/>
      <c r="CR4" s="0"/>
    </row>
    <row r="5" customFormat="false" ht="12.8" hidden="false" customHeight="false" outlineLevel="0" collapsed="false">
      <c r="A5" s="4" t="s">
        <v>135</v>
      </c>
      <c r="B5" s="7" t="s">
        <v>39</v>
      </c>
      <c r="C5" s="4" t="n">
        <f aca="false">Flows!$BG5*2*Capacity!$S5/(5*15*C62*(Capacity!$S5+Capacity!$BZ5))</f>
        <v>1.93384193228933E-006</v>
      </c>
      <c r="D5" s="4" t="n">
        <f aca="false">(DemClcs!$A$32*(Populations!$R4+3*Populations!$S4)/D62)+MAX((Flows!K5+Flows!M5)/1826.484018+Flows!L5/1111.111111-Flows!$F5,0)/D62</f>
        <v>0.15408031070716</v>
      </c>
      <c r="E5" s="4" t="n">
        <f aca="false">DemClcs!$A$40*(Populations!$R4+3*Populations!$S4)/E62</f>
        <v>0.0626839615725393</v>
      </c>
      <c r="F5" s="4" t="n">
        <v>0</v>
      </c>
      <c r="G5" s="4" t="n">
        <f aca="false">Flows!Q5*40/G62</f>
        <v>0.0146587313938677</v>
      </c>
      <c r="H5" s="4" t="n">
        <f aca="false">IF(Flows!$AW5&gt;Flows!$Y5,(Flows!$AW5-Flows!$Y5)/H62)</f>
        <v>0.00106871572928796</v>
      </c>
      <c r="I5" s="4" t="n">
        <f aca="false">I32/$CN32</f>
        <v>0.641756740121198</v>
      </c>
      <c r="J5" s="4" t="n">
        <f aca="false">J32/$CN32</f>
        <v>0.358243259878802</v>
      </c>
      <c r="K5" s="4" t="n">
        <v>0</v>
      </c>
      <c r="L5" s="4" t="n">
        <v>0</v>
      </c>
      <c r="M5" s="4" t="n">
        <v>0</v>
      </c>
      <c r="N5" s="4" t="n">
        <f aca="false">SUM(Flows!$V5,Flows!$W5)/$N62</f>
        <v>0.0123979847555838</v>
      </c>
      <c r="O5" s="4" t="n">
        <v>0</v>
      </c>
      <c r="P5" s="4" t="n">
        <v>0</v>
      </c>
      <c r="Q5" s="4" t="n">
        <f aca="false">$Q$27*Q32*(1/COUNTIF($C$26:$CK$26,1))/(MAX(Q$30:Q$52)-MIN(Q$30:Q$52))</f>
        <v>0.00434491687160563</v>
      </c>
      <c r="R5" s="4" t="n">
        <f aca="false">$R$27*R32*(1/COUNTIF($C$26:$CK$26,1))/(MAX(R$30:R$52)-MIN(R$30:R$52))+0.5/COUNTIF($C$26:$CK$26,1)</f>
        <v>0.0300539123032952</v>
      </c>
      <c r="S5" s="4" t="n">
        <v>0</v>
      </c>
      <c r="T5" s="4" t="n">
        <v>0</v>
      </c>
      <c r="U5" s="4" t="n">
        <v>0</v>
      </c>
      <c r="V5" s="4" t="n">
        <f aca="false">$V$27*V32*(1/COUNTIF($C$26:$CK$26,1))/(MAX(V$30:V$52)-MIN(V$30:V$52))</f>
        <v>0.00335640654922433</v>
      </c>
      <c r="W5" s="4" t="n">
        <f aca="false">$V$27*W32*(1/COUNTIF($C$26:$CK$26,1))/(MAX(W$30:W$52)-MIN(W$30:W$52))</f>
        <v>0.0249095589404568</v>
      </c>
      <c r="X5" s="4" t="n">
        <f aca="false">X32/$CO32</f>
        <v>0.122398881623841</v>
      </c>
      <c r="Y5" s="4" t="n">
        <v>0</v>
      </c>
      <c r="Z5" s="4" t="n">
        <f aca="false">Flows!$AA5/$Z62</f>
        <v>0.000133183553479155</v>
      </c>
      <c r="AA5" s="4" t="n">
        <f aca="false">Flows!$AB5/$AA62</f>
        <v>0.00250289449067519</v>
      </c>
      <c r="AB5" s="4" t="n">
        <f aca="false">DemClcs!$A$20*(Populations!$R4+3*Populations!$S4)/AB62</f>
        <v>0.00594841450889677</v>
      </c>
      <c r="AC5" s="4" t="n">
        <f aca="false">Flows!$AD5/$AC62</f>
        <v>0.0186319589284005</v>
      </c>
      <c r="AD5" s="4" t="n">
        <f aca="false">DemClcs!$A$25*(Populations!$R4+3*Populations!$S4)/AD62</f>
        <v>0.059019325878132</v>
      </c>
      <c r="AE5" s="4" t="n">
        <f aca="false">AE32/$CP32</f>
        <v>0.0659797746872902</v>
      </c>
      <c r="AF5" s="4" t="n">
        <f aca="false">$AF$27*AF32*(1/COUNTIF($C$26:$CK$26,1))/(MAX(AF$30:AF$52)-MIN(AF$30:AF$52))</f>
        <v>0.00526453954323988</v>
      </c>
      <c r="AG5" s="4" t="n">
        <f aca="false">$AF$27*AG32*(1/COUNTIF($C$26:$CK$26,1))/(MAX(AG$30:AG$52)-MIN(AG$30:AG$52))</f>
        <v>0.0248485729843404</v>
      </c>
      <c r="AH5" s="4" t="n">
        <f aca="false">$AF$27*AH32*(1/COUNTIF($C$26:$CK$26,1))/(MAX(AH$30:AH$52)-MIN(AH$30:AH$52))</f>
        <v>0.0300641604669369</v>
      </c>
      <c r="AI5" s="4" t="n">
        <f aca="false">$AF$27*AI32*(1/COUNTIF($C$26:$CK$26,1))/(MAX(AI$30:AI$52)-MIN(AI$30:AI$52))</f>
        <v>0.0107323999041832</v>
      </c>
      <c r="AJ5" s="4" t="n">
        <f aca="false">$AF$27*AJ32*(1/COUNTIF($C$26:$CK$26,1))/(MAX(AJ$30:AJ$52)-MIN(AJ$30:AJ$52))</f>
        <v>0.0171065809155493</v>
      </c>
      <c r="AK5" s="4" t="n">
        <f aca="false">$AF$27*AK32*(1/COUNTIF($C$26:$CK$26,1))/(MAX(AK$30:AK$52)-MIN(AK$30:AK$52))</f>
        <v>0.00639701738655469</v>
      </c>
      <c r="AL5" s="4" t="n">
        <f aca="false">$AF$27*AL32*(1/COUNTIF($C$26:$CK$26,1))/(MAX(AL$30:AL$52)-MIN(AL$30:AL$52))</f>
        <v>0.00335195720552791</v>
      </c>
      <c r="AM5" s="4" t="n">
        <f aca="false">$AF$27*AM32*(1/COUNTIF($C$26:$CK$26,1))/(MAX(AM$30:AM$52)-MIN(AM$30:AM$52))</f>
        <v>0.000182489914424118</v>
      </c>
      <c r="AN5" s="4" t="n">
        <f aca="false">$AF$27*AN32*(1/COUNTIF($C$26:$CK$26,1))/(MAX(AN$30:AN$52)-MIN(AN$30:AN$52))</f>
        <v>0.0166155710670379</v>
      </c>
      <c r="AO5" s="4" t="n">
        <f aca="false">$AF$27*AO32*(1/COUNTIF($C$26:$CK$26,1))/(MAX(AO$30:AO$52)-MIN(AO$30:AO$52))</f>
        <v>0.00216011549762309</v>
      </c>
      <c r="AP5" s="4" t="n">
        <f aca="false">$AF$27*AP32*(1/COUNTIF($C$26:$CK$26,1))/(MAX(AP$30:AP$52)-MIN(AP$30:AP$52))</f>
        <v>0.0294715412824542</v>
      </c>
      <c r="AQ5" s="4" t="n">
        <f aca="false">$AF$27*AQ32*(1/COUNTIF($C$26:$CK$26,1))/(MAX(AQ$30:AQ$52)-MIN(AQ$30:AQ$52))</f>
        <v>0.0128991220071363</v>
      </c>
      <c r="AR5" s="4" t="n">
        <f aca="false">$AF$27*AR32*(1/COUNTIF($C$26:$CK$26,1))/(MAX(AR$30:AR$52)-MIN(AR$30:AR$52))</f>
        <v>0.00603890083897938</v>
      </c>
      <c r="AS5" s="4" t="n">
        <f aca="false">$AF$27*AS32*(1/COUNTIF($C$26:$CK$26,1))/(MAX(AS$30:AS$52)-MIN(AS$30:AS$52))</f>
        <v>0.0249820845500456</v>
      </c>
      <c r="AT5" s="4" t="n">
        <f aca="false">AT32/$CP32</f>
        <v>0.0221468865869201</v>
      </c>
      <c r="AU5" s="4" t="n">
        <f aca="false">AU32/$CP32</f>
        <v>0.0349069767644683</v>
      </c>
      <c r="AV5" s="4" t="n">
        <f aca="false">$AF$27*AV32*(1/COUNTIF($C$26:$CK$26,1))/(MAX(AV$30:AV$52)-MIN(AV$30:AV$52))</f>
        <v>0.000445590757706345</v>
      </c>
      <c r="AW5" s="4" t="n">
        <f aca="false">SUM(Flows!AX5,Flows!$AZ5)/$AW62</f>
        <v>0.00297575736997552</v>
      </c>
      <c r="AX5" s="4" t="n">
        <f aca="false">$AX$27*AX32*(1/COUNTIF($C$26:$CK$26,1))/(MAX(AX$30:AX$52)-MIN(AX$30:AX$52))</f>
        <v>0.0192275693148443</v>
      </c>
      <c r="AY5" s="4" t="n">
        <f aca="false">SUM(Flows!$BB5:$BE5)*Capacity!BS5/(AY62*SUM(Capacity!$BS5:$BT5))</f>
        <v>0.0182635223501111</v>
      </c>
      <c r="AZ5" s="4" t="n">
        <f aca="false">SUM(Flows!$BB5:$BE5)*Capacity!BT5/(AZ62*SUM(Capacity!$BS5:$BT5))+(DemClcs!$A$54*Populations!$Q4/AZ62)</f>
        <v>0.0832632015321016</v>
      </c>
      <c r="BA5" s="4" t="n">
        <v>0</v>
      </c>
      <c r="BB5" s="4" t="n">
        <f aca="false">$BB$27*BB32*(1/COUNTIF($C$26:$CK$26,1))/(MAX(BB$30:BB$52)-MIN(BB$30:BB$52))</f>
        <v>0.00258538923401259</v>
      </c>
      <c r="BC5" s="4" t="n">
        <f aca="false">$BB$27*BC32*(1/COUNTIF($C$26:$CK$26,1))/(MAX(BC$30:BC$52)-MIN(BC$30:BC$52))</f>
        <v>0.00165340534390512</v>
      </c>
      <c r="BD5" s="4" t="n">
        <f aca="false">$BB$27*BD32*(1/COUNTIF($C$26:$CK$26,1))/(MAX(BD$30:BD$52)-MIN(BD$30:BD$52))</f>
        <v>0.00170804092857496</v>
      </c>
      <c r="BE5" s="4" t="n">
        <f aca="false">$BB$27*BE32*(1/COUNTIF($C$26:$CK$26,1))/(MAX(BE$30:BE$52)-MIN(BE$30:BE$52))</f>
        <v>0.0026799573538898</v>
      </c>
      <c r="BF5" s="4" t="n">
        <f aca="false">(Flows!$BG5+Flows!$BI5)*1.5*Capacity!$BZ6/(15*$BF62*(Capacity!$S5+Capacity!$BZ5))</f>
        <v>6.81990612561163E-005</v>
      </c>
      <c r="BG5" s="4" t="n">
        <f aca="false">DemClcs!$A$45*(Populations!$R4+3*Populations!$S4)*Capacity!CA5/(BG62*SUM(Capacity!$CA5:$CC5,Capacity!$CE5))</f>
        <v>0.00203687367660151</v>
      </c>
      <c r="BH5" s="4" t="n">
        <f aca="false">DemClcs!$A$45*(Populations!$R4+3*Populations!$S4)*Capacity!CB5/(BH62*SUM(Capacity!$CA5:$CC5,Capacity!$CE5))</f>
        <v>0.00339186516169349</v>
      </c>
      <c r="BI5" s="4" t="n">
        <f aca="false">DemClcs!$A$45*(Populations!$R4+3*Populations!$S4)*Capacity!CC5/(BI62*SUM(Capacity!$CA5:$CC5,Capacity!$CE5))</f>
        <v>0.00203687367660151</v>
      </c>
      <c r="BJ5" s="4" t="n">
        <f aca="false">BJ32/$CP32</f>
        <v>0.102564345603213</v>
      </c>
      <c r="BK5" s="4" t="n">
        <f aca="false">DemClcs!$A$45*(Populations!$R4+3*Populations!$S4)*Capacity!CE5/(BK62*SUM(Capacity!$CA5:$CC5,Capacity!$CE5))</f>
        <v>0.00203687367660151</v>
      </c>
      <c r="BL5" s="4" t="n">
        <f aca="false">BL32/$CP32</f>
        <v>0.0486654689515577</v>
      </c>
      <c r="BM5" s="4" t="n">
        <f aca="false">BM32/$CP32</f>
        <v>0.116918362421844</v>
      </c>
      <c r="BN5" s="4" t="n">
        <v>0</v>
      </c>
      <c r="BO5" s="4" t="n">
        <f aca="false">Flows!BT5*16/(25*BR62)</f>
        <v>0.00504635184802269</v>
      </c>
      <c r="BP5" s="4" t="n">
        <f aca="false">SUM(Flows!$AF5:$AS5,Flows!$AV5)/BP62</f>
        <v>7.24023911307257E-005</v>
      </c>
      <c r="BQ5" s="4" t="n">
        <v>0</v>
      </c>
      <c r="BR5" s="4" t="n">
        <f aca="false">Flows!BU5*16/(25*BR62)</f>
        <v>0.000504635184802268</v>
      </c>
      <c r="BS5" s="4" t="n">
        <f aca="false">Flows!BV5*16/(25*BS62)</f>
        <v>0.000100926950236617</v>
      </c>
      <c r="BT5" s="4" t="n">
        <f aca="false">Flows!$D33*0.8*0.8*$BT$27/(0.75*BT62)</f>
        <v>1.01394684549204E-005</v>
      </c>
      <c r="BU5" s="4" t="n">
        <f aca="false">Flows!$D33*0.8*0.8*$BT$27/(0.75*BU62*10)</f>
        <v>9.29451275034366E-006</v>
      </c>
      <c r="BV5" s="4" t="n">
        <f aca="false">Flows!$D33*0.8*0.8*$BT$27/(0.75*BV62*100)</f>
        <v>7.96672521458028E-006</v>
      </c>
      <c r="BW5" s="4" t="n">
        <v>0</v>
      </c>
      <c r="BX5" s="4" t="n">
        <f aca="false">BX32/$CP32</f>
        <v>0.109106747211681</v>
      </c>
      <c r="BY5" s="4" t="n">
        <f aca="false">BY32/$CP32</f>
        <v>0.0921393236136607</v>
      </c>
      <c r="BZ5" s="4" t="n">
        <f aca="false">BZ32/$CO32</f>
        <v>0.0109358724484961</v>
      </c>
      <c r="CA5" s="4" t="n">
        <f aca="false">CA32/$CO32</f>
        <v>0.0626354726929783</v>
      </c>
      <c r="CB5" s="4" t="n">
        <f aca="false">CB32/$CP32</f>
        <v>0.0262062991612788</v>
      </c>
      <c r="CC5" s="4" t="n">
        <f aca="false">CC32/$CO32</f>
        <v>0.0166896450682609</v>
      </c>
      <c r="CD5" s="4" t="n">
        <v>0</v>
      </c>
      <c r="CE5" s="4" t="n">
        <f aca="false">IF(SUM(Flows!$CJ5:$CK5)&gt;Flows!$BA5,(SUM(Flows!$CJ5:$CK5)-Flows!$BA5)/CE62)</f>
        <v>0.0353812181173697</v>
      </c>
      <c r="CF5" s="4" t="n">
        <f aca="false">CF32/$CO32</f>
        <v>0.0986024733530424</v>
      </c>
      <c r="CG5" s="4" t="n">
        <f aca="false">CG32/$CO32</f>
        <v>0.200059864645344</v>
      </c>
      <c r="CH5" s="4" t="n">
        <f aca="false">CH32/$CO32</f>
        <v>0.0300633132626407</v>
      </c>
      <c r="CI5" s="4" t="n">
        <f aca="false">CI32/$CP32</f>
        <v>0.0708929254692157</v>
      </c>
      <c r="CJ5" s="4" t="n">
        <f aca="false">CJ$27*CJ32*(1/COUNTIF($C$26:$CK$26,1))/(MAX(CJ$30:CJ$52)-MIN(CJ$30:CJ$52))</f>
        <v>0.000230017024691768</v>
      </c>
      <c r="CK5" s="4" t="n">
        <f aca="false">CK$27*CK32*(1/COUNTIF($C$26:$CK$26,1))/(MAX(CK$30:CK$52)-MIN(CK$30:CK$52))</f>
        <v>0.00144403118514863</v>
      </c>
      <c r="CL5" s="4" t="n">
        <v>0</v>
      </c>
      <c r="CN5" s="4" t="n">
        <f aca="false">SUM(C5:CK5)</f>
        <v>3</v>
      </c>
      <c r="CP5" s="0"/>
      <c r="CR5" s="0" t="s">
        <v>270</v>
      </c>
    </row>
    <row r="6" customFormat="false" ht="12.8" hidden="false" customHeight="false" outlineLevel="0" collapsed="false">
      <c r="A6" s="4" t="s">
        <v>137</v>
      </c>
      <c r="B6" s="7" t="s">
        <v>39</v>
      </c>
      <c r="C6" s="4" t="n">
        <f aca="false">Flows!$BG6*2*Capacity!$S6/(5*15*C63*(Capacity!$S6+Capacity!$BZ6))</f>
        <v>6.67689324363324E-006</v>
      </c>
      <c r="D6" s="4" t="n">
        <f aca="false">(DemClcs!$A$32*(Populations!$R5+3*Populations!$S5)/D63)+MAX((Flows!K6+Flows!M6)/1826.484018+Flows!L6/1111.111111-Flows!$F6,0)/D63</f>
        <v>0.281176000905555</v>
      </c>
      <c r="E6" s="4" t="n">
        <f aca="false">DemClcs!$A$40*(Populations!$R5+3*Populations!$S5)/E63</f>
        <v>0.148426195942093</v>
      </c>
      <c r="F6" s="4" t="n">
        <v>0</v>
      </c>
      <c r="G6" s="4" t="n">
        <f aca="false">Flows!Q6*40/G63</f>
        <v>0.0386691180725206</v>
      </c>
      <c r="H6" s="4" t="n">
        <f aca="false">IF(Flows!$AW6&gt;Flows!$Y6,(Flows!$AW6-Flows!$Y6)/H63)</f>
        <v>0.00265892733249884</v>
      </c>
      <c r="I6" s="4" t="n">
        <f aca="false">I33/$CN33</f>
        <v>0.661039158346188</v>
      </c>
      <c r="J6" s="4" t="n">
        <f aca="false">J33/$CN33</f>
        <v>0.338960841653812</v>
      </c>
      <c r="K6" s="4" t="n">
        <v>0</v>
      </c>
      <c r="L6" s="4" t="n">
        <v>0</v>
      </c>
      <c r="M6" s="4" t="n">
        <v>0</v>
      </c>
      <c r="N6" s="4" t="n">
        <f aca="false">SUM(Flows!$V6,Flows!$W6)/$N63</f>
        <v>0.0296240405238966</v>
      </c>
      <c r="O6" s="4" t="n">
        <v>0</v>
      </c>
      <c r="P6" s="4" t="n">
        <v>0</v>
      </c>
      <c r="Q6" s="4" t="n">
        <f aca="false">$Q$27*Q33*(1/COUNTIF($C$26:$CK$26,1))/(MAX(Q$30:Q$52)-MIN(Q$30:Q$52))</f>
        <v>0.0049570019119254</v>
      </c>
      <c r="R6" s="4" t="n">
        <f aca="false">$R$27*R33*(1/COUNTIF($C$26:$CK$26,1))/(MAX(R$30:R$52)-MIN(R$30:R$52))+0.5/COUNTIF($C$26:$CK$26,1)</f>
        <v>0.0290196508427801</v>
      </c>
      <c r="S6" s="4" t="n">
        <v>0</v>
      </c>
      <c r="T6" s="4" t="n">
        <v>0</v>
      </c>
      <c r="U6" s="4" t="n">
        <v>0</v>
      </c>
      <c r="V6" s="4" t="n">
        <f aca="false">$V$27*V33*(1/COUNTIF($C$26:$CK$26,1))/(MAX(V$30:V$52)-MIN(V$30:V$52))</f>
        <v>0.00404048502169669</v>
      </c>
      <c r="W6" s="4" t="n">
        <f aca="false">$V$27*W33*(1/COUNTIF($C$26:$CK$26,1))/(MAX(W$30:W$52)-MIN(W$30:W$52))</f>
        <v>0.015583630358284</v>
      </c>
      <c r="X6" s="4" t="n">
        <f aca="false">X33/$CO33</f>
        <v>0.0108947445483635</v>
      </c>
      <c r="Y6" s="4" t="n">
        <v>0</v>
      </c>
      <c r="Z6" s="4" t="n">
        <f aca="false">Flows!$AA6/$Z63</f>
        <v>0.000268992741165998</v>
      </c>
      <c r="AA6" s="4" t="n">
        <f aca="false">Flows!$AB6/$AA63</f>
        <v>0.00507196486255165</v>
      </c>
      <c r="AB6" s="4" t="n">
        <f aca="false">DemClcs!$A$20*(Populations!$R5+3*Populations!$S5)/AB63</f>
        <v>0.0130122972056923</v>
      </c>
      <c r="AC6" s="4" t="n">
        <f aca="false">Flows!$AD6/$AC63</f>
        <v>0.0405087141371926</v>
      </c>
      <c r="AD6" s="4" t="n">
        <f aca="false">DemClcs!$A$25*(Populations!$R5+3*Populations!$S5)/AD63</f>
        <v>0.129106169056852</v>
      </c>
      <c r="AE6" s="4" t="n">
        <f aca="false">AE33/$CP33</f>
        <v>0.0391697927275206</v>
      </c>
      <c r="AF6" s="4" t="n">
        <f aca="false">$AF$27*AF33*(1/COUNTIF($C$26:$CK$26,1))/(MAX(AF$30:AF$52)-MIN(AF$30:AF$52))</f>
        <v>0.0155147653397439</v>
      </c>
      <c r="AG6" s="4" t="n">
        <f aca="false">$AF$27*AG33*(1/COUNTIF($C$26:$CK$26,1))/(MAX(AG$30:AG$52)-MIN(AG$30:AG$52))</f>
        <v>0.00223670063164075</v>
      </c>
      <c r="AH6" s="4" t="n">
        <f aca="false">$AF$27*AH33*(1/COUNTIF($C$26:$CK$26,1))/(MAX(AH$30:AH$52)-MIN(AH$30:AH$52))</f>
        <v>0.0132279196606647</v>
      </c>
      <c r="AI6" s="4" t="n">
        <f aca="false">$AF$27*AI33*(1/COUNTIF($C$26:$CK$26,1))/(MAX(AI$30:AI$52)-MIN(AI$30:AI$52))</f>
        <v>0.0204870138208963</v>
      </c>
      <c r="AJ6" s="4" t="n">
        <f aca="false">$AF$27*AJ33*(1/COUNTIF($C$26:$CK$26,1))/(MAX(AJ$30:AJ$52)-MIN(AJ$30:AJ$52))</f>
        <v>0.0303057339818661</v>
      </c>
      <c r="AK6" s="4" t="n">
        <f aca="false">$AF$27*AK33*(1/COUNTIF($C$26:$CK$26,1))/(MAX(AK$30:AK$52)-MIN(AK$30:AK$52))</f>
        <v>0.0272948928489559</v>
      </c>
      <c r="AL6" s="4" t="n">
        <f aca="false">$AF$27*AL33*(1/COUNTIF($C$26:$CK$26,1))/(MAX(AL$30:AL$52)-MIN(AL$30:AL$52))</f>
        <v>0.0173073694593905</v>
      </c>
      <c r="AM6" s="4" t="n">
        <f aca="false">$AF$27*AM33*(1/COUNTIF($C$26:$CK$26,1))/(MAX(AM$30:AM$52)-MIN(AM$30:AM$52))</f>
        <v>0.022098978443572</v>
      </c>
      <c r="AN6" s="4" t="n">
        <f aca="false">$AF$27*AN33*(1/COUNTIF($C$26:$CK$26,1))/(MAX(AN$30:AN$52)-MIN(AN$30:AN$52))</f>
        <v>0.0209746922267318</v>
      </c>
      <c r="AO6" s="4" t="n">
        <f aca="false">$AF$27*AO33*(1/COUNTIF($C$26:$CK$26,1))/(MAX(AO$30:AO$52)-MIN(AO$30:AO$52))</f>
        <v>0.0138351517086745</v>
      </c>
      <c r="AP6" s="4" t="n">
        <f aca="false">$AF$27*AP33*(1/COUNTIF($C$26:$CK$26,1))/(MAX(AP$30:AP$52)-MIN(AP$30:AP$52))</f>
        <v>0.022773726636656</v>
      </c>
      <c r="AQ6" s="4" t="n">
        <f aca="false">$AF$27*AQ33*(1/COUNTIF($C$26:$CK$26,1))/(MAX(AQ$30:AQ$52)-MIN(AQ$30:AQ$52))</f>
        <v>0.00711427196189401</v>
      </c>
      <c r="AR6" s="4" t="n">
        <f aca="false">$AF$27*AR33*(1/COUNTIF($C$26:$CK$26,1))/(MAX(AR$30:AR$52)-MIN(AR$30:AR$52))</f>
        <v>0.000395788192019906</v>
      </c>
      <c r="AS6" s="4" t="n">
        <f aca="false">$AF$27*AS33*(1/COUNTIF($C$26:$CK$26,1))/(MAX(AS$30:AS$52)-MIN(AS$30:AS$52))</f>
        <v>0.0230083845899381</v>
      </c>
      <c r="AT6" s="4" t="n">
        <f aca="false">AT33/$CP33</f>
        <v>0.0776283278336362</v>
      </c>
      <c r="AU6" s="4" t="n">
        <f aca="false">AU33/$CP33</f>
        <v>0.0639208684264407</v>
      </c>
      <c r="AV6" s="4" t="n">
        <f aca="false">$AF$27*AV33*(1/COUNTIF($C$26:$CK$26,1))/(MAX(AV$30:AV$52)-MIN(AV$30:AV$52))</f>
        <v>0.0267274646242934</v>
      </c>
      <c r="AW6" s="4" t="n">
        <f aca="false">SUM(Flows!AX6,Flows!$AZ6)/$AW63</f>
        <v>0.00662028520982011</v>
      </c>
      <c r="AX6" s="4" t="n">
        <f aca="false">$AX$27*AX33*(1/COUNTIF($C$26:$CK$26,1))/(MAX(AX$30:AX$52)-MIN(AX$30:AX$52))</f>
        <v>0.0120160584417365</v>
      </c>
      <c r="AY6" s="4" t="n">
        <f aca="false">SUM(Flows!$BB6:$BE6)*Capacity!BS6/(AY63*SUM(Capacity!$BS6:$BT6))</f>
        <v>0.0386201806541142</v>
      </c>
      <c r="AZ6" s="4" t="n">
        <f aca="false">SUM(Flows!$BB6:$BE6)*Capacity!BT6/(AZ63*SUM(Capacity!$BS6:$BT6))+(DemClcs!$A$54*Populations!$Q5/AZ63)</f>
        <v>0.185418973586298</v>
      </c>
      <c r="BA6" s="4" t="n">
        <v>0</v>
      </c>
      <c r="BB6" s="4" t="n">
        <f aca="false">$BB$27*BB33*(1/COUNTIF($C$26:$CK$26,1))/(MAX(BB$30:BB$52)-MIN(BB$30:BB$52))</f>
        <v>0.00289115666433432</v>
      </c>
      <c r="BC6" s="4" t="n">
        <f aca="false">$BB$27*BC33*(1/COUNTIF($C$26:$CK$26,1))/(MAX(BC$30:BC$52)-MIN(BC$30:BC$52))</f>
        <v>0.00187995914636867</v>
      </c>
      <c r="BD6" s="4" t="n">
        <f aca="false">$BB$27*BD33*(1/COUNTIF($C$26:$CK$26,1))/(MAX(BD$30:BD$52)-MIN(BD$30:BD$52))</f>
        <v>0.00287389919707532</v>
      </c>
      <c r="BE6" s="4" t="n">
        <f aca="false">$BB$27*BE33*(1/COUNTIF($C$26:$CK$26,1))/(MAX(BE$30:BE$52)-MIN(BE$30:BE$52))</f>
        <v>0.00278303832780924</v>
      </c>
      <c r="BF6" s="4" t="n">
        <f aca="false">(Flows!$BG6+Flows!$BI6)*1.5*Capacity!$BZ7/(15*$BF63*(Capacity!$S6+Capacity!$BZ6))</f>
        <v>1.258444699836E-005</v>
      </c>
      <c r="BG6" s="4" t="n">
        <f aca="false">DemClcs!$A$45*(Populations!$R5+3*Populations!$S5)*Capacity!CA6/(BG63*SUM(Capacity!$CA6:$CC6,Capacity!$CE6))</f>
        <v>0.00640874986275437</v>
      </c>
      <c r="BH6" s="4" t="n">
        <f aca="false">DemClcs!$A$45*(Populations!$R5+3*Populations!$S5)*Capacity!CB6/(BH63*SUM(Capacity!$CA6:$CC6,Capacity!$CE6))</f>
        <v>0.000949778532602814</v>
      </c>
      <c r="BI6" s="4" t="n">
        <f aca="false">DemClcs!$A$45*(Populations!$R5+3*Populations!$S5)*Capacity!CC6/(BI63*SUM(Capacity!$CA6:$CC6,Capacity!$CE6))</f>
        <v>0.00640874986275437</v>
      </c>
      <c r="BJ6" s="4" t="n">
        <f aca="false">BJ33/$CP33</f>
        <v>0.0763569357242602</v>
      </c>
      <c r="BK6" s="4" t="n">
        <f aca="false">DemClcs!$A$45*(Populations!$R5+3*Populations!$S5)*Capacity!CE6/(BK63*SUM(Capacity!$CA6:$CC6,Capacity!$CE6))</f>
        <v>0.00640874986275437</v>
      </c>
      <c r="BL6" s="4" t="n">
        <f aca="false">BL33/$CP33</f>
        <v>0.00576560508835513</v>
      </c>
      <c r="BM6" s="4" t="n">
        <f aca="false">BM33/$CP33</f>
        <v>0.0462449529098046</v>
      </c>
      <c r="BN6" s="4" t="n">
        <v>0</v>
      </c>
      <c r="BO6" s="4" t="n">
        <f aca="false">Flows!BT6*16/(25*BR63)</f>
        <v>0.0129000128459444</v>
      </c>
      <c r="BP6" s="4" t="n">
        <f aca="false">SUM(Flows!$AF6:$AS6,Flows!$AV6)/BP63</f>
        <v>0.000109713622137933</v>
      </c>
      <c r="BQ6" s="4" t="n">
        <v>0</v>
      </c>
      <c r="BR6" s="4" t="n">
        <f aca="false">Flows!BU6*16/(25*BR63)</f>
        <v>0.00129000128459444</v>
      </c>
      <c r="BS6" s="4" t="n">
        <f aca="false">Flows!BV6*16/(25*BS63)</f>
        <v>0.000258000106537442</v>
      </c>
      <c r="BT6" s="4" t="n">
        <f aca="false">Flows!$D34*0.8*0.8*$BT$27/(0.75*BT63)</f>
        <v>1.71359097111822E-005</v>
      </c>
      <c r="BU6" s="4" t="n">
        <f aca="false">Flows!$D34*0.8*0.8*$BT$27/(0.75*BU63*10)</f>
        <v>1.57079172352504E-005</v>
      </c>
      <c r="BV6" s="4" t="n">
        <f aca="false">Flows!$D34*0.8*0.8*$BT$27/(0.75*BV63*100)</f>
        <v>1.3463929058786E-005</v>
      </c>
      <c r="BW6" s="4" t="n">
        <v>0</v>
      </c>
      <c r="BX6" s="4" t="n">
        <f aca="false">BX33/$CP33</f>
        <v>0.0612999173285298</v>
      </c>
      <c r="BY6" s="4" t="n">
        <f aca="false">BY33/$CP33</f>
        <v>0.00857653831772705</v>
      </c>
      <c r="BZ6" s="4" t="n">
        <f aca="false">BZ33/$CO33</f>
        <v>0.0198553463385411</v>
      </c>
      <c r="CA6" s="4" t="n">
        <f aca="false">CA33/$CO33</f>
        <v>0.0137997101313337</v>
      </c>
      <c r="CB6" s="4" t="n">
        <f aca="false">CB33/$CP33</f>
        <v>0.0874716919229471</v>
      </c>
      <c r="CC6" s="4" t="n">
        <f aca="false">CC33/$CO33</f>
        <v>0.0166463538432816</v>
      </c>
      <c r="CD6" s="4" t="n">
        <v>0</v>
      </c>
      <c r="CE6" s="4" t="n">
        <f aca="false">IF(SUM(Flows!$CJ6:$CK6)&gt;Flows!$BA6,(SUM(Flows!$CJ6:$CK6)-Flows!$BA6)/CE63)</f>
        <v>0.085517765336046</v>
      </c>
      <c r="CF6" s="4" t="n">
        <f aca="false">CF33/$CO33</f>
        <v>0.0202117656026213</v>
      </c>
      <c r="CG6" s="4" t="n">
        <f aca="false">CG33/$CO33</f>
        <v>0.00206264124243744</v>
      </c>
      <c r="CH6" s="4" t="n">
        <f aca="false">CH33/$CO33</f>
        <v>0.00340754536824711</v>
      </c>
      <c r="CI6" s="4" t="n">
        <f aca="false">CI33/$CP33</f>
        <v>0.0648744429468491</v>
      </c>
      <c r="CJ6" s="4" t="n">
        <f aca="false">CJ$27*CJ33*(1/COUNTIF($C$26:$CK$26,1))/(MAX(CJ$30:CJ$52)-MIN(CJ$30:CJ$52))</f>
        <v>0.00146093195683864</v>
      </c>
      <c r="CK6" s="4" t="n">
        <f aca="false">CK$27*CK33*(1/COUNTIF($C$26:$CK$26,1))/(MAX(CK$30:CK$52)-MIN(CK$30:CK$52))</f>
        <v>0.00150520306069211</v>
      </c>
      <c r="CL6" s="4" t="n">
        <v>0</v>
      </c>
      <c r="CN6" s="4" t="n">
        <f aca="false">SUM(C6:CK6)</f>
        <v>3</v>
      </c>
      <c r="CP6" s="0"/>
      <c r="CR6" s="0" t="s">
        <v>271</v>
      </c>
    </row>
    <row r="7" customFormat="false" ht="12.8" hidden="false" customHeight="false" outlineLevel="0" collapsed="false">
      <c r="A7" s="4" t="s">
        <v>139</v>
      </c>
      <c r="B7" s="7" t="s">
        <v>39</v>
      </c>
      <c r="C7" s="4" t="n">
        <f aca="false">Flows!$BG7*2*Capacity!$S7/(5*15*C64*(Capacity!$S7+Capacity!$BZ7))</f>
        <v>7.41701584181065E-007</v>
      </c>
      <c r="D7" s="4" t="n">
        <f aca="false">(DemClcs!$A$32*(Populations!$R6+3*Populations!$S6)/D64)+MAX((Flows!K7+Flows!M7)/1826.484018+Flows!L7/1111.111111-Flows!$F7,0)/D64</f>
        <v>0.0603087496766556</v>
      </c>
      <c r="E7" s="4" t="n">
        <f aca="false">DemClcs!$A$40*(Populations!$R6+3*Populations!$S6)/E64</f>
        <v>0.013807016559092</v>
      </c>
      <c r="F7" s="4" t="n">
        <v>0</v>
      </c>
      <c r="G7" s="4" t="n">
        <f aca="false">Flows!Q7*40/G64</f>
        <v>0.00177594963895841</v>
      </c>
      <c r="H7" s="4" t="n">
        <f aca="false">IF(Flows!$AW7&gt;Flows!$Y7,(Flows!$AW7-Flows!$Y7)/H64)</f>
        <v>0</v>
      </c>
      <c r="I7" s="4" t="n">
        <f aca="false">I34/$CN34</f>
        <v>0.634435659377899</v>
      </c>
      <c r="J7" s="4" t="n">
        <f aca="false">J34/$CN34</f>
        <v>0.365564340622101</v>
      </c>
      <c r="K7" s="4" t="n">
        <v>0</v>
      </c>
      <c r="L7" s="4" t="n">
        <v>0</v>
      </c>
      <c r="M7" s="4" t="n">
        <v>0</v>
      </c>
      <c r="N7" s="4" t="n">
        <f aca="false">SUM(Flows!$V7,Flows!$W7)/$N64</f>
        <v>0.00202426541196702</v>
      </c>
      <c r="O7" s="4" t="n">
        <v>0</v>
      </c>
      <c r="P7" s="4" t="n">
        <v>0</v>
      </c>
      <c r="Q7" s="4" t="n">
        <f aca="false">$Q$27*Q34*(1/COUNTIF($C$26:$CK$26,1))/(MAX(Q$30:Q$52)-MIN(Q$30:Q$52))</f>
        <v>0.00269487649727036</v>
      </c>
      <c r="R7" s="4" t="n">
        <f aca="false">$R$27*R34*(1/COUNTIF($C$26:$CK$26,1))/(MAX(R$30:R$52)-MIN(R$30:R$52))+0.5/COUNTIF($C$26:$CK$26,1)</f>
        <v>0.0313056985864093</v>
      </c>
      <c r="S7" s="4" t="n">
        <v>0</v>
      </c>
      <c r="T7" s="4" t="n">
        <v>0</v>
      </c>
      <c r="U7" s="4" t="n">
        <v>0</v>
      </c>
      <c r="V7" s="4" t="n">
        <f aca="false">$V$27*V34*(1/COUNTIF($C$26:$CK$26,1))/(MAX(V$30:V$52)-MIN(V$30:V$52))</f>
        <v>0.00176396508207332</v>
      </c>
      <c r="W7" s="4" t="n">
        <f aca="false">$V$27*W34*(1/COUNTIF($C$26:$CK$26,1))/(MAX(W$30:W$52)-MIN(W$30:W$52))</f>
        <v>0.0117817283413828</v>
      </c>
      <c r="X7" s="4" t="n">
        <f aca="false">X34/$CO34</f>
        <v>0.0431167101015326</v>
      </c>
      <c r="Y7" s="4" t="n">
        <v>0</v>
      </c>
      <c r="Z7" s="4" t="n">
        <f aca="false">Flows!$AA7/$Z64</f>
        <v>1.54695218381474E-005</v>
      </c>
      <c r="AA7" s="4" t="n">
        <f aca="false">Flows!$AB7/$AA64</f>
        <v>0.000586898073773368</v>
      </c>
      <c r="AB7" s="4" t="n">
        <f aca="false">DemClcs!$A$20*(Populations!$R6+3*Populations!$S6)/AB64</f>
        <v>0.00254369992406021</v>
      </c>
      <c r="AC7" s="4" t="n">
        <f aca="false">Flows!$AD7/$AC64</f>
        <v>0.00268520867958581</v>
      </c>
      <c r="AD7" s="4" t="n">
        <f aca="false">DemClcs!$A$25*(Populations!$R6+3*Populations!$S6)/AD64</f>
        <v>0.025238230209033</v>
      </c>
      <c r="AE7" s="4" t="n">
        <f aca="false">AE34/$CP34</f>
        <v>0.0544287858198655</v>
      </c>
      <c r="AF7" s="4" t="n">
        <f aca="false">$AF$27*AF34*(1/COUNTIF($C$26:$CK$26,1))/(MAX(AF$30:AF$52)-MIN(AF$30:AF$52))</f>
        <v>0.00589816034829233</v>
      </c>
      <c r="AG7" s="4" t="n">
        <f aca="false">$AF$27*AG34*(1/COUNTIF($C$26:$CK$26,1))/(MAX(AG$30:AG$52)-MIN(AG$30:AG$52))</f>
        <v>0.0187165879842821</v>
      </c>
      <c r="AH7" s="4" t="n">
        <f aca="false">$AF$27*AH34*(1/COUNTIF($C$26:$CK$26,1))/(MAX(AH$30:AH$52)-MIN(AH$30:AH$52))</f>
        <v>0.0124341405233294</v>
      </c>
      <c r="AI7" s="4" t="n">
        <f aca="false">$AF$27*AI34*(1/COUNTIF($C$26:$CK$26,1))/(MAX(AI$30:AI$52)-MIN(AI$30:AI$52))</f>
        <v>0.024540832756655</v>
      </c>
      <c r="AJ7" s="4" t="n">
        <f aca="false">$AF$27*AJ34*(1/COUNTIF($C$26:$CK$26,1))/(MAX(AJ$30:AJ$52)-MIN(AJ$30:AJ$52))</f>
        <v>0.0210082995300055</v>
      </c>
      <c r="AK7" s="4" t="n">
        <f aca="false">$AF$27*AK34*(1/COUNTIF($C$26:$CK$26,1))/(MAX(AK$30:AK$52)-MIN(AK$30:AK$52))</f>
        <v>0.00106971538785249</v>
      </c>
      <c r="AL7" s="4" t="n">
        <f aca="false">$AF$27*AL34*(1/COUNTIF($C$26:$CK$26,1))/(MAX(AL$30:AL$52)-MIN(AL$30:AL$52))</f>
        <v>0.0157559222660007</v>
      </c>
      <c r="AM7" s="4" t="n">
        <f aca="false">$AF$27*AM34*(1/COUNTIF($C$26:$CK$26,1))/(MAX(AM$30:AM$52)-MIN(AM$30:AM$52))</f>
        <v>0.0263163317098866</v>
      </c>
      <c r="AN7" s="4" t="n">
        <f aca="false">$AF$27*AN34*(1/COUNTIF($C$26:$CK$26,1))/(MAX(AN$30:AN$52)-MIN(AN$30:AN$52))</f>
        <v>0.00517829283983475</v>
      </c>
      <c r="AO7" s="4" t="n">
        <f aca="false">$AF$27*AO34*(1/COUNTIF($C$26:$CK$26,1))/(MAX(AO$30:AO$52)-MIN(AO$30:AO$52))</f>
        <v>0.0112513137163548</v>
      </c>
      <c r="AP7" s="4" t="n">
        <f aca="false">$AF$27*AP34*(1/COUNTIF($C$26:$CK$26,1))/(MAX(AP$30:AP$52)-MIN(AP$30:AP$52))</f>
        <v>0.0264403035523851</v>
      </c>
      <c r="AQ7" s="4" t="n">
        <f aca="false">$AF$27*AQ34*(1/COUNTIF($C$26:$CK$26,1))/(MAX(AQ$30:AQ$52)-MIN(AQ$30:AQ$52))</f>
        <v>0.00476990632304623</v>
      </c>
      <c r="AR7" s="4" t="n">
        <f aca="false">$AF$27*AR34*(1/COUNTIF($C$26:$CK$26,1))/(MAX(AR$30:AR$52)-MIN(AR$30:AR$52))</f>
        <v>0.00878795228939399</v>
      </c>
      <c r="AS7" s="4" t="n">
        <f aca="false">$AF$27*AS34*(1/COUNTIF($C$26:$CK$26,1))/(MAX(AS$30:AS$52)-MIN(AS$30:AS$52))</f>
        <v>0.0237057964304875</v>
      </c>
      <c r="AT7" s="4" t="n">
        <f aca="false">AT34/$CP34</f>
        <v>0.0161867007397684</v>
      </c>
      <c r="AU7" s="4" t="n">
        <f aca="false">AU34/$CP34</f>
        <v>0.117618788826804</v>
      </c>
      <c r="AV7" s="4" t="n">
        <f aca="false">$AF$27*AV34*(1/COUNTIF($C$26:$CK$26,1))/(MAX(AV$30:AV$52)-MIN(AV$30:AV$52))</f>
        <v>0.0233033558783949</v>
      </c>
      <c r="AW7" s="4" t="n">
        <f aca="false">SUM(Flows!AX7,Flows!$AZ7)/$AW64</f>
        <v>0.000456338015980484</v>
      </c>
      <c r="AX7" s="4" t="n">
        <f aca="false">$AX$27*AX34*(1/COUNTIF($C$26:$CK$26,1))/(MAX(AX$30:AX$52)-MIN(AX$30:AX$52))</f>
        <v>0.00264851213668954</v>
      </c>
      <c r="AY7" s="4" t="n">
        <f aca="false">SUM(Flows!$BB7:$BE7)*Capacity!BS7/(AY64*SUM(Capacity!$BS7:$BT7))</f>
        <v>0.00317250614935321</v>
      </c>
      <c r="AZ7" s="4" t="n">
        <f aca="false">SUM(Flows!$BB7:$BE7)*Capacity!BT7/(AZ64*SUM(Capacity!$BS7:$BT7))+(DemClcs!$A$54*Populations!$Q6/AZ64)</f>
        <v>0.0211592188309848</v>
      </c>
      <c r="BA7" s="4" t="n">
        <v>0</v>
      </c>
      <c r="BB7" s="4" t="n">
        <f aca="false">$BB$27*BB34*(1/COUNTIF($C$26:$CK$26,1))/(MAX(BB$30:BB$52)-MIN(BB$30:BB$52))</f>
        <v>0.0019620266346427</v>
      </c>
      <c r="BC7" s="4" t="n">
        <f aca="false">$BB$27*BC34*(1/COUNTIF($C$26:$CK$26,1))/(MAX(BC$30:BC$52)-MIN(BC$30:BC$52))</f>
        <v>0.00270769711398171</v>
      </c>
      <c r="BD7" s="4" t="n">
        <f aca="false">$BB$27*BD34*(1/COUNTIF($C$26:$CK$26,1))/(MAX(BD$30:BD$52)-MIN(BD$30:BD$52))</f>
        <v>0.00173449348810928</v>
      </c>
      <c r="BE7" s="4" t="n">
        <f aca="false">$BB$27*BE34*(1/COUNTIF($C$26:$CK$26,1))/(MAX(BE$30:BE$52)-MIN(BE$30:BE$52))</f>
        <v>0.00222109215465794</v>
      </c>
      <c r="BF7" s="4" t="n">
        <f aca="false">(Flows!$BG7+Flows!$BI7)*1.5*Capacity!$BZ8/(15*$BF64*(Capacity!$S7+Capacity!$BZ7))</f>
        <v>1.3352282853765E-005</v>
      </c>
      <c r="BG7" s="4" t="n">
        <f aca="false">DemClcs!$A$45*(Populations!$R6+3*Populations!$S6)*Capacity!CA7/(BG64*SUM(Capacity!$CA7:$CC7,Capacity!$CE7))</f>
        <v>0.0012364581364612</v>
      </c>
      <c r="BH7" s="4" t="n">
        <f aca="false">DemClcs!$A$45*(Populations!$R6+3*Populations!$S6)*Capacity!CB7/(BH64*SUM(Capacity!$CA7:$CC7,Capacity!$CE7))</f>
        <v>5.34377916246898E-007</v>
      </c>
      <c r="BI7" s="4" t="n">
        <f aca="false">DemClcs!$A$45*(Populations!$R6+3*Populations!$S6)*Capacity!CC7/(BI64*SUM(Capacity!$CA7:$CC7,Capacity!$CE7))</f>
        <v>0.0012364581364612</v>
      </c>
      <c r="BJ7" s="4" t="n">
        <f aca="false">BJ34/$CP34</f>
        <v>0.0615280332271781</v>
      </c>
      <c r="BK7" s="4" t="n">
        <f aca="false">DemClcs!$A$45*(Populations!$R6+3*Populations!$S6)*Capacity!CE7/(BK64*SUM(Capacity!$CA7:$CC7,Capacity!$CE7))</f>
        <v>0.0012364581364612</v>
      </c>
      <c r="BL7" s="4" t="n">
        <f aca="false">BL34/$CP34</f>
        <v>0.120656089022953</v>
      </c>
      <c r="BM7" s="4" t="n">
        <f aca="false">BM34/$CP34</f>
        <v>0.0899778947194832</v>
      </c>
      <c r="BN7" s="4" t="n">
        <v>0</v>
      </c>
      <c r="BO7" s="4" t="n">
        <f aca="false">Flows!BT7*16/(25*BR64)</f>
        <v>0.000159144753293116</v>
      </c>
      <c r="BP7" s="4" t="n">
        <f aca="false">SUM(Flows!$AF7:$AS7,Flows!$AV7)/BP64</f>
        <v>3.51097119582281E-006</v>
      </c>
      <c r="BQ7" s="4" t="n">
        <v>0</v>
      </c>
      <c r="BR7" s="4" t="n">
        <f aca="false">Flows!BU7*16/(25*BR64)</f>
        <v>1.59144753293116E-005</v>
      </c>
      <c r="BS7" s="4" t="n">
        <f aca="false">Flows!BV7*16/(25*BS64)</f>
        <v>3.18289426466415E-006</v>
      </c>
      <c r="BT7" s="4" t="n">
        <f aca="false">Flows!$D35*0.8*0.8*$BT$27/(0.75*BT64)</f>
        <v>6.51877256306391E-006</v>
      </c>
      <c r="BU7" s="4" t="n">
        <f aca="false">Flows!$D35*0.8*0.8*$BT$27/(0.75*BU64*10)</f>
        <v>5.97554151614192E-006</v>
      </c>
      <c r="BV7" s="4" t="n">
        <f aca="false">Flows!$D35*0.8*0.8*$BT$27/(0.75*BV64*100)</f>
        <v>5.12189272812164E-006</v>
      </c>
      <c r="BW7" s="4" t="n">
        <v>0</v>
      </c>
      <c r="BX7" s="4" t="n">
        <f aca="false">BX34/$CP34</f>
        <v>0.0898434511210977</v>
      </c>
      <c r="BY7" s="4" t="n">
        <f aca="false">BY34/$CP34</f>
        <v>0.0763337625367131</v>
      </c>
      <c r="BZ7" s="4" t="n">
        <f aca="false">BZ34/$CO34</f>
        <v>0.101042477441879</v>
      </c>
      <c r="CA7" s="4" t="n">
        <f aca="false">CA34/$CO34</f>
        <v>0.167020615053354</v>
      </c>
      <c r="CB7" s="4" t="n">
        <f aca="false">CB34/$CP34</f>
        <v>0.0284497530691792</v>
      </c>
      <c r="CC7" s="4" t="n">
        <f aca="false">CC34/$CO34</f>
        <v>0.135815042009759</v>
      </c>
      <c r="CD7" s="4" t="n">
        <v>0</v>
      </c>
      <c r="CE7" s="4" t="n">
        <f aca="false">IF(SUM(Flows!$CJ7:$CK7)&gt;Flows!$BA7,(SUM(Flows!$CJ7:$CK7)-Flows!$BA7)/CE64)</f>
        <v>0.00204222340862459</v>
      </c>
      <c r="CF7" s="4" t="n">
        <f aca="false">CF34/$CO34</f>
        <v>0.162938751331208</v>
      </c>
      <c r="CG7" s="4" t="n">
        <f aca="false">CG34/$CO34</f>
        <v>0.0938875849889637</v>
      </c>
      <c r="CH7" s="4" t="n">
        <f aca="false">CH34/$CO34</f>
        <v>0.154581815378644</v>
      </c>
      <c r="CI7" s="4" t="n">
        <f aca="false">CI34/$CP34</f>
        <v>0.0582065943756354</v>
      </c>
      <c r="CJ7" s="4" t="n">
        <f aca="false">CJ$27*CJ34*(1/COUNTIF($C$26:$CK$26,1))/(MAX(CJ$30:CJ$52)-MIN(CJ$30:CJ$52))</f>
        <v>0.00019625988636787</v>
      </c>
      <c r="CK7" s="4" t="n">
        <f aca="false">CK$27*CK34*(1/COUNTIF($C$26:$CK$26,1))/(MAX(CK$30:CK$52)-MIN(CK$30:CK$52))</f>
        <v>0.000434742605662173</v>
      </c>
      <c r="CL7" s="4" t="n">
        <v>0</v>
      </c>
      <c r="CN7" s="4" t="n">
        <f aca="false">SUM(C7:CK7)</f>
        <v>3</v>
      </c>
      <c r="CP7" s="0"/>
      <c r="CR7" s="0" t="s">
        <v>272</v>
      </c>
    </row>
    <row r="8" customFormat="false" ht="12.8" hidden="false" customHeight="false" outlineLevel="0" collapsed="false">
      <c r="A8" s="4" t="s">
        <v>140</v>
      </c>
      <c r="B8" s="7" t="s">
        <v>39</v>
      </c>
      <c r="C8" s="4" t="n">
        <f aca="false">Flows!$BG8*2*Capacity!$S8/(5*15*C65*(Capacity!$S8+Capacity!$BZ8))</f>
        <v>1.86491548730037E-006</v>
      </c>
      <c r="D8" s="4" t="n">
        <f aca="false">(DemClcs!$A$32*(Populations!$R7+3*Populations!$S7)/D65)+MAX((Flows!K8+Flows!M8)/1826.484018+Flows!L8/1111.111111-Flows!$F8,0)/D65</f>
        <v>0.192692601013381</v>
      </c>
      <c r="E8" s="4" t="n">
        <f aca="false">DemClcs!$A$40*(Populations!$R7+3*Populations!$S7)/E65</f>
        <v>0.0703607226332219</v>
      </c>
      <c r="F8" s="4" t="n">
        <v>0</v>
      </c>
      <c r="G8" s="4" t="n">
        <f aca="false">Flows!Q8*40/G65</f>
        <v>0.0126388465228611</v>
      </c>
      <c r="H8" s="4" t="n">
        <f aca="false">IF(Flows!$AW8&gt;Flows!$Y8,(Flows!$AW8-Flows!$Y8)/H65)</f>
        <v>0.000654497271124899</v>
      </c>
      <c r="I8" s="4" t="n">
        <f aca="false">I35/$CN35</f>
        <v>0.542722785931691</v>
      </c>
      <c r="J8" s="4" t="n">
        <f aca="false">J35/$CN35</f>
        <v>0.457277214068309</v>
      </c>
      <c r="K8" s="4" t="n">
        <v>0</v>
      </c>
      <c r="L8" s="4" t="n">
        <v>0</v>
      </c>
      <c r="M8" s="4" t="n">
        <v>0</v>
      </c>
      <c r="N8" s="4" t="n">
        <f aca="false">SUM(Flows!$V8,Flows!$W8)/$N65</f>
        <v>0.0143193423075525</v>
      </c>
      <c r="O8" s="4" t="n">
        <v>0</v>
      </c>
      <c r="P8" s="4" t="n">
        <v>0</v>
      </c>
      <c r="Q8" s="4" t="n">
        <f aca="false">$Q$27*Q35*(1/COUNTIF($C$26:$CK$26,1))/(MAX(Q$30:Q$52)-MIN(Q$30:Q$52))</f>
        <v>0.0028917569162191</v>
      </c>
      <c r="R8" s="4" t="n">
        <f aca="false">$R$27*R35*(1/COUNTIF($C$26:$CK$26,1))/(MAX(R$30:R$52)-MIN(R$30:R$52))+0.5/COUNTIF($C$26:$CK$26,1)</f>
        <v>0.0275386952236195</v>
      </c>
      <c r="S8" s="4" t="n">
        <v>0</v>
      </c>
      <c r="T8" s="4" t="n">
        <v>0</v>
      </c>
      <c r="U8" s="4" t="n">
        <v>0</v>
      </c>
      <c r="V8" s="4" t="n">
        <f aca="false">$V$27*V35*(1/COUNTIF($C$26:$CK$26,1))/(MAX(V$30:V$52)-MIN(V$30:V$52))</f>
        <v>0.017590996547461</v>
      </c>
      <c r="W8" s="4" t="n">
        <f aca="false">$V$27*W35*(1/COUNTIF($C$26:$CK$26,1))/(MAX(W$30:W$52)-MIN(W$30:W$52))</f>
        <v>0.012365157911942</v>
      </c>
      <c r="X8" s="4" t="n">
        <f aca="false">X35/$CO35</f>
        <v>0.143606232810337</v>
      </c>
      <c r="Y8" s="4" t="n">
        <v>0</v>
      </c>
      <c r="Z8" s="4" t="n">
        <f aca="false">Flows!$AA8/$Z65</f>
        <v>9.84052773449337E-005</v>
      </c>
      <c r="AA8" s="4" t="n">
        <f aca="false">Flows!$AB8/$AA65</f>
        <v>0.00204069894104432</v>
      </c>
      <c r="AB8" s="4" t="n">
        <f aca="false">DemClcs!$A$20*(Populations!$R7+3*Populations!$S7)/AB65</f>
        <v>0.00627712566414127</v>
      </c>
      <c r="AC8" s="4" t="n">
        <f aca="false">Flows!$AD8/$AC65</f>
        <v>0.0187876757590575</v>
      </c>
      <c r="AD8" s="4" t="n">
        <f aca="false">DemClcs!$A$25*(Populations!$R7+3*Populations!$S7)/AD65</f>
        <v>0.0622807513827158</v>
      </c>
      <c r="AE8" s="4" t="n">
        <f aca="false">AE35/$CP35</f>
        <v>0.00700618690691178</v>
      </c>
      <c r="AF8" s="4" t="n">
        <f aca="false">$AF$27*AF35*(1/COUNTIF($C$26:$CK$26,1))/(MAX(AF$30:AF$52)-MIN(AF$30:AF$52))</f>
        <v>0.0265768204859814</v>
      </c>
      <c r="AG8" s="4" t="n">
        <f aca="false">$AF$27*AG35*(1/COUNTIF($C$26:$CK$26,1))/(MAX(AG$30:AG$52)-MIN(AG$30:AG$52))</f>
        <v>0.00775073384061472</v>
      </c>
      <c r="AH8" s="4" t="n">
        <f aca="false">$AF$27*AH35*(1/COUNTIF($C$26:$CK$26,1))/(MAX(AH$30:AH$52)-MIN(AH$30:AH$52))</f>
        <v>0.0217539098493145</v>
      </c>
      <c r="AI8" s="4" t="n">
        <f aca="false">$AF$27*AI35*(1/COUNTIF($C$26:$CK$26,1))/(MAX(AI$30:AI$52)-MIN(AI$30:AI$52))</f>
        <v>0.0151374452798899</v>
      </c>
      <c r="AJ8" s="4" t="n">
        <f aca="false">$AF$27*AJ35*(1/COUNTIF($C$26:$CK$26,1))/(MAX(AJ$30:AJ$52)-MIN(AJ$30:AJ$52))</f>
        <v>0.0195400596180501</v>
      </c>
      <c r="AK8" s="4" t="n">
        <f aca="false">$AF$27*AK35*(1/COUNTIF($C$26:$CK$26,1))/(MAX(AK$30:AK$52)-MIN(AK$30:AK$52))</f>
        <v>0.00408803733667356</v>
      </c>
      <c r="AL8" s="4" t="n">
        <f aca="false">$AF$27*AL35*(1/COUNTIF($C$26:$CK$26,1))/(MAX(AL$30:AL$52)-MIN(AL$30:AL$52))</f>
        <v>0.0272441356257475</v>
      </c>
      <c r="AM8" s="4" t="n">
        <f aca="false">$AF$27*AM35*(1/COUNTIF($C$26:$CK$26,1))/(MAX(AM$30:AM$52)-MIN(AM$30:AM$52))</f>
        <v>0.00901818742442118</v>
      </c>
      <c r="AN8" s="4" t="n">
        <f aca="false">$AF$27*AN35*(1/COUNTIF($C$26:$CK$26,1))/(MAX(AN$30:AN$52)-MIN(AN$30:AN$52))</f>
        <v>0.00324901717495639</v>
      </c>
      <c r="AO8" s="4" t="n">
        <f aca="false">$AF$27*AO35*(1/COUNTIF($C$26:$CK$26,1))/(MAX(AO$30:AO$52)-MIN(AO$30:AO$52))</f>
        <v>0.0222872132307172</v>
      </c>
      <c r="AP8" s="4" t="n">
        <f aca="false">$AF$27*AP35*(1/COUNTIF($C$26:$CK$26,1))/(MAX(AP$30:AP$52)-MIN(AP$30:AP$52))</f>
        <v>0.0153177561004681</v>
      </c>
      <c r="AQ8" s="4" t="n">
        <f aca="false">$AF$27*AQ35*(1/COUNTIF($C$26:$CK$26,1))/(MAX(AQ$30:AQ$52)-MIN(AQ$30:AQ$52))</f>
        <v>0.00181635610322483</v>
      </c>
      <c r="AR8" s="4" t="n">
        <f aca="false">$AF$27*AR35*(1/COUNTIF($C$26:$CK$26,1))/(MAX(AR$30:AR$52)-MIN(AR$30:AR$52))</f>
        <v>0.0243838694440442</v>
      </c>
      <c r="AS8" s="4" t="n">
        <f aca="false">$AF$27*AS35*(1/COUNTIF($C$26:$CK$26,1))/(MAX(AS$30:AS$52)-MIN(AS$30:AS$52))</f>
        <v>0.0119329427482447</v>
      </c>
      <c r="AT8" s="4" t="n">
        <f aca="false">AT35/$CP35</f>
        <v>0.0769891876064051</v>
      </c>
      <c r="AU8" s="4" t="n">
        <f aca="false">AU35/$CP35</f>
        <v>0.0142673984708548</v>
      </c>
      <c r="AV8" s="4" t="n">
        <f aca="false">$AF$27*AV35*(1/COUNTIF($C$26:$CK$26,1))/(MAX(AV$30:AV$52)-MIN(AV$30:AV$52))</f>
        <v>0.000411675150609225</v>
      </c>
      <c r="AW8" s="4" t="n">
        <f aca="false">SUM(Flows!AX8,Flows!$AZ8)/$AW65</f>
        <v>0.00303342892428195</v>
      </c>
      <c r="AX8" s="4" t="n">
        <f aca="false">$AX$27*AX35*(1/COUNTIF($C$26:$CK$26,1))/(MAX(AX$30:AX$52)-MIN(AX$30:AX$52))</f>
        <v>0.0168519948349649</v>
      </c>
      <c r="AY8" s="4" t="n">
        <f aca="false">SUM(Flows!$BB8:$BE8)*Capacity!BS8/(AY65*SUM(Capacity!$BS8:$BT8))</f>
        <v>0.0191223162275141</v>
      </c>
      <c r="AZ8" s="4" t="n">
        <f aca="false">SUM(Flows!$BB8:$BE8)*Capacity!BT8/(AZ65*SUM(Capacity!$BS8:$BT8))+(DemClcs!$A$54*Populations!$Q7/AZ65)</f>
        <v>0.103026110917613</v>
      </c>
      <c r="BA8" s="4" t="n">
        <v>0</v>
      </c>
      <c r="BB8" s="4" t="n">
        <f aca="false">$BB$27*BB35*(1/COUNTIF($C$26:$CK$26,1))/(MAX(BB$30:BB$52)-MIN(BB$30:BB$52))</f>
        <v>0.000906775009692293</v>
      </c>
      <c r="BC8" s="4" t="n">
        <f aca="false">$BB$27*BC35*(1/COUNTIF($C$26:$CK$26,1))/(MAX(BC$30:BC$52)-MIN(BC$30:BC$52))</f>
        <v>0.000608874103880425</v>
      </c>
      <c r="BD8" s="4" t="n">
        <f aca="false">$BB$27*BD35*(1/COUNTIF($C$26:$CK$26,1))/(MAX(BD$30:BD$52)-MIN(BD$30:BD$52))</f>
        <v>0.00238773140756133</v>
      </c>
      <c r="BE8" s="4" t="n">
        <f aca="false">$BB$27*BE35*(1/COUNTIF($C$26:$CK$26,1))/(MAX(BE$30:BE$52)-MIN(BE$30:BE$52))</f>
        <v>0.000192649909046225</v>
      </c>
      <c r="BF8" s="4" t="n">
        <f aca="false">(Flows!$BG8+Flows!$BI8)*1.5*Capacity!$BZ9/(15*$BF65*(Capacity!$S8+Capacity!$BZ8))</f>
        <v>3.6028175956674E-005</v>
      </c>
      <c r="BG8" s="4" t="n">
        <f aca="false">DemClcs!$A$45*(Populations!$R7+3*Populations!$S7)*Capacity!CA8/(BG65*SUM(Capacity!$CA8:$CC8,Capacity!$CE8))</f>
        <v>0.00217752068049596</v>
      </c>
      <c r="BH8" s="4" t="n">
        <f aca="false">DemClcs!$A$45*(Populations!$R7+3*Populations!$S7)*Capacity!CB8/(BH65*SUM(Capacity!$CA8:$CC8,Capacity!$CE8))</f>
        <v>0.0031196862662769</v>
      </c>
      <c r="BI8" s="4" t="n">
        <f aca="false">DemClcs!$A$45*(Populations!$R7+3*Populations!$S7)*Capacity!CC8/(BI65*SUM(Capacity!$CA8:$CC8,Capacity!$CE8))</f>
        <v>0.00217752068049596</v>
      </c>
      <c r="BJ8" s="4" t="n">
        <f aca="false">BJ35/$CP35</f>
        <v>0.0634159367214741</v>
      </c>
      <c r="BK8" s="4" t="n">
        <f aca="false">DemClcs!$A$45*(Populations!$R7+3*Populations!$S7)*Capacity!CE8/(BK65*SUM(Capacity!$CA8:$CC8,Capacity!$CE8))</f>
        <v>0.00217752068049596</v>
      </c>
      <c r="BL8" s="4" t="n">
        <f aca="false">BL35/$CP35</f>
        <v>0.103455251975779</v>
      </c>
      <c r="BM8" s="4" t="n">
        <f aca="false">BM35/$CP35</f>
        <v>0.0399066638178857</v>
      </c>
      <c r="BN8" s="4" t="n">
        <v>0</v>
      </c>
      <c r="BO8" s="4" t="n">
        <f aca="false">Flows!BT8*16/(25*BR65)</f>
        <v>0.00178277315733185</v>
      </c>
      <c r="BP8" s="4" t="n">
        <f aca="false">SUM(Flows!$AF8:$AS8,Flows!$AV8)/BP65</f>
        <v>2.47790148022964E-005</v>
      </c>
      <c r="BQ8" s="4" t="n">
        <v>0</v>
      </c>
      <c r="BR8" s="4" t="n">
        <f aca="false">Flows!BU8*16/(25*BR65)</f>
        <v>0.000178277315733185</v>
      </c>
      <c r="BS8" s="4" t="n">
        <f aca="false">Flows!BV8*16/(25*BS65)</f>
        <v>3.56554527427516E-005</v>
      </c>
      <c r="BT8" s="4" t="n">
        <f aca="false">Flows!$D36*0.8*0.8*$BT$27/(0.75*BT65)</f>
        <v>1.02721018872016E-005</v>
      </c>
      <c r="BU8" s="4" t="n">
        <f aca="false">Flows!$D36*0.8*0.8*$BT$27/(0.75*BU65*10)</f>
        <v>9.41609339660147E-006</v>
      </c>
      <c r="BV8" s="4" t="n">
        <f aca="false">Flows!$D36*0.8*0.8*$BT$27/(0.75*BV65*100)</f>
        <v>8.07093719708698E-006</v>
      </c>
      <c r="BW8" s="4" t="n">
        <v>0</v>
      </c>
      <c r="BX8" s="4" t="n">
        <f aca="false">BX35/$CP35</f>
        <v>0.122478758565508</v>
      </c>
      <c r="BY8" s="4" t="n">
        <f aca="false">BY35/$CP35</f>
        <v>0.0596442698988213</v>
      </c>
      <c r="BZ8" s="4" t="n">
        <f aca="false">BZ35/$CO35</f>
        <v>0.0987754413615527</v>
      </c>
      <c r="CA8" s="4" t="n">
        <f aca="false">CA35/$CO35</f>
        <v>0.0182180342596379</v>
      </c>
      <c r="CB8" s="4" t="n">
        <f aca="false">CB35/$CP35</f>
        <v>0.0746338742326476</v>
      </c>
      <c r="CC8" s="4" t="n">
        <f aca="false">CC35/$CO35</f>
        <v>0.0304688209727401</v>
      </c>
      <c r="CD8" s="4" t="n">
        <v>0</v>
      </c>
      <c r="CE8" s="4" t="n">
        <f aca="false">IF(SUM(Flows!$CJ8:$CK8)&gt;Flows!$BA8,(SUM(Flows!$CJ8:$CK8)-Flows!$BA8)/CE65)</f>
        <v>0.0625955586778065</v>
      </c>
      <c r="CF8" s="4" t="n">
        <f aca="false">CF35/$CO35</f>
        <v>0.0850838228680045</v>
      </c>
      <c r="CG8" s="4" t="n">
        <f aca="false">CG35/$CO35</f>
        <v>0.0743207627615337</v>
      </c>
      <c r="CH8" s="4" t="n">
        <f aca="false">CH35/$CO35</f>
        <v>0.00574731134379523</v>
      </c>
      <c r="CI8" s="4" t="n">
        <f aca="false">CI35/$CP35</f>
        <v>0.108107141282492</v>
      </c>
      <c r="CJ8" s="4" t="n">
        <f aca="false">CJ$27*CJ35*(1/COUNTIF($C$26:$CK$26,1))/(MAX(CJ$30:CJ$52)-MIN(CJ$30:CJ$52))</f>
        <v>0.000388208095396946</v>
      </c>
      <c r="CK8" s="4" t="n">
        <f aca="false">CK$27*CK35*(1/COUNTIF($C$26:$CK$26,1))/(MAX(CK$30:CK$52)-MIN(CK$30:CK$52))</f>
        <v>0.00197643777891761</v>
      </c>
      <c r="CL8" s="4" t="n">
        <v>0</v>
      </c>
      <c r="CN8" s="4" t="n">
        <f aca="false">SUM(C8:CK8)</f>
        <v>3</v>
      </c>
      <c r="CP8" s="0"/>
      <c r="CR8" s="0" t="s">
        <v>273</v>
      </c>
    </row>
    <row r="9" customFormat="false" ht="12.8" hidden="false" customHeight="false" outlineLevel="0" collapsed="false">
      <c r="A9" s="4" t="s">
        <v>141</v>
      </c>
      <c r="B9" s="7" t="s">
        <v>39</v>
      </c>
      <c r="C9" s="4" t="n">
        <f aca="false">Flows!$BG9*2*Capacity!$S9/(5*15*C66*(Capacity!$S9+Capacity!$BZ9))</f>
        <v>1.60119435546848E-006</v>
      </c>
      <c r="D9" s="4" t="n">
        <f aca="false">(DemClcs!$A$32*(Populations!$R8+3*Populations!$S8)/D66)+MAX((Flows!K9+Flows!M9)/1826.484018+Flows!L9/1111.111111-Flows!$F9,0)/D66</f>
        <v>0.140715794690634</v>
      </c>
      <c r="E9" s="4" t="n">
        <f aca="false">DemClcs!$A$40*(Populations!$R8+3*Populations!$S8)/E66</f>
        <v>0.0596676627784678</v>
      </c>
      <c r="F9" s="4" t="n">
        <v>0</v>
      </c>
      <c r="G9" s="4" t="n">
        <f aca="false">Flows!Q9*40/G66</f>
        <v>0.00524560738143277</v>
      </c>
      <c r="H9" s="4" t="n">
        <f aca="false">IF(Flows!$AW9&gt;Flows!$Y9,(Flows!$AW9-Flows!$Y9)/H66)</f>
        <v>0.000786081237509036</v>
      </c>
      <c r="I9" s="4" t="n">
        <f aca="false">I36/$CN36</f>
        <v>0.707900075612209</v>
      </c>
      <c r="J9" s="4" t="n">
        <f aca="false">J36/$CN36</f>
        <v>0.292099924387791</v>
      </c>
      <c r="K9" s="4" t="n">
        <v>0</v>
      </c>
      <c r="L9" s="4" t="n">
        <v>0</v>
      </c>
      <c r="M9" s="4" t="n">
        <v>0</v>
      </c>
      <c r="N9" s="4" t="n">
        <f aca="false">SUM(Flows!$V9,Flows!$W9)/$N66</f>
        <v>0.0113739362477755</v>
      </c>
      <c r="O9" s="4" t="n">
        <v>0</v>
      </c>
      <c r="P9" s="4" t="n">
        <v>0</v>
      </c>
      <c r="Q9" s="4" t="n">
        <f aca="false">$Q$27*Q36*(1/COUNTIF($C$26:$CK$26,1))/(MAX(Q$30:Q$52)-MIN(Q$30:Q$52))</f>
        <v>0.0018272471489632</v>
      </c>
      <c r="R9" s="4" t="n">
        <f aca="false">$R$27*R36*(1/COUNTIF($C$26:$CK$26,1))/(MAX(R$30:R$52)-MIN(R$30:R$52))+0.5/COUNTIF($C$26:$CK$26,1)</f>
        <v>0.0266997661503925</v>
      </c>
      <c r="S9" s="4" t="n">
        <v>0</v>
      </c>
      <c r="T9" s="4" t="n">
        <v>0</v>
      </c>
      <c r="U9" s="4" t="n">
        <v>0</v>
      </c>
      <c r="V9" s="4" t="n">
        <f aca="false">$V$27*V36*(1/COUNTIF($C$26:$CK$26,1))/(MAX(V$30:V$52)-MIN(V$30:V$52))</f>
        <v>0.0225308539663357</v>
      </c>
      <c r="W9" s="4" t="n">
        <f aca="false">$V$27*W36*(1/COUNTIF($C$26:$CK$26,1))/(MAX(W$30:W$52)-MIN(W$30:W$52))</f>
        <v>0.0273050070420307</v>
      </c>
      <c r="X9" s="4" t="n">
        <f aca="false">X36/$CO36</f>
        <v>0.0462940195887161</v>
      </c>
      <c r="Y9" s="4" t="n">
        <v>0</v>
      </c>
      <c r="Z9" s="4" t="n">
        <f aca="false">Flows!$AA9/$Z66</f>
        <v>7.53458460964723E-005</v>
      </c>
      <c r="AA9" s="4" t="n">
        <f aca="false">Flows!$AB9/$AA66</f>
        <v>0.00190936950469877</v>
      </c>
      <c r="AB9" s="4" t="n">
        <f aca="false">DemClcs!$A$20*(Populations!$R8+3*Populations!$S8)/AB66</f>
        <v>0.00554633158153455</v>
      </c>
      <c r="AC9" s="4" t="n">
        <f aca="false">Flows!$AD9/$AC66</f>
        <v>0.0141071629928675</v>
      </c>
      <c r="AD9" s="4" t="n">
        <f aca="false">DemClcs!$A$25*(Populations!$R8+3*Populations!$S8)/AD66</f>
        <v>0.0550299160472382</v>
      </c>
      <c r="AE9" s="4" t="n">
        <f aca="false">AE36/$CP36</f>
        <v>0.0807850583743477</v>
      </c>
      <c r="AF9" s="4" t="n">
        <f aca="false">$AF$27*AF36*(1/COUNTIF($C$26:$CK$26,1))/(MAX(AF$30:AF$52)-MIN(AF$30:AF$52))</f>
        <v>0.00922694581812027</v>
      </c>
      <c r="AG9" s="4" t="n">
        <f aca="false">$AF$27*AG36*(1/COUNTIF($C$26:$CK$26,1))/(MAX(AG$30:AG$52)-MIN(AG$30:AG$52))</f>
        <v>0.0178324731633105</v>
      </c>
      <c r="AH9" s="4" t="n">
        <f aca="false">$AF$27*AH36*(1/COUNTIF($C$26:$CK$26,1))/(MAX(AH$30:AH$52)-MIN(AH$30:AH$52))</f>
        <v>0.0293596066135749</v>
      </c>
      <c r="AI9" s="4" t="n">
        <f aca="false">$AF$27*AI36*(1/COUNTIF($C$26:$CK$26,1))/(MAX(AI$30:AI$52)-MIN(AI$30:AI$52))</f>
        <v>0.00717464991772592</v>
      </c>
      <c r="AJ9" s="4" t="n">
        <f aca="false">$AF$27*AJ36*(1/COUNTIF($C$26:$CK$26,1))/(MAX(AJ$30:AJ$52)-MIN(AJ$30:AJ$52))</f>
        <v>0.00983435679417888</v>
      </c>
      <c r="AK9" s="4" t="n">
        <f aca="false">$AF$27*AK36*(1/COUNTIF($C$26:$CK$26,1))/(MAX(AK$30:AK$52)-MIN(AK$30:AK$52))</f>
        <v>0.00876192229979563</v>
      </c>
      <c r="AL9" s="4" t="n">
        <f aca="false">$AF$27*AL36*(1/COUNTIF($C$26:$CK$26,1))/(MAX(AL$30:AL$52)-MIN(AL$30:AL$52))</f>
        <v>0.0061062974483099</v>
      </c>
      <c r="AM9" s="4" t="n">
        <f aca="false">$AF$27*AM36*(1/COUNTIF($C$26:$CK$26,1))/(MAX(AM$30:AM$52)-MIN(AM$30:AM$52))</f>
        <v>0.0264982793881083</v>
      </c>
      <c r="AN9" s="4" t="n">
        <f aca="false">$AF$27*AN36*(1/COUNTIF($C$26:$CK$26,1))/(MAX(AN$30:AN$52)-MIN(AN$30:AN$52))</f>
        <v>0.00944913179531806</v>
      </c>
      <c r="AO9" s="4" t="n">
        <f aca="false">$AF$27*AO36*(1/COUNTIF($C$26:$CK$26,1))/(MAX(AO$30:AO$52)-MIN(AO$30:AO$52))</f>
        <v>0.00198780750623955</v>
      </c>
      <c r="AP9" s="4" t="n">
        <f aca="false">$AF$27*AP36*(1/COUNTIF($C$26:$CK$26,1))/(MAX(AP$30:AP$52)-MIN(AP$30:AP$52))</f>
        <v>0.0285704748877638</v>
      </c>
      <c r="AQ9" s="4" t="n">
        <f aca="false">$AF$27*AQ36*(1/COUNTIF($C$26:$CK$26,1))/(MAX(AQ$30:AQ$52)-MIN(AQ$30:AQ$52))</f>
        <v>0.0161681473195834</v>
      </c>
      <c r="AR9" s="4" t="n">
        <f aca="false">$AF$27*AR36*(1/COUNTIF($C$26:$CK$26,1))/(MAX(AR$30:AR$52)-MIN(AR$30:AR$52))</f>
        <v>0.0125332871217829</v>
      </c>
      <c r="AS9" s="4" t="n">
        <f aca="false">$AF$27*AS36*(1/COUNTIF($C$26:$CK$26,1))/(MAX(AS$30:AS$52)-MIN(AS$30:AS$52))</f>
        <v>0.00474271063114669</v>
      </c>
      <c r="AT9" s="4" t="n">
        <f aca="false">AT36/$CP36</f>
        <v>0.029566392231802</v>
      </c>
      <c r="AU9" s="4" t="n">
        <f aca="false">AU36/$CP36</f>
        <v>0.0773341172129151</v>
      </c>
      <c r="AV9" s="4" t="n">
        <f aca="false">$AF$27*AV36*(1/COUNTIF($C$26:$CK$26,1))/(MAX(AV$30:AV$52)-MIN(AV$30:AV$52))</f>
        <v>0.0106608297059751</v>
      </c>
      <c r="AW9" s="4" t="n">
        <f aca="false">SUM(Flows!AX9,Flows!$AZ9)/$AW66</f>
        <v>0.00232290991819279</v>
      </c>
      <c r="AX9" s="4" t="n">
        <f aca="false">$AX$27*AX36*(1/COUNTIF($C$26:$CK$26,1))/(MAX(AX$30:AX$52)-MIN(AX$30:AX$52))</f>
        <v>0.0289643016103737</v>
      </c>
      <c r="AY9" s="4" t="n">
        <f aca="false">SUM(Flows!$BB9:$BE9)*Capacity!BS9/(AY66*SUM(Capacity!$BS9:$BT9))</f>
        <v>0.0132684801290818</v>
      </c>
      <c r="AZ9" s="4" t="n">
        <f aca="false">SUM(Flows!$BB9:$BE9)*Capacity!BT9/(AZ66*SUM(Capacity!$BS9:$BT9))+(DemClcs!$A$54*Populations!$Q8/AZ66)</f>
        <v>0.073915160598276</v>
      </c>
      <c r="BA9" s="4" t="n">
        <v>0</v>
      </c>
      <c r="BB9" s="4" t="n">
        <f aca="false">$BB$27*BB36*(1/COUNTIF($C$26:$CK$26,1))/(MAX(BB$30:BB$52)-MIN(BB$30:BB$52))</f>
        <v>0.00147511886423274</v>
      </c>
      <c r="BC9" s="4" t="n">
        <f aca="false">$BB$27*BC36*(1/COUNTIF($C$26:$CK$26,1))/(MAX(BC$30:BC$52)-MIN(BC$30:BC$52))</f>
        <v>0.000260174883567135</v>
      </c>
      <c r="BD9" s="4" t="n">
        <f aca="false">$BB$27*BD36*(1/COUNTIF($C$26:$CK$26,1))/(MAX(BD$30:BD$52)-MIN(BD$30:BD$52))</f>
        <v>0.00104609248641419</v>
      </c>
      <c r="BE9" s="4" t="n">
        <f aca="false">$BB$27*BE36*(1/COUNTIF($C$26:$CK$26,1))/(MAX(BE$30:BE$52)-MIN(BE$30:BE$52))</f>
        <v>0.000314788076379779</v>
      </c>
      <c r="BF9" s="4" t="n">
        <f aca="false">(Flows!$BG9+Flows!$BI9)*1.5*Capacity!$BZ10/(15*$BF66*(Capacity!$S9+Capacity!$BZ9))</f>
        <v>8.60927691609029E-006</v>
      </c>
      <c r="BG9" s="4" t="n">
        <f aca="false">DemClcs!$A$45*(Populations!$R8+3*Populations!$S8)*Capacity!CA9/(BG66*SUM(Capacity!$CA9:$CC9,Capacity!$CE9))</f>
        <v>0.00191279166887565</v>
      </c>
      <c r="BH9" s="4" t="n">
        <f aca="false">DemClcs!$A$45*(Populations!$R8+3*Populations!$S8)*Capacity!CB9/(BH66*SUM(Capacity!$CA9:$CC9,Capacity!$CE9))</f>
        <v>0.00257374875558946</v>
      </c>
      <c r="BI9" s="4" t="n">
        <f aca="false">DemClcs!$A$45*(Populations!$R8+3*Populations!$S8)*Capacity!CC9/(BI66*SUM(Capacity!$CA9:$CC9,Capacity!$CE9))</f>
        <v>0.00191279166887565</v>
      </c>
      <c r="BJ9" s="4" t="n">
        <f aca="false">BJ36/$CP36</f>
        <v>0.106116030431242</v>
      </c>
      <c r="BK9" s="4" t="n">
        <f aca="false">DemClcs!$A$45*(Populations!$R8+3*Populations!$S8)*Capacity!CE9/(BK66*SUM(Capacity!$CA9:$CC9,Capacity!$CE9))</f>
        <v>0.00191279166887565</v>
      </c>
      <c r="BL9" s="4" t="n">
        <f aca="false">BL36/$CP36</f>
        <v>0.0927425829273664</v>
      </c>
      <c r="BM9" s="4" t="n">
        <f aca="false">BM36/$CP36</f>
        <v>0.0230486964608721</v>
      </c>
      <c r="BN9" s="4" t="n">
        <v>0</v>
      </c>
      <c r="BO9" s="4" t="n">
        <f aca="false">Flows!BT9*16/(25*BR66)</f>
        <v>0.00385103246936661</v>
      </c>
      <c r="BP9" s="4" t="n">
        <f aca="false">SUM(Flows!$AF9:$AS9,Flows!$AV9)/BP66</f>
        <v>6.049456737131E-005</v>
      </c>
      <c r="BQ9" s="4" t="n">
        <v>0</v>
      </c>
      <c r="BR9" s="4" t="n">
        <f aca="false">Flows!BU9*16/(25*BR66)</f>
        <v>0.000385103246936661</v>
      </c>
      <c r="BS9" s="4" t="n">
        <f aca="false">Flows!BV9*16/(25*BS66)</f>
        <v>7.70205673757672E-005</v>
      </c>
      <c r="BT9" s="4" t="n">
        <f aca="false">Flows!$D37*0.8*0.8*$BT$27/(0.75*BT66)</f>
        <v>9.25939786123053E-006</v>
      </c>
      <c r="BU9" s="4" t="n">
        <f aca="false">Flows!$D37*0.8*0.8*$BT$27/(0.75*BU66*10)</f>
        <v>8.48778137279466E-006</v>
      </c>
      <c r="BV9" s="4" t="n">
        <f aca="false">Flows!$D37*0.8*0.8*$BT$27/(0.75*BV66*100)</f>
        <v>7.27524117668113E-006</v>
      </c>
      <c r="BW9" s="4" t="n">
        <v>0</v>
      </c>
      <c r="BX9" s="4" t="n">
        <f aca="false">BX36/$CP36</f>
        <v>0.133859322502194</v>
      </c>
      <c r="BY9" s="4" t="n">
        <f aca="false">BY36/$CP36</f>
        <v>0.0681043354518556</v>
      </c>
      <c r="BZ9" s="4" t="n">
        <f aca="false">BZ36/$CO36</f>
        <v>0.136715760954631</v>
      </c>
      <c r="CA9" s="4" t="n">
        <f aca="false">CA36/$CO36</f>
        <v>0.04968484838447</v>
      </c>
      <c r="CB9" s="4" t="n">
        <f aca="false">CB36/$CP36</f>
        <v>0.0418658528322554</v>
      </c>
      <c r="CC9" s="4" t="n">
        <f aca="false">CC36/$CO36</f>
        <v>0.148853998641442</v>
      </c>
      <c r="CD9" s="4" t="n">
        <v>0</v>
      </c>
      <c r="CE9" s="4" t="n">
        <f aca="false">IF(SUM(Flows!$CJ9:$CK9)&gt;Flows!$BA9,(SUM(Flows!$CJ9:$CK9)-Flows!$BA9)/CE66)</f>
        <v>0.0511158933550396</v>
      </c>
      <c r="CF9" s="4" t="n">
        <f aca="false">CF36/$CO36</f>
        <v>0.0986913152253195</v>
      </c>
      <c r="CG9" s="4" t="n">
        <f aca="false">CG36/$CO36</f>
        <v>0.00172339033767871</v>
      </c>
      <c r="CH9" s="4" t="n">
        <f aca="false">CH36/$CO36</f>
        <v>0.0853947026092818</v>
      </c>
      <c r="CI9" s="4" t="n">
        <f aca="false">CI36/$CP36</f>
        <v>0.0193581704763755</v>
      </c>
      <c r="CJ9" s="4" t="n">
        <f aca="false">CJ$27*CJ36*(1/COUNTIF($C$26:$CK$26,1))/(MAX(CJ$30:CJ$52)-MIN(CJ$30:CJ$52))</f>
        <v>0.000279426347636595</v>
      </c>
      <c r="CK9" s="4" t="n">
        <f aca="false">CK$27*CK36*(1/COUNTIF($C$26:$CK$26,1))/(MAX(CK$30:CK$52)-MIN(CK$30:CK$52))</f>
        <v>0.00245104855618142</v>
      </c>
      <c r="CL9" s="4" t="n">
        <v>0</v>
      </c>
      <c r="CN9" s="4" t="n">
        <f aca="false">SUM(C9:CK9)</f>
        <v>3</v>
      </c>
      <c r="CP9" s="0"/>
      <c r="CR9" s="0" t="s">
        <v>274</v>
      </c>
    </row>
    <row r="10" customFormat="false" ht="12.8" hidden="false" customHeight="false" outlineLevel="0" collapsed="false">
      <c r="A10" s="4" t="s">
        <v>142</v>
      </c>
      <c r="B10" s="7" t="s">
        <v>39</v>
      </c>
      <c r="C10" s="4" t="n">
        <f aca="false">Flows!$BG10*2*Capacity!$S10/(5*15*C67*(Capacity!$S10+Capacity!$BZ10))</f>
        <v>9.18781326407506E-007</v>
      </c>
      <c r="D10" s="4" t="n">
        <f aca="false">(DemClcs!$A$32*(Populations!$R9+3*Populations!$S9)/D67)+MAX((Flows!K10+Flows!M10)/1826.484018+Flows!L10/1111.111111-Flows!$F10,0)/D67</f>
        <v>0.0609914328127063</v>
      </c>
      <c r="E10" s="4" t="n">
        <f aca="false">DemClcs!$A$40*(Populations!$R9+3*Populations!$S9)/E67</f>
        <v>0.0164232349598245</v>
      </c>
      <c r="F10" s="4" t="n">
        <v>0</v>
      </c>
      <c r="G10" s="4" t="n">
        <f aca="false">Flows!Q10*40/G67</f>
        <v>0.000118940331854302</v>
      </c>
      <c r="H10" s="4" t="n">
        <f aca="false">IF(Flows!$AW10&gt;Flows!$Y10,(Flows!$AW10-Flows!$Y10)/H67)</f>
        <v>0.000131926426988749</v>
      </c>
      <c r="I10" s="4" t="n">
        <f aca="false">I37/$CN37</f>
        <v>0.9288348822068</v>
      </c>
      <c r="J10" s="4" t="n">
        <f aca="false">J37/$CN37</f>
        <v>0.0711651177931995</v>
      </c>
      <c r="K10" s="4" t="n">
        <v>0</v>
      </c>
      <c r="L10" s="4" t="n">
        <v>0</v>
      </c>
      <c r="M10" s="4" t="n">
        <v>0</v>
      </c>
      <c r="N10" s="4" t="n">
        <f aca="false">SUM(Flows!$V10,Flows!$W10)/$N67</f>
        <v>0.00350754238590117</v>
      </c>
      <c r="O10" s="4" t="n">
        <v>0</v>
      </c>
      <c r="P10" s="4" t="n">
        <v>0</v>
      </c>
      <c r="Q10" s="4" t="n">
        <f aca="false">$Q$27*Q37*(1/COUNTIF($C$26:$CK$26,1))/(MAX(Q$30:Q$52)-MIN(Q$30:Q$52))</f>
        <v>0.000133351531729482</v>
      </c>
      <c r="R10" s="4" t="n">
        <f aca="false">$R$27*R37*(1/COUNTIF($C$26:$CK$26,1))/(MAX(R$30:R$52)-MIN(R$30:R$52))+0.5/COUNTIF($C$26:$CK$26,1)</f>
        <v>0.0274335232096115</v>
      </c>
      <c r="S10" s="4" t="n">
        <v>0</v>
      </c>
      <c r="T10" s="4" t="n">
        <v>0</v>
      </c>
      <c r="U10" s="4" t="n">
        <v>0</v>
      </c>
      <c r="V10" s="4" t="n">
        <f aca="false">$V$27*V37*(1/COUNTIF($C$26:$CK$26,1))/(MAX(V$30:V$52)-MIN(V$30:V$52))</f>
        <v>0.00912162717249611</v>
      </c>
      <c r="W10" s="4" t="n">
        <f aca="false">$V$27*W37*(1/COUNTIF($C$26:$CK$26,1))/(MAX(W$30:W$52)-MIN(W$30:W$52))</f>
        <v>0.0254241973040061</v>
      </c>
      <c r="X10" s="4" t="n">
        <f aca="false">X37/$CO37</f>
        <v>0.0624230621416663</v>
      </c>
      <c r="Y10" s="4" t="n">
        <v>0</v>
      </c>
      <c r="Z10" s="4" t="n">
        <f aca="false">Flows!$AA10/$Z67</f>
        <v>2.43337921755152E-005</v>
      </c>
      <c r="AA10" s="4" t="n">
        <f aca="false">Flows!$AB10/$AA67</f>
        <v>0.000745220857908934</v>
      </c>
      <c r="AB10" s="4" t="n">
        <f aca="false">DemClcs!$A$20*(Populations!$R9+3*Populations!$S9)/AB67</f>
        <v>0.00237756645570119</v>
      </c>
      <c r="AC10" s="4" t="n">
        <f aca="false">Flows!$AD10/$AC67</f>
        <v>0.0038457553906607</v>
      </c>
      <c r="AD10" s="4" t="n">
        <f aca="false">DemClcs!$A$25*(Populations!$R9+3*Populations!$S9)/AD67</f>
        <v>0.0235898774767747</v>
      </c>
      <c r="AE10" s="4" t="n">
        <f aca="false">AE37/$CP37</f>
        <v>0.0260427670488493</v>
      </c>
      <c r="AF10" s="4" t="n">
        <f aca="false">$AF$27*AF37*(1/COUNTIF($C$26:$CK$26,1))/(MAX(AF$30:AF$52)-MIN(AF$30:AF$52))</f>
        <v>0.0174130847237292</v>
      </c>
      <c r="AG10" s="4" t="n">
        <f aca="false">$AF$27*AG37*(1/COUNTIF($C$26:$CK$26,1))/(MAX(AG$30:AG$52)-MIN(AG$30:AG$52))</f>
        <v>0.00568808923352998</v>
      </c>
      <c r="AH10" s="4" t="n">
        <f aca="false">$AF$27*AH37*(1/COUNTIF($C$26:$CK$26,1))/(MAX(AH$30:AH$52)-MIN(AH$30:AH$52))</f>
        <v>0.0134652534201043</v>
      </c>
      <c r="AI10" s="4" t="n">
        <f aca="false">$AF$27*AI37*(1/COUNTIF($C$26:$CK$26,1))/(MAX(AI$30:AI$52)-MIN(AI$30:AI$52))</f>
        <v>0.00275567131421085</v>
      </c>
      <c r="AJ10" s="4" t="n">
        <f aca="false">$AF$27*AJ37*(1/COUNTIF($C$26:$CK$26,1))/(MAX(AJ$30:AJ$52)-MIN(AJ$30:AJ$52))</f>
        <v>0.0221798314534225</v>
      </c>
      <c r="AK10" s="4" t="n">
        <f aca="false">$AF$27*AK37*(1/COUNTIF($C$26:$CK$26,1))/(MAX(AK$30:AK$52)-MIN(AK$30:AK$52))</f>
        <v>0.019915602373238</v>
      </c>
      <c r="AL10" s="4" t="n">
        <f aca="false">$AF$27*AL37*(1/COUNTIF($C$26:$CK$26,1))/(MAX(AL$30:AL$52)-MIN(AL$30:AL$52))</f>
        <v>0.014590400230138</v>
      </c>
      <c r="AM10" s="4" t="n">
        <f aca="false">$AF$27*AM37*(1/COUNTIF($C$26:$CK$26,1))/(MAX(AM$30:AM$52)-MIN(AM$30:AM$52))</f>
        <v>0.00689829121100216</v>
      </c>
      <c r="AN10" s="4" t="n">
        <f aca="false">$AF$27*AN37*(1/COUNTIF($C$26:$CK$26,1))/(MAX(AN$30:AN$52)-MIN(AN$30:AN$52))</f>
        <v>0.00543806456282972</v>
      </c>
      <c r="AO10" s="4" t="n">
        <f aca="false">$AF$27*AO37*(1/COUNTIF($C$26:$CK$26,1))/(MAX(AO$30:AO$52)-MIN(AO$30:AO$52))</f>
        <v>0.0145954935400338</v>
      </c>
      <c r="AP10" s="4" t="n">
        <f aca="false">$AF$27*AP37*(1/COUNTIF($C$26:$CK$26,1))/(MAX(AP$30:AP$52)-MIN(AP$30:AP$52))</f>
        <v>0.0239887809957947</v>
      </c>
      <c r="AQ10" s="4" t="n">
        <f aca="false">$AF$27*AQ37*(1/COUNTIF($C$26:$CK$26,1))/(MAX(AQ$30:AQ$52)-MIN(AQ$30:AQ$52))</f>
        <v>0.02530190873303</v>
      </c>
      <c r="AR10" s="4" t="n">
        <f aca="false">$AF$27*AR37*(1/COUNTIF($C$26:$CK$26,1))/(MAX(AR$30:AR$52)-MIN(AR$30:AR$52))</f>
        <v>0.0158540696298475</v>
      </c>
      <c r="AS10" s="4" t="n">
        <f aca="false">$AF$27*AS37*(1/COUNTIF($C$26:$CK$26,1))/(MAX(AS$30:AS$52)-MIN(AS$30:AS$52))</f>
        <v>0.00533430900872902</v>
      </c>
      <c r="AT10" s="4" t="n">
        <f aca="false">AT37/$CP37</f>
        <v>0.0341782454494869</v>
      </c>
      <c r="AU10" s="4" t="n">
        <f aca="false">AU37/$CP37</f>
        <v>0.0651305149133143</v>
      </c>
      <c r="AV10" s="4" t="n">
        <f aca="false">$AF$27*AV37*(1/COUNTIF($C$26:$CK$26,1))/(MAX(AV$30:AV$52)-MIN(AV$30:AV$52))</f>
        <v>0.0249893926197244</v>
      </c>
      <c r="AW10" s="4" t="n">
        <f aca="false">SUM(Flows!AX10,Flows!$AZ10)/$AW67</f>
        <v>0.000609739163728183</v>
      </c>
      <c r="AX10" s="4" t="n">
        <f aca="false">$AX$27*AX37*(1/COUNTIF($C$26:$CK$26,1))/(MAX(AX$30:AX$52)-MIN(AX$30:AX$52))</f>
        <v>0.011452031499051</v>
      </c>
      <c r="AY10" s="4" t="n">
        <f aca="false">SUM(Flows!$BB10:$BE10)*Capacity!BS10/(AY67*SUM(Capacity!$BS10:$BT10))</f>
        <v>0.00383835421830562</v>
      </c>
      <c r="AZ10" s="4" t="n">
        <f aca="false">SUM(Flows!$BB10:$BE10)*Capacity!BT10/(AZ67*SUM(Capacity!$BS10:$BT10))+(DemClcs!$A$54*Populations!$Q9/AZ67)</f>
        <v>0.019897452799138</v>
      </c>
      <c r="BA10" s="4" t="n">
        <v>0</v>
      </c>
      <c r="BB10" s="4" t="n">
        <f aca="false">$BB$27*BB37*(1/COUNTIF($C$26:$CK$26,1))/(MAX(BB$30:BB$52)-MIN(BB$30:BB$52))</f>
        <v>0.0029843894582544</v>
      </c>
      <c r="BC10" s="4" t="n">
        <f aca="false">$BB$27*BC37*(1/COUNTIF($C$26:$CK$26,1))/(MAX(BC$30:BC$52)-MIN(BC$30:BC$52))</f>
        <v>0.00103759920643047</v>
      </c>
      <c r="BD10" s="4" t="n">
        <f aca="false">$BB$27*BD37*(1/COUNTIF($C$26:$CK$26,1))/(MAX(BD$30:BD$52)-MIN(BD$30:BD$52))</f>
        <v>0.000623868075479603</v>
      </c>
      <c r="BE10" s="4" t="n">
        <f aca="false">$BB$27*BE37*(1/COUNTIF($C$26:$CK$26,1))/(MAX(BE$30:BE$52)-MIN(BE$30:BE$52))</f>
        <v>0.00282422885641465</v>
      </c>
      <c r="BF10" s="4" t="n">
        <f aca="false">(Flows!$BG10+Flows!$BI10)*1.5*Capacity!$BZ11/(15*$BF67*(Capacity!$S10+Capacity!$BZ10))</f>
        <v>2.19929902148119E-005</v>
      </c>
      <c r="BG10" s="4" t="n">
        <f aca="false">DemClcs!$A$45*(Populations!$R9+3*Populations!$S9)*Capacity!CA10/(BG67*SUM(Capacity!$CA10:$CC10,Capacity!$CE10))</f>
        <v>0.00132485322176626</v>
      </c>
      <c r="BH10" s="4" t="n">
        <f aca="false">DemClcs!$A$45*(Populations!$R9+3*Populations!$S9)*Capacity!CB10/(BH67*SUM(Capacity!$CA10:$CC10,Capacity!$CE10))</f>
        <v>3.84636956835337E-007</v>
      </c>
      <c r="BI10" s="4" t="n">
        <f aca="false">DemClcs!$A$45*(Populations!$R9+3*Populations!$S9)*Capacity!CC10/(BI67*SUM(Capacity!$CA10:$CC10,Capacity!$CE10))</f>
        <v>0.00132485322176626</v>
      </c>
      <c r="BJ10" s="4" t="n">
        <f aca="false">BJ37/$CP37</f>
        <v>0.132396705861878</v>
      </c>
      <c r="BK10" s="4" t="n">
        <f aca="false">DemClcs!$A$45*(Populations!$R9+3*Populations!$S9)*Capacity!CE10/(BK67*SUM(Capacity!$CA10:$CC10,Capacity!$CE10))</f>
        <v>0.00132485322176626</v>
      </c>
      <c r="BL10" s="4" t="n">
        <f aca="false">BL37/$CP37</f>
        <v>0.10634195266955</v>
      </c>
      <c r="BM10" s="4" t="n">
        <f aca="false">BM37/$CP37</f>
        <v>0.086812350963319</v>
      </c>
      <c r="BN10" s="4" t="n">
        <v>0</v>
      </c>
      <c r="BO10" s="4" t="n">
        <f aca="false">Flows!BT10*16/(25*BR67)</f>
        <v>0.000184755442671863</v>
      </c>
      <c r="BP10" s="4" t="n">
        <f aca="false">SUM(Flows!$AF10:$AS10,Flows!$AV10)/BP67</f>
        <v>4.72911766035671E-006</v>
      </c>
      <c r="BQ10" s="4" t="n">
        <v>0</v>
      </c>
      <c r="BR10" s="4" t="n">
        <f aca="false">Flows!BU10*16/(25*BR67)</f>
        <v>1.84755442671863E-005</v>
      </c>
      <c r="BS10" s="4" t="n">
        <f aca="false">Flows!BV10*16/(25*BS67)</f>
        <v>3.69510803496405E-006</v>
      </c>
      <c r="BT10" s="4" t="n">
        <f aca="false">Flows!$D38*0.8*0.8*$BT$27/(0.75*BT67)</f>
        <v>5.65311760661873E-006</v>
      </c>
      <c r="BU10" s="4" t="n">
        <f aca="false">Flows!$D38*0.8*0.8*$BT$27/(0.75*BU67*10)</f>
        <v>5.18202447273383E-006</v>
      </c>
      <c r="BV10" s="4" t="n">
        <f aca="false">Flows!$D38*0.8*0.8*$BT$27/(0.75*BV67*100)</f>
        <v>4.44173526234329E-006</v>
      </c>
      <c r="BW10" s="4" t="n">
        <v>0</v>
      </c>
      <c r="BX10" s="4" t="n">
        <f aca="false">BX37/$CP37</f>
        <v>0.00651527886144509</v>
      </c>
      <c r="BY10" s="4" t="n">
        <f aca="false">BY37/$CP37</f>
        <v>0.0591046683721588</v>
      </c>
      <c r="BZ10" s="4" t="n">
        <f aca="false">BZ37/$CO37</f>
        <v>0.0156188606590995</v>
      </c>
      <c r="CA10" s="4" t="n">
        <f aca="false">CA37/$CO37</f>
        <v>0.103390471283628</v>
      </c>
      <c r="CB10" s="4" t="n">
        <f aca="false">CB37/$CP37</f>
        <v>0.0641214537212909</v>
      </c>
      <c r="CC10" s="4" t="n">
        <f aca="false">CC37/$CO37</f>
        <v>0.0188987278575147</v>
      </c>
      <c r="CD10" s="4" t="n">
        <v>0</v>
      </c>
      <c r="CE10" s="4" t="n">
        <f aca="false">IF(SUM(Flows!$CJ10:$CK10)&gt;Flows!$BA10,(SUM(Flows!$CJ10:$CK10)-Flows!$BA10)/CE67)</f>
        <v>0.00636531548449999</v>
      </c>
      <c r="CF10" s="4" t="n">
        <f aca="false">CF37/$CO37</f>
        <v>0.216232594408914</v>
      </c>
      <c r="CG10" s="4" t="n">
        <f aca="false">CG37/$CO37</f>
        <v>0.190208755034193</v>
      </c>
      <c r="CH10" s="4" t="n">
        <f aca="false">CH37/$CO37</f>
        <v>0.238353379156363</v>
      </c>
      <c r="CI10" s="4" t="n">
        <f aca="false">CI37/$CP37</f>
        <v>0.125472224461157</v>
      </c>
      <c r="CJ10" s="4" t="n">
        <f aca="false">CJ$27*CJ37*(1/COUNTIF($C$26:$CK$26,1))/(MAX(CJ$30:CJ$52)-MIN(CJ$30:CJ$52))</f>
        <v>0.00162309755001865</v>
      </c>
      <c r="CK10" s="4" t="n">
        <f aca="false">CK$27*CK37*(1/COUNTIF($C$26:$CK$26,1))/(MAX(CK$30:CK$52)-MIN(CK$30:CK$52))</f>
        <v>0.00100034950337554</v>
      </c>
      <c r="CL10" s="4" t="n">
        <v>0</v>
      </c>
      <c r="CN10" s="4" t="n">
        <f aca="false">SUM(C10:CK10)</f>
        <v>3</v>
      </c>
      <c r="CP10" s="0"/>
      <c r="CR10" s="0" t="s">
        <v>275</v>
      </c>
    </row>
    <row r="11" customFormat="false" ht="12.8" hidden="false" customHeight="false" outlineLevel="0" collapsed="false">
      <c r="A11" s="4" t="s">
        <v>143</v>
      </c>
      <c r="B11" s="7" t="s">
        <v>39</v>
      </c>
      <c r="C11" s="4" t="n">
        <f aca="false">Flows!$BG11*2*Capacity!$S11/(5*15*C68*(Capacity!$S11+Capacity!$BZ11))</f>
        <v>2.93589252854638E-006</v>
      </c>
      <c r="D11" s="4" t="n">
        <f aca="false">(DemClcs!$A$32*(Populations!$R10+3*Populations!$S10)/D68)+MAX((Flows!K11+Flows!M11)/1826.484018+Flows!L11/1111.111111-Flows!$F11,0)/D68</f>
        <v>0.227427628205815</v>
      </c>
      <c r="E11" s="4" t="n">
        <f aca="false">DemClcs!$A$40*(Populations!$R10+3*Populations!$S10)/E68</f>
        <v>0.10512678959089</v>
      </c>
      <c r="F11" s="4" t="n">
        <v>0</v>
      </c>
      <c r="G11" s="4" t="n">
        <f aca="false">Flows!Q11*40/G68</f>
        <v>0.0195955381986164</v>
      </c>
      <c r="H11" s="4" t="n">
        <f aca="false">IF(Flows!$AW11&gt;Flows!$Y11,(Flows!$AW11-Flows!$Y11)/H68)</f>
        <v>0.00149692386581887</v>
      </c>
      <c r="I11" s="4" t="n">
        <f aca="false">I38/$CN38</f>
        <v>0.400267122735027</v>
      </c>
      <c r="J11" s="4" t="n">
        <f aca="false">J38/$CN38</f>
        <v>0.599732877264973</v>
      </c>
      <c r="K11" s="4" t="n">
        <v>0</v>
      </c>
      <c r="L11" s="4" t="n">
        <v>0</v>
      </c>
      <c r="M11" s="4" t="n">
        <v>0</v>
      </c>
      <c r="N11" s="4" t="n">
        <f aca="false">SUM(Flows!$V11,Flows!$W11)/$N68</f>
        <v>0.0277060671018047</v>
      </c>
      <c r="O11" s="4" t="n">
        <v>0</v>
      </c>
      <c r="P11" s="4" t="n">
        <v>0</v>
      </c>
      <c r="Q11" s="4" t="n">
        <f aca="false">$Q$27*Q38*(1/COUNTIF($C$26:$CK$26,1))/(MAX(Q$30:Q$52)-MIN(Q$30:Q$52))</f>
        <v>0.00276842049071247</v>
      </c>
      <c r="R11" s="4" t="n">
        <f aca="false">$R$27*R38*(1/COUNTIF($C$26:$CK$26,1))/(MAX(R$30:R$52)-MIN(R$30:R$52))+0.5/COUNTIF($C$26:$CK$26,1)</f>
        <v>0.0274410574190855</v>
      </c>
      <c r="S11" s="4" t="n">
        <v>0</v>
      </c>
      <c r="T11" s="4" t="n">
        <v>0</v>
      </c>
      <c r="U11" s="4" t="n">
        <v>0</v>
      </c>
      <c r="V11" s="4" t="n">
        <f aca="false">$V$27*V38*(1/COUNTIF($C$26:$CK$26,1))/(MAX(V$30:V$52)-MIN(V$30:V$52))</f>
        <v>0.0152105667455296</v>
      </c>
      <c r="W11" s="4" t="n">
        <f aca="false">$V$27*W38*(1/COUNTIF($C$26:$CK$26,1))/(MAX(W$30:W$52)-MIN(W$30:W$52))</f>
        <v>0.022964499152103</v>
      </c>
      <c r="X11" s="4" t="n">
        <f aca="false">X38/$CO38</f>
        <v>0.134780707802759</v>
      </c>
      <c r="Y11" s="4" t="n">
        <v>0</v>
      </c>
      <c r="Z11" s="4" t="n">
        <f aca="false">Flows!$AA11/$Z68</f>
        <v>0.00022825751568605</v>
      </c>
      <c r="AA11" s="4" t="n">
        <f aca="false">Flows!$AB11/$AA68</f>
        <v>0.00364711470633526</v>
      </c>
      <c r="AB11" s="4" t="n">
        <f aca="false">DemClcs!$A$20*(Populations!$R10+3*Populations!$S10)/AB68</f>
        <v>0.0075698831667397</v>
      </c>
      <c r="AC11" s="4" t="n">
        <f aca="false">Flows!$AD11/$AC68</f>
        <v>0.0349260214618205</v>
      </c>
      <c r="AD11" s="4" t="n">
        <f aca="false">DemClcs!$A$25*(Populations!$R10+3*Populations!$S10)/AD68</f>
        <v>0.075107308142192</v>
      </c>
      <c r="AE11" s="4" t="n">
        <f aca="false">AE38/$CP38</f>
        <v>0.0857076143868787</v>
      </c>
      <c r="AF11" s="4" t="n">
        <f aca="false">$AF$27*AF38*(1/COUNTIF($C$26:$CK$26,1))/(MAX(AF$30:AF$52)-MIN(AF$30:AF$52))</f>
        <v>0.0129762154273718</v>
      </c>
      <c r="AG11" s="4" t="n">
        <f aca="false">$AF$27*AG38*(1/COUNTIF($C$26:$CK$26,1))/(MAX(AG$30:AG$52)-MIN(AG$30:AG$52))</f>
        <v>0.00806808468868305</v>
      </c>
      <c r="AH11" s="4" t="n">
        <f aca="false">$AF$27*AH38*(1/COUNTIF($C$26:$CK$26,1))/(MAX(AH$30:AH$52)-MIN(AH$30:AH$52))</f>
        <v>0.0220244945090347</v>
      </c>
      <c r="AI11" s="4" t="n">
        <f aca="false">$AF$27*AI38*(1/COUNTIF($C$26:$CK$26,1))/(MAX(AI$30:AI$52)-MIN(AI$30:AI$52))</f>
        <v>0.0107809421931955</v>
      </c>
      <c r="AJ11" s="4" t="n">
        <f aca="false">$AF$27*AJ38*(1/COUNTIF($C$26:$CK$26,1))/(MAX(AJ$30:AJ$52)-MIN(AJ$30:AJ$52))</f>
        <v>0.0110403562645694</v>
      </c>
      <c r="AK11" s="4" t="n">
        <f aca="false">$AF$27*AK38*(1/COUNTIF($C$26:$CK$26,1))/(MAX(AK$30:AK$52)-MIN(AK$30:AK$52))</f>
        <v>0.0218574700054651</v>
      </c>
      <c r="AL11" s="4" t="n">
        <f aca="false">$AF$27*AL38*(1/COUNTIF($C$26:$CK$26,1))/(MAX(AL$30:AL$52)-MIN(AL$30:AL$52))</f>
        <v>0.0155430601246515</v>
      </c>
      <c r="AM11" s="4" t="n">
        <f aca="false">$AF$27*AM38*(1/COUNTIF($C$26:$CK$26,1))/(MAX(AM$30:AM$52)-MIN(AM$30:AM$52))</f>
        <v>0.000969407081627938</v>
      </c>
      <c r="AN11" s="4" t="n">
        <f aca="false">$AF$27*AN38*(1/COUNTIF($C$26:$CK$26,1))/(MAX(AN$30:AN$52)-MIN(AN$30:AN$52))</f>
        <v>0.0271586516889102</v>
      </c>
      <c r="AO11" s="4" t="n">
        <f aca="false">$AF$27*AO38*(1/COUNTIF($C$26:$CK$26,1))/(MAX(AO$30:AO$52)-MIN(AO$30:AO$52))</f>
        <v>0.0221393096095103</v>
      </c>
      <c r="AP11" s="4" t="n">
        <f aca="false">$AF$27*AP38*(1/COUNTIF($C$26:$CK$26,1))/(MAX(AP$30:AP$52)-MIN(AP$30:AP$52))</f>
        <v>0.00315575180876995</v>
      </c>
      <c r="AQ11" s="4" t="n">
        <f aca="false">$AF$27*AQ38*(1/COUNTIF($C$26:$CK$26,1))/(MAX(AQ$30:AQ$52)-MIN(AQ$30:AQ$52))</f>
        <v>0.0171332999627641</v>
      </c>
      <c r="AR11" s="4" t="n">
        <f aca="false">$AF$27*AR38*(1/COUNTIF($C$26:$CK$26,1))/(MAX(AR$30:AR$52)-MIN(AR$30:AR$52))</f>
        <v>0.0180569361323817</v>
      </c>
      <c r="AS11" s="4" t="n">
        <f aca="false">$AF$27*AS38*(1/COUNTIF($C$26:$CK$26,1))/(MAX(AS$30:AS$52)-MIN(AS$30:AS$52))</f>
        <v>0.00870571191766997</v>
      </c>
      <c r="AT11" s="4" t="n">
        <f aca="false">AT38/$CP38</f>
        <v>0.0769078809270248</v>
      </c>
      <c r="AU11" s="4" t="n">
        <f aca="false">AU38/$CP38</f>
        <v>0.011465551434471</v>
      </c>
      <c r="AV11" s="4" t="n">
        <f aca="false">$AF$27*AV38*(1/COUNTIF($C$26:$CK$26,1))/(MAX(AV$30:AV$52)-MIN(AV$30:AV$52))</f>
        <v>0.00116356713235552</v>
      </c>
      <c r="AW11" s="4" t="n">
        <f aca="false">SUM(Flows!AX11,Flows!$AZ11)/$AW68</f>
        <v>0.00538393342894416</v>
      </c>
      <c r="AX11" s="4" t="n">
        <f aca="false">$AX$27*AX38*(1/COUNTIF($C$26:$CK$26,1))/(MAX(AX$30:AX$52)-MIN(AX$30:AX$52))</f>
        <v>0.00769053565895213</v>
      </c>
      <c r="AY11" s="4" t="n">
        <f aca="false">SUM(Flows!$BB11:$BE11)*Capacity!BS11/(AY68*SUM(Capacity!$BS11:$BT11))</f>
        <v>0.0302406212660017</v>
      </c>
      <c r="AZ11" s="4" t="n">
        <f aca="false">SUM(Flows!$BB11:$BE11)*Capacity!BT11/(AZ68*SUM(Capacity!$BS11:$BT11))+(DemClcs!$A$54*Populations!$Q10/AZ68)</f>
        <v>0.116031581343924</v>
      </c>
      <c r="BA11" s="4" t="n">
        <v>0</v>
      </c>
      <c r="BB11" s="4" t="n">
        <f aca="false">$BB$27*BB38*(1/COUNTIF($C$26:$CK$26,1))/(MAX(BB$30:BB$52)-MIN(BB$30:BB$52))</f>
        <v>0.00248526072144757</v>
      </c>
      <c r="BC11" s="4" t="n">
        <f aca="false">$BB$27*BC38*(1/COUNTIF($C$26:$CK$26,1))/(MAX(BC$30:BC$52)-MIN(BC$30:BC$52))</f>
        <v>0.000664131848936196</v>
      </c>
      <c r="BD11" s="4" t="n">
        <f aca="false">$BB$27*BD38*(1/COUNTIF($C$26:$CK$26,1))/(MAX(BD$30:BD$52)-MIN(BD$30:BD$52))</f>
        <v>0.0017991311411825</v>
      </c>
      <c r="BE11" s="4" t="n">
        <f aca="false">$BB$27*BE38*(1/COUNTIF($C$26:$CK$26,1))/(MAX(BE$30:BE$52)-MIN(BE$30:BE$52))</f>
        <v>0.00225182947628827</v>
      </c>
      <c r="BF11" s="4" t="n">
        <f aca="false">(Flows!$BG11+Flows!$BI11)*1.5*Capacity!$BZ12/(15*$BF68*(Capacity!$S11+Capacity!$BZ11))</f>
        <v>1.23099379521441E-005</v>
      </c>
      <c r="BG11" s="4" t="n">
        <f aca="false">DemClcs!$A$45*(Populations!$R10+3*Populations!$S10)*Capacity!CA11/(BG68*SUM(Capacity!$CA11:$CC11,Capacity!$CE11))</f>
        <v>0.00305657187316821</v>
      </c>
      <c r="BH11" s="4" t="n">
        <f aca="false">DemClcs!$A$45*(Populations!$R10+3*Populations!$S10)*Capacity!CB11/(BH68*SUM(Capacity!$CA11:$CC11,Capacity!$CE11))</f>
        <v>0.00416403312681353</v>
      </c>
      <c r="BI11" s="4" t="n">
        <f aca="false">DemClcs!$A$45*(Populations!$R10+3*Populations!$S10)*Capacity!CC11/(BI68*SUM(Capacity!$CA11:$CC11,Capacity!$CE11))</f>
        <v>0.00305657187316821</v>
      </c>
      <c r="BJ11" s="4" t="n">
        <f aca="false">BJ38/$CP38</f>
        <v>0.0054254116497898</v>
      </c>
      <c r="BK11" s="4" t="n">
        <f aca="false">DemClcs!$A$45*(Populations!$R10+3*Populations!$S10)*Capacity!CE11/(BK68*SUM(Capacity!$CA11:$CC11,Capacity!$CE11))</f>
        <v>0.00305657187316821</v>
      </c>
      <c r="BL11" s="4" t="n">
        <f aca="false">BL38/$CP38</f>
        <v>0.0473470502929552</v>
      </c>
      <c r="BM11" s="4" t="n">
        <f aca="false">BM38/$CP38</f>
        <v>0.0566244523797535</v>
      </c>
      <c r="BN11" s="4" t="n">
        <v>0</v>
      </c>
      <c r="BO11" s="4" t="n">
        <f aca="false">Flows!BT11*16/(25*BR68)</f>
        <v>0.00474599562826548</v>
      </c>
      <c r="BP11" s="4" t="n">
        <f aca="false">SUM(Flows!$AF11:$AS11,Flows!$AV11)/BP68</f>
        <v>6.16872862976611E-005</v>
      </c>
      <c r="BQ11" s="4" t="n">
        <v>0</v>
      </c>
      <c r="BR11" s="4" t="n">
        <f aca="false">Flows!BU11*16/(25*BR68)</f>
        <v>0.000474599562826548</v>
      </c>
      <c r="BS11" s="4" t="n">
        <f aca="false">Flows!BV11*16/(25*BS68)</f>
        <v>9.4919878568051E-005</v>
      </c>
      <c r="BT11" s="4" t="n">
        <f aca="false">Flows!$D39*0.8*0.8*$BT$27/(0.75*BT68)</f>
        <v>1.13442023350776E-005</v>
      </c>
      <c r="BU11" s="4" t="n">
        <f aca="false">Flows!$D39*0.8*0.8*$BT$27/(0.75*BU68*10)</f>
        <v>1.03988521404878E-005</v>
      </c>
      <c r="BV11" s="4" t="n">
        <f aca="false">Flows!$D39*0.8*0.8*$BT$27/(0.75*BV68*100)</f>
        <v>8.91330183470386E-006</v>
      </c>
      <c r="BW11" s="4" t="n">
        <v>0</v>
      </c>
      <c r="BX11" s="4" t="n">
        <f aca="false">BX38/$CP38</f>
        <v>0.124996160092693</v>
      </c>
      <c r="BY11" s="4" t="n">
        <f aca="false">BY38/$CP38</f>
        <v>0.108401813716029</v>
      </c>
      <c r="BZ11" s="4" t="n">
        <f aca="false">BZ38/$CO38</f>
        <v>0.026431370319426</v>
      </c>
      <c r="CA11" s="4" t="n">
        <f aca="false">CA38/$CO38</f>
        <v>0.0280093875700016</v>
      </c>
      <c r="CB11" s="4" t="n">
        <f aca="false">CB38/$CP38</f>
        <v>0.090849695989107</v>
      </c>
      <c r="CC11" s="4" t="n">
        <f aca="false">CC38/$CO38</f>
        <v>0.0258228086456123</v>
      </c>
      <c r="CD11" s="4" t="n">
        <v>0</v>
      </c>
      <c r="CE11" s="4" t="n">
        <f aca="false">IF(SUM(Flows!$CJ11:$CK11)&gt;Flows!$BA11,(SUM(Flows!$CJ11:$CK11)-Flows!$BA11)/CE68)</f>
        <v>0.0127882764292722</v>
      </c>
      <c r="CF11" s="4" t="n">
        <f aca="false">CF38/$CO38</f>
        <v>0.0379790705456939</v>
      </c>
      <c r="CG11" s="4" t="n">
        <f aca="false">CG38/$CO38</f>
        <v>0.109708318808351</v>
      </c>
      <c r="CH11" s="4" t="n">
        <f aca="false">CH38/$CO38</f>
        <v>0.015792656635087</v>
      </c>
      <c r="CI11" s="4" t="n">
        <f aca="false">CI38/$CP38</f>
        <v>0.0419940209274725</v>
      </c>
      <c r="CJ11" s="4" t="n">
        <f aca="false">CJ$27*CJ38*(1/COUNTIF($C$26:$CK$26,1))/(MAX(CJ$30:CJ$52)-MIN(CJ$30:CJ$52))</f>
        <v>0.00142988750722475</v>
      </c>
      <c r="CK11" s="4" t="n">
        <f aca="false">CK$27*CK38*(1/COUNTIF($C$26:$CK$26,1))/(MAX(CK$30:CK$52)-MIN(CK$30:CK$52))</f>
        <v>0.000244651455545878</v>
      </c>
      <c r="CL11" s="4" t="n">
        <v>0</v>
      </c>
      <c r="CN11" s="4" t="n">
        <f aca="false">SUM(C11:CK11)</f>
        <v>3</v>
      </c>
    </row>
    <row r="12" customFormat="false" ht="12.8" hidden="false" customHeight="false" outlineLevel="0" collapsed="false">
      <c r="A12" s="4" t="s">
        <v>144</v>
      </c>
      <c r="B12" s="7" t="s">
        <v>39</v>
      </c>
      <c r="C12" s="4" t="n">
        <f aca="false">Flows!$BG12*2*Capacity!$S12/(5*15*C69*(Capacity!$S12+Capacity!$BZ12))</f>
        <v>9.76436780129638E-007</v>
      </c>
      <c r="D12" s="4" t="n">
        <f aca="false">(DemClcs!$A$32*(Populations!$R11+3*Populations!$S11)/D69)+MAX((Flows!K12+Flows!M12)/1826.484018+Flows!L12/1111.111111-Flows!$F12,0)/D69</f>
        <v>0.0652152305818278</v>
      </c>
      <c r="E12" s="4" t="n">
        <f aca="false">DemClcs!$A$40*(Populations!$R11+3*Populations!$S11)/E69</f>
        <v>0.0178596038253527</v>
      </c>
      <c r="F12" s="4" t="n">
        <v>0</v>
      </c>
      <c r="G12" s="4" t="n">
        <f aca="false">Flows!Q12*40/G69</f>
        <v>0.00429021069472785</v>
      </c>
      <c r="H12" s="4" t="n">
        <f aca="false">IF(Flows!$AW12&gt;Flows!$Y12,(Flows!$AW12-Flows!$Y12)/H69)</f>
        <v>0.000154579193969272</v>
      </c>
      <c r="I12" s="4" t="n">
        <f aca="false">I39/$CN39</f>
        <v>0.443541418756017</v>
      </c>
      <c r="J12" s="4" t="n">
        <f aca="false">J39/$CN39</f>
        <v>0.556458581243983</v>
      </c>
      <c r="K12" s="4" t="n">
        <v>0</v>
      </c>
      <c r="L12" s="4" t="n">
        <v>0</v>
      </c>
      <c r="M12" s="4" t="n">
        <v>0</v>
      </c>
      <c r="N12" s="4" t="n">
        <f aca="false">SUM(Flows!$V12,Flows!$W12)/$N69</f>
        <v>0.00442916198958102</v>
      </c>
      <c r="O12" s="4" t="n">
        <v>0</v>
      </c>
      <c r="P12" s="4" t="n">
        <v>0</v>
      </c>
      <c r="Q12" s="4" t="n">
        <f aca="false">$Q$27*Q39*(1/COUNTIF($C$26:$CK$26,1))/(MAX(Q$30:Q$52)-MIN(Q$30:Q$52))</f>
        <v>0.0039742039006376</v>
      </c>
      <c r="R12" s="4" t="n">
        <f aca="false">$R$27*R39*(1/COUNTIF($C$26:$CK$26,1))/(MAX(R$30:R$52)-MIN(R$30:R$52))+0.5/COUNTIF($C$26:$CK$26,1)</f>
        <v>0.0274844309060547</v>
      </c>
      <c r="S12" s="4" t="n">
        <v>0</v>
      </c>
      <c r="T12" s="4" t="n">
        <v>0</v>
      </c>
      <c r="U12" s="4" t="n">
        <v>0</v>
      </c>
      <c r="V12" s="4" t="n">
        <f aca="false">$V$27*V39*(1/COUNTIF($C$26:$CK$26,1))/(MAX(V$30:V$52)-MIN(V$30:V$52))</f>
        <v>0.022558530270266</v>
      </c>
      <c r="W12" s="4" t="n">
        <f aca="false">$V$27*W39*(1/COUNTIF($C$26:$CK$26,1))/(MAX(W$30:W$52)-MIN(W$30:W$52))</f>
        <v>0.0249362668475937</v>
      </c>
      <c r="X12" s="4" t="n">
        <f aca="false">X39/$CO39</f>
        <v>0.0922784037451967</v>
      </c>
      <c r="Y12" s="4" t="n">
        <v>0</v>
      </c>
      <c r="Z12" s="4" t="n">
        <f aca="false">Flows!$AA12/$Z69</f>
        <v>3.12321367231144E-005</v>
      </c>
      <c r="AA12" s="4" t="n">
        <f aca="false">Flows!$AB12/$AA69</f>
        <v>0.00090052778310901</v>
      </c>
      <c r="AB12" s="4" t="n">
        <f aca="false">DemClcs!$A$20*(Populations!$R11+3*Populations!$S11)/AB69</f>
        <v>0.00254959879719938</v>
      </c>
      <c r="AC12" s="4" t="n">
        <f aca="false">Flows!$AD12/$AC69</f>
        <v>0.00464918640494439</v>
      </c>
      <c r="AD12" s="4" t="n">
        <f aca="false">DemClcs!$A$25*(Populations!$R11+3*Populations!$S11)/AD69</f>
        <v>0.0252967579924607</v>
      </c>
      <c r="AE12" s="4" t="n">
        <f aca="false">AE39/$CP39</f>
        <v>0.0318437448047243</v>
      </c>
      <c r="AF12" s="4" t="n">
        <f aca="false">$AF$27*AF39*(1/COUNTIF($C$26:$CK$26,1))/(MAX(AF$30:AF$52)-MIN(AF$30:AF$52))</f>
        <v>0.0296089627497863</v>
      </c>
      <c r="AG12" s="4" t="n">
        <f aca="false">$AF$27*AG39*(1/COUNTIF($C$26:$CK$26,1))/(MAX(AG$30:AG$52)-MIN(AG$30:AG$52))</f>
        <v>0.00724297390102753</v>
      </c>
      <c r="AH12" s="4" t="n">
        <f aca="false">$AF$27*AH39*(1/COUNTIF($C$26:$CK$26,1))/(MAX(AH$30:AH$52)-MIN(AH$30:AH$52))</f>
        <v>0.0050367120334178</v>
      </c>
      <c r="AI12" s="4" t="n">
        <f aca="false">$AF$27*AI39*(1/COUNTIF($C$26:$CK$26,1))/(MAX(AI$30:AI$52)-MIN(AI$30:AI$52))</f>
        <v>0.0176808217549934</v>
      </c>
      <c r="AJ12" s="4" t="n">
        <f aca="false">$AF$27*AJ39*(1/COUNTIF($C$26:$CK$26,1))/(MAX(AJ$30:AJ$52)-MIN(AJ$30:AJ$52))</f>
        <v>0.0104478782924905</v>
      </c>
      <c r="AK12" s="4" t="n">
        <f aca="false">$AF$27*AK39*(1/COUNTIF($C$26:$CK$26,1))/(MAX(AK$30:AK$52)-MIN(AK$30:AK$52))</f>
        <v>0.0212071437980348</v>
      </c>
      <c r="AL12" s="4" t="n">
        <f aca="false">$AF$27*AL39*(1/COUNTIF($C$26:$CK$26,1))/(MAX(AL$30:AL$52)-MIN(AL$30:AL$52))</f>
        <v>0.0266662980303857</v>
      </c>
      <c r="AM12" s="4" t="n">
        <f aca="false">$AF$27*AM39*(1/COUNTIF($C$26:$CK$26,1))/(MAX(AM$30:AM$52)-MIN(AM$30:AM$52))</f>
        <v>0.0192110788138299</v>
      </c>
      <c r="AN12" s="4" t="n">
        <f aca="false">$AF$27*AN39*(1/COUNTIF($C$26:$CK$26,1))/(MAX(AN$30:AN$52)-MIN(AN$30:AN$52))</f>
        <v>0.0235817889443667</v>
      </c>
      <c r="AO12" s="4" t="n">
        <f aca="false">$AF$27*AO39*(1/COUNTIF($C$26:$CK$26,1))/(MAX(AO$30:AO$52)-MIN(AO$30:AO$52))</f>
        <v>0.0282588327573551</v>
      </c>
      <c r="AP12" s="4" t="n">
        <f aca="false">$AF$27*AP39*(1/COUNTIF($C$26:$CK$26,1))/(MAX(AP$30:AP$52)-MIN(AP$30:AP$52))</f>
        <v>0.024485817047006</v>
      </c>
      <c r="AQ12" s="4" t="n">
        <f aca="false">$AF$27*AQ39*(1/COUNTIF($C$26:$CK$26,1))/(MAX(AQ$30:AQ$52)-MIN(AQ$30:AQ$52))</f>
        <v>0.000735060672554003</v>
      </c>
      <c r="AR12" s="4" t="n">
        <f aca="false">$AF$27*AR39*(1/COUNTIF($C$26:$CK$26,1))/(MAX(AR$30:AR$52)-MIN(AR$30:AR$52))</f>
        <v>0.00452461214671235</v>
      </c>
      <c r="AS12" s="4" t="n">
        <f aca="false">$AF$27*AS39*(1/COUNTIF($C$26:$CK$26,1))/(MAX(AS$30:AS$52)-MIN(AS$30:AS$52))</f>
        <v>0.00844925853562014</v>
      </c>
      <c r="AT12" s="4" t="n">
        <f aca="false">AT39/$CP39</f>
        <v>0.0477017306245881</v>
      </c>
      <c r="AU12" s="4" t="n">
        <f aca="false">AU39/$CP39</f>
        <v>0.045608373537999</v>
      </c>
      <c r="AV12" s="4" t="n">
        <f aca="false">$AF$27*AV39*(1/COUNTIF($C$26:$CK$26,1))/(MAX(AV$30:AV$52)-MIN(AV$30:AV$52))</f>
        <v>0.00239891133112325</v>
      </c>
      <c r="AW12" s="4" t="n">
        <f aca="false">SUM(Flows!AX12,Flows!$AZ12)/$AW69</f>
        <v>0.000759846117465701</v>
      </c>
      <c r="AX12" s="4" t="n">
        <f aca="false">$AX$27*AX39*(1/COUNTIF($C$26:$CK$26,1))/(MAX(AX$30:AX$52)-MIN(AX$30:AX$52))</f>
        <v>0.0119355825865264</v>
      </c>
      <c r="AY12" s="4" t="n">
        <f aca="false">SUM(Flows!$BB12:$BE12)*Capacity!BS12/(AY69*SUM(Capacity!$BS12:$BT12))</f>
        <v>0.00426060542182259</v>
      </c>
      <c r="AZ12" s="4" t="n">
        <f aca="false">SUM(Flows!$BB12:$BE12)*Capacity!BT12/(AZ69*SUM(Capacity!$BS12:$BT12))+(DemClcs!$A$54*Populations!$Q11/AZ69)</f>
        <v>0.0211022872824025</v>
      </c>
      <c r="BA12" s="4" t="n">
        <v>0</v>
      </c>
      <c r="BB12" s="4" t="n">
        <f aca="false">$BB$27*BB39*(1/COUNTIF($C$26:$CK$26,1))/(MAX(BB$30:BB$52)-MIN(BB$30:BB$52))</f>
        <v>0.000398267858646148</v>
      </c>
      <c r="BC12" s="4" t="n">
        <f aca="false">$BB$27*BC39*(1/COUNTIF($C$26:$CK$26,1))/(MAX(BC$30:BC$52)-MIN(BC$30:BC$52))</f>
        <v>0.00169297176634976</v>
      </c>
      <c r="BD12" s="4" t="n">
        <f aca="false">$BB$27*BD39*(1/COUNTIF($C$26:$CK$26,1))/(MAX(BD$30:BD$52)-MIN(BD$30:BD$52))</f>
        <v>0.00156044911845063</v>
      </c>
      <c r="BE12" s="4" t="n">
        <f aca="false">$BB$27*BE39*(1/COUNTIF($C$26:$CK$26,1))/(MAX(BE$30:BE$52)-MIN(BE$30:BE$52))</f>
        <v>0.00144364408543559</v>
      </c>
      <c r="BF12" s="4" t="n">
        <f aca="false">(Flows!$BG12+Flows!$BI12)*1.5*Capacity!$BZ13/(15*$BF69*(Capacity!$S12+Capacity!$BZ12))</f>
        <v>1.08766569603246E-005</v>
      </c>
      <c r="BG12" s="4" t="n">
        <f aca="false">DemClcs!$A$45*(Populations!$R11+3*Populations!$S11)*Capacity!CA12/(BG69*SUM(Capacity!$CA12:$CC12,Capacity!$CE12))</f>
        <v>0.00142747086595592</v>
      </c>
      <c r="BH12" s="4" t="n">
        <f aca="false">DemClcs!$A$45*(Populations!$R11+3*Populations!$S11)*Capacity!CB12/(BH69*SUM(Capacity!$CA12:$CC12,Capacity!$CE12))</f>
        <v>3.7795134395253E-007</v>
      </c>
      <c r="BI12" s="4" t="n">
        <f aca="false">DemClcs!$A$45*(Populations!$R11+3*Populations!$S11)*Capacity!CC12/(BI69*SUM(Capacity!$CA12:$CC12,Capacity!$CE12))</f>
        <v>0.00142747086595592</v>
      </c>
      <c r="BJ12" s="4" t="n">
        <f aca="false">BJ39/$CP39</f>
        <v>0.0583319372898469</v>
      </c>
      <c r="BK12" s="4" t="n">
        <f aca="false">DemClcs!$A$45*(Populations!$R11+3*Populations!$S11)*Capacity!CE12/(BK69*SUM(Capacity!$CA12:$CC12,Capacity!$CE12))</f>
        <v>0.00142747086595592</v>
      </c>
      <c r="BL12" s="4" t="n">
        <f aca="false">BL39/$CP39</f>
        <v>0.078675250691885</v>
      </c>
      <c r="BM12" s="4" t="n">
        <f aca="false">BM39/$CP39</f>
        <v>0.0559081395529809</v>
      </c>
      <c r="BN12" s="4" t="n">
        <v>0</v>
      </c>
      <c r="BO12" s="4" t="n">
        <f aca="false">Flows!BT12*16/(25*BR69)</f>
        <v>0.000292833915021537</v>
      </c>
      <c r="BP12" s="4" t="n">
        <f aca="false">SUM(Flows!$AF12:$AS12,Flows!$AV12)/BP69</f>
        <v>7.24854003537898E-006</v>
      </c>
      <c r="BQ12" s="4" t="n">
        <v>0</v>
      </c>
      <c r="BR12" s="4" t="n">
        <f aca="false">Flows!BU12*16/(25*BR69)</f>
        <v>2.92833915021537E-005</v>
      </c>
      <c r="BS12" s="4" t="n">
        <f aca="false">Flows!BV12*16/(25*BS69)</f>
        <v>5.85667653176996E-006</v>
      </c>
      <c r="BT12" s="4" t="n">
        <f aca="false">Flows!$D40*0.8*0.8*$BT$27/(0.75*BT69)</f>
        <v>5.98526176740922E-006</v>
      </c>
      <c r="BU12" s="4" t="n">
        <f aca="false">Flows!$D40*0.8*0.8*$BT$27/(0.75*BU69*10)</f>
        <v>5.48648995345846E-006</v>
      </c>
      <c r="BV12" s="4" t="n">
        <f aca="false">Flows!$D40*0.8*0.8*$BT$27/(0.75*BV69*100)</f>
        <v>4.70270567439296E-006</v>
      </c>
      <c r="BW12" s="4" t="n">
        <v>0</v>
      </c>
      <c r="BX12" s="4" t="n">
        <f aca="false">BX39/$CP39</f>
        <v>0.0864578193356218</v>
      </c>
      <c r="BY12" s="4" t="n">
        <f aca="false">BY39/$CP39</f>
        <v>0.0875616781477037</v>
      </c>
      <c r="BZ12" s="4" t="n">
        <f aca="false">BZ39/$CO39</f>
        <v>0.11453693063237</v>
      </c>
      <c r="CA12" s="4" t="n">
        <f aca="false">CA39/$CO39</f>
        <v>0.02501905157676</v>
      </c>
      <c r="CB12" s="4" t="n">
        <f aca="false">CB39/$CP39</f>
        <v>0.0908032960285271</v>
      </c>
      <c r="CC12" s="4" t="n">
        <f aca="false">CC39/$CO39</f>
        <v>0.0268784069599256</v>
      </c>
      <c r="CD12" s="4" t="n">
        <v>0</v>
      </c>
      <c r="CE12" s="4" t="n">
        <f aca="false">IF(SUM(Flows!$CJ12:$CK12)&gt;Flows!$BA12,(SUM(Flows!$CJ12:$CK12)-Flows!$BA12)/CE69)</f>
        <v>0.0206997198853022</v>
      </c>
      <c r="CF12" s="4" t="n">
        <f aca="false">CF39/$CO39</f>
        <v>0.232930357971995</v>
      </c>
      <c r="CG12" s="4" t="n">
        <f aca="false">CG39/$CO39</f>
        <v>0.141083503758495</v>
      </c>
      <c r="CH12" s="4" t="n">
        <f aca="false">CH39/$CO39</f>
        <v>0.184054592711726</v>
      </c>
      <c r="CI12" s="4" t="n">
        <f aca="false">CI39/$CP39</f>
        <v>0.0931603938395482</v>
      </c>
      <c r="CJ12" s="4" t="n">
        <f aca="false">CJ$27*CJ39*(1/COUNTIF($C$26:$CK$26,1))/(MAX(CJ$30:CJ$52)-MIN(CJ$30:CJ$52))</f>
        <v>0.00208931353130053</v>
      </c>
      <c r="CK12" s="4" t="n">
        <f aca="false">CK$27*CK39*(1/COUNTIF($C$26:$CK$26,1))/(MAX(CK$30:CK$52)-MIN(CK$30:CK$52))</f>
        <v>0.00271198837981557</v>
      </c>
      <c r="CL12" s="4" t="n">
        <v>0</v>
      </c>
      <c r="CN12" s="4" t="n">
        <f aca="false">SUM(C12:CK12)</f>
        <v>3</v>
      </c>
    </row>
    <row r="13" customFormat="false" ht="12.8" hidden="false" customHeight="false" outlineLevel="0" collapsed="false">
      <c r="A13" s="4" t="s">
        <v>145</v>
      </c>
      <c r="B13" s="7" t="s">
        <v>39</v>
      </c>
      <c r="C13" s="4" t="n">
        <f aca="false">Flows!$BG13*2*Capacity!$S13/(5*15*C70*(Capacity!$S13+Capacity!$BZ13))</f>
        <v>1.60916940132515E-006</v>
      </c>
      <c r="D13" s="4" t="n">
        <f aca="false">(DemClcs!$A$32*(Populations!$R12+3*Populations!$S12)/D70)+MAX((Flows!K13+Flows!M13)/1826.484018+Flows!L13/1111.111111-Flows!$F13,0)/D70</f>
        <v>0.215491725705803</v>
      </c>
      <c r="E13" s="4" t="n">
        <f aca="false">DemClcs!$A$40*(Populations!$R12+3*Populations!$S12)/E70</f>
        <v>0.0907136905542562</v>
      </c>
      <c r="F13" s="4" t="n">
        <v>0</v>
      </c>
      <c r="G13" s="4" t="n">
        <f aca="false">Flows!Q13*40/G70</f>
        <v>0.0237820128528293</v>
      </c>
      <c r="H13" s="4" t="n">
        <f aca="false">IF(Flows!$AW13&gt;Flows!$Y13,(Flows!$AW13-Flows!$Y13)/H70)</f>
        <v>0.000783973706937207</v>
      </c>
      <c r="I13" s="4" t="n">
        <f aca="false">I40/$CN40</f>
        <v>0.352171619555786</v>
      </c>
      <c r="J13" s="4" t="n">
        <f aca="false">J40/$CN40</f>
        <v>0.647828380444214</v>
      </c>
      <c r="K13" s="4" t="n">
        <v>0</v>
      </c>
      <c r="L13" s="4" t="n">
        <v>0</v>
      </c>
      <c r="M13" s="4" t="n">
        <v>0</v>
      </c>
      <c r="N13" s="4" t="n">
        <f aca="false">SUM(Flows!$V13,Flows!$W13)/$N70</f>
        <v>0.0164749591489725</v>
      </c>
      <c r="O13" s="4" t="n">
        <v>0</v>
      </c>
      <c r="P13" s="4" t="n">
        <v>0</v>
      </c>
      <c r="Q13" s="4" t="n">
        <f aca="false">$Q$27*Q40*(1/COUNTIF($C$26:$CK$26,1))/(MAX(Q$30:Q$52)-MIN(Q$30:Q$52))</f>
        <v>0.00530847929012975</v>
      </c>
      <c r="R13" s="4" t="n">
        <f aca="false">$R$27*R40*(1/COUNTIF($C$26:$CK$26,1))/(MAX(R$30:R$52)-MIN(R$30:R$52))+0.5/COUNTIF($C$26:$CK$26,1)</f>
        <v>0.0283261240882296</v>
      </c>
      <c r="S13" s="4" t="n">
        <v>0</v>
      </c>
      <c r="T13" s="4" t="n">
        <v>0</v>
      </c>
      <c r="U13" s="4" t="n">
        <v>0</v>
      </c>
      <c r="V13" s="4" t="n">
        <f aca="false">$V$27*V40*(1/COUNTIF($C$26:$CK$26,1))/(MAX(V$30:V$52)-MIN(V$30:V$52))</f>
        <v>0.0197405484309768</v>
      </c>
      <c r="W13" s="4" t="n">
        <f aca="false">$V$27*W40*(1/COUNTIF($C$26:$CK$26,1))/(MAX(W$30:W$52)-MIN(W$30:W$52))</f>
        <v>0.0215942156995942</v>
      </c>
      <c r="X13" s="4" t="n">
        <f aca="false">X40/$CO40</f>
        <v>0.0643937748731157</v>
      </c>
      <c r="Y13" s="4" t="n">
        <v>0</v>
      </c>
      <c r="Z13" s="4" t="n">
        <f aca="false">Flows!$AA13/$Z70</f>
        <v>0.000105678810231381</v>
      </c>
      <c r="AA13" s="4" t="n">
        <f aca="false">Flows!$AB13/$AA70</f>
        <v>0.00194014957502147</v>
      </c>
      <c r="AB13" s="4" t="n">
        <f aca="false">DemClcs!$A$20*(Populations!$R12+3*Populations!$S12)/AB70</f>
        <v>0.0070745974704009</v>
      </c>
      <c r="AC13" s="4" t="n">
        <f aca="false">Flows!$AD13/$AC70</f>
        <v>0.0192108143477243</v>
      </c>
      <c r="AD13" s="4" t="n">
        <f aca="false">DemClcs!$A$25*(Populations!$R12+3*Populations!$S12)/AD70</f>
        <v>0.0701931536441697</v>
      </c>
      <c r="AE13" s="4" t="n">
        <f aca="false">AE40/$CP40</f>
        <v>0.0718717009190586</v>
      </c>
      <c r="AF13" s="4" t="n">
        <f aca="false">$AF$27*AF40*(1/COUNTIF($C$26:$CK$26,1))/(MAX(AF$30:AF$52)-MIN(AF$30:AF$52))</f>
        <v>0.0185421979944974</v>
      </c>
      <c r="AG13" s="4" t="n">
        <f aca="false">$AF$27*AG40*(1/COUNTIF($C$26:$CK$26,1))/(MAX(AG$30:AG$52)-MIN(AG$30:AG$52))</f>
        <v>0.00457587434467995</v>
      </c>
      <c r="AH13" s="4" t="n">
        <f aca="false">$AF$27*AH40*(1/COUNTIF($C$26:$CK$26,1))/(MAX(AH$30:AH$52)-MIN(AH$30:AH$52))</f>
        <v>0.0156816028464547</v>
      </c>
      <c r="AI13" s="4" t="n">
        <f aca="false">$AF$27*AI40*(1/COUNTIF($C$26:$CK$26,1))/(MAX(AI$30:AI$52)-MIN(AI$30:AI$52))</f>
        <v>2.01253511536199E-005</v>
      </c>
      <c r="AJ13" s="4" t="n">
        <f aca="false">$AF$27*AJ40*(1/COUNTIF($C$26:$CK$26,1))/(MAX(AJ$30:AJ$52)-MIN(AJ$30:AJ$52))</f>
        <v>0.0243724550492136</v>
      </c>
      <c r="AK13" s="4" t="n">
        <f aca="false">$AF$27*AK40*(1/COUNTIF($C$26:$CK$26,1))/(MAX(AK$30:AK$52)-MIN(AK$30:AK$52))</f>
        <v>0.0262569525219646</v>
      </c>
      <c r="AL13" s="4" t="n">
        <f aca="false">$AF$27*AL40*(1/COUNTIF($C$26:$CK$26,1))/(MAX(AL$30:AL$52)-MIN(AL$30:AL$52))</f>
        <v>0.0144396082218773</v>
      </c>
      <c r="AM13" s="4" t="n">
        <f aca="false">$AF$27*AM40*(1/COUNTIF($C$26:$CK$26,1))/(MAX(AM$30:AM$52)-MIN(AM$30:AM$52))</f>
        <v>0.0250609691212154</v>
      </c>
      <c r="AN13" s="4" t="n">
        <f aca="false">$AF$27*AN40*(1/COUNTIF($C$26:$CK$26,1))/(MAX(AN$30:AN$52)-MIN(AN$30:AN$52))</f>
        <v>0.0237658080498054</v>
      </c>
      <c r="AO13" s="4" t="n">
        <f aca="false">$AF$27*AO40*(1/COUNTIF($C$26:$CK$26,1))/(MAX(AO$30:AO$52)-MIN(AO$30:AO$52))</f>
        <v>0.0210022771593059</v>
      </c>
      <c r="AP13" s="4" t="n">
        <f aca="false">$AF$27*AP40*(1/COUNTIF($C$26:$CK$26,1))/(MAX(AP$30:AP$52)-MIN(AP$30:AP$52))</f>
        <v>0.0259015192919442</v>
      </c>
      <c r="AQ13" s="4" t="n">
        <f aca="false">$AF$27*AQ40*(1/COUNTIF($C$26:$CK$26,1))/(MAX(AQ$30:AQ$52)-MIN(AQ$30:AQ$52))</f>
        <v>0.0056947950419948</v>
      </c>
      <c r="AR13" s="4" t="n">
        <f aca="false">$AF$27*AR40*(1/COUNTIF($C$26:$CK$26,1))/(MAX(AR$30:AR$52)-MIN(AR$30:AR$52))</f>
        <v>0.00983943483370917</v>
      </c>
      <c r="AS13" s="4" t="n">
        <f aca="false">$AF$27*AS40*(1/COUNTIF($C$26:$CK$26,1))/(MAX(AS$30:AS$52)-MIN(AS$30:AS$52))</f>
        <v>0.0159145903632775</v>
      </c>
      <c r="AT13" s="4" t="n">
        <f aca="false">AT40/$CP40</f>
        <v>0.0518825094059703</v>
      </c>
      <c r="AU13" s="4" t="n">
        <f aca="false">AU40/$CP40</f>
        <v>0.00755206885919848</v>
      </c>
      <c r="AV13" s="4" t="n">
        <f aca="false">$AF$27*AV40*(1/COUNTIF($C$26:$CK$26,1))/(MAX(AV$30:AV$52)-MIN(AV$30:AV$52))</f>
        <v>0.0108964416691113</v>
      </c>
      <c r="AW13" s="4" t="n">
        <f aca="false">SUM(Flows!AX13,Flows!$AZ13)/$AW70</f>
        <v>0.00308935409809676</v>
      </c>
      <c r="AX13" s="4" t="n">
        <f aca="false">$AX$27*AX40*(1/COUNTIF($C$26:$CK$26,1))/(MAX(AX$30:AX$52)-MIN(AX$30:AX$52))</f>
        <v>0.0117754738654562</v>
      </c>
      <c r="AY13" s="4" t="n">
        <f aca="false">SUM(Flows!$BB13:$BE13)*Capacity!BS13/(AY70*SUM(Capacity!$BS13:$BT13))</f>
        <v>0.0197376788533521</v>
      </c>
      <c r="AZ13" s="4" t="n">
        <f aca="false">SUM(Flows!$BB13:$BE13)*Capacity!BT13/(AZ70*SUM(Capacity!$BS13:$BT13))+(DemClcs!$A$54*Populations!$Q12/AZ70)</f>
        <v>0.112738140613707</v>
      </c>
      <c r="BA13" s="4" t="n">
        <v>0</v>
      </c>
      <c r="BB13" s="4" t="n">
        <f aca="false">$BB$27*BB40*(1/COUNTIF($C$26:$CK$26,1))/(MAX(BB$30:BB$52)-MIN(BB$30:BB$52))</f>
        <v>0.00241290438260939</v>
      </c>
      <c r="BC13" s="4" t="n">
        <f aca="false">$BB$27*BC40*(1/COUNTIF($C$26:$CK$26,1))/(MAX(BC$30:BC$52)-MIN(BC$30:BC$52))</f>
        <v>0.000630789597501963</v>
      </c>
      <c r="BD13" s="4" t="n">
        <f aca="false">$BB$27*BD40*(1/COUNTIF($C$26:$CK$26,1))/(MAX(BD$30:BD$52)-MIN(BD$30:BD$52))</f>
        <v>0.00275387227958787</v>
      </c>
      <c r="BE13" s="4" t="n">
        <f aca="false">$BB$27*BE40*(1/COUNTIF($C$26:$CK$26,1))/(MAX(BE$30:BE$52)-MIN(BE$30:BE$52))</f>
        <v>0.00174225639372296</v>
      </c>
      <c r="BF13" s="4" t="n">
        <f aca="false">(Flows!$BG13+Flows!$BI13)*1.5*Capacity!$BZ14/(15*$BF70*(Capacity!$S13+Capacity!$BZ13))</f>
        <v>2.56819827070296E-005</v>
      </c>
      <c r="BG13" s="4" t="n">
        <f aca="false">DemClcs!$A$45*(Populations!$R12+3*Populations!$S12)*Capacity!CA13/(BG70*SUM(Capacity!$CA13:$CC13,Capacity!$CE13))</f>
        <v>0.00265497141087516</v>
      </c>
      <c r="BH13" s="4" t="n">
        <f aca="false">DemClcs!$A$45*(Populations!$R12+3*Populations!$S12)*Capacity!CB13/(BH70*SUM(Capacity!$CA13:$CC13,Capacity!$CE13))</f>
        <v>0.00364255524154239</v>
      </c>
      <c r="BI13" s="4" t="n">
        <f aca="false">DemClcs!$A$45*(Populations!$R12+3*Populations!$S12)*Capacity!CC13/(BI70*SUM(Capacity!$CA13:$CC13,Capacity!$CE13))</f>
        <v>0.00265497141087516</v>
      </c>
      <c r="BJ13" s="4" t="n">
        <f aca="false">BJ40/$CP40</f>
        <v>0.0496462853251178</v>
      </c>
      <c r="BK13" s="4" t="n">
        <f aca="false">DemClcs!$A$45*(Populations!$R12+3*Populations!$S12)*Capacity!CE13/(BK70*SUM(Capacity!$CA13:$CC13,Capacity!$CE13))</f>
        <v>0.00265497141087516</v>
      </c>
      <c r="BL13" s="4" t="n">
        <f aca="false">BL40/$CP40</f>
        <v>0.094837527158877</v>
      </c>
      <c r="BM13" s="4" t="n">
        <f aca="false">BM40/$CP40</f>
        <v>0.0732994096501313</v>
      </c>
      <c r="BN13" s="4" t="n">
        <v>0</v>
      </c>
      <c r="BO13" s="4" t="n">
        <f aca="false">Flows!BT13*16/(25*BR70)</f>
        <v>0.00210377248946056</v>
      </c>
      <c r="BP13" s="4" t="n">
        <f aca="false">SUM(Flows!$AF13:$AS13,Flows!$AV13)/BP70</f>
        <v>2.93200142091621E-005</v>
      </c>
      <c r="BQ13" s="4" t="n">
        <v>0</v>
      </c>
      <c r="BR13" s="4" t="n">
        <f aca="false">Flows!BU13*16/(25*BR70)</f>
        <v>0.000210377248946056</v>
      </c>
      <c r="BS13" s="4" t="n">
        <f aca="false">Flows!BV13*16/(25*BS70)</f>
        <v>4.20754356704865E-005</v>
      </c>
      <c r="BT13" s="4" t="n">
        <f aca="false">Flows!$D41*0.8*0.8*$BT$27/(0.75*BT70)</f>
        <v>1.04277848654725E-005</v>
      </c>
      <c r="BU13" s="4" t="n">
        <f aca="false">Flows!$D41*0.8*0.8*$BT$27/(0.75*BU70*10)</f>
        <v>9.55880279334978E-006</v>
      </c>
      <c r="BV13" s="4" t="n">
        <f aca="false">Flows!$D41*0.8*0.8*$BT$27/(0.75*BV70*100)</f>
        <v>8.19325953715696E-006</v>
      </c>
      <c r="BW13" s="4" t="n">
        <v>0</v>
      </c>
      <c r="BX13" s="4" t="n">
        <f aca="false">BX40/$CP40</f>
        <v>0.0183267185646613</v>
      </c>
      <c r="BY13" s="4" t="n">
        <f aca="false">BY40/$CP40</f>
        <v>0.0386156045101539</v>
      </c>
      <c r="BZ13" s="4" t="n">
        <f aca="false">BZ40/$CO40</f>
        <v>0.0313618117217212</v>
      </c>
      <c r="CA13" s="4" t="n">
        <f aca="false">CA40/$CO40</f>
        <v>0.0529457225127141</v>
      </c>
      <c r="CB13" s="4" t="n">
        <f aca="false">CB40/$CP40</f>
        <v>0.0967067736788069</v>
      </c>
      <c r="CC13" s="4" t="n">
        <f aca="false">CC40/$CO40</f>
        <v>0.0829495307419627</v>
      </c>
      <c r="CD13" s="4" t="n">
        <v>0</v>
      </c>
      <c r="CE13" s="4" t="n">
        <f aca="false">IF(SUM(Flows!$CJ13:$CK13)&gt;Flows!$BA13,(SUM(Flows!$CJ13:$CK13)-Flows!$BA13)/CE70)</f>
        <v>0.0473529203585432</v>
      </c>
      <c r="CF13" s="4" t="n">
        <f aca="false">CF40/$CO40</f>
        <v>0.0722790700899045</v>
      </c>
      <c r="CG13" s="4" t="n">
        <f aca="false">CG40/$CO40</f>
        <v>0.0499939864370053</v>
      </c>
      <c r="CH13" s="4" t="n">
        <f aca="false">CH40/$CO40</f>
        <v>0.0540807202790438</v>
      </c>
      <c r="CI13" s="4" t="n">
        <f aca="false">CI40/$CP40</f>
        <v>0.10601566117205</v>
      </c>
      <c r="CJ13" s="4" t="n">
        <f aca="false">CJ$27*CJ40*(1/COUNTIF($C$26:$CK$26,1))/(MAX(CJ$30:CJ$52)-MIN(CJ$30:CJ$52))</f>
        <v>0.00278245503056854</v>
      </c>
      <c r="CK13" s="4" t="n">
        <f aca="false">CK$27*CK40*(1/COUNTIF($C$26:$CK$26,1))/(MAX(CK$30:CK$52)-MIN(CK$30:CK$52))</f>
        <v>0.00147201778012285</v>
      </c>
      <c r="CL13" s="4" t="n">
        <v>0</v>
      </c>
      <c r="CN13" s="4" t="n">
        <f aca="false">SUM(C13:CK13)</f>
        <v>3</v>
      </c>
    </row>
    <row r="14" customFormat="false" ht="12.8" hidden="false" customHeight="false" outlineLevel="0" collapsed="false">
      <c r="A14" s="4" t="s">
        <v>147</v>
      </c>
      <c r="B14" s="7" t="s">
        <v>39</v>
      </c>
      <c r="C14" s="4" t="n">
        <f aca="false">Flows!$BG14*2*Capacity!$S14/(5*15*C71*(Capacity!$S14+Capacity!$BZ14))</f>
        <v>1.08726403900163E-006</v>
      </c>
      <c r="D14" s="4" t="n">
        <f aca="false">(DemClcs!$A$32*(Populations!$R13+3*Populations!$S13)/D71)+MAX((Flows!K14+Flows!M14)/1826.484018+Flows!L14/1111.111111-Flows!$F14,0)/D71</f>
        <v>0.136148977186003</v>
      </c>
      <c r="E14" s="4" t="n">
        <f aca="false">DemClcs!$A$40*(Populations!$R13+3*Populations!$S13)/E71</f>
        <v>0.0607615280093759</v>
      </c>
      <c r="F14" s="4" t="n">
        <v>0</v>
      </c>
      <c r="G14" s="4" t="n">
        <f aca="false">Flows!Q14*40/G71</f>
        <v>0.0102744129833381</v>
      </c>
      <c r="H14" s="4" t="n">
        <f aca="false">IF(Flows!$AW14&gt;Flows!$Y14,(Flows!$AW14-Flows!$Y14)/H71)</f>
        <v>0.000629503068236282</v>
      </c>
      <c r="I14" s="4" t="n">
        <f aca="false">I41/$CN41</f>
        <v>0.687306804842092</v>
      </c>
      <c r="J14" s="4" t="n">
        <f aca="false">J41/$CN41</f>
        <v>0.312693195157908</v>
      </c>
      <c r="K14" s="4" t="n">
        <v>0</v>
      </c>
      <c r="L14" s="4" t="n">
        <v>0</v>
      </c>
      <c r="M14" s="4" t="n">
        <v>0</v>
      </c>
      <c r="N14" s="4" t="n">
        <f aca="false">SUM(Flows!$V14,Flows!$W14)/$N71</f>
        <v>0.00751287202515447</v>
      </c>
      <c r="O14" s="4" t="n">
        <v>0</v>
      </c>
      <c r="P14" s="4" t="n">
        <v>0</v>
      </c>
      <c r="Q14" s="4" t="n">
        <f aca="false">$Q$27*Q41*(1/COUNTIF($C$26:$CK$26,1))/(MAX(Q$30:Q$52)-MIN(Q$30:Q$52))</f>
        <v>0.00453142518519575</v>
      </c>
      <c r="R14" s="4" t="n">
        <f aca="false">$R$27*R41*(1/COUNTIF($C$26:$CK$26,1))/(MAX(R$30:R$52)-MIN(R$30:R$52))+0.5/COUNTIF($C$26:$CK$26,1)</f>
        <v>0.0287539081521718</v>
      </c>
      <c r="S14" s="4" t="n">
        <v>0</v>
      </c>
      <c r="T14" s="4" t="n">
        <v>0</v>
      </c>
      <c r="U14" s="4" t="n">
        <v>0</v>
      </c>
      <c r="V14" s="4" t="n">
        <f aca="false">$V$27*V41*(1/COUNTIF($C$26:$CK$26,1))/(MAX(V$30:V$52)-MIN(V$30:V$52))</f>
        <v>0.020773998076054</v>
      </c>
      <c r="W14" s="4" t="n">
        <f aca="false">$V$27*W41*(1/COUNTIF($C$26:$CK$26,1))/(MAX(W$30:W$52)-MIN(W$30:W$52))</f>
        <v>0.0026569800459875</v>
      </c>
      <c r="X14" s="4" t="n">
        <f aca="false">X41/$CO41</f>
        <v>0.128824962696018</v>
      </c>
      <c r="Y14" s="4" t="n">
        <v>0</v>
      </c>
      <c r="Z14" s="4" t="n">
        <f aca="false">Flows!$AA14/$Z71</f>
        <v>5.48922920134169E-005</v>
      </c>
      <c r="AA14" s="4" t="n">
        <f aca="false">Flows!$AB14/$AA71</f>
        <v>0.00132342348058653</v>
      </c>
      <c r="AB14" s="4" t="n">
        <f aca="false">DemClcs!$A$20*(Populations!$R13+3*Populations!$S13)/AB71</f>
        <v>0.00516629528438428</v>
      </c>
      <c r="AC14" s="4" t="n">
        <f aca="false">Flows!$AD14/$AC71</f>
        <v>0.010562987724335</v>
      </c>
      <c r="AD14" s="4" t="n">
        <f aca="false">DemClcs!$A$25*(Populations!$R13+3*Populations!$S13)/AD71</f>
        <v>0.0512592497573412</v>
      </c>
      <c r="AE14" s="4" t="n">
        <f aca="false">AE41/$CP41</f>
        <v>0.115655701383406</v>
      </c>
      <c r="AF14" s="4" t="n">
        <f aca="false">$AF$27*AF41*(1/COUNTIF($C$26:$CK$26,1))/(MAX(AF$30:AF$52)-MIN(AF$30:AF$52))</f>
        <v>0.0174261415049269</v>
      </c>
      <c r="AG14" s="4" t="n">
        <f aca="false">$AF$27*AG41*(1/COUNTIF($C$26:$CK$26,1))/(MAX(AG$30:AG$52)-MIN(AG$30:AG$52))</f>
        <v>0.0234355115156086</v>
      </c>
      <c r="AH14" s="4" t="n">
        <f aca="false">$AF$27*AH41*(1/COUNTIF($C$26:$CK$26,1))/(MAX(AH$30:AH$52)-MIN(AH$30:AH$52))</f>
        <v>0.015951788119392</v>
      </c>
      <c r="AI14" s="4" t="n">
        <f aca="false">$AF$27*AI41*(1/COUNTIF($C$26:$CK$26,1))/(MAX(AI$30:AI$52)-MIN(AI$30:AI$52))</f>
        <v>0.00672371913974958</v>
      </c>
      <c r="AJ14" s="4" t="n">
        <f aca="false">$AF$27*AJ41*(1/COUNTIF($C$26:$CK$26,1))/(MAX(AJ$30:AJ$52)-MIN(AJ$30:AJ$52))</f>
        <v>0.0081443168121305</v>
      </c>
      <c r="AK14" s="4" t="n">
        <f aca="false">$AF$27*AK41*(1/COUNTIF($C$26:$CK$26,1))/(MAX(AK$30:AK$52)-MIN(AK$30:AK$52))</f>
        <v>0.0228168450829032</v>
      </c>
      <c r="AL14" s="4" t="n">
        <f aca="false">$AF$27*AL41*(1/COUNTIF($C$26:$CK$26,1))/(MAX(AL$30:AL$52)-MIN(AL$30:AL$52))</f>
        <v>0.0138792531171599</v>
      </c>
      <c r="AM14" s="4" t="n">
        <f aca="false">$AF$27*AM41*(1/COUNTIF($C$26:$CK$26,1))/(MAX(AM$30:AM$52)-MIN(AM$30:AM$52))</f>
        <v>0.00853075773375967</v>
      </c>
      <c r="AN14" s="4" t="n">
        <f aca="false">$AF$27*AN41*(1/COUNTIF($C$26:$CK$26,1))/(MAX(AN$30:AN$52)-MIN(AN$30:AN$52))</f>
        <v>0.025752866195137</v>
      </c>
      <c r="AO14" s="4" t="n">
        <f aca="false">$AF$27*AO41*(1/COUNTIF($C$26:$CK$26,1))/(MAX(AO$30:AO$52)-MIN(AO$30:AO$52))</f>
        <v>0.00994169465539557</v>
      </c>
      <c r="AP14" s="4" t="n">
        <f aca="false">$AF$27*AP41*(1/COUNTIF($C$26:$CK$26,1))/(MAX(AP$30:AP$52)-MIN(AP$30:AP$52))</f>
        <v>0.00815035296444064</v>
      </c>
      <c r="AQ14" s="4" t="n">
        <f aca="false">$AF$27*AQ41*(1/COUNTIF($C$26:$CK$26,1))/(MAX(AQ$30:AQ$52)-MIN(AQ$30:AQ$52))</f>
        <v>0.00981889812839254</v>
      </c>
      <c r="AR14" s="4" t="n">
        <f aca="false">$AF$27*AR41*(1/COUNTIF($C$26:$CK$26,1))/(MAX(AR$30:AR$52)-MIN(AR$30:AR$52))</f>
        <v>0.0128854927988775</v>
      </c>
      <c r="AS14" s="4" t="n">
        <f aca="false">$AF$27*AS41*(1/COUNTIF($C$26:$CK$26,1))/(MAX(AS$30:AS$52)-MIN(AS$30:AS$52))</f>
        <v>0.0277547030917927</v>
      </c>
      <c r="AT14" s="4" t="n">
        <f aca="false">AT41/$CP41</f>
        <v>0.0257011659666854</v>
      </c>
      <c r="AU14" s="4" t="n">
        <f aca="false">AU41/$CP41</f>
        <v>0.098826399417586</v>
      </c>
      <c r="AV14" s="4" t="n">
        <f aca="false">$AF$27*AV41*(1/COUNTIF($C$26:$CK$26,1))/(MAX(AV$30:AV$52)-MIN(AV$30:AV$52))</f>
        <v>0.00269479799825015</v>
      </c>
      <c r="AW14" s="4" t="n">
        <f aca="false">SUM(Flows!AX14,Flows!$AZ14)/$AW71</f>
        <v>0.00171677133714749</v>
      </c>
      <c r="AX14" s="4" t="n">
        <f aca="false">$AX$27*AX41*(1/COUNTIF($C$26:$CK$26,1))/(MAX(AX$30:AX$52)-MIN(AX$30:AX$52))</f>
        <v>0.0113898388719876</v>
      </c>
      <c r="AY14" s="4" t="n">
        <f aca="false">SUM(Flows!$BB14:$BE14)*Capacity!BS14/(AY71*SUM(Capacity!$BS14:$BT14))</f>
        <v>0.0100923276629514</v>
      </c>
      <c r="AZ14" s="4" t="n">
        <f aca="false">SUM(Flows!$BB14:$BE14)*Capacity!BT14/(AZ71*SUM(Capacity!$BS14:$BT14))+(DemClcs!$A$54*Populations!$Q13/AZ71)</f>
        <v>0.0695569417744651</v>
      </c>
      <c r="BA14" s="4" t="n">
        <v>0</v>
      </c>
      <c r="BB14" s="4" t="n">
        <f aca="false">$BB$27*BB41*(1/COUNTIF($C$26:$CK$26,1))/(MAX(BB$30:BB$52)-MIN(BB$30:BB$52))</f>
        <v>0.0020919598795439</v>
      </c>
      <c r="BC14" s="4" t="n">
        <f aca="false">$BB$27*BC41*(1/COUNTIF($C$26:$CK$26,1))/(MAX(BC$30:BC$52)-MIN(BC$30:BC$52))</f>
        <v>0.000904959307604937</v>
      </c>
      <c r="BD14" s="4" t="n">
        <f aca="false">$BB$27*BD41*(1/COUNTIF($C$26:$CK$26,1))/(MAX(BD$30:BD$52)-MIN(BD$30:BD$52))</f>
        <v>0.00197612690784534</v>
      </c>
      <c r="BE14" s="4" t="n">
        <f aca="false">$BB$27*BE41*(1/COUNTIF($C$26:$CK$26,1))/(MAX(BE$30:BE$52)-MIN(BE$30:BE$52))</f>
        <v>0.00165938063179816</v>
      </c>
      <c r="BF14" s="4" t="n">
        <f aca="false">(Flows!$BG14+Flows!$BI14)*1.5*Capacity!$BZ15/(15*$BF71*(Capacity!$S14+Capacity!$BZ14))</f>
        <v>2.79063891208392E-005</v>
      </c>
      <c r="BG14" s="4" t="n">
        <f aca="false">DemClcs!$A$45*(Populations!$R13+3*Populations!$S13)*Capacity!CA14/(BG71*SUM(Capacity!$CA14:$CC14,Capacity!$CE14))</f>
        <v>0.00183617962028327</v>
      </c>
      <c r="BH14" s="4" t="n">
        <f aca="false">DemClcs!$A$45*(Populations!$R13+3*Populations!$S13)*Capacity!CB14/(BH71*SUM(Capacity!$CA14:$CC14,Capacity!$CE14))</f>
        <v>0.00239557019659583</v>
      </c>
      <c r="BI14" s="4" t="n">
        <f aca="false">DemClcs!$A$45*(Populations!$R13+3*Populations!$S13)*Capacity!CC14/(BI71*SUM(Capacity!$CA14:$CC14,Capacity!$CE14))</f>
        <v>0.00183617962028327</v>
      </c>
      <c r="BJ14" s="4" t="n">
        <f aca="false">BJ41/$CP41</f>
        <v>0.0974515226191521</v>
      </c>
      <c r="BK14" s="4" t="n">
        <f aca="false">DemClcs!$A$45*(Populations!$R13+3*Populations!$S13)*Capacity!CE14/(BK71*SUM(Capacity!$CA14:$CC14,Capacity!$CE14))</f>
        <v>0.00183617962028327</v>
      </c>
      <c r="BL14" s="4" t="n">
        <f aca="false">BL41/$CP41</f>
        <v>0.00629229115626477</v>
      </c>
      <c r="BM14" s="4" t="n">
        <f aca="false">BM41/$CP41</f>
        <v>0.141153443410121</v>
      </c>
      <c r="BN14" s="4" t="n">
        <v>0</v>
      </c>
      <c r="BO14" s="4" t="n">
        <f aca="false">Flows!BT14*16/(25*BR71)</f>
        <v>0.00190910077435234</v>
      </c>
      <c r="BP14" s="4" t="n">
        <f aca="false">SUM(Flows!$AF14:$AS14,Flows!$AV14)/BP71</f>
        <v>3.44283825138029E-005</v>
      </c>
      <c r="BQ14" s="4" t="n">
        <v>0</v>
      </c>
      <c r="BR14" s="4" t="n">
        <f aca="false">Flows!BU14*16/(25*BR71)</f>
        <v>0.000190910077435234</v>
      </c>
      <c r="BS14" s="4" t="n">
        <f aca="false">Flows!BV14*16/(25*BS71)</f>
        <v>3.81819832807458E-005</v>
      </c>
      <c r="BT14" s="4" t="n">
        <f aca="false">Flows!$D42*0.8*0.8*$BT$27/(0.75*BT71)</f>
        <v>8.07445863561511E-006</v>
      </c>
      <c r="BU14" s="4" t="n">
        <f aca="false">Flows!$D42*0.8*0.8*$BT$27/(0.75*BU71*10)</f>
        <v>7.40158708264719E-006</v>
      </c>
      <c r="BV14" s="4" t="n">
        <f aca="false">Flows!$D42*0.8*0.8*$BT$27/(0.75*BV71*100)</f>
        <v>6.34421749941188E-006</v>
      </c>
      <c r="BW14" s="4" t="n">
        <v>0</v>
      </c>
      <c r="BX14" s="4" t="n">
        <f aca="false">BX41/$CP41</f>
        <v>0.00782810477965702</v>
      </c>
      <c r="BY14" s="4" t="n">
        <f aca="false">BY41/$CP41</f>
        <v>0.126903316296183</v>
      </c>
      <c r="BZ14" s="4" t="n">
        <f aca="false">BZ41/$CO41</f>
        <v>0.132883556052749</v>
      </c>
      <c r="CA14" s="4" t="n">
        <f aca="false">CA41/$CO41</f>
        <v>0.00208967716341457</v>
      </c>
      <c r="CB14" s="4" t="n">
        <f aca="false">CB41/$CP41</f>
        <v>0.0497085499089594</v>
      </c>
      <c r="CC14" s="4" t="n">
        <f aca="false">CC41/$CO41</f>
        <v>0.133397860555865</v>
      </c>
      <c r="CD14" s="4" t="n">
        <v>0</v>
      </c>
      <c r="CE14" s="4" t="n">
        <f aca="false">IF(SUM(Flows!$CJ14:$CK14)&gt;Flows!$BA14,(SUM(Flows!$CJ14:$CK14)-Flows!$BA14)/CE71)</f>
        <v>0.0049564304801899</v>
      </c>
      <c r="CF14" s="4" t="n">
        <f aca="false">CF41/$CO41</f>
        <v>0.0963279098745896</v>
      </c>
      <c r="CG14" s="4" t="n">
        <f aca="false">CG41/$CO41</f>
        <v>0.0120046924473621</v>
      </c>
      <c r="CH14" s="4" t="n">
        <f aca="false">CH41/$CO41</f>
        <v>0.139858334771891</v>
      </c>
      <c r="CI14" s="4" t="n">
        <f aca="false">CI41/$CP41</f>
        <v>0.0139587924515217</v>
      </c>
      <c r="CJ14" s="4" t="n">
        <f aca="false">CJ$27*CJ41*(1/COUNTIF($C$26:$CK$26,1))/(MAX(CJ$30:CJ$52)-MIN(CJ$30:CJ$52))</f>
        <v>0.00204720085708994</v>
      </c>
      <c r="CK14" s="4" t="n">
        <f aca="false">CK$27*CK41*(1/COUNTIF($C$26:$CK$26,1))/(MAX(CK$30:CK$52)-MIN(CK$30:CK$52))</f>
        <v>0.000296645018452507</v>
      </c>
      <c r="CL14" s="4" t="n">
        <v>0</v>
      </c>
      <c r="CN14" s="4" t="n">
        <f aca="false">SUM(C14:CK14)</f>
        <v>3</v>
      </c>
    </row>
    <row r="15" customFormat="false" ht="12.8" hidden="false" customHeight="false" outlineLevel="0" collapsed="false">
      <c r="A15" s="4" t="s">
        <v>148</v>
      </c>
      <c r="B15" s="7" t="s">
        <v>39</v>
      </c>
      <c r="C15" s="4" t="n">
        <f aca="false">Flows!$BG15*2*Capacity!$S15/(5*15*C72*(Capacity!$S15+Capacity!$BZ15))</f>
        <v>2.18680275302879E-006</v>
      </c>
      <c r="D15" s="4" t="n">
        <f aca="false">(DemClcs!$A$32*(Populations!$R14+3*Populations!$S14)/D72)+MAX((Flows!K15+Flows!M15)/1826.484018+Flows!L15/1111.111111-Flows!$F15,0)/D72</f>
        <v>0.176852353301291</v>
      </c>
      <c r="E15" s="4" t="n">
        <f aca="false">DemClcs!$A$40*(Populations!$R14+3*Populations!$S14)/E72</f>
        <v>0.0712736333754272</v>
      </c>
      <c r="F15" s="4" t="n">
        <v>0</v>
      </c>
      <c r="G15" s="4" t="n">
        <f aca="false">Flows!Q15*40/G72</f>
        <v>0.0161171019250183</v>
      </c>
      <c r="H15" s="4" t="n">
        <f aca="false">IF(Flows!$AW15&gt;Flows!$Y15,(Flows!$AW15-Flows!$Y15)/H72)</f>
        <v>0.00099850422078583</v>
      </c>
      <c r="I15" s="4" t="n">
        <f aca="false">I42/$CN42</f>
        <v>0.780174914317824</v>
      </c>
      <c r="J15" s="4" t="n">
        <f aca="false">J42/$CN42</f>
        <v>0.219825085682176</v>
      </c>
      <c r="K15" s="4" t="n">
        <v>0</v>
      </c>
      <c r="L15" s="4" t="n">
        <v>0</v>
      </c>
      <c r="M15" s="4" t="n">
        <v>0</v>
      </c>
      <c r="N15" s="4" t="n">
        <f aca="false">SUM(Flows!$V15,Flows!$W15)/$N72</f>
        <v>0.010711544084631</v>
      </c>
      <c r="O15" s="4" t="n">
        <v>0</v>
      </c>
      <c r="P15" s="4" t="n">
        <v>0</v>
      </c>
      <c r="Q15" s="4" t="n">
        <f aca="false">$Q$27*Q42*(1/COUNTIF($C$26:$CK$26,1))/(MAX(Q$30:Q$52)-MIN(Q$30:Q$52))</f>
        <v>0.00500245584980697</v>
      </c>
      <c r="R15" s="4" t="n">
        <f aca="false">$R$27*R42*(1/COUNTIF($C$26:$CK$26,1))/(MAX(R$30:R$52)-MIN(R$30:R$52))+0.5/COUNTIF($C$26:$CK$26,1)</f>
        <v>0.030656338331443</v>
      </c>
      <c r="S15" s="4" t="n">
        <v>0</v>
      </c>
      <c r="T15" s="4" t="n">
        <v>0</v>
      </c>
      <c r="U15" s="4" t="n">
        <v>0</v>
      </c>
      <c r="V15" s="4" t="n">
        <f aca="false">$V$27*V42*(1/COUNTIF($C$26:$CK$26,1))/(MAX(V$30:V$52)-MIN(V$30:V$52))</f>
        <v>0.0205045982022156</v>
      </c>
      <c r="W15" s="4" t="n">
        <f aca="false">$V$27*W42*(1/COUNTIF($C$26:$CK$26,1))/(MAX(W$30:W$52)-MIN(W$30:W$52))</f>
        <v>0.00683694971864772</v>
      </c>
      <c r="X15" s="4" t="n">
        <f aca="false">X42/$CO42</f>
        <v>0.00313347655703918</v>
      </c>
      <c r="Y15" s="4" t="n">
        <v>0</v>
      </c>
      <c r="Z15" s="4" t="n">
        <f aca="false">Flows!$AA15/$Z72</f>
        <v>0.000100322814000559</v>
      </c>
      <c r="AA15" s="4" t="n">
        <f aca="false">Flows!$AB15/$AA72</f>
        <v>0.00200038769359929</v>
      </c>
      <c r="AB15" s="4" t="n">
        <f aca="false">DemClcs!$A$20*(Populations!$R14+3*Populations!$S14)/AB72</f>
        <v>0.0065308816994598</v>
      </c>
      <c r="AC15" s="4" t="n">
        <f aca="false">Flows!$AD15/$AC72</f>
        <v>0.0148650507403433</v>
      </c>
      <c r="AD15" s="4" t="n">
        <f aca="false">DemClcs!$A$25*(Populations!$R14+3*Populations!$S14)/AD72</f>
        <v>0.0647984828083935</v>
      </c>
      <c r="AE15" s="4" t="n">
        <f aca="false">AE42/$CP42</f>
        <v>0.0605197701392142</v>
      </c>
      <c r="AF15" s="4" t="n">
        <f aca="false">$AF$27*AF42*(1/COUNTIF($C$26:$CK$26,1))/(MAX(AF$30:AF$52)-MIN(AF$30:AF$52))</f>
        <v>0.0159692780585083</v>
      </c>
      <c r="AG15" s="4" t="n">
        <f aca="false">$AF$27*AG42*(1/COUNTIF($C$26:$CK$26,1))/(MAX(AG$30:AG$52)-MIN(AG$30:AG$52))</f>
        <v>0.0274550725460024</v>
      </c>
      <c r="AH15" s="4" t="n">
        <f aca="false">$AF$27*AH42*(1/COUNTIF($C$26:$CK$26,1))/(MAX(AH$30:AH$52)-MIN(AH$30:AH$52))</f>
        <v>0.0236711060635043</v>
      </c>
      <c r="AI15" s="4" t="n">
        <f aca="false">$AF$27*AI42*(1/COUNTIF($C$26:$CK$26,1))/(MAX(AI$30:AI$52)-MIN(AI$30:AI$52))</f>
        <v>0.0200228712977701</v>
      </c>
      <c r="AJ15" s="4" t="n">
        <f aca="false">$AF$27*AJ42*(1/COUNTIF($C$26:$CK$26,1))/(MAX(AJ$30:AJ$52)-MIN(AJ$30:AJ$52))</f>
        <v>0.0106593134347906</v>
      </c>
      <c r="AK15" s="4" t="n">
        <f aca="false">$AF$27*AK42*(1/COUNTIF($C$26:$CK$26,1))/(MAX(AK$30:AK$52)-MIN(AK$30:AK$52))</f>
        <v>0.00240580163935307</v>
      </c>
      <c r="AL15" s="4" t="n">
        <f aca="false">$AF$27*AL42*(1/COUNTIF($C$26:$CK$26,1))/(MAX(AL$30:AL$52)-MIN(AL$30:AL$52))</f>
        <v>0.00976098302011005</v>
      </c>
      <c r="AM15" s="4" t="n">
        <f aca="false">$AF$27*AM42*(1/COUNTIF($C$26:$CK$26,1))/(MAX(AM$30:AM$52)-MIN(AM$30:AM$52))</f>
        <v>0.00936988658695142</v>
      </c>
      <c r="AN15" s="4" t="n">
        <f aca="false">$AF$27*AN42*(1/COUNTIF($C$26:$CK$26,1))/(MAX(AN$30:AN$52)-MIN(AN$30:AN$52))</f>
        <v>0.0178866738210002</v>
      </c>
      <c r="AO15" s="4" t="n">
        <f aca="false">$AF$27*AO42*(1/COUNTIF($C$26:$CK$26,1))/(MAX(AO$30:AO$52)-MIN(AO$30:AO$52))</f>
        <v>0.0103090283207721</v>
      </c>
      <c r="AP15" s="4" t="n">
        <f aca="false">$AF$27*AP42*(1/COUNTIF($C$26:$CK$26,1))/(MAX(AP$30:AP$52)-MIN(AP$30:AP$52))</f>
        <v>0.0251528884799351</v>
      </c>
      <c r="AQ15" s="4" t="n">
        <f aca="false">$AF$27*AQ42*(1/COUNTIF($C$26:$CK$26,1))/(MAX(AQ$30:AQ$52)-MIN(AQ$30:AQ$52))</f>
        <v>0.00434329764310464</v>
      </c>
      <c r="AR15" s="4" t="n">
        <f aca="false">$AF$27*AR42*(1/COUNTIF($C$26:$CK$26,1))/(MAX(AR$30:AR$52)-MIN(AR$30:AR$52))</f>
        <v>0.0240354815193975</v>
      </c>
      <c r="AS15" s="4" t="n">
        <f aca="false">$AF$27*AS42*(1/COUNTIF($C$26:$CK$26,1))/(MAX(AS$30:AS$52)-MIN(AS$30:AS$52))</f>
        <v>0.00415423728289775</v>
      </c>
      <c r="AT15" s="4" t="n">
        <f aca="false">AT42/$CP42</f>
        <v>0.0828255800261691</v>
      </c>
      <c r="AU15" s="4" t="n">
        <f aca="false">AU42/$CP42</f>
        <v>0.0105017219742756</v>
      </c>
      <c r="AV15" s="4" t="n">
        <f aca="false">$AF$27*AV42*(1/COUNTIF($C$26:$CK$26,1))/(MAX(AV$30:AV$52)-MIN(AV$30:AV$52))</f>
        <v>0.0103657083928262</v>
      </c>
      <c r="AW15" s="4" t="n">
        <f aca="false">SUM(Flows!AX15,Flows!$AZ15)/$AW72</f>
        <v>0.00242239637254976</v>
      </c>
      <c r="AX15" s="4" t="n">
        <f aca="false">$AX$27*AX42*(1/COUNTIF($C$26:$CK$26,1))/(MAX(AX$30:AX$52)-MIN(AX$30:AX$52))</f>
        <v>0.0115480601384042</v>
      </c>
      <c r="AY15" s="4" t="n">
        <f aca="false">SUM(Flows!$BB15:$BE15)*Capacity!BS15/(AY72*SUM(Capacity!$BS15:$BT15))</f>
        <v>0.0161743411185051</v>
      </c>
      <c r="AZ15" s="4" t="n">
        <f aca="false">SUM(Flows!$BB15:$BE15)*Capacity!BT15/(AZ72*SUM(Capacity!$BS15:$BT15))+(DemClcs!$A$54*Populations!$Q14/AZ72)</f>
        <v>0.0901606628846393</v>
      </c>
      <c r="BA15" s="4" t="n">
        <v>0</v>
      </c>
      <c r="BB15" s="4" t="n">
        <f aca="false">$BB$27*BB42*(1/COUNTIF($C$26:$CK$26,1))/(MAX(BB$30:BB$52)-MIN(BB$30:BB$52))</f>
        <v>0.00247215629136889</v>
      </c>
      <c r="BC15" s="4" t="n">
        <f aca="false">$BB$27*BC42*(1/COUNTIF($C$26:$CK$26,1))/(MAX(BC$30:BC$52)-MIN(BC$30:BC$52))</f>
        <v>0.00127305993230528</v>
      </c>
      <c r="BD15" s="4" t="n">
        <f aca="false">$BB$27*BD42*(1/COUNTIF($C$26:$CK$26,1))/(MAX(BD$30:BD$52)-MIN(BD$30:BD$52))</f>
        <v>0.00267221592647729</v>
      </c>
      <c r="BE15" s="4" t="n">
        <f aca="false">$BB$27*BE42*(1/COUNTIF($C$26:$CK$26,1))/(MAX(BE$30:BE$52)-MIN(BE$30:BE$52))</f>
        <v>0.00207582829422927</v>
      </c>
      <c r="BF15" s="4" t="n">
        <f aca="false">(Flows!$BG15+Flows!$BI15)*1.5*Capacity!$BZ16/(15*$BF72*(Capacity!$S15+Capacity!$BZ15))</f>
        <v>2.3586477155523E-005</v>
      </c>
      <c r="BG15" s="4" t="n">
        <f aca="false">DemClcs!$A$45*(Populations!$R14+3*Populations!$S14)*Capacity!CA15/(BG72*SUM(Capacity!$CA15:$CC15,Capacity!$CE15))</f>
        <v>0.00313158532423428</v>
      </c>
      <c r="BH15" s="4" t="n">
        <f aca="false">DemClcs!$A$45*(Populations!$R14+3*Populations!$S14)*Capacity!CB15/(BH72*SUM(Capacity!$CA15:$CC15,Capacity!$CE15))</f>
        <v>4.58822820277249E-007</v>
      </c>
      <c r="BI15" s="4" t="n">
        <f aca="false">DemClcs!$A$45*(Populations!$R14+3*Populations!$S14)*Capacity!CC15/(BI72*SUM(Capacity!$CA15:$CC15,Capacity!$CE15))</f>
        <v>0.00313158532423428</v>
      </c>
      <c r="BJ15" s="4" t="n">
        <f aca="false">BJ42/$CP42</f>
        <v>0.00995817546603997</v>
      </c>
      <c r="BK15" s="4" t="n">
        <f aca="false">DemClcs!$A$45*(Populations!$R14+3*Populations!$S14)*Capacity!CE15/(BK72*SUM(Capacity!$CA15:$CC15,Capacity!$CE15))</f>
        <v>0.00313158532423428</v>
      </c>
      <c r="BL15" s="4" t="n">
        <f aca="false">BL42/$CP42</f>
        <v>0.0853128850018486</v>
      </c>
      <c r="BM15" s="4" t="n">
        <f aca="false">BM42/$CP42</f>
        <v>0.0114428686485546</v>
      </c>
      <c r="BN15" s="4" t="n">
        <v>0</v>
      </c>
      <c r="BO15" s="4" t="n">
        <f aca="false">Flows!BT15*16/(25*BR72)</f>
        <v>0.00337364551878264</v>
      </c>
      <c r="BP15" s="4" t="n">
        <f aca="false">SUM(Flows!$AF15:$AS15,Flows!$AV15)/BP72</f>
        <v>4.6028838554864E-005</v>
      </c>
      <c r="BQ15" s="4" t="n">
        <v>0</v>
      </c>
      <c r="BR15" s="4" t="n">
        <f aca="false">Flows!BU15*16/(25*BR72)</f>
        <v>0.000337364551878264</v>
      </c>
      <c r="BS15" s="4" t="n">
        <f aca="false">Flows!BV15*16/(25*BS72)</f>
        <v>6.74728603753092E-005</v>
      </c>
      <c r="BT15" s="4" t="n">
        <f aca="false">Flows!$D43*0.8*0.8*$BT$27/(0.75*BT72)</f>
        <v>1.1048780696538E-005</v>
      </c>
      <c r="BU15" s="4" t="n">
        <f aca="false">Flows!$D43*0.8*0.8*$BT$27/(0.75*BU72*10)</f>
        <v>1.01280489718265E-005</v>
      </c>
      <c r="BV15" s="4" t="n">
        <f aca="false">Flows!$D43*0.8*0.8*$BT$27/(0.75*BV72*100)</f>
        <v>8.68118483299417E-006</v>
      </c>
      <c r="BW15" s="4" t="n">
        <v>0</v>
      </c>
      <c r="BX15" s="4" t="n">
        <f aca="false">BX42/$CP42</f>
        <v>0.114775428803136</v>
      </c>
      <c r="BY15" s="4" t="n">
        <f aca="false">BY42/$CP42</f>
        <v>0.0706439203414668</v>
      </c>
      <c r="BZ15" s="4" t="n">
        <f aca="false">BZ42/$CO42</f>
        <v>0.0969560898395788</v>
      </c>
      <c r="CA15" s="4" t="n">
        <f aca="false">CA42/$CO42</f>
        <v>0.129451892062631</v>
      </c>
      <c r="CB15" s="4" t="n">
        <f aca="false">CB42/$CP42</f>
        <v>0.187460717451323</v>
      </c>
      <c r="CC15" s="4" t="n">
        <f aca="false">CC42/$CO42</f>
        <v>0.12601419873376</v>
      </c>
      <c r="CD15" s="4" t="n">
        <v>0</v>
      </c>
      <c r="CE15" s="4" t="n">
        <f aca="false">IF(SUM(Flows!$CJ15:$CK15)&gt;Flows!$BA15,(SUM(Flows!$CJ15:$CK15)-Flows!$BA15)/CE72)</f>
        <v>0.0200762629055946</v>
      </c>
      <c r="CF15" s="4" t="n">
        <f aca="false">CF42/$CO42</f>
        <v>0.0377936757996505</v>
      </c>
      <c r="CG15" s="4" t="n">
        <f aca="false">CG42/$CO42</f>
        <v>0.139445328502955</v>
      </c>
      <c r="CH15" s="4" t="n">
        <f aca="false">CH42/$CO42</f>
        <v>0.00139848124225321</v>
      </c>
      <c r="CI15" s="4" t="n">
        <f aca="false">CI42/$CP42</f>
        <v>0.0259457027725079</v>
      </c>
      <c r="CJ15" s="4" t="n">
        <f aca="false">CJ$27*CJ42*(1/COUNTIF($C$26:$CK$26,1))/(MAX(CJ$30:CJ$52)-MIN(CJ$30:CJ$52))</f>
        <v>0.000560576343061988</v>
      </c>
      <c r="CK15" s="4" t="n">
        <f aca="false">CK$27*CK42*(1/COUNTIF($C$26:$CK$26,1))/(MAX(CK$30:CK$52)-MIN(CK$30:CK$52))</f>
        <v>0.00089893569895057</v>
      </c>
      <c r="CL15" s="4" t="n">
        <v>0</v>
      </c>
      <c r="CN15" s="4" t="n">
        <f aca="false">SUM(C15:CK15)</f>
        <v>3</v>
      </c>
    </row>
    <row r="16" customFormat="false" ht="12.8" hidden="false" customHeight="false" outlineLevel="0" collapsed="false">
      <c r="A16" s="4" t="s">
        <v>150</v>
      </c>
      <c r="B16" s="7" t="s">
        <v>39</v>
      </c>
      <c r="C16" s="4" t="n">
        <f aca="false">Flows!$BG16*2*Capacity!$S16/(5*15*C73*(Capacity!$S16+Capacity!$BZ16))</f>
        <v>1.36274191392862E-006</v>
      </c>
      <c r="D16" s="4" t="n">
        <f aca="false">(DemClcs!$A$32*(Populations!$R15+3*Populations!$S15)/D73)+MAX((Flows!K16+Flows!M16)/1826.484018+Flows!L16/1111.111111-Flows!$F16,0)/D73</f>
        <v>0.164628332291938</v>
      </c>
      <c r="E16" s="4" t="n">
        <f aca="false">DemClcs!$A$40*(Populations!$R15+3*Populations!$S15)/E73</f>
        <v>0.0730755872020101</v>
      </c>
      <c r="F16" s="4" t="n">
        <v>0</v>
      </c>
      <c r="G16" s="4" t="n">
        <f aca="false">Flows!Q16*40/G73</f>
        <v>0.00830579227449896</v>
      </c>
      <c r="H16" s="4" t="n">
        <f aca="false">IF(Flows!$AW16&gt;Flows!$Y16,(Flows!$AW16-Flows!$Y16)/H73)</f>
        <v>0.000736086663965581</v>
      </c>
      <c r="I16" s="4" t="n">
        <f aca="false">I43/$CN43</f>
        <v>0.439496613797919</v>
      </c>
      <c r="J16" s="4" t="n">
        <f aca="false">J43/$CN43</f>
        <v>0.560503386202081</v>
      </c>
      <c r="K16" s="4" t="n">
        <v>0</v>
      </c>
      <c r="L16" s="4" t="n">
        <v>0</v>
      </c>
      <c r="M16" s="4" t="n">
        <v>0</v>
      </c>
      <c r="N16" s="4" t="n">
        <f aca="false">SUM(Flows!$V16,Flows!$W16)/$N73</f>
        <v>0.0141980089285209</v>
      </c>
      <c r="O16" s="4" t="n">
        <v>0</v>
      </c>
      <c r="P16" s="4" t="n">
        <v>0</v>
      </c>
      <c r="Q16" s="4" t="n">
        <f aca="false">$Q$27*Q43*(1/COUNTIF($C$26:$CK$26,1))/(MAX(Q$30:Q$52)-MIN(Q$30:Q$52))</f>
        <v>0.00227725516141878</v>
      </c>
      <c r="R16" s="4" t="n">
        <f aca="false">$R$27*R43*(1/COUNTIF($C$26:$CK$26,1))/(MAX(R$30:R$52)-MIN(R$30:R$52))+0.5/COUNTIF($C$26:$CK$26,1)</f>
        <v>0.0319629240451294</v>
      </c>
      <c r="S16" s="4" t="n">
        <v>0</v>
      </c>
      <c r="T16" s="4" t="n">
        <v>0</v>
      </c>
      <c r="U16" s="4" t="n">
        <v>0</v>
      </c>
      <c r="V16" s="4" t="n">
        <f aca="false">$V$27*V43*(1/COUNTIF($C$26:$CK$26,1))/(MAX(V$30:V$52)-MIN(V$30:V$52))</f>
        <v>0.0192284760165787</v>
      </c>
      <c r="W16" s="4" t="n">
        <f aca="false">$V$27*W43*(1/COUNTIF($C$26:$CK$26,1))/(MAX(W$30:W$52)-MIN(W$30:W$52))</f>
        <v>0.0191187011742286</v>
      </c>
      <c r="X16" s="4" t="n">
        <f aca="false">X43/$CO43</f>
        <v>0.169575791378933</v>
      </c>
      <c r="Y16" s="4" t="n">
        <v>0</v>
      </c>
      <c r="Z16" s="4" t="n">
        <f aca="false">Flows!$AA16/$Z73</f>
        <v>0.000108072439250449</v>
      </c>
      <c r="AA16" s="4" t="n">
        <f aca="false">Flows!$AB16/$AA73</f>
        <v>0.00161453028096839</v>
      </c>
      <c r="AB16" s="4" t="n">
        <f aca="false">DemClcs!$A$20*(Populations!$R15+3*Populations!$S15)/AB73</f>
        <v>0.00465517459051908</v>
      </c>
      <c r="AC16" s="4" t="n">
        <f aca="false">Flows!$AD16/$AC73</f>
        <v>0.0175064745622662</v>
      </c>
      <c r="AD16" s="4" t="n">
        <f aca="false">DemClcs!$A$25*(Populations!$R15+3*Populations!$S15)/AD73</f>
        <v>0.0461879826576512</v>
      </c>
      <c r="AE16" s="4" t="n">
        <f aca="false">AE43/$CP43</f>
        <v>0.0503755454408534</v>
      </c>
      <c r="AF16" s="4" t="n">
        <f aca="false">$AF$27*AF43*(1/COUNTIF($C$26:$CK$26,1))/(MAX(AF$30:AF$52)-MIN(AF$30:AF$52))</f>
        <v>0.00683786551471496</v>
      </c>
      <c r="AG16" s="4" t="n">
        <f aca="false">$AF$27*AG43*(1/COUNTIF($C$26:$CK$26,1))/(MAX(AG$30:AG$52)-MIN(AG$30:AG$52))</f>
        <v>0.023208179662011</v>
      </c>
      <c r="AH16" s="4" t="n">
        <f aca="false">$AF$27*AH43*(1/COUNTIF($C$26:$CK$26,1))/(MAX(AH$30:AH$52)-MIN(AH$30:AH$52))</f>
        <v>0.0228205087117787</v>
      </c>
      <c r="AI16" s="4" t="n">
        <f aca="false">$AF$27*AI43*(1/COUNTIF($C$26:$CK$26,1))/(MAX(AI$30:AI$52)-MIN(AI$30:AI$52))</f>
        <v>0.0152771138408021</v>
      </c>
      <c r="AJ16" s="4" t="n">
        <f aca="false">$AF$27*AJ43*(1/COUNTIF($C$26:$CK$26,1))/(MAX(AJ$30:AJ$52)-MIN(AJ$30:AJ$52))</f>
        <v>0.016261637239373</v>
      </c>
      <c r="AK16" s="4" t="n">
        <f aca="false">$AF$27*AK43*(1/COUNTIF($C$26:$CK$26,1))/(MAX(AK$30:AK$52)-MIN(AK$30:AK$52))</f>
        <v>0.0181911903887946</v>
      </c>
      <c r="AL16" s="4" t="n">
        <f aca="false">$AF$27*AL43*(1/COUNTIF($C$26:$CK$26,1))/(MAX(AL$30:AL$52)-MIN(AL$30:AL$52))</f>
        <v>0.0159801757681414</v>
      </c>
      <c r="AM16" s="4" t="n">
        <f aca="false">$AF$27*AM43*(1/COUNTIF($C$26:$CK$26,1))/(MAX(AM$30:AM$52)-MIN(AM$30:AM$52))</f>
        <v>0.0238556353157561</v>
      </c>
      <c r="AN16" s="4" t="n">
        <f aca="false">$AF$27*AN43*(1/COUNTIF($C$26:$CK$26,1))/(MAX(AN$30:AN$52)-MIN(AN$30:AN$52))</f>
        <v>0.00705614122449454</v>
      </c>
      <c r="AO16" s="4" t="n">
        <f aca="false">$AF$27*AO43*(1/COUNTIF($C$26:$CK$26,1))/(MAX(AO$30:AO$52)-MIN(AO$30:AO$52))</f>
        <v>0.0214846584064224</v>
      </c>
      <c r="AP16" s="4" t="n">
        <f aca="false">$AF$27*AP43*(1/COUNTIF($C$26:$CK$26,1))/(MAX(AP$30:AP$52)-MIN(AP$30:AP$52))</f>
        <v>0.0236310686071978</v>
      </c>
      <c r="AQ16" s="4" t="n">
        <f aca="false">$AF$27*AQ43*(1/COUNTIF($C$26:$CK$26,1))/(MAX(AQ$30:AQ$52)-MIN(AQ$30:AQ$52))</f>
        <v>0.0143018842304781</v>
      </c>
      <c r="AR16" s="4" t="n">
        <f aca="false">$AF$27*AR43*(1/COUNTIF($C$26:$CK$26,1))/(MAX(AR$30:AR$52)-MIN(AR$30:AR$52))</f>
        <v>0.00902041715192162</v>
      </c>
      <c r="AS16" s="4" t="n">
        <f aca="false">$AF$27*AS43*(1/COUNTIF($C$26:$CK$26,1))/(MAX(AS$30:AS$52)-MIN(AS$30:AS$52))</f>
        <v>0.00767871343012997</v>
      </c>
      <c r="AT16" s="4" t="n">
        <f aca="false">AT43/$CP43</f>
        <v>0.0627126634691541</v>
      </c>
      <c r="AU16" s="4" t="n">
        <f aca="false">AU43/$CP43</f>
        <v>0.0398672945984021</v>
      </c>
      <c r="AV16" s="4" t="n">
        <f aca="false">$AF$27*AV43*(1/COUNTIF($C$26:$CK$26,1))/(MAX(AV$30:AV$52)-MIN(AV$30:AV$52))</f>
        <v>0.0171976651901434</v>
      </c>
      <c r="AW16" s="4" t="n">
        <f aca="false">SUM(Flows!AX16,Flows!$AZ16)/$AW73</f>
        <v>0.00264261411250798</v>
      </c>
      <c r="AX16" s="4" t="n">
        <f aca="false">$AX$27*AX43*(1/COUNTIF($C$26:$CK$26,1))/(MAX(AX$30:AX$52)-MIN(AX$30:AX$52))</f>
        <v>0.00375964408139071</v>
      </c>
      <c r="AY16" s="4" t="n">
        <f aca="false">SUM(Flows!$BB16:$BE16)*Capacity!BS16/(AY73*SUM(Capacity!$BS16:$BT16))</f>
        <v>0.0146901241148746</v>
      </c>
      <c r="AZ16" s="4" t="n">
        <f aca="false">SUM(Flows!$BB16:$BE16)*Capacity!BT16/(AZ73*SUM(Capacity!$BS16:$BT16))+(DemClcs!$A$54*Populations!$Q15/AZ73)</f>
        <v>0.0727467391456019</v>
      </c>
      <c r="BA16" s="4" t="n">
        <v>0</v>
      </c>
      <c r="BB16" s="4" t="n">
        <f aca="false">$BB$27*BB43*(1/COUNTIF($C$26:$CK$26,1))/(MAX(BB$30:BB$52)-MIN(BB$30:BB$52))</f>
        <v>0.00211405873513884</v>
      </c>
      <c r="BC16" s="4" t="n">
        <f aca="false">$BB$27*BC43*(1/COUNTIF($C$26:$CK$26,1))/(MAX(BC$30:BC$52)-MIN(BC$30:BC$52))</f>
        <v>0.00209501813135139</v>
      </c>
      <c r="BD16" s="4" t="n">
        <f aca="false">$BB$27*BD43*(1/COUNTIF($C$26:$CK$26,1))/(MAX(BD$30:BD$52)-MIN(BD$30:BD$52))</f>
        <v>0.00265231673415998</v>
      </c>
      <c r="BE16" s="4" t="n">
        <f aca="false">$BB$27*BE43*(1/COUNTIF($C$26:$CK$26,1))/(MAX(BE$30:BE$52)-MIN(BE$30:BE$52))</f>
        <v>0.00267684621475744</v>
      </c>
      <c r="BF16" s="4" t="n">
        <f aca="false">(Flows!$BG16+Flows!$BI16)*1.5*Capacity!$BZ17/(15*$BF73*(Capacity!$S16+Capacity!$BZ16))</f>
        <v>4.72939712606308E-005</v>
      </c>
      <c r="BG16" s="4" t="n">
        <f aca="false">DemClcs!$A$45*(Populations!$R15+3*Populations!$S15)*Capacity!CA16/(BG73*SUM(Capacity!$CA16:$CC16,Capacity!$CE16))</f>
        <v>0.00195972718803662</v>
      </c>
      <c r="BH16" s="4" t="n">
        <f aca="false">DemClcs!$A$45*(Populations!$R15+3*Populations!$S15)*Capacity!CB16/(BH73*SUM(Capacity!$CA16:$CC16,Capacity!$CE16))</f>
        <v>0.00247643652791004</v>
      </c>
      <c r="BI16" s="4" t="n">
        <f aca="false">DemClcs!$A$45*(Populations!$R15+3*Populations!$S15)*Capacity!CC16/(BI73*SUM(Capacity!$CA16:$CC16,Capacity!$CE16))</f>
        <v>0.00195972718803662</v>
      </c>
      <c r="BJ16" s="4" t="n">
        <f aca="false">BJ43/$CP43</f>
        <v>0.111150233982246</v>
      </c>
      <c r="BK16" s="4" t="n">
        <f aca="false">DemClcs!$A$45*(Populations!$R15+3*Populations!$S15)*Capacity!CE16/(BK73*SUM(Capacity!$CA16:$CC16,Capacity!$CE16))</f>
        <v>0.00195972718803662</v>
      </c>
      <c r="BL16" s="4" t="n">
        <f aca="false">BL43/$CP43</f>
        <v>0.0906836163305639</v>
      </c>
      <c r="BM16" s="4" t="n">
        <f aca="false">BM43/$CP43</f>
        <v>0.0697786540783566</v>
      </c>
      <c r="BN16" s="4" t="n">
        <v>0</v>
      </c>
      <c r="BO16" s="4" t="n">
        <f aca="false">Flows!BT16*16/(25*BR73)</f>
        <v>0.00107216510984932</v>
      </c>
      <c r="BP16" s="4" t="n">
        <f aca="false">SUM(Flows!$AF16:$AS16,Flows!$AV16)/BP73</f>
        <v>2.17585071698433E-005</v>
      </c>
      <c r="BQ16" s="4" t="n">
        <v>0</v>
      </c>
      <c r="BR16" s="4" t="n">
        <f aca="false">Flows!BU16*16/(25*BR73)</f>
        <v>0.000107216510984932</v>
      </c>
      <c r="BS16" s="4" t="n">
        <f aca="false">Flows!BV16*16/(25*BS73)</f>
        <v>2.14432972263819E-005</v>
      </c>
      <c r="BT16" s="4" t="n">
        <f aca="false">Flows!$D44*0.8*0.8*$BT$27/(0.75*BT73)</f>
        <v>7.24876535514016E-006</v>
      </c>
      <c r="BU16" s="4" t="n">
        <f aca="false">Flows!$D44*0.8*0.8*$BT$27/(0.75*BU73*10)</f>
        <v>6.64470157554515E-006</v>
      </c>
      <c r="BV16" s="4" t="n">
        <f aca="false">Flows!$D44*0.8*0.8*$BT$27/(0.75*BV73*100)</f>
        <v>5.69545849332441E-006</v>
      </c>
      <c r="BW16" s="4" t="n">
        <v>0</v>
      </c>
      <c r="BX16" s="4" t="n">
        <f aca="false">BX43/$CP43</f>
        <v>0.0967856082193417</v>
      </c>
      <c r="BY16" s="4" t="n">
        <f aca="false">BY43/$CP43</f>
        <v>0.0130188870477451</v>
      </c>
      <c r="BZ16" s="4" t="n">
        <f aca="false">BZ43/$CO43</f>
        <v>0.0756849489981196</v>
      </c>
      <c r="CA16" s="4" t="n">
        <f aca="false">CA43/$CO43</f>
        <v>0.0415820363727475</v>
      </c>
      <c r="CB16" s="4" t="n">
        <f aca="false">CB43/$CP43</f>
        <v>0.0413943625331219</v>
      </c>
      <c r="CC16" s="4" t="n">
        <f aca="false">CC43/$CO43</f>
        <v>0.00883861879596789</v>
      </c>
      <c r="CD16" s="4" t="n">
        <v>0</v>
      </c>
      <c r="CE16" s="4" t="n">
        <f aca="false">IF(SUM(Flows!$CJ16:$CK16)&gt;Flows!$BA16,(SUM(Flows!$CJ16:$CK16)-Flows!$BA16)/CE73)</f>
        <v>0.0353437397886598</v>
      </c>
      <c r="CF16" s="4" t="n">
        <f aca="false">CF43/$CO43</f>
        <v>0.0300202453862406</v>
      </c>
      <c r="CG16" s="4" t="n">
        <f aca="false">CG43/$CO43</f>
        <v>0.17497141684551</v>
      </c>
      <c r="CH16" s="4" t="n">
        <f aca="false">CH43/$CO43</f>
        <v>0.058351562433462</v>
      </c>
      <c r="CI16" s="4" t="n">
        <f aca="false">CI43/$CP43</f>
        <v>0.0683420431281651</v>
      </c>
      <c r="CJ16" s="4" t="n">
        <f aca="false">CJ$27*CJ43*(1/COUNTIF($C$26:$CK$26,1))/(MAX(CJ$30:CJ$52)-MIN(CJ$30:CJ$52))</f>
        <v>0.000740379920615544</v>
      </c>
      <c r="CK16" s="4" t="n">
        <f aca="false">CK$27*CK43*(1/COUNTIF($C$26:$CK$26,1))/(MAX(CK$30:CK$52)-MIN(CK$30:CK$52))</f>
        <v>0.00135228985505908</v>
      </c>
      <c r="CL16" s="4" t="n">
        <v>0</v>
      </c>
      <c r="CN16" s="4" t="n">
        <f aca="false">SUM(C16:CK16)</f>
        <v>3</v>
      </c>
    </row>
    <row r="17" customFormat="false" ht="12.8" hidden="false" customHeight="false" outlineLevel="0" collapsed="false">
      <c r="A17" s="4" t="s">
        <v>151</v>
      </c>
      <c r="B17" s="7" t="s">
        <v>39</v>
      </c>
      <c r="C17" s="4" t="n">
        <f aca="false">Flows!$BG17*2*Capacity!$S17/(5*15*C74*(Capacity!$S17+Capacity!$BZ17))</f>
        <v>3.16528671720926E-006</v>
      </c>
      <c r="D17" s="4" t="n">
        <f aca="false">(DemClcs!$A$32*(Populations!$R16+3*Populations!$S16)/D74)+MAX((Flows!K17+Flows!M17)/1826.484018+Flows!L17/1111.111111-Flows!$F17,0)/D74</f>
        <v>0.23795581830782</v>
      </c>
      <c r="E17" s="4" t="n">
        <f aca="false">DemClcs!$A$40*(Populations!$R16+3*Populations!$S16)/E74</f>
        <v>0.117894510413792</v>
      </c>
      <c r="F17" s="4" t="n">
        <v>0</v>
      </c>
      <c r="G17" s="4" t="n">
        <f aca="false">Flows!Q17*40/G74</f>
        <v>0.0238157661093463</v>
      </c>
      <c r="H17" s="4" t="n">
        <f aca="false">IF(Flows!$AW17&gt;Flows!$Y17,(Flows!$AW17-Flows!$Y17)/H74)</f>
        <v>0.00159396173104278</v>
      </c>
      <c r="I17" s="4" t="n">
        <f aca="false">I44/$CN44</f>
        <v>0.50610930897576</v>
      </c>
      <c r="J17" s="4" t="n">
        <f aca="false">J44/$CN44</f>
        <v>0.49389069102424</v>
      </c>
      <c r="K17" s="4" t="n">
        <v>0</v>
      </c>
      <c r="L17" s="4" t="n">
        <v>0</v>
      </c>
      <c r="M17" s="4" t="n">
        <v>0</v>
      </c>
      <c r="N17" s="4" t="n">
        <f aca="false">SUM(Flows!$V17,Flows!$W17)/$N74</f>
        <v>0.0239284182797588</v>
      </c>
      <c r="O17" s="4" t="n">
        <v>0</v>
      </c>
      <c r="P17" s="4" t="n">
        <v>0</v>
      </c>
      <c r="Q17" s="4" t="n">
        <f aca="false">$Q$27*Q44*(1/COUNTIF($C$26:$CK$26,1))/(MAX(Q$30:Q$52)-MIN(Q$30:Q$52))</f>
        <v>0.00331518944235552</v>
      </c>
      <c r="R17" s="4" t="n">
        <f aca="false">$R$27*R44*(1/COUNTIF($C$26:$CK$26,1))/(MAX(R$30:R$52)-MIN(R$30:R$52))+0.5/COUNTIF($C$26:$CK$26,1)</f>
        <v>0.0272111538544385</v>
      </c>
      <c r="S17" s="4" t="n">
        <v>0</v>
      </c>
      <c r="T17" s="4" t="n">
        <v>0</v>
      </c>
      <c r="U17" s="4" t="n">
        <v>0</v>
      </c>
      <c r="V17" s="4" t="n">
        <f aca="false">$V$27*V44*(1/COUNTIF($C$26:$CK$26,1))/(MAX(V$30:V$52)-MIN(V$30:V$52))</f>
        <v>0.0279146954842446</v>
      </c>
      <c r="W17" s="4" t="n">
        <f aca="false">$V$27*W44*(1/COUNTIF($C$26:$CK$26,1))/(MAX(W$30:W$52)-MIN(W$30:W$52))</f>
        <v>0.000989217568346464</v>
      </c>
      <c r="X17" s="4" t="n">
        <f aca="false">X44/$CO44</f>
        <v>0.0441230424866685</v>
      </c>
      <c r="Y17" s="4" t="n">
        <v>0</v>
      </c>
      <c r="Z17" s="4" t="n">
        <f aca="false">Flows!$AA17/$Z74</f>
        <v>0.000197826653064728</v>
      </c>
      <c r="AA17" s="4" t="n">
        <f aca="false">Flows!$AB17/$AA74</f>
        <v>0.00388252600444249</v>
      </c>
      <c r="AB17" s="4" t="n">
        <f aca="false">DemClcs!$A$20*(Populations!$R16+3*Populations!$S16)/AB74</f>
        <v>0.00874121565703388</v>
      </c>
      <c r="AC17" s="4" t="n">
        <f aca="false">Flows!$AD17/$AC74</f>
        <v>0.0358264717915365</v>
      </c>
      <c r="AD17" s="4" t="n">
        <f aca="false">DemClcs!$A$25*(Populations!$R16+3*Populations!$S16)/AD74</f>
        <v>0.0867291031352814</v>
      </c>
      <c r="AE17" s="4" t="n">
        <f aca="false">AE44/$CP44</f>
        <v>0.0547015277501052</v>
      </c>
      <c r="AF17" s="4" t="n">
        <f aca="false">$AF$27*AF44*(1/COUNTIF($C$26:$CK$26,1))/(MAX(AF$30:AF$52)-MIN(AF$30:AF$52))</f>
        <v>0.0234508235971346</v>
      </c>
      <c r="AG17" s="4" t="n">
        <f aca="false">$AF$27*AG44*(1/COUNTIF($C$26:$CK$26,1))/(MAX(AG$30:AG$52)-MIN(AG$30:AG$52))</f>
        <v>0.0119223107041199</v>
      </c>
      <c r="AH17" s="4" t="n">
        <f aca="false">$AF$27*AH44*(1/COUNTIF($C$26:$CK$26,1))/(MAX(AH$30:AH$52)-MIN(AH$30:AH$52))</f>
        <v>0.0105758439206718</v>
      </c>
      <c r="AI17" s="4" t="n">
        <f aca="false">$AF$27*AI44*(1/COUNTIF($C$26:$CK$26,1))/(MAX(AI$30:AI$52)-MIN(AI$30:AI$52))</f>
        <v>0.0263359148248378</v>
      </c>
      <c r="AJ17" s="4" t="n">
        <f aca="false">$AF$27*AJ44*(1/COUNTIF($C$26:$CK$26,1))/(MAX(AJ$30:AJ$52)-MIN(AJ$30:AJ$52))</f>
        <v>0.0109717912469761</v>
      </c>
      <c r="AK17" s="4" t="n">
        <f aca="false">$AF$27*AK44*(1/COUNTIF($C$26:$CK$26,1))/(MAX(AK$30:AK$52)-MIN(AK$30:AK$52))</f>
        <v>0.0118008495861367</v>
      </c>
      <c r="AL17" s="4" t="n">
        <f aca="false">$AF$27*AL44*(1/COUNTIF($C$26:$CK$26,1))/(MAX(AL$30:AL$52)-MIN(AL$30:AL$52))</f>
        <v>0.0190804938065266</v>
      </c>
      <c r="AM17" s="4" t="n">
        <f aca="false">$AF$27*AM44*(1/COUNTIF($C$26:$CK$26,1))/(MAX(AM$30:AM$52)-MIN(AM$30:AM$52))</f>
        <v>0.0217027778768731</v>
      </c>
      <c r="AN17" s="4" t="n">
        <f aca="false">$AF$27*AN44*(1/COUNTIF($C$26:$CK$26,1))/(MAX(AN$30:AN$52)-MIN(AN$30:AN$52))</f>
        <v>0.00390619171376387</v>
      </c>
      <c r="AO17" s="4" t="n">
        <f aca="false">$AF$27*AO44*(1/COUNTIF($C$26:$CK$26,1))/(MAX(AO$30:AO$52)-MIN(AO$30:AO$52))</f>
        <v>0.014142449654191</v>
      </c>
      <c r="AP17" s="4" t="n">
        <f aca="false">$AF$27*AP44*(1/COUNTIF($C$26:$CK$26,1))/(MAX(AP$30:AP$52)-MIN(AP$30:AP$52))</f>
        <v>0.00348623170168017</v>
      </c>
      <c r="AQ17" s="4" t="n">
        <f aca="false">$AF$27*AQ44*(1/COUNTIF($C$26:$CK$26,1))/(MAX(AQ$30:AQ$52)-MIN(AQ$30:AQ$52))</f>
        <v>0.00548571426248871</v>
      </c>
      <c r="AR17" s="4" t="n">
        <f aca="false">$AF$27*AR44*(1/COUNTIF($C$26:$CK$26,1))/(MAX(AR$30:AR$52)-MIN(AR$30:AR$52))</f>
        <v>0.025656778876576</v>
      </c>
      <c r="AS17" s="4" t="n">
        <f aca="false">$AF$27*AS44*(1/COUNTIF($C$26:$CK$26,1))/(MAX(AS$30:AS$52)-MIN(AS$30:AS$52))</f>
        <v>0.00883243545868623</v>
      </c>
      <c r="AT17" s="4" t="n">
        <f aca="false">AT44/$CP44</f>
        <v>0.105562200620604</v>
      </c>
      <c r="AU17" s="4" t="n">
        <f aca="false">AU44/$CP44</f>
        <v>0.121173717803204</v>
      </c>
      <c r="AV17" s="4" t="n">
        <f aca="false">$AF$27*AV44*(1/COUNTIF($C$26:$CK$26,1))/(MAX(AV$30:AV$52)-MIN(AV$30:AV$52))</f>
        <v>0.016803601385358</v>
      </c>
      <c r="AW17" s="4" t="n">
        <f aca="false">SUM(Flows!AX17,Flows!$AZ17)/$AW74</f>
        <v>0.00561144444493996</v>
      </c>
      <c r="AX17" s="4" t="n">
        <f aca="false">$AX$27*AX44*(1/COUNTIF($C$26:$CK$26,1))/(MAX(AX$30:AX$52)-MIN(AX$30:AX$52))</f>
        <v>0.0089368313060579</v>
      </c>
      <c r="AY17" s="4" t="n">
        <f aca="false">SUM(Flows!$BB17:$BE17)*Capacity!BS17/(AY74*SUM(Capacity!$BS17:$BT17))</f>
        <v>0.0290481654487867</v>
      </c>
      <c r="AZ17" s="4" t="n">
        <f aca="false">SUM(Flows!$BB17:$BE17)*Capacity!BT17/(AZ74*SUM(Capacity!$BS17:$BT17))+(DemClcs!$A$54*Populations!$Q16/AZ74)</f>
        <v>0.127405177855649</v>
      </c>
      <c r="BA17" s="4" t="n">
        <v>0</v>
      </c>
      <c r="BB17" s="4" t="n">
        <f aca="false">$BB$27*BB44*(1/COUNTIF($C$26:$CK$26,1))/(MAX(BB$30:BB$52)-MIN(BB$30:BB$52))</f>
        <v>0.00160492593000431</v>
      </c>
      <c r="BC17" s="4" t="n">
        <f aca="false">$BB$27*BC44*(1/COUNTIF($C$26:$CK$26,1))/(MAX(BC$30:BC$52)-MIN(BC$30:BC$52))</f>
        <v>0.00144944790742341</v>
      </c>
      <c r="BD17" s="4" t="n">
        <f aca="false">$BB$27*BD44*(1/COUNTIF($C$26:$CK$26,1))/(MAX(BD$30:BD$52)-MIN(BD$30:BD$52))</f>
        <v>0.000242320249706901</v>
      </c>
      <c r="BE17" s="4" t="n">
        <f aca="false">$BB$27*BE44*(1/COUNTIF($C$26:$CK$26,1))/(MAX(BE$30:BE$52)-MIN(BE$30:BE$52))</f>
        <v>0.00181402560252737</v>
      </c>
      <c r="BF17" s="4" t="n">
        <f aca="false">(Flows!$BG17+Flows!$BI17)*1.5*Capacity!$BZ18/(15*$BF74*(Capacity!$S17+Capacity!$BZ17))</f>
        <v>5.1330064964317E-005</v>
      </c>
      <c r="BG17" s="4" t="n">
        <f aca="false">DemClcs!$A$45*(Populations!$R16+3*Populations!$S16)*Capacity!CA17/(BG74*SUM(Capacity!$CA17:$CC17,Capacity!$CE17))</f>
        <v>0.00347837871272737</v>
      </c>
      <c r="BH17" s="4" t="n">
        <f aca="false">DemClcs!$A$45*(Populations!$R16+3*Populations!$S16)*Capacity!CB17/(BH74*SUM(Capacity!$CA17:$CC17,Capacity!$CE17))</f>
        <v>0.00410161514739738</v>
      </c>
      <c r="BI17" s="4" t="n">
        <f aca="false">DemClcs!$A$45*(Populations!$R16+3*Populations!$S16)*Capacity!CC17/(BI74*SUM(Capacity!$CA17:$CC17,Capacity!$CE17))</f>
        <v>0.00347837871272737</v>
      </c>
      <c r="BJ17" s="4" t="n">
        <f aca="false">BJ44/$CP44</f>
        <v>0.0299594857234847</v>
      </c>
      <c r="BK17" s="4" t="n">
        <f aca="false">DemClcs!$A$45*(Populations!$R16+3*Populations!$S16)*Capacity!CE17/(BK74*SUM(Capacity!$CA17:$CC17,Capacity!$CE17))</f>
        <v>0.00347837871272737</v>
      </c>
      <c r="BL17" s="4" t="n">
        <f aca="false">BL44/$CP44</f>
        <v>0.0622067280078579</v>
      </c>
      <c r="BM17" s="4" t="n">
        <f aca="false">BM44/$CP44</f>
        <v>0.0204546992623499</v>
      </c>
      <c r="BN17" s="4" t="n">
        <v>0</v>
      </c>
      <c r="BO17" s="4" t="n">
        <f aca="false">Flows!BT17*16/(25*BR74)</f>
        <v>0.00721397433447456</v>
      </c>
      <c r="BP17" s="4" t="n">
        <f aca="false">SUM(Flows!$AF17:$AS17,Flows!$AV17)/BP74</f>
        <v>8.41912741037151E-005</v>
      </c>
      <c r="BQ17" s="4" t="n">
        <v>0</v>
      </c>
      <c r="BR17" s="4" t="n">
        <f aca="false">Flows!BU17*16/(25*BR74)</f>
        <v>0.000721397433447456</v>
      </c>
      <c r="BS17" s="4" t="n">
        <f aca="false">Flows!BV17*16/(25*BS74)</f>
        <v>0.000144279407789769</v>
      </c>
      <c r="BT17" s="4" t="n">
        <f aca="false">Flows!$D45*0.8*0.8*$BT$27/(0.75*BT74)</f>
        <v>1.25945865783954E-005</v>
      </c>
      <c r="BU17" s="4" t="n">
        <f aca="false">Flows!$D45*0.8*0.8*$BT$27/(0.75*BU74*10)</f>
        <v>1.15450376968625E-005</v>
      </c>
      <c r="BV17" s="4" t="n">
        <f aca="false">Flows!$D45*0.8*0.8*$BT$27/(0.75*BV74*100)</f>
        <v>9.8957465973107E-006</v>
      </c>
      <c r="BW17" s="4" t="n">
        <v>0</v>
      </c>
      <c r="BX17" s="4" t="n">
        <f aca="false">BX44/$CP44</f>
        <v>0.013626742825676</v>
      </c>
      <c r="BY17" s="4" t="n">
        <f aca="false">BY44/$CP44</f>
        <v>0.0598921291577815</v>
      </c>
      <c r="BZ17" s="4" t="n">
        <f aca="false">BZ44/$CO44</f>
        <v>0.0187307346695325</v>
      </c>
      <c r="CA17" s="4" t="n">
        <f aca="false">CA44/$CO44</f>
        <v>0.0839268286563708</v>
      </c>
      <c r="CB17" s="4" t="n">
        <f aca="false">CB44/$CP44</f>
        <v>0.11572067767649</v>
      </c>
      <c r="CC17" s="4" t="n">
        <f aca="false">CC44/$CO44</f>
        <v>0.071209483193955</v>
      </c>
      <c r="CD17" s="4" t="n">
        <v>0</v>
      </c>
      <c r="CE17" s="4" t="n">
        <f aca="false">IF(SUM(Flows!$CJ17:$CK17)&gt;Flows!$BA17,(SUM(Flows!$CJ17:$CK17)-Flows!$BA17)/CE74)</f>
        <v>0.00786270035867243</v>
      </c>
      <c r="CF17" s="4" t="n">
        <f aca="false">CF44/$CO44</f>
        <v>0.0320974023608181</v>
      </c>
      <c r="CG17" s="4" t="n">
        <f aca="false">CG44/$CO44</f>
        <v>0.0885083080435537</v>
      </c>
      <c r="CH17" s="4" t="n">
        <f aca="false">CH44/$CO44</f>
        <v>0.00589761623269879</v>
      </c>
      <c r="CI17" s="4" t="n">
        <f aca="false">CI44/$CP44</f>
        <v>0.049731312439506</v>
      </c>
      <c r="CJ17" s="4" t="n">
        <f aca="false">CJ$27*CJ44*(1/COUNTIF($C$26:$CK$26,1))/(MAX(CJ$30:CJ$52)-MIN(CJ$30:CJ$52))</f>
        <v>0.00142244327208212</v>
      </c>
      <c r="CK17" s="4" t="n">
        <f aca="false">CK$27*CK44*(1/COUNTIF($C$26:$CK$26,1))/(MAX(CK$30:CK$52)-MIN(CK$30:CK$52))</f>
        <v>0.000140673207018975</v>
      </c>
      <c r="CL17" s="4" t="n">
        <v>0</v>
      </c>
      <c r="CN17" s="4" t="n">
        <f aca="false">SUM(C17:CK17)</f>
        <v>3</v>
      </c>
    </row>
    <row r="18" customFormat="false" ht="12.8" hidden="false" customHeight="false" outlineLevel="0" collapsed="false">
      <c r="A18" s="4" t="s">
        <v>152</v>
      </c>
      <c r="B18" s="7" t="s">
        <v>39</v>
      </c>
      <c r="C18" s="4" t="n">
        <f aca="false">Flows!$BG18*2*Capacity!$S18/(5*15*C75*(Capacity!$S18+Capacity!$BZ18))</f>
        <v>1.88684944040284E-006</v>
      </c>
      <c r="D18" s="4" t="n">
        <f aca="false">(DemClcs!$A$32*(Populations!$R17+3*Populations!$S17)/D75)+MAX((Flows!K18+Flows!M18)/1826.484018+Flows!L18/1111.111111-Flows!$F18,0)/D75</f>
        <v>0.16656271803573</v>
      </c>
      <c r="E18" s="4" t="n">
        <f aca="false">DemClcs!$A$40*(Populations!$R17+3*Populations!$S17)/E75</f>
        <v>0.0701194836328714</v>
      </c>
      <c r="F18" s="4" t="n">
        <v>0</v>
      </c>
      <c r="G18" s="4" t="n">
        <f aca="false">Flows!Q18*40/G75</f>
        <v>0.000520024894470032</v>
      </c>
      <c r="H18" s="4" t="n">
        <f aca="false">IF(Flows!$AW18&gt;Flows!$Y18,(Flows!$AW18-Flows!$Y18)/H75)</f>
        <v>0.00150715366101045</v>
      </c>
      <c r="I18" s="4" t="n">
        <f aca="false">I45/$CN45</f>
        <v>0.838042781738809</v>
      </c>
      <c r="J18" s="4" t="n">
        <f aca="false">J45/$CN45</f>
        <v>0.161957218261191</v>
      </c>
      <c r="K18" s="4" t="n">
        <v>0</v>
      </c>
      <c r="L18" s="4" t="n">
        <v>0</v>
      </c>
      <c r="M18" s="4" t="n">
        <v>0</v>
      </c>
      <c r="N18" s="4" t="n">
        <f aca="false">SUM(Flows!$V18,Flows!$W18)/$N75</f>
        <v>0.0192791151954156</v>
      </c>
      <c r="O18" s="4" t="n">
        <v>0</v>
      </c>
      <c r="P18" s="4" t="n">
        <v>0</v>
      </c>
      <c r="Q18" s="4" t="n">
        <f aca="false">$Q$27*Q45*(1/COUNTIF($C$26:$CK$26,1))/(MAX(Q$30:Q$52)-MIN(Q$30:Q$52))</f>
        <v>0.000103085126545431</v>
      </c>
      <c r="R18" s="4" t="n">
        <f aca="false">$R$27*R45*(1/COUNTIF($C$26:$CK$26,1))/(MAX(R$30:R$52)-MIN(R$30:R$52))+0.5/COUNTIF($C$26:$CK$26,1)</f>
        <v>0.0291768518846548</v>
      </c>
      <c r="S18" s="4" t="n">
        <v>0</v>
      </c>
      <c r="T18" s="4" t="n">
        <v>0</v>
      </c>
      <c r="U18" s="4" t="n">
        <v>0</v>
      </c>
      <c r="V18" s="4" t="n">
        <f aca="false">$V$27*V45*(1/COUNTIF($C$26:$CK$26,1))/(MAX(V$30:V$52)-MIN(V$30:V$52))</f>
        <v>0.0225318005941809</v>
      </c>
      <c r="W18" s="4" t="n">
        <f aca="false">$V$27*W45*(1/COUNTIF($C$26:$CK$26,1))/(MAX(W$30:W$52)-MIN(W$30:W$52))</f>
        <v>0.00960664924415402</v>
      </c>
      <c r="X18" s="4" t="n">
        <f aca="false">X45/$CO45</f>
        <v>0.123676596285947</v>
      </c>
      <c r="Y18" s="4" t="n">
        <v>0</v>
      </c>
      <c r="Z18" s="4" t="n">
        <f aca="false">Flows!$AA18/$Z75</f>
        <v>0.000153632968082578</v>
      </c>
      <c r="AA18" s="4" t="n">
        <f aca="false">Flows!$AB18/$AA75</f>
        <v>0.00383449578851311</v>
      </c>
      <c r="AB18" s="4" t="n">
        <f aca="false">DemClcs!$A$20*(Populations!$R17+3*Populations!$S17)/AB75</f>
        <v>0.00751261760395068</v>
      </c>
      <c r="AC18" s="4" t="n">
        <f aca="false">Flows!$AD18/$AC75</f>
        <v>0.0241086974988959</v>
      </c>
      <c r="AD18" s="4" t="n">
        <f aca="false">DemClcs!$A$25*(Populations!$R17+3*Populations!$S17)/AD75</f>
        <v>0.0745391273426219</v>
      </c>
      <c r="AE18" s="4" t="n">
        <f aca="false">AE45/$CP45</f>
        <v>0.0123562606750227</v>
      </c>
      <c r="AF18" s="4" t="n">
        <f aca="false">$AF$27*AF45*(1/COUNTIF($C$26:$CK$26,1))/(MAX(AF$30:AF$52)-MIN(AF$30:AF$52))</f>
        <v>0.0167580337922444</v>
      </c>
      <c r="AG18" s="4" t="n">
        <f aca="false">$AF$27*AG45*(1/COUNTIF($C$26:$CK$26,1))/(MAX(AG$30:AG$52)-MIN(AG$30:AG$52))</f>
        <v>0.023380114319621</v>
      </c>
      <c r="AH18" s="4" t="n">
        <f aca="false">$AF$27*AH45*(1/COUNTIF($C$26:$CK$26,1))/(MAX(AH$30:AH$52)-MIN(AH$30:AH$52))</f>
        <v>0.00452092508472355</v>
      </c>
      <c r="AI18" s="4" t="n">
        <f aca="false">$AF$27*AI45*(1/COUNTIF($C$26:$CK$26,1))/(MAX(AI$30:AI$52)-MIN(AI$30:AI$52))</f>
        <v>0.0113064356889445</v>
      </c>
      <c r="AJ18" s="4" t="n">
        <f aca="false">$AF$27*AJ45*(1/COUNTIF($C$26:$CK$26,1))/(MAX(AJ$30:AJ$52)-MIN(AJ$30:AJ$52))</f>
        <v>0.0219176716786044</v>
      </c>
      <c r="AK18" s="4" t="n">
        <f aca="false">$AF$27*AK45*(1/COUNTIF($C$26:$CK$26,1))/(MAX(AK$30:AK$52)-MIN(AK$30:AK$52))</f>
        <v>0.0190821942449197</v>
      </c>
      <c r="AL18" s="4" t="n">
        <f aca="false">$AF$27*AL45*(1/COUNTIF($C$26:$CK$26,1))/(MAX(AL$30:AL$52)-MIN(AL$30:AL$52))</f>
        <v>0.00985079822242684</v>
      </c>
      <c r="AM18" s="4" t="n">
        <f aca="false">$AF$27*AM45*(1/COUNTIF($C$26:$CK$26,1))/(MAX(AM$30:AM$52)-MIN(AM$30:AM$52))</f>
        <v>0.00876991962454195</v>
      </c>
      <c r="AN18" s="4" t="n">
        <f aca="false">$AF$27*AN45*(1/COUNTIF($C$26:$CK$26,1))/(MAX(AN$30:AN$52)-MIN(AN$30:AN$52))</f>
        <v>0.00798541411734954</v>
      </c>
      <c r="AO18" s="4" t="n">
        <f aca="false">$AF$27*AO45*(1/COUNTIF($C$26:$CK$26,1))/(MAX(AO$30:AO$52)-MIN(AO$30:AO$52))</f>
        <v>0.0154331316437899</v>
      </c>
      <c r="AP18" s="4" t="n">
        <f aca="false">$AF$27*AP45*(1/COUNTIF($C$26:$CK$26,1))/(MAX(AP$30:AP$52)-MIN(AP$30:AP$52))</f>
        <v>0.0130887241928398</v>
      </c>
      <c r="AQ18" s="4" t="n">
        <f aca="false">$AF$27*AQ45*(1/COUNTIF($C$26:$CK$26,1))/(MAX(AQ$30:AQ$52)-MIN(AQ$30:AQ$52))</f>
        <v>0.0270508501462382</v>
      </c>
      <c r="AR18" s="4" t="n">
        <f aca="false">$AF$27*AR45*(1/COUNTIF($C$26:$CK$26,1))/(MAX(AR$30:AR$52)-MIN(AR$30:AR$52))</f>
        <v>0.011607692383498</v>
      </c>
      <c r="AS18" s="4" t="n">
        <f aca="false">$AF$27*AS45*(1/COUNTIF($C$26:$CK$26,1))/(MAX(AS$30:AS$52)-MIN(AS$30:AS$52))</f>
        <v>0.011991050493857</v>
      </c>
      <c r="AT18" s="4" t="n">
        <f aca="false">AT45/$CP45</f>
        <v>0.038561400285602</v>
      </c>
      <c r="AU18" s="4" t="n">
        <f aca="false">AU45/$CP45</f>
        <v>0.00678289215404926</v>
      </c>
      <c r="AV18" s="4" t="n">
        <f aca="false">$AF$27*AV45*(1/COUNTIF($C$26:$CK$26,1))/(MAX(AV$30:AV$52)-MIN(AV$30:AV$52))</f>
        <v>0.00509296930317488</v>
      </c>
      <c r="AW18" s="4" t="n">
        <f aca="false">SUM(Flows!AX18,Flows!$AZ18)/$AW75</f>
        <v>0.00361398352254552</v>
      </c>
      <c r="AX18" s="4" t="n">
        <f aca="false">$AX$27*AX45*(1/COUNTIF($C$26:$CK$26,1))/(MAX(AX$30:AX$52)-MIN(AX$30:AX$52))</f>
        <v>0.00382088585494589</v>
      </c>
      <c r="AY18" s="4" t="n">
        <f aca="false">SUM(Flows!$BB18:$BE18)*Capacity!BS18/(AY75*SUM(Capacity!$BS18:$BT18))</f>
        <v>0.019254038270288</v>
      </c>
      <c r="AZ18" s="4" t="n">
        <f aca="false">SUM(Flows!$BB18:$BE18)*Capacity!BT18/(AZ75*SUM(Capacity!$BS18:$BT18))+(DemClcs!$A$54*Populations!$Q17/AZ75)</f>
        <v>0.0707524670698972</v>
      </c>
      <c r="BA18" s="4" t="n">
        <v>0</v>
      </c>
      <c r="BB18" s="4" t="n">
        <f aca="false">$BB$27*BB45*(1/COUNTIF($C$26:$CK$26,1))/(MAX(BB$30:BB$52)-MIN(BB$30:BB$52))</f>
        <v>0.000646555904573711</v>
      </c>
      <c r="BC18" s="4" t="n">
        <f aca="false">$BB$27*BC45*(1/COUNTIF($C$26:$CK$26,1))/(MAX(BC$30:BC$52)-MIN(BC$30:BC$52))</f>
        <v>0.0013790993924538</v>
      </c>
      <c r="BD18" s="4" t="n">
        <f aca="false">$BB$27*BD45*(1/COUNTIF($C$26:$CK$26,1))/(MAX(BD$30:BD$52)-MIN(BD$30:BD$52))</f>
        <v>0.00184037148002909</v>
      </c>
      <c r="BE18" s="4" t="n">
        <f aca="false">$BB$27*BE45*(1/COUNTIF($C$26:$CK$26,1))/(MAX(BE$30:BE$52)-MIN(BE$30:BE$52))</f>
        <v>0.00238615559364208</v>
      </c>
      <c r="BF18" s="4" t="n">
        <f aca="false">(Flows!$BG18+Flows!$BI18)*1.5*Capacity!$BZ19/(15*$BF75*(Capacity!$S18+Capacity!$BZ18))</f>
        <v>1.64838038495014E-005</v>
      </c>
      <c r="BG18" s="4" t="n">
        <f aca="false">DemClcs!$A$45*(Populations!$R17+3*Populations!$S17)*Capacity!CA18/(BG75*SUM(Capacity!$CA18:$CC18,Capacity!$CE18))</f>
        <v>0.00322217744035099</v>
      </c>
      <c r="BH18" s="4" t="n">
        <f aca="false">DemClcs!$A$45*(Populations!$R17+3*Populations!$S17)*Capacity!CB18/(BH75*SUM(Capacity!$CA18:$CC18,Capacity!$CE18))</f>
        <v>0.00394125792733829</v>
      </c>
      <c r="BI18" s="4" t="n">
        <f aca="false">DemClcs!$A$45*(Populations!$R17+3*Populations!$S17)*Capacity!CC18/(BI75*SUM(Capacity!$CA18:$CC18,Capacity!$CE18))</f>
        <v>0.00322217744035099</v>
      </c>
      <c r="BJ18" s="4" t="n">
        <f aca="false">BJ45/$CP45</f>
        <v>0.0956390449667188</v>
      </c>
      <c r="BK18" s="4" t="n">
        <f aca="false">DemClcs!$A$45*(Populations!$R17+3*Populations!$S17)*Capacity!CE18/(BK75*SUM(Capacity!$CA18:$CC18,Capacity!$CE18))</f>
        <v>0.00322217744035099</v>
      </c>
      <c r="BL18" s="4" t="n">
        <f aca="false">BL45/$CP45</f>
        <v>0.0982196884217741</v>
      </c>
      <c r="BM18" s="4" t="n">
        <f aca="false">BM45/$CP45</f>
        <v>0.0493624665684447</v>
      </c>
      <c r="BN18" s="4" t="n">
        <v>0</v>
      </c>
      <c r="BO18" s="4" t="n">
        <f aca="false">Flows!BT18*16/(25*BR75)</f>
        <v>0.00251262662902611</v>
      </c>
      <c r="BP18" s="4" t="n">
        <f aca="false">SUM(Flows!$AF18:$AS18,Flows!$AV18)/BP75</f>
        <v>3.00508922623553E-005</v>
      </c>
      <c r="BQ18" s="4" t="n">
        <v>0</v>
      </c>
      <c r="BR18" s="4" t="n">
        <f aca="false">Flows!BU18*16/(25*BR75)</f>
        <v>0.000251262662902611</v>
      </c>
      <c r="BS18" s="4" t="n">
        <f aca="false">Flows!BV18*16/(25*BS75)</f>
        <v>5.02525209001787E-005</v>
      </c>
      <c r="BT18" s="4" t="n">
        <f aca="false">Flows!$D46*0.8*0.8*$BT$27/(0.75*BT75)</f>
        <v>1.24894270202744E-005</v>
      </c>
      <c r="BU18" s="4" t="n">
        <f aca="false">Flows!$D46*0.8*0.8*$BT$27/(0.75*BU75*10)</f>
        <v>1.14486414352515E-005</v>
      </c>
      <c r="BV18" s="4" t="n">
        <f aca="false">Flows!$D46*0.8*0.8*$BT$27/(0.75*BV75*100)</f>
        <v>9.81312123021561E-006</v>
      </c>
      <c r="BW18" s="4" t="n">
        <v>0</v>
      </c>
      <c r="BX18" s="4" t="n">
        <f aca="false">BX45/$CP45</f>
        <v>0.1038961536518</v>
      </c>
      <c r="BY18" s="4" t="n">
        <f aca="false">BY45/$CP45</f>
        <v>0.0645415448926442</v>
      </c>
      <c r="BZ18" s="4" t="n">
        <f aca="false">BZ45/$CO45</f>
        <v>0.0685231198659076</v>
      </c>
      <c r="CA18" s="4" t="n">
        <f aca="false">CA45/$CO45</f>
        <v>0.022298949818354</v>
      </c>
      <c r="CB18" s="4" t="n">
        <f aca="false">CB45/$CP45</f>
        <v>0.0747901046459843</v>
      </c>
      <c r="CC18" s="4" t="n">
        <f aca="false">CC45/$CO45</f>
        <v>0.05631218384736</v>
      </c>
      <c r="CD18" s="4" t="n">
        <v>0</v>
      </c>
      <c r="CE18" s="4" t="n">
        <f aca="false">IF(SUM(Flows!$CJ18:$CK18)&gt;Flows!$BA18,(SUM(Flows!$CJ18:$CK18)-Flows!$BA18)/CE75)</f>
        <v>0.0364523790520831</v>
      </c>
      <c r="CF18" s="4" t="n">
        <f aca="false">CF45/$CO45</f>
        <v>0.0626436521471874</v>
      </c>
      <c r="CG18" s="4" t="n">
        <f aca="false">CG45/$CO45</f>
        <v>0.0932034533417307</v>
      </c>
      <c r="CH18" s="4" t="n">
        <f aca="false">CH45/$CO45</f>
        <v>0.125158049794241</v>
      </c>
      <c r="CI18" s="4" t="n">
        <f aca="false">CI45/$CP45</f>
        <v>0.107465667341953</v>
      </c>
      <c r="CJ18" s="4" t="n">
        <f aca="false">CJ$27*CJ45*(1/COUNTIF($C$26:$CK$26,1))/(MAX(CJ$30:CJ$52)-MIN(CJ$30:CJ$52))</f>
        <v>0.00151558494910217</v>
      </c>
      <c r="CK18" s="4" t="n">
        <f aca="false">CK$27*CK45*(1/COUNTIF($C$26:$CK$26,1))/(MAX(CK$30:CK$52)-MIN(CK$30:CK$52))</f>
        <v>0.0010117670013896</v>
      </c>
      <c r="CL18" s="4" t="n">
        <v>0</v>
      </c>
      <c r="CN18" s="4" t="n">
        <f aca="false">SUM(C18:CK18)</f>
        <v>3</v>
      </c>
    </row>
    <row r="19" customFormat="false" ht="12.8" hidden="false" customHeight="false" outlineLevel="0" collapsed="false">
      <c r="A19" s="4" t="s">
        <v>153</v>
      </c>
      <c r="B19" s="7" t="s">
        <v>39</v>
      </c>
      <c r="C19" s="4" t="n">
        <f aca="false">Flows!$BG19*2*Capacity!$S19/(5*15*C76*(Capacity!$S19+Capacity!$BZ19))</f>
        <v>1.36087528365202E-006</v>
      </c>
      <c r="D19" s="4" t="n">
        <f aca="false">(DemClcs!$A$32*(Populations!$R18+3*Populations!$S18)/D76)+MAX((Flows!K19+Flows!M19)/1826.484018+Flows!L19/1111.111111-Flows!$F19,0)/D76</f>
        <v>0.179795559571368</v>
      </c>
      <c r="E19" s="4" t="n">
        <f aca="false">DemClcs!$A$40*(Populations!$R18+3*Populations!$S18)/E76</f>
        <v>0.0770455065137449</v>
      </c>
      <c r="F19" s="4" t="n">
        <v>0</v>
      </c>
      <c r="G19" s="4" t="n">
        <f aca="false">Flows!Q19*40/G76</f>
        <v>0.00422786448991696</v>
      </c>
      <c r="H19" s="4" t="n">
        <f aca="false">IF(Flows!$AW19&gt;Flows!$Y19,(Flows!$AW19-Flows!$Y19)/H76)</f>
        <v>0.0011460845164449</v>
      </c>
      <c r="I19" s="4" t="n">
        <f aca="false">I46/$CN46</f>
        <v>0.69530543519121</v>
      </c>
      <c r="J19" s="4" t="n">
        <f aca="false">J46/$CN46</f>
        <v>0.30469456480879</v>
      </c>
      <c r="K19" s="4" t="n">
        <v>0</v>
      </c>
      <c r="L19" s="4" t="n">
        <v>0</v>
      </c>
      <c r="M19" s="4" t="n">
        <v>0</v>
      </c>
      <c r="N19" s="4" t="n">
        <f aca="false">SUM(Flows!$V19,Flows!$W19)/$N76</f>
        <v>0.0232864761488688</v>
      </c>
      <c r="O19" s="4" t="n">
        <v>0</v>
      </c>
      <c r="P19" s="4" t="n">
        <v>0</v>
      </c>
      <c r="Q19" s="4" t="n">
        <f aca="false">$Q$27*Q46*(1/COUNTIF($C$26:$CK$26,1))/(MAX(Q$30:Q$52)-MIN(Q$30:Q$52))</f>
        <v>0.000736750035840306</v>
      </c>
      <c r="R19" s="4" t="n">
        <f aca="false">$R$27*R46*(1/COUNTIF($C$26:$CK$26,1))/(MAX(R$30:R$52)-MIN(R$30:R$52))+0.5/COUNTIF($C$26:$CK$26,1)</f>
        <v>0.0318329348197137</v>
      </c>
      <c r="S19" s="4" t="n">
        <v>0</v>
      </c>
      <c r="T19" s="4" t="n">
        <v>0</v>
      </c>
      <c r="U19" s="4" t="n">
        <v>0</v>
      </c>
      <c r="V19" s="4" t="n">
        <f aca="false">$V$27*V46*(1/COUNTIF($C$26:$CK$26,1))/(MAX(V$30:V$52)-MIN(V$30:V$52))</f>
        <v>0.00323702330041365</v>
      </c>
      <c r="W19" s="4" t="n">
        <f aca="false">$V$27*W46*(1/COUNTIF($C$26:$CK$26,1))/(MAX(W$30:W$52)-MIN(W$30:W$52))</f>
        <v>0.018440305455611</v>
      </c>
      <c r="X19" s="4" t="n">
        <f aca="false">X46/$CO46</f>
        <v>0.0573717804976492</v>
      </c>
      <c r="Y19" s="4" t="n">
        <v>0</v>
      </c>
      <c r="Z19" s="4" t="n">
        <f aca="false">Flows!$AA19/$Z76</f>
        <v>0.000182222674139504</v>
      </c>
      <c r="AA19" s="4" t="n">
        <f aca="false">Flows!$AB19/$AA76</f>
        <v>0.0023619511653163</v>
      </c>
      <c r="AB19" s="4" t="n">
        <f aca="false">DemClcs!$A$20*(Populations!$R18+3*Populations!$S18)/AB76</f>
        <v>0.00476545640805231</v>
      </c>
      <c r="AC19" s="4" t="n">
        <f aca="false">Flows!$AD19/$AC76</f>
        <v>0.0261638504211549</v>
      </c>
      <c r="AD19" s="4" t="n">
        <f aca="false">DemClcs!$A$25*(Populations!$R18+3*Populations!$S18)/AD76</f>
        <v>0.0472821832244899</v>
      </c>
      <c r="AE19" s="4" t="n">
        <f aca="false">AE46/$CP46</f>
        <v>0.0916274306771794</v>
      </c>
      <c r="AF19" s="4" t="n">
        <f aca="false">$AF$27*AF46*(1/COUNTIF($C$26:$CK$26,1))/(MAX(AF$30:AF$52)-MIN(AF$30:AF$52))</f>
        <v>0.0288761486782928</v>
      </c>
      <c r="AG19" s="4" t="n">
        <f aca="false">$AF$27*AG46*(1/COUNTIF($C$26:$CK$26,1))/(MAX(AG$30:AG$52)-MIN(AG$30:AG$52))</f>
        <v>0.0108765058657468</v>
      </c>
      <c r="AH19" s="4" t="n">
        <f aca="false">$AF$27*AH46*(1/COUNTIF($C$26:$CK$26,1))/(MAX(AH$30:AH$52)-MIN(AH$30:AH$52))</f>
        <v>0.0308367145584078</v>
      </c>
      <c r="AI19" s="4" t="n">
        <f aca="false">$AF$27*AI46*(1/COUNTIF($C$26:$CK$26,1))/(MAX(AI$30:AI$52)-MIN(AI$30:AI$52))</f>
        <v>0.0208767844774775</v>
      </c>
      <c r="AJ19" s="4" t="n">
        <f aca="false">$AF$27*AJ46*(1/COUNTIF($C$26:$CK$26,1))/(MAX(AJ$30:AJ$52)-MIN(AJ$30:AJ$52))</f>
        <v>0.00968744159632054</v>
      </c>
      <c r="AK19" s="4" t="n">
        <f aca="false">$AF$27*AK46*(1/COUNTIF($C$26:$CK$26,1))/(MAX(AK$30:AK$52)-MIN(AK$30:AK$52))</f>
        <v>0.0252453152191903</v>
      </c>
      <c r="AL19" s="4" t="n">
        <f aca="false">$AF$27*AL46*(1/COUNTIF($C$26:$CK$26,1))/(MAX(AL$30:AL$52)-MIN(AL$30:AL$52))</f>
        <v>0.0183837164517717</v>
      </c>
      <c r="AM19" s="4" t="n">
        <f aca="false">$AF$27*AM46*(1/COUNTIF($C$26:$CK$26,1))/(MAX(AM$30:AM$52)-MIN(AM$30:AM$52))</f>
        <v>0.00183276225572223</v>
      </c>
      <c r="AN19" s="4" t="n">
        <f aca="false">$AF$27*AN46*(1/COUNTIF($C$26:$CK$26,1))/(MAX(AN$30:AN$52)-MIN(AN$30:AN$52))</f>
        <v>0.0179136546612695</v>
      </c>
      <c r="AO19" s="4" t="n">
        <f aca="false">$AF$27*AO46*(1/COUNTIF($C$26:$CK$26,1))/(MAX(AO$30:AO$52)-MIN(AO$30:AO$52))</f>
        <v>0.0258896351639482</v>
      </c>
      <c r="AP19" s="4" t="n">
        <f aca="false">$AF$27*AP46*(1/COUNTIF($C$26:$CK$26,1))/(MAX(AP$30:AP$52)-MIN(AP$30:AP$52))</f>
        <v>0.0070740307236447</v>
      </c>
      <c r="AQ19" s="4" t="n">
        <f aca="false">$AF$27*AQ46*(1/COUNTIF($C$26:$CK$26,1))/(MAX(AQ$30:AQ$52)-MIN(AQ$30:AQ$52))</f>
        <v>0.0141461456549405</v>
      </c>
      <c r="AR19" s="4" t="n">
        <f aca="false">$AF$27*AR46*(1/COUNTIF($C$26:$CK$26,1))/(MAX(AR$30:AR$52)-MIN(AR$30:AR$52))</f>
        <v>0.00558090671296413</v>
      </c>
      <c r="AS19" s="4" t="n">
        <f aca="false">$AF$27*AS46*(1/COUNTIF($C$26:$CK$26,1))/(MAX(AS$30:AS$52)-MIN(AS$30:AS$52))</f>
        <v>0.00565958819049766</v>
      </c>
      <c r="AT19" s="4" t="n">
        <f aca="false">AT46/$CP46</f>
        <v>0.11185758019177</v>
      </c>
      <c r="AU19" s="4" t="n">
        <f aca="false">AU46/$CP46</f>
        <v>0.0269786102653081</v>
      </c>
      <c r="AV19" s="4" t="n">
        <f aca="false">$AF$27*AV46*(1/COUNTIF($C$26:$CK$26,1))/(MAX(AV$30:AV$52)-MIN(AV$30:AV$52))</f>
        <v>0.00827608382266179</v>
      </c>
      <c r="AW19" s="4" t="n">
        <f aca="false">SUM(Flows!AX19,Flows!$AZ19)/$AW76</f>
        <v>0.00405119232451351</v>
      </c>
      <c r="AX19" s="4" t="n">
        <f aca="false">$AX$27*AX46*(1/COUNTIF($C$26:$CK$26,1))/(MAX(AX$30:AX$52)-MIN(AX$30:AX$52))</f>
        <v>0.0166355501981591</v>
      </c>
      <c r="AY19" s="4" t="n">
        <f aca="false">SUM(Flows!$BB19:$BE19)*Capacity!BS19/(AY76*SUM(Capacity!$BS19:$BT19))</f>
        <v>0.0215319429547148</v>
      </c>
      <c r="AZ19" s="4" t="n">
        <f aca="false">SUM(Flows!$BB19:$BE19)*Capacity!BT19/(AZ76*SUM(Capacity!$BS19:$BT19))+(DemClcs!$A$54*Populations!$Q18/AZ76)</f>
        <v>0.0794828503562368</v>
      </c>
      <c r="BA19" s="4" t="n">
        <v>0</v>
      </c>
      <c r="BB19" s="4" t="n">
        <f aca="false">$BB$27*BB46*(1/COUNTIF($C$26:$CK$26,1))/(MAX(BB$30:BB$52)-MIN(BB$30:BB$52))</f>
        <v>0.000676587906026578</v>
      </c>
      <c r="BC19" s="4" t="n">
        <f aca="false">$BB$27*BC46*(1/COUNTIF($C$26:$CK$26,1))/(MAX(BC$30:BC$52)-MIN(BC$30:BC$52))</f>
        <v>0.00236133880444979</v>
      </c>
      <c r="BD19" s="4" t="n">
        <f aca="false">$BB$27*BD46*(1/COUNTIF($C$26:$CK$26,1))/(MAX(BD$30:BD$52)-MIN(BD$30:BD$52))</f>
        <v>0.00226592519562827</v>
      </c>
      <c r="BE19" s="4" t="n">
        <f aca="false">$BB$27*BE46*(1/COUNTIF($C$26:$CK$26,1))/(MAX(BE$30:BE$52)-MIN(BE$30:BE$52))</f>
        <v>0.00170684967086195</v>
      </c>
      <c r="BF19" s="4" t="n">
        <f aca="false">(Flows!$BG19+Flows!$BI19)*1.5*Capacity!$BZ20/(15*$BF76*(Capacity!$S19+Capacity!$BZ19))</f>
        <v>3.42291760612407E-006</v>
      </c>
      <c r="BG19" s="4" t="n">
        <f aca="false">DemClcs!$A$45*(Populations!$R18+3*Populations!$S18)*Capacity!CA19/(BG76*SUM(Capacity!$CA19:$CC19,Capacity!$CE19))</f>
        <v>0.00202371110375555</v>
      </c>
      <c r="BH19" s="4" t="n">
        <f aca="false">DemClcs!$A$45*(Populations!$R18+3*Populations!$S18)*Capacity!CB19/(BH76*SUM(Capacity!$CA19:$CC19,Capacity!$CE19))</f>
        <v>0.00257301193514088</v>
      </c>
      <c r="BI19" s="4" t="n">
        <f aca="false">DemClcs!$A$45*(Populations!$R18+3*Populations!$S18)*Capacity!CC19/(BI76*SUM(Capacity!$CA19:$CC19,Capacity!$CE19))</f>
        <v>0.00202371110375555</v>
      </c>
      <c r="BJ19" s="4" t="n">
        <f aca="false">BJ46/$CP46</f>
        <v>0.00496516136710085</v>
      </c>
      <c r="BK19" s="4" t="n">
        <f aca="false">DemClcs!$A$45*(Populations!$R18+3*Populations!$S18)*Capacity!CE19/(BK76*SUM(Capacity!$CA19:$CC19,Capacity!$CE19))</f>
        <v>0.00202371110375555</v>
      </c>
      <c r="BL19" s="4" t="n">
        <f aca="false">BL46/$CP46</f>
        <v>0.0682161894838218</v>
      </c>
      <c r="BM19" s="4" t="n">
        <f aca="false">BM46/$CP46</f>
        <v>0.107956056236246</v>
      </c>
      <c r="BN19" s="4" t="n">
        <v>0</v>
      </c>
      <c r="BO19" s="4" t="n">
        <f aca="false">Flows!BT19*16/(25*BR76)</f>
        <v>0.00213333089693454</v>
      </c>
      <c r="BP19" s="4" t="n">
        <f aca="false">SUM(Flows!$AF19:$AS19,Flows!$AV19)/BP76</f>
        <v>4.16603900852309E-005</v>
      </c>
      <c r="BQ19" s="4" t="n">
        <v>0</v>
      </c>
      <c r="BR19" s="4" t="n">
        <f aca="false">Flows!BU19*16/(25*BR76)</f>
        <v>0.000213333089693454</v>
      </c>
      <c r="BS19" s="4" t="n">
        <f aca="false">Flows!BV19*16/(25*BS76)</f>
        <v>4.26666048193889E-005</v>
      </c>
      <c r="BT19" s="4" t="n">
        <f aca="false">Flows!$D47*0.8*0.8*$BT$27/(0.75*BT76)</f>
        <v>7.61224767353622E-006</v>
      </c>
      <c r="BU19" s="4" t="n">
        <f aca="false">Flows!$D47*0.8*0.8*$BT$27/(0.75*BU76*10)</f>
        <v>6.97789370074153E-006</v>
      </c>
      <c r="BV19" s="4" t="n">
        <f aca="false">Flows!$D47*0.8*0.8*$BT$27/(0.75*BV76*100)</f>
        <v>5.98105174349274E-006</v>
      </c>
      <c r="BW19" s="4" t="n">
        <v>0</v>
      </c>
      <c r="BX19" s="4" t="n">
        <f aca="false">BX46/$CP46</f>
        <v>0.00121776607057078</v>
      </c>
      <c r="BY19" s="4" t="n">
        <f aca="false">BY46/$CP46</f>
        <v>0.0808718812532448</v>
      </c>
      <c r="BZ19" s="4" t="n">
        <f aca="false">BZ46/$CO46</f>
        <v>0.050749706460944</v>
      </c>
      <c r="CA19" s="4" t="n">
        <f aca="false">CA46/$CO46</f>
        <v>0.105833477085156</v>
      </c>
      <c r="CB19" s="4" t="n">
        <f aca="false">CB46/$CP46</f>
        <v>0.165121260042977</v>
      </c>
      <c r="CC19" s="4" t="n">
        <f aca="false">CC46/$CO46</f>
        <v>0.0987659232230643</v>
      </c>
      <c r="CD19" s="4" t="n">
        <v>0</v>
      </c>
      <c r="CE19" s="4" t="n">
        <f aca="false">IF(SUM(Flows!$CJ19:$CK19)&gt;Flows!$BA19,(SUM(Flows!$CJ19:$CK19)-Flows!$BA19)/CE76)</f>
        <v>0.038276078855831</v>
      </c>
      <c r="CF19" s="4" t="n">
        <f aca="false">CF46/$CO46</f>
        <v>0.0760851426541689</v>
      </c>
      <c r="CG19" s="4" t="n">
        <f aca="false">CG46/$CO46</f>
        <v>0.0765239125602872</v>
      </c>
      <c r="CH19" s="4" t="n">
        <f aca="false">CH46/$CO46</f>
        <v>0.0285761688995007</v>
      </c>
      <c r="CI19" s="4" t="n">
        <f aca="false">CI46/$CP46</f>
        <v>0.014705400207562</v>
      </c>
      <c r="CJ19" s="4" t="n">
        <f aca="false">CJ$27*CJ46*(1/COUNTIF($C$26:$CK$26,1))/(MAX(CJ$30:CJ$52)-MIN(CJ$30:CJ$52))</f>
        <v>0.00189212803127735</v>
      </c>
      <c r="CK19" s="4" t="n">
        <f aca="false">CK$27*CK46*(1/COUNTIF($C$26:$CK$26,1))/(MAX(CK$30:CK$52)-MIN(CK$30:CK$52))</f>
        <v>0.000936014533870535</v>
      </c>
      <c r="CL19" s="4" t="n">
        <v>0</v>
      </c>
      <c r="CN19" s="4" t="n">
        <f aca="false">SUM(C19:CK19)</f>
        <v>3</v>
      </c>
    </row>
    <row r="20" customFormat="false" ht="12.8" hidden="false" customHeight="false" outlineLevel="0" collapsed="false">
      <c r="A20" s="4" t="s">
        <v>155</v>
      </c>
      <c r="B20" s="7" t="s">
        <v>39</v>
      </c>
      <c r="C20" s="4" t="n">
        <f aca="false">Flows!$BG20*2*Capacity!$S20/(5*15*C77*(Capacity!$S20+Capacity!$BZ20))</f>
        <v>3.9768479606319E-007</v>
      </c>
      <c r="D20" s="4" t="n">
        <f aca="false">(DemClcs!$A$32*(Populations!$R19+3*Populations!$S19)/D77)+MAX((Flows!K20+Flows!M20)/1826.484018+Flows!L20/1111.111111-Flows!$F20,0)/D77</f>
        <v>0.0335094353857639</v>
      </c>
      <c r="E20" s="4" t="n">
        <f aca="false">DemClcs!$A$40*(Populations!$R19+3*Populations!$S19)/E77</f>
        <v>0.00813174399270632</v>
      </c>
      <c r="F20" s="4" t="n">
        <v>0</v>
      </c>
      <c r="G20" s="4" t="n">
        <f aca="false">Flows!Q20*40/G77</f>
        <v>0.000202641503264458</v>
      </c>
      <c r="H20" s="4" t="n">
        <f aca="false">IF(Flows!$AW20&gt;Flows!$Y20,(Flows!$AW20-Flows!$Y20)/H77)</f>
        <v>1.28899766998893E-005</v>
      </c>
      <c r="I20" s="4" t="n">
        <f aca="false">I47/$CN47</f>
        <v>0.888164491333706</v>
      </c>
      <c r="J20" s="4" t="n">
        <f aca="false">J47/$CN47</f>
        <v>0.111835508666293</v>
      </c>
      <c r="K20" s="4" t="n">
        <v>0</v>
      </c>
      <c r="L20" s="4" t="n">
        <v>0</v>
      </c>
      <c r="M20" s="4" t="n">
        <v>0</v>
      </c>
      <c r="N20" s="4" t="n">
        <f aca="false">SUM(Flows!$V20,Flows!$W20)/$N77</f>
        <v>0.0014364367761612</v>
      </c>
      <c r="O20" s="4" t="n">
        <v>0</v>
      </c>
      <c r="P20" s="4" t="n">
        <v>0</v>
      </c>
      <c r="Q20" s="4" t="n">
        <f aca="false">$Q$27*Q47*(1/COUNTIF($C$26:$CK$26,1))/(MAX(Q$30:Q$52)-MIN(Q$30:Q$52))</f>
        <v>0.000624513698494142</v>
      </c>
      <c r="R20" s="4" t="n">
        <f aca="false">$R$27*R47*(1/COUNTIF($C$26:$CK$26,1))/(MAX(R$30:R$52)-MIN(R$30:R$52))+0.5/COUNTIF($C$26:$CK$26,1)</f>
        <v>0.0271984908479349</v>
      </c>
      <c r="S20" s="4" t="n">
        <v>0</v>
      </c>
      <c r="T20" s="4" t="n">
        <v>0</v>
      </c>
      <c r="U20" s="4" t="n">
        <v>0</v>
      </c>
      <c r="V20" s="4" t="n">
        <f aca="false">$V$27*V47*(1/COUNTIF($C$26:$CK$26,1))/(MAX(V$30:V$52)-MIN(V$30:V$52))</f>
        <v>0.0233014147133803</v>
      </c>
      <c r="W20" s="4" t="n">
        <f aca="false">$V$27*W47*(1/COUNTIF($C$26:$CK$26,1))/(MAX(W$30:W$52)-MIN(W$30:W$52))</f>
        <v>0.0244009647688411</v>
      </c>
      <c r="X20" s="4" t="n">
        <f aca="false">X47/$CO47</f>
        <v>0.236836010300146</v>
      </c>
      <c r="Y20" s="4" t="n">
        <v>0</v>
      </c>
      <c r="Z20" s="4" t="n">
        <f aca="false">Flows!$AA20/$Z77</f>
        <v>7.93629825557342E-006</v>
      </c>
      <c r="AA20" s="4" t="n">
        <f aca="false">Flows!$AB20/$AA77</f>
        <v>0.00022540673729015</v>
      </c>
      <c r="AB20" s="4" t="n">
        <f aca="false">DemClcs!$A$20*(Populations!$R19+3*Populations!$S19)/AB77</f>
        <v>0.00125087157292005</v>
      </c>
      <c r="AC20" s="4" t="n">
        <f aca="false">Flows!$AD20/$AC77</f>
        <v>0.0011367145206068</v>
      </c>
      <c r="AD20" s="4" t="n">
        <f aca="false">DemClcs!$A$25*(Populations!$R19+3*Populations!$S19)/AD77</f>
        <v>0.0124109705003649</v>
      </c>
      <c r="AE20" s="4" t="n">
        <f aca="false">AE47/$CP47</f>
        <v>0.0398099336074262</v>
      </c>
      <c r="AF20" s="4" t="n">
        <f aca="false">$AF$27*AF47*(1/COUNTIF($C$26:$CK$26,1))/(MAX(AF$30:AF$52)-MIN(AF$30:AF$52))</f>
        <v>0.0295055782066655</v>
      </c>
      <c r="AG20" s="4" t="n">
        <f aca="false">$AF$27*AG47*(1/COUNTIF($C$26:$CK$26,1))/(MAX(AG$30:AG$52)-MIN(AG$30:AG$52))</f>
        <v>0.020531411103563</v>
      </c>
      <c r="AH20" s="4" t="n">
        <f aca="false">$AF$27*AH47*(1/COUNTIF($C$26:$CK$26,1))/(MAX(AH$30:AH$52)-MIN(AH$30:AH$52))</f>
        <v>0.00704808647193156</v>
      </c>
      <c r="AI20" s="4" t="n">
        <f aca="false">$AF$27*AI47*(1/COUNTIF($C$26:$CK$26,1))/(MAX(AI$30:AI$52)-MIN(AI$30:AI$52))</f>
        <v>0.0232016871233367</v>
      </c>
      <c r="AJ20" s="4" t="n">
        <f aca="false">$AF$27*AJ47*(1/COUNTIF($C$26:$CK$26,1))/(MAX(AJ$30:AJ$52)-MIN(AJ$30:AJ$52))</f>
        <v>0.00656778605343901</v>
      </c>
      <c r="AK20" s="4" t="n">
        <f aca="false">$AF$27*AK47*(1/COUNTIF($C$26:$CK$26,1))/(MAX(AK$30:AK$52)-MIN(AK$30:AK$52))</f>
        <v>0.0226127646300913</v>
      </c>
      <c r="AL20" s="4" t="n">
        <f aca="false">$AF$27*AL47*(1/COUNTIF($C$26:$CK$26,1))/(MAX(AL$30:AL$52)-MIN(AL$30:AL$52))</f>
        <v>0.0173407216943792</v>
      </c>
      <c r="AM20" s="4" t="n">
        <f aca="false">$AF$27*AM47*(1/COUNTIF($C$26:$CK$26,1))/(MAX(AM$30:AM$52)-MIN(AM$30:AM$52))</f>
        <v>0.025936065608107</v>
      </c>
      <c r="AN20" s="4" t="n">
        <f aca="false">$AF$27*AN47*(1/COUNTIF($C$26:$CK$26,1))/(MAX(AN$30:AN$52)-MIN(AN$30:AN$52))</f>
        <v>0.0136793881446131</v>
      </c>
      <c r="AO20" s="4" t="n">
        <f aca="false">$AF$27*AO47*(1/COUNTIF($C$26:$CK$26,1))/(MAX(AO$30:AO$52)-MIN(AO$30:AO$52))</f>
        <v>0.00954626325937974</v>
      </c>
      <c r="AP20" s="4" t="n">
        <f aca="false">$AF$27*AP47*(1/COUNTIF($C$26:$CK$26,1))/(MAX(AP$30:AP$52)-MIN(AP$30:AP$52))</f>
        <v>0.0088269308633313</v>
      </c>
      <c r="AQ20" s="4" t="n">
        <f aca="false">$AF$27*AQ47*(1/COUNTIF($C$26:$CK$26,1))/(MAX(AQ$30:AQ$52)-MIN(AQ$30:AQ$52))</f>
        <v>0.0218765725775313</v>
      </c>
      <c r="AR20" s="4" t="n">
        <f aca="false">$AF$27*AR47*(1/COUNTIF($C$26:$CK$26,1))/(MAX(AR$30:AR$52)-MIN(AR$30:AR$52))</f>
        <v>0.0267115776657041</v>
      </c>
      <c r="AS20" s="4" t="n">
        <f aca="false">$AF$27*AS47*(1/COUNTIF($C$26:$CK$26,1))/(MAX(AS$30:AS$52)-MIN(AS$30:AS$52))</f>
        <v>0.0129640180128129</v>
      </c>
      <c r="AT20" s="4" t="n">
        <f aca="false">AT47/$CP47</f>
        <v>0.0340335058316167</v>
      </c>
      <c r="AU20" s="4" t="n">
        <f aca="false">AU47/$CP47</f>
        <v>0.062693495922623</v>
      </c>
      <c r="AV20" s="4" t="n">
        <f aca="false">$AF$27*AV47*(1/COUNTIF($C$26:$CK$26,1))/(MAX(AV$30:AV$52)-MIN(AV$30:AV$52))</f>
        <v>0.0169300464247007</v>
      </c>
      <c r="AW20" s="4" t="n">
        <f aca="false">SUM(Flows!AX20,Flows!$AZ20)/$AW77</f>
        <v>0.000220205380592858</v>
      </c>
      <c r="AX20" s="4" t="n">
        <f aca="false">$AX$27*AX47*(1/COUNTIF($C$26:$CK$26,1))/(MAX(AX$30:AX$52)-MIN(AX$30:AX$52))</f>
        <v>0.0249020442393083</v>
      </c>
      <c r="AY20" s="4" t="n">
        <f aca="false">SUM(Flows!$BB20:$BE20)*Capacity!BS20/(AY77*SUM(Capacity!$BS20:$BT20))</f>
        <v>0.0015693234439846</v>
      </c>
      <c r="AZ20" s="4" t="n">
        <f aca="false">SUM(Flows!$BB20:$BE20)*Capacity!BT20/(AZ77*SUM(Capacity!$BS20:$BT20))+(DemClcs!$A$54*Populations!$Q19/AZ77)</f>
        <v>0.0105159898803864</v>
      </c>
      <c r="BA20" s="4" t="n">
        <v>0</v>
      </c>
      <c r="BB20" s="4" t="n">
        <f aca="false">$BB$27*BB47*(1/COUNTIF($C$26:$CK$26,1))/(MAX(BB$30:BB$52)-MIN(BB$30:BB$52))</f>
        <v>0.00223978225555127</v>
      </c>
      <c r="BC20" s="4" t="n">
        <f aca="false">$BB$27*BC47*(1/COUNTIF($C$26:$CK$26,1))/(MAX(BC$30:BC$52)-MIN(BC$30:BC$52))</f>
        <v>0.00256574207324392</v>
      </c>
      <c r="BD20" s="4" t="n">
        <f aca="false">$BB$27*BD47*(1/COUNTIF($C$26:$CK$26,1))/(MAX(BD$30:BD$52)-MIN(BD$30:BD$52))</f>
        <v>0.00282539618538495</v>
      </c>
      <c r="BE20" s="4" t="n">
        <f aca="false">$BB$27*BE47*(1/COUNTIF($C$26:$CK$26,1))/(MAX(BE$30:BE$52)-MIN(BE$30:BE$52))</f>
        <v>0.00202835219929315</v>
      </c>
      <c r="BF20" s="4" t="n">
        <f aca="false">(Flows!$BG20+Flows!$BI20)*1.5*Capacity!$BZ21/(15*$BF77*(Capacity!$S20+Capacity!$BZ20))</f>
        <v>3.07282592961145E-005</v>
      </c>
      <c r="BG20" s="4" t="n">
        <f aca="false">DemClcs!$A$45*(Populations!$R19+3*Populations!$S19)*Capacity!CA20/(BG77*SUM(Capacity!$CA20:$CC20,Capacity!$CE20))</f>
        <v>0.000671175209632367</v>
      </c>
      <c r="BH20" s="4" t="n">
        <f aca="false">DemClcs!$A$45*(Populations!$R19+3*Populations!$S19)*Capacity!CB20/(BH77*SUM(Capacity!$CA20:$CC20,Capacity!$CE20))</f>
        <v>6.27038516022195E-007</v>
      </c>
      <c r="BI20" s="4" t="n">
        <f aca="false">DemClcs!$A$45*(Populations!$R19+3*Populations!$S19)*Capacity!CC20/(BI77*SUM(Capacity!$CA20:$CC20,Capacity!$CE20))</f>
        <v>0.000671175209632367</v>
      </c>
      <c r="BJ20" s="4" t="n">
        <f aca="false">BJ47/$CP47</f>
        <v>0.0963949080763591</v>
      </c>
      <c r="BK20" s="4" t="n">
        <f aca="false">DemClcs!$A$45*(Populations!$R19+3*Populations!$S19)*Capacity!CE20/(BK77*SUM(Capacity!$CA20:$CC20,Capacity!$CE20))</f>
        <v>0.000671175209632367</v>
      </c>
      <c r="BL20" s="4" t="n">
        <f aca="false">BL47/$CP47</f>
        <v>0.100379406088148</v>
      </c>
      <c r="BM20" s="4" t="n">
        <f aca="false">BM47/$CP47</f>
        <v>0.0393486731511208</v>
      </c>
      <c r="BN20" s="4" t="n">
        <v>0</v>
      </c>
      <c r="BO20" s="4" t="n">
        <f aca="false">Flows!BT20*16/(25*BR77)</f>
        <v>3.95920959896326E-005</v>
      </c>
      <c r="BP20" s="4" t="n">
        <f aca="false">SUM(Flows!$AF20:$AS20,Flows!$AV20)/BP77</f>
        <v>1.83019729792071E-006</v>
      </c>
      <c r="BQ20" s="4" t="n">
        <v>0</v>
      </c>
      <c r="BR20" s="4" t="n">
        <f aca="false">Flows!BU20*16/(25*BR77)</f>
        <v>3.95920959896326E-006</v>
      </c>
      <c r="BS20" s="4" t="n">
        <f aca="false">Flows!BV20*16/(25*BS77)</f>
        <v>7.91841739487592E-007</v>
      </c>
      <c r="BT20" s="4" t="n">
        <f aca="false">Flows!$D48*0.8*0.8*$BT$27/(0.75*BT77)</f>
        <v>3.18548209035363E-006</v>
      </c>
      <c r="BU20" s="4" t="n">
        <f aca="false">Flows!$D48*0.8*0.8*$BT$27/(0.75*BU77*10)</f>
        <v>2.92002524949083E-006</v>
      </c>
      <c r="BV20" s="4" t="n">
        <f aca="false">Flows!$D48*0.8*0.8*$BT$27/(0.75*BV77*100)</f>
        <v>2.50287878527785E-006</v>
      </c>
      <c r="BW20" s="4" t="n">
        <v>0</v>
      </c>
      <c r="BX20" s="4" t="n">
        <f aca="false">BX47/$CP47</f>
        <v>0.0648954643724082</v>
      </c>
      <c r="BY20" s="4" t="n">
        <f aca="false">BY47/$CP47</f>
        <v>0.0806310675132976</v>
      </c>
      <c r="BZ20" s="4" t="n">
        <f aca="false">BZ47/$CO47</f>
        <v>0.0287041977886132</v>
      </c>
      <c r="CA20" s="4" t="n">
        <f aca="false">CA47/$CO47</f>
        <v>0.0533283843314128</v>
      </c>
      <c r="CB20" s="4" t="n">
        <f aca="false">CB47/$CP47</f>
        <v>0.0725832554446382</v>
      </c>
      <c r="CC20" s="4" t="n">
        <f aca="false">CC47/$CO47</f>
        <v>0.120247417282045</v>
      </c>
      <c r="CD20" s="4" t="n">
        <v>0</v>
      </c>
      <c r="CE20" s="4" t="n">
        <f aca="false">IF(SUM(Flows!$CJ20:$CK20)&gt;Flows!$BA20,(SUM(Flows!$CJ20:$CK20)-Flows!$BA20)/CE77)</f>
        <v>0.00315270978228888</v>
      </c>
      <c r="CF20" s="4" t="n">
        <f aca="false">CF47/$CO47</f>
        <v>0.124597597547457</v>
      </c>
      <c r="CG20" s="4" t="n">
        <f aca="false">CG47/$CO47</f>
        <v>0.017274889035992</v>
      </c>
      <c r="CH20" s="4" t="n">
        <f aca="false">CH47/$CO47</f>
        <v>0.306937642397662</v>
      </c>
      <c r="CI20" s="4" t="n">
        <f aca="false">CI47/$CP47</f>
        <v>0.0703483593202236</v>
      </c>
      <c r="CJ20" s="4" t="n">
        <f aca="false">CJ$27*CJ47*(1/COUNTIF($C$26:$CK$26,1))/(MAX(CJ$30:CJ$52)-MIN(CJ$30:CJ$52))</f>
        <v>0.000330277195112914</v>
      </c>
      <c r="CK20" s="4" t="n">
        <f aca="false">CK$27*CK47*(1/COUNTIF($C$26:$CK$26,1))/(MAX(CK$30:CK$52)-MIN(CK$30:CK$52))</f>
        <v>0.00137657987913671</v>
      </c>
      <c r="CL20" s="4" t="n">
        <v>0</v>
      </c>
      <c r="CN20" s="4" t="n">
        <f aca="false">SUM(C20:CK20)</f>
        <v>3</v>
      </c>
    </row>
    <row r="21" customFormat="false" ht="12.8" hidden="false" customHeight="false" outlineLevel="0" collapsed="false">
      <c r="A21" s="4" t="s">
        <v>156</v>
      </c>
      <c r="B21" s="7" t="s">
        <v>39</v>
      </c>
      <c r="C21" s="4" t="n">
        <f aca="false">Flows!$BG21*2*Capacity!$S21/(5*15*C78*(Capacity!$S21+Capacity!$BZ21))</f>
        <v>2.76294467508757E-006</v>
      </c>
      <c r="D21" s="4" t="n">
        <f aca="false">(DemClcs!$A$32*(Populations!$R20+3*Populations!$S20)/D78)+MAX((Flows!K21+Flows!M21)/1826.484018+Flows!L21/1111.111111-Flows!$F21,0)/D78</f>
        <v>0.295148987240406</v>
      </c>
      <c r="E21" s="4" t="n">
        <f aca="false">DemClcs!$A$40*(Populations!$R20+3*Populations!$S20)/E78</f>
        <v>0.153377609298495</v>
      </c>
      <c r="F21" s="4" t="n">
        <v>0</v>
      </c>
      <c r="G21" s="4" t="n">
        <f aca="false">Flows!Q21*40/G78</f>
        <v>0.0516222666960779</v>
      </c>
      <c r="H21" s="4" t="n">
        <f aca="false">IF(Flows!$AW21&gt;Flows!$Y21,(Flows!$AW21-Flows!$Y21)/H78)</f>
        <v>0.00255660012613406</v>
      </c>
      <c r="I21" s="4" t="n">
        <f aca="false">I48/$CN48</f>
        <v>0.235961073748624</v>
      </c>
      <c r="J21" s="4" t="n">
        <f aca="false">J48/$CN48</f>
        <v>0.764038926251376</v>
      </c>
      <c r="K21" s="4" t="n">
        <v>0</v>
      </c>
      <c r="L21" s="4" t="n">
        <v>0</v>
      </c>
      <c r="M21" s="4" t="n">
        <v>0</v>
      </c>
      <c r="N21" s="4" t="n">
        <f aca="false">SUM(Flows!$V21,Flows!$W21)/$N78</f>
        <v>0.0439577843071754</v>
      </c>
      <c r="O21" s="4" t="n">
        <v>0</v>
      </c>
      <c r="P21" s="4" t="n">
        <v>0</v>
      </c>
      <c r="Q21" s="4" t="n">
        <f aca="false">$Q$27*Q48*(1/COUNTIF($C$26:$CK$26,1))/(MAX(Q$30:Q$52)-MIN(Q$30:Q$52))</f>
        <v>0.00449724339547032</v>
      </c>
      <c r="R21" s="4" t="n">
        <f aca="false">$R$27*R48*(1/COUNTIF($C$26:$CK$26,1))/(MAX(R$30:R$52)-MIN(R$30:R$52))+0.5/COUNTIF($C$26:$CK$26,1)</f>
        <v>0.0273304821657621</v>
      </c>
      <c r="S21" s="4" t="n">
        <v>0</v>
      </c>
      <c r="T21" s="4" t="n">
        <v>0</v>
      </c>
      <c r="U21" s="4" t="n">
        <v>0</v>
      </c>
      <c r="V21" s="4" t="n">
        <f aca="false">$V$27*V48*(1/COUNTIF($C$26:$CK$26,1))/(MAX(V$30:V$52)-MIN(V$30:V$52))</f>
        <v>0.00416474025462366</v>
      </c>
      <c r="W21" s="4" t="n">
        <f aca="false">$V$27*W48*(1/COUNTIF($C$26:$CK$26,1))/(MAX(W$30:W$52)-MIN(W$30:W$52))</f>
        <v>0.0156794948196394</v>
      </c>
      <c r="X21" s="4" t="n">
        <f aca="false">X48/$CO48</f>
        <v>0.00410379722427077</v>
      </c>
      <c r="Y21" s="4" t="n">
        <v>0</v>
      </c>
      <c r="Z21" s="4" t="n">
        <f aca="false">Flows!$AA21/$Z78</f>
        <v>0.000400067625944108</v>
      </c>
      <c r="AA21" s="4" t="n">
        <f aca="false">Flows!$AB21/$AA78</f>
        <v>0.00503524129270684</v>
      </c>
      <c r="AB21" s="4" t="n">
        <f aca="false">DemClcs!$A$20*(Populations!$R20+3*Populations!$S20)/AB78</f>
        <v>0.00925534482313407</v>
      </c>
      <c r="AC21" s="4" t="n">
        <f aca="false">Flows!$AD21/$AC78</f>
        <v>0.0545469894759818</v>
      </c>
      <c r="AD21" s="4" t="n">
        <f aca="false">DemClcs!$A$25*(Populations!$R20+3*Populations!$S20)/AD78</f>
        <v>0.0918302198701921</v>
      </c>
      <c r="AE21" s="4" t="n">
        <f aca="false">AE48/$CP48</f>
        <v>0.112469033339623</v>
      </c>
      <c r="AF21" s="4" t="n">
        <f aca="false">$AF$27*AF48*(1/COUNTIF($C$26:$CK$26,1))/(MAX(AF$30:AF$52)-MIN(AF$30:AF$52))</f>
        <v>0.0106945548577682</v>
      </c>
      <c r="AG21" s="4" t="n">
        <f aca="false">$AF$27*AG48*(1/COUNTIF($C$26:$CK$26,1))/(MAX(AG$30:AG$52)-MIN(AG$30:AG$52))</f>
        <v>0.0255235385494408</v>
      </c>
      <c r="AH21" s="4" t="n">
        <f aca="false">$AF$27*AH48*(1/COUNTIF($C$26:$CK$26,1))/(MAX(AH$30:AH$52)-MIN(AH$30:AH$52))</f>
        <v>0.0275994641636595</v>
      </c>
      <c r="AI21" s="4" t="n">
        <f aca="false">$AF$27*AI48*(1/COUNTIF($C$26:$CK$26,1))/(MAX(AI$30:AI$52)-MIN(AI$30:AI$52))</f>
        <v>0.00910668788093346</v>
      </c>
      <c r="AJ21" s="4" t="n">
        <f aca="false">$AF$27*AJ48*(1/COUNTIF($C$26:$CK$26,1))/(MAX(AJ$30:AJ$52)-MIN(AJ$30:AJ$52))</f>
        <v>0.0209076627016955</v>
      </c>
      <c r="AK21" s="4" t="n">
        <f aca="false">$AF$27*AK48*(1/COUNTIF($C$26:$CK$26,1))/(MAX(AK$30:AK$52)-MIN(AK$30:AK$52))</f>
        <v>0.0181439038676877</v>
      </c>
      <c r="AL21" s="4" t="n">
        <f aca="false">$AF$27*AL48*(1/COUNTIF($C$26:$CK$26,1))/(MAX(AL$30:AL$52)-MIN(AL$30:AL$52))</f>
        <v>0.00939025680805675</v>
      </c>
      <c r="AM21" s="4" t="n">
        <f aca="false">$AF$27*AM48*(1/COUNTIF($C$26:$CK$26,1))/(MAX(AM$30:AM$52)-MIN(AM$30:AM$52))</f>
        <v>0.0140776249088524</v>
      </c>
      <c r="AN21" s="4" t="n">
        <f aca="false">$AF$27*AN48*(1/COUNTIF($C$26:$CK$26,1))/(MAX(AN$30:AN$52)-MIN(AN$30:AN$52))</f>
        <v>0.0158871681929438</v>
      </c>
      <c r="AO21" s="4" t="n">
        <f aca="false">$AF$27*AO48*(1/COUNTIF($C$26:$CK$26,1))/(MAX(AO$30:AO$52)-MIN(AO$30:AO$52))</f>
        <v>0.0112548792641384</v>
      </c>
      <c r="AP21" s="4" t="n">
        <f aca="false">$AF$27*AP48*(1/COUNTIF($C$26:$CK$26,1))/(MAX(AP$30:AP$52)-MIN(AP$30:AP$52))</f>
        <v>0.027802280143582</v>
      </c>
      <c r="AQ21" s="4" t="n">
        <f aca="false">$AF$27*AQ48*(1/COUNTIF($C$26:$CK$26,1))/(MAX(AQ$30:AQ$52)-MIN(AQ$30:AQ$52))</f>
        <v>0.0196822434160017</v>
      </c>
      <c r="AR21" s="4" t="n">
        <f aca="false">$AF$27*AR48*(1/COUNTIF($C$26:$CK$26,1))/(MAX(AR$30:AR$52)-MIN(AR$30:AR$52))</f>
        <v>0.0165602881554959</v>
      </c>
      <c r="AS21" s="4" t="n">
        <f aca="false">$AF$27*AS48*(1/COUNTIF($C$26:$CK$26,1))/(MAX(AS$30:AS$52)-MIN(AS$30:AS$52))</f>
        <v>0.0116403959185904</v>
      </c>
      <c r="AT21" s="4" t="n">
        <f aca="false">AT48/$CP48</f>
        <v>0.0221936833838788</v>
      </c>
      <c r="AU21" s="4" t="n">
        <f aca="false">AU48/$CP48</f>
        <v>0.11583924511974</v>
      </c>
      <c r="AV21" s="4" t="n">
        <f aca="false">$AF$27*AV48*(1/COUNTIF($C$26:$CK$26,1))/(MAX(AV$30:AV$52)-MIN(AV$30:AV$52))</f>
        <v>0.00770865424311032</v>
      </c>
      <c r="AW21" s="4" t="n">
        <f aca="false">SUM(Flows!AX21,Flows!$AZ21)/$AW78</f>
        <v>0.00842761008751441</v>
      </c>
      <c r="AX21" s="4" t="n">
        <f aca="false">$AX$27*AX48*(1/COUNTIF($C$26:$CK$26,1))/(MAX(AX$30:AX$52)-MIN(AX$30:AX$52))</f>
        <v>0.026344049282344</v>
      </c>
      <c r="AY21" s="4" t="n">
        <f aca="false">SUM(Flows!$BB21:$BE21)*Capacity!BS21/(AY78*SUM(Capacity!$BS21:$BT21))</f>
        <v>0.0407940250453724</v>
      </c>
      <c r="AZ21" s="4" t="n">
        <f aca="false">SUM(Flows!$BB21:$BE21)*Capacity!BT21/(AZ78*SUM(Capacity!$BS21:$BT21))+(DemClcs!$A$54*Populations!$Q20/AZ78)</f>
        <v>0.149085921481967</v>
      </c>
      <c r="BA21" s="4" t="n">
        <v>0</v>
      </c>
      <c r="BB21" s="4" t="n">
        <f aca="false">$BB$27*BB48*(1/COUNTIF($C$26:$CK$26,1))/(MAX(BB$30:BB$52)-MIN(BB$30:BB$52))</f>
        <v>0.00205410585617015</v>
      </c>
      <c r="BC21" s="4" t="n">
        <f aca="false">$BB$27*BC48*(1/COUNTIF($C$26:$CK$26,1))/(MAX(BC$30:BC$52)-MIN(BC$30:BC$52))</f>
        <v>0.00100683510887933</v>
      </c>
      <c r="BD21" s="4" t="n">
        <f aca="false">$BB$27*BD48*(1/COUNTIF($C$26:$CK$26,1))/(MAX(BD$30:BD$52)-MIN(BD$30:BD$52))</f>
        <v>0.000828629055719394</v>
      </c>
      <c r="BE21" s="4" t="n">
        <f aca="false">$BB$27*BE48*(1/COUNTIF($C$26:$CK$26,1))/(MAX(BE$30:BE$52)-MIN(BE$30:BE$52))</f>
        <v>0.0020281999719916</v>
      </c>
      <c r="BF21" s="4" t="n">
        <f aca="false">(Flows!$BG21+Flows!$BI21)*1.5*Capacity!$BZ22/(15*$BF78*(Capacity!$S21+Capacity!$BZ21))</f>
        <v>1.28795983036861E-005</v>
      </c>
      <c r="BG21" s="4" t="n">
        <f aca="false">DemClcs!$A$45*(Populations!$R20+3*Populations!$S20)*Capacity!CA21/(BG78*SUM(Capacity!$CA21:$CC21,Capacity!$CE21))</f>
        <v>0.00394703047071264</v>
      </c>
      <c r="BH21" s="4" t="n">
        <f aca="false">DemClcs!$A$45*(Populations!$R20+3*Populations!$S20)*Capacity!CB21/(BH78*SUM(Capacity!$CA21:$CC21,Capacity!$CE21))</f>
        <v>0.00466201624277877</v>
      </c>
      <c r="BI21" s="4" t="n">
        <f aca="false">DemClcs!$A$45*(Populations!$R20+3*Populations!$S20)*Capacity!CC21/(BI78*SUM(Capacity!$CA21:$CC21,Capacity!$CE21))</f>
        <v>0.00394703047071264</v>
      </c>
      <c r="BJ21" s="4" t="n">
        <f aca="false">BJ48/$CP48</f>
        <v>0.0528506658368488</v>
      </c>
      <c r="BK21" s="4" t="n">
        <f aca="false">DemClcs!$A$45*(Populations!$R20+3*Populations!$S20)*Capacity!CE21/(BK78*SUM(Capacity!$CA21:$CC21,Capacity!$CE21))</f>
        <v>0.00394703047071264</v>
      </c>
      <c r="BL21" s="4" t="n">
        <f aca="false">BL48/$CP48</f>
        <v>0.00169108627240819</v>
      </c>
      <c r="BM21" s="4" t="n">
        <f aca="false">BM48/$CP48</f>
        <v>0.0960356341861483</v>
      </c>
      <c r="BN21" s="4" t="n">
        <v>0</v>
      </c>
      <c r="BO21" s="4" t="n">
        <f aca="false">Flows!BT21*16/(25*BR78)</f>
        <v>0.0078340797503876</v>
      </c>
      <c r="BP21" s="4" t="n">
        <f aca="false">SUM(Flows!$AF21:$AS21,Flows!$AV21)/BP78</f>
        <v>9.5850610883796E-005</v>
      </c>
      <c r="BQ21" s="4" t="n">
        <v>0</v>
      </c>
      <c r="BR21" s="4" t="n">
        <f aca="false">Flows!BU21*16/(25*BR78)</f>
        <v>0.00078340797503876</v>
      </c>
      <c r="BS21" s="4" t="n">
        <f aca="false">Flows!BV21*16/(25*BS78)</f>
        <v>0.000156681542670626</v>
      </c>
      <c r="BT21" s="4" t="n">
        <f aca="false">Flows!$D49*0.8*0.8*$BT$27/(0.75*BT78)</f>
        <v>1.25928098368598E-005</v>
      </c>
      <c r="BU21" s="4" t="n">
        <f aca="false">Flows!$D49*0.8*0.8*$BT$27/(0.75*BU78*10)</f>
        <v>1.15434090171215E-005</v>
      </c>
      <c r="BV21" s="4" t="n">
        <f aca="false">Flows!$D49*0.8*0.8*$BT$27/(0.75*BV78*100)</f>
        <v>9.89435058610414E-006</v>
      </c>
      <c r="BW21" s="4" t="n">
        <v>0</v>
      </c>
      <c r="BX21" s="4" t="n">
        <f aca="false">BX48/$CP48</f>
        <v>0.105916134537581</v>
      </c>
      <c r="BY21" s="4" t="n">
        <f aca="false">BY48/$CP48</f>
        <v>0.0164682791199846</v>
      </c>
      <c r="BZ21" s="4" t="n">
        <f aca="false">BZ48/$CO48</f>
        <v>0.00124872710983214</v>
      </c>
      <c r="CA21" s="4" t="n">
        <f aca="false">CA48/$CO48</f>
        <v>0.00150595609581195</v>
      </c>
      <c r="CB21" s="4" t="n">
        <f aca="false">CB48/$CP48</f>
        <v>0.00637636613607535</v>
      </c>
      <c r="CC21" s="4" t="n">
        <f aca="false">CC48/$CO48</f>
        <v>0.00164746633096519</v>
      </c>
      <c r="CD21" s="4" t="n">
        <v>0</v>
      </c>
      <c r="CE21" s="4" t="n">
        <f aca="false">IF(SUM(Flows!$CJ21:$CK21)&gt;Flows!$BA21,(SUM(Flows!$CJ21:$CK21)-Flows!$BA21)/CE78)</f>
        <v>0.120954242787332</v>
      </c>
      <c r="CF21" s="4" t="n">
        <f aca="false">CF48/$CO48</f>
        <v>0.000401665869459616</v>
      </c>
      <c r="CG21" s="4" t="n">
        <f aca="false">CG48/$CO48</f>
        <v>0.00382660153527208</v>
      </c>
      <c r="CH21" s="4" t="n">
        <f aca="false">CH48/$CO48</f>
        <v>0.00383348779192224</v>
      </c>
      <c r="CI21" s="4" t="n">
        <f aca="false">CI48/$CP48</f>
        <v>0.0685166130685956</v>
      </c>
      <c r="CJ21" s="4" t="n">
        <f aca="false">CJ$27*CJ48*(1/COUNTIF($C$26:$CK$26,1))/(MAX(CJ$30:CJ$52)-MIN(CJ$30:CJ$52))</f>
        <v>0.0012391849856455</v>
      </c>
      <c r="CK21" s="4" t="n">
        <f aca="false">CK$27*CK48*(1/COUNTIF($C$26:$CK$26,1))/(MAX(CK$30:CK$52)-MIN(CK$30:CK$52))</f>
        <v>0.00150727826863026</v>
      </c>
      <c r="CL21" s="4" t="n">
        <v>0</v>
      </c>
      <c r="CN21" s="4" t="n">
        <f aca="false">SUM(C21:CK21)</f>
        <v>3</v>
      </c>
    </row>
    <row r="22" customFormat="false" ht="12.8" hidden="false" customHeight="false" outlineLevel="0" collapsed="false">
      <c r="A22" s="4" t="s">
        <v>157</v>
      </c>
      <c r="B22" s="7" t="s">
        <v>39</v>
      </c>
      <c r="C22" s="4" t="n">
        <f aca="false">Flows!$BG22*2*Capacity!$S22/(5*15*C79*(Capacity!$S22+Capacity!$BZ22))</f>
        <v>8.84081100446482E-007</v>
      </c>
      <c r="D22" s="4" t="n">
        <f aca="false">(DemClcs!$A$32*(Populations!$R21+3*Populations!$S21)/D79)+MAX((Flows!K22+Flows!M22)/1826.484018+Flows!L22/1111.111111-Flows!$F22,0)/D79</f>
        <v>0.0638723826230313</v>
      </c>
      <c r="E22" s="4" t="n">
        <f aca="false">DemClcs!$A$40*(Populations!$R21+3*Populations!$S21)/E79</f>
        <v>0.0159390150573165</v>
      </c>
      <c r="F22" s="4" t="n">
        <v>0</v>
      </c>
      <c r="G22" s="4" t="n">
        <f aca="false">Flows!Q22*40/G79</f>
        <v>0.0043568615436245</v>
      </c>
      <c r="H22" s="4" t="n">
        <f aca="false">IF(Flows!$AW22&gt;Flows!$Y22,(Flows!$AW22-Flows!$Y22)/H79)</f>
        <v>0.000111621930411558</v>
      </c>
      <c r="I22" s="4" t="n">
        <f aca="false">I49/$CN49</f>
        <v>0.433221193262673</v>
      </c>
      <c r="J22" s="4" t="n">
        <f aca="false">J49/$CN49</f>
        <v>0.566778806737327</v>
      </c>
      <c r="K22" s="4" t="n">
        <v>0</v>
      </c>
      <c r="L22" s="4" t="n">
        <v>0</v>
      </c>
      <c r="M22" s="4" t="n">
        <v>0</v>
      </c>
      <c r="N22" s="4" t="n">
        <f aca="false">SUM(Flows!$V22,Flows!$W22)/$N79</f>
        <v>0.00264619564485982</v>
      </c>
      <c r="O22" s="4" t="n">
        <v>0</v>
      </c>
      <c r="P22" s="4" t="n">
        <v>0</v>
      </c>
      <c r="Q22" s="4" t="n">
        <f aca="false">$Q$27*Q49*(1/COUNTIF($C$26:$CK$26,1))/(MAX(Q$30:Q$52)-MIN(Q$30:Q$52))</f>
        <v>0.00530118752098739</v>
      </c>
      <c r="R22" s="4" t="n">
        <f aca="false">$R$27*R49*(1/COUNTIF($C$26:$CK$26,1))/(MAX(R$30:R$52)-MIN(R$30:R$52))+0.5/COUNTIF($C$26:$CK$26,1)</f>
        <v>0.029402830822274</v>
      </c>
      <c r="S22" s="4" t="n">
        <v>0</v>
      </c>
      <c r="T22" s="4" t="n">
        <v>0</v>
      </c>
      <c r="U22" s="4" t="n">
        <v>0</v>
      </c>
      <c r="V22" s="4" t="n">
        <f aca="false">$V$27*V49*(1/COUNTIF($C$26:$CK$26,1))/(MAX(V$30:V$52)-MIN(V$30:V$52))</f>
        <v>0.0015989060105604</v>
      </c>
      <c r="W22" s="4" t="n">
        <f aca="false">$V$27*W49*(1/COUNTIF($C$26:$CK$26,1))/(MAX(W$30:W$52)-MIN(W$30:W$52))</f>
        <v>0.00849208401849653</v>
      </c>
      <c r="X22" s="4" t="n">
        <f aca="false">X49/$CO49</f>
        <v>0.139211505063725</v>
      </c>
      <c r="Y22" s="4" t="n">
        <v>0</v>
      </c>
      <c r="Z22" s="4" t="n">
        <f aca="false">Flows!$AA22/$Z79</f>
        <v>2.17153111633527E-005</v>
      </c>
      <c r="AA22" s="4" t="n">
        <f aca="false">Flows!$AB22/$AA79</f>
        <v>0.000668209709290473</v>
      </c>
      <c r="AB22" s="4" t="n">
        <f aca="false">DemClcs!$A$20*(Populations!$R21+3*Populations!$S21)/AB79</f>
        <v>0.00244167758091262</v>
      </c>
      <c r="AC22" s="4" t="n">
        <f aca="false">Flows!$AD22/$AC79</f>
        <v>0.00338117719475094</v>
      </c>
      <c r="AD22" s="4" t="n">
        <f aca="false">DemClcs!$A$25*(Populations!$R21+3*Populations!$S21)/AD79</f>
        <v>0.0242259789766968</v>
      </c>
      <c r="AE22" s="4" t="n">
        <f aca="false">AE49/$CP49</f>
        <v>0.0472701862225722</v>
      </c>
      <c r="AF22" s="4" t="n">
        <f aca="false">$AF$27*AF49*(1/COUNTIF($C$26:$CK$26,1))/(MAX(AF$30:AF$52)-MIN(AF$30:AF$52))</f>
        <v>0.0315803290169241</v>
      </c>
      <c r="AG22" s="4" t="n">
        <f aca="false">$AF$27*AG49*(1/COUNTIF($C$26:$CK$26,1))/(MAX(AG$30:AG$52)-MIN(AG$30:AG$52))</f>
        <v>0.0174059163843507</v>
      </c>
      <c r="AH22" s="4" t="n">
        <f aca="false">$AF$27*AH49*(1/COUNTIF($C$26:$CK$26,1))/(MAX(AH$30:AH$52)-MIN(AH$30:AH$52))</f>
        <v>0.0170380129661409</v>
      </c>
      <c r="AI22" s="4" t="n">
        <f aca="false">$AF$27*AI49*(1/COUNTIF($C$26:$CK$26,1))/(MAX(AI$30:AI$52)-MIN(AI$30:AI$52))</f>
        <v>0.0104538551021219</v>
      </c>
      <c r="AJ22" s="4" t="n">
        <f aca="false">$AF$27*AJ49*(1/COUNTIF($C$26:$CK$26,1))/(MAX(AJ$30:AJ$52)-MIN(AJ$30:AJ$52))</f>
        <v>0.00398994450818189</v>
      </c>
      <c r="AK22" s="4" t="n">
        <f aca="false">$AF$27*AK49*(1/COUNTIF($C$26:$CK$26,1))/(MAX(AK$30:AK$52)-MIN(AK$30:AK$52))</f>
        <v>0.00259161091448266</v>
      </c>
      <c r="AL22" s="4" t="n">
        <f aca="false">$AF$27*AL49*(1/COUNTIF($C$26:$CK$26,1))/(MAX(AL$30:AL$52)-MIN(AL$30:AL$52))</f>
        <v>0.00964754413565361</v>
      </c>
      <c r="AM22" s="4" t="n">
        <f aca="false">$AF$27*AM49*(1/COUNTIF($C$26:$CK$26,1))/(MAX(AM$30:AM$52)-MIN(AM$30:AM$52))</f>
        <v>0.0106369885283839</v>
      </c>
      <c r="AN22" s="4" t="n">
        <f aca="false">$AF$27*AN49*(1/COUNTIF($C$26:$CK$26,1))/(MAX(AN$30:AN$52)-MIN(AN$30:AN$52))</f>
        <v>0.00406865944929639</v>
      </c>
      <c r="AO22" s="4" t="n">
        <f aca="false">$AF$27*AO49*(1/COUNTIF($C$26:$CK$26,1))/(MAX(AO$30:AO$52)-MIN(AO$30:AO$52))</f>
        <v>0.00829956572292854</v>
      </c>
      <c r="AP22" s="4" t="n">
        <f aca="false">$AF$27*AP49*(1/COUNTIF($C$26:$CK$26,1))/(MAX(AP$30:AP$52)-MIN(AP$30:AP$52))</f>
        <v>0.00939576268603824</v>
      </c>
      <c r="AQ22" s="4" t="n">
        <f aca="false">$AF$27*AQ49*(1/COUNTIF($C$26:$CK$26,1))/(MAX(AQ$30:AQ$52)-MIN(AQ$30:AQ$52))</f>
        <v>0.0120698447392054</v>
      </c>
      <c r="AR22" s="4" t="n">
        <f aca="false">$AF$27*AR49*(1/COUNTIF($C$26:$CK$26,1))/(MAX(AR$30:AR$52)-MIN(AR$30:AR$52))</f>
        <v>0.0166070717213977</v>
      </c>
      <c r="AS22" s="4" t="n">
        <f aca="false">$AF$27*AS49*(1/COUNTIF($C$26:$CK$26,1))/(MAX(AS$30:AS$52)-MIN(AS$30:AS$52))</f>
        <v>0.0188344470224053</v>
      </c>
      <c r="AT22" s="4" t="n">
        <f aca="false">AT49/$CP49</f>
        <v>0.0566116311134846</v>
      </c>
      <c r="AU22" s="4" t="n">
        <f aca="false">AU49/$CP49</f>
        <v>0.0191384961667437</v>
      </c>
      <c r="AV22" s="4" t="n">
        <f aca="false">$AF$27*AV49*(1/COUNTIF($C$26:$CK$26,1))/(MAX(AV$30:AV$52)-MIN(AV$30:AV$52))</f>
        <v>0.0154522206428589</v>
      </c>
      <c r="AW22" s="4" t="n">
        <f aca="false">SUM(Flows!AX22,Flows!$AZ22)/$AW79</f>
        <v>0.000575872754832904</v>
      </c>
      <c r="AX22" s="4" t="n">
        <f aca="false">$AX$27*AX49*(1/COUNTIF($C$26:$CK$26,1))/(MAX(AX$30:AX$52)-MIN(AX$30:AX$52))</f>
        <v>0.0160745167585</v>
      </c>
      <c r="AY22" s="4" t="n">
        <f aca="false">SUM(Flows!$BB22:$BE22)*Capacity!BS22/(AY79*SUM(Capacity!$BS22:$BT22))</f>
        <v>0.0036872028777086</v>
      </c>
      <c r="AZ22" s="4" t="n">
        <f aca="false">SUM(Flows!$BB22:$BE22)*Capacity!BT22/(AZ79*SUM(Capacity!$BS22:$BT22))+(DemClcs!$A$54*Populations!$Q21/AZ79)</f>
        <v>0.0206769437799634</v>
      </c>
      <c r="BA22" s="4" t="n">
        <v>0</v>
      </c>
      <c r="BB22" s="4" t="n">
        <f aca="false">$BB$27*BB49*(1/COUNTIF($C$26:$CK$26,1))/(MAX(BB$30:BB$52)-MIN(BB$30:BB$52))</f>
        <v>0.00288679678463992</v>
      </c>
      <c r="BC22" s="4" t="n">
        <f aca="false">$BB$27*BC49*(1/COUNTIF($C$26:$CK$26,1))/(MAX(BC$30:BC$52)-MIN(BC$30:BC$52))</f>
        <v>0.00289175383093556</v>
      </c>
      <c r="BD22" s="4" t="n">
        <f aca="false">$BB$27*BD49*(1/COUNTIF($C$26:$CK$26,1))/(MAX(BD$30:BD$52)-MIN(BD$30:BD$52))</f>
        <v>0.00181480859143779</v>
      </c>
      <c r="BE22" s="4" t="n">
        <f aca="false">$BB$27*BE49*(1/COUNTIF($C$26:$CK$26,1))/(MAX(BE$30:BE$52)-MIN(BE$30:BE$52))</f>
        <v>0.000698667553053427</v>
      </c>
      <c r="BF22" s="4" t="n">
        <f aca="false">(Flows!$BG22+Flows!$BI22)*1.5*Capacity!$BZ23/(15*$BF79*(Capacity!$S22+Capacity!$BZ22))</f>
        <v>2.37644954957029E-005</v>
      </c>
      <c r="BG22" s="4" t="n">
        <f aca="false">DemClcs!$A$45*(Populations!$R21+3*Populations!$S21)*Capacity!CA22/(BG79*SUM(Capacity!$CA22:$CC22,Capacity!$CE22))</f>
        <v>0.00131329585647599</v>
      </c>
      <c r="BH22" s="4" t="n">
        <f aca="false">DemClcs!$A$45*(Populations!$R21+3*Populations!$S21)*Capacity!CB22/(BH79*SUM(Capacity!$CA22:$CC22,Capacity!$CE22))</f>
        <v>4.21958416328702E-007</v>
      </c>
      <c r="BI22" s="4" t="n">
        <f aca="false">DemClcs!$A$45*(Populations!$R21+3*Populations!$S21)*Capacity!CC22/(BI79*SUM(Capacity!$CA22:$CC22,Capacity!$CE22))</f>
        <v>0.00131329585647599</v>
      </c>
      <c r="BJ22" s="4" t="n">
        <f aca="false">BJ49/$CP49</f>
        <v>0.0562513779924103</v>
      </c>
      <c r="BK22" s="4" t="n">
        <f aca="false">DemClcs!$A$45*(Populations!$R21+3*Populations!$S21)*Capacity!CE22/(BK79*SUM(Capacity!$CA22:$CC22,Capacity!$CE22))</f>
        <v>0.00131329585647599</v>
      </c>
      <c r="BL22" s="4" t="n">
        <f aca="false">BL49/$CP49</f>
        <v>0.185061375795971</v>
      </c>
      <c r="BM22" s="4" t="n">
        <f aca="false">BM49/$CP49</f>
        <v>0.09354415055906</v>
      </c>
      <c r="BN22" s="4" t="n">
        <v>0</v>
      </c>
      <c r="BO22" s="4" t="n">
        <f aca="false">Flows!BT22*16/(25*BR79)</f>
        <v>0.000191776736876313</v>
      </c>
      <c r="BP22" s="4" t="n">
        <f aca="false">SUM(Flows!$AF22:$AS22,Flows!$AV22)/BP79</f>
        <v>4.64306047059207E-006</v>
      </c>
      <c r="BQ22" s="4" t="n">
        <v>0</v>
      </c>
      <c r="BR22" s="4" t="n">
        <f aca="false">Flows!BU22*16/(25*BR79)</f>
        <v>1.91776736876313E-005</v>
      </c>
      <c r="BS22" s="4" t="n">
        <f aca="false">Flows!BV22*16/(25*BS79)</f>
        <v>3.83553375126913E-006</v>
      </c>
      <c r="BT22" s="4" t="n">
        <f aca="false">Flows!$D50*0.8*0.8*$BT$27/(0.75*BT79)</f>
        <v>5.99136032815282E-006</v>
      </c>
      <c r="BU22" s="4" t="n">
        <f aca="false">Flows!$D50*0.8*0.8*$BT$27/(0.75*BU79*10)</f>
        <v>5.49208030080675E-006</v>
      </c>
      <c r="BV22" s="4" t="n">
        <f aca="false">Flows!$D50*0.8*0.8*$BT$27/(0.75*BV79*100)</f>
        <v>4.7074974006915E-006</v>
      </c>
      <c r="BW22" s="4" t="n">
        <v>0</v>
      </c>
      <c r="BX22" s="4" t="n">
        <f aca="false">BX49/$CP49</f>
        <v>0.0316409900677147</v>
      </c>
      <c r="BY22" s="4" t="n">
        <f aca="false">BY49/$CP49</f>
        <v>0.00781752582235118</v>
      </c>
      <c r="BZ22" s="4" t="n">
        <f aca="false">BZ49/$CO49</f>
        <v>0.127560238122099</v>
      </c>
      <c r="CA22" s="4" t="n">
        <f aca="false">CA49/$CO49</f>
        <v>0.0251136965526852</v>
      </c>
      <c r="CB22" s="4" t="n">
        <f aca="false">CB49/$CP49</f>
        <v>0.108215402235177</v>
      </c>
      <c r="CC22" s="4" t="n">
        <f aca="false">CC49/$CO49</f>
        <v>0.117785849447807</v>
      </c>
      <c r="CD22" s="4" t="n">
        <v>0</v>
      </c>
      <c r="CE22" s="4" t="n">
        <f aca="false">IF(SUM(Flows!$CJ22:$CK22)&gt;Flows!$BA22,(SUM(Flows!$CJ22:$CK22)-Flows!$BA22)/CE79)</f>
        <v>0.0152236284055569</v>
      </c>
      <c r="CF22" s="4" t="n">
        <f aca="false">CF49/$CO49</f>
        <v>0.193465402092335</v>
      </c>
      <c r="CG22" s="4" t="n">
        <f aca="false">CG49/$CO49</f>
        <v>0.0631353197906616</v>
      </c>
      <c r="CH22" s="4" t="n">
        <f aca="false">CH49/$CO49</f>
        <v>0.157513942645311</v>
      </c>
      <c r="CI22" s="4" t="n">
        <f aca="false">CI49/$CP49</f>
        <v>0.148333258826949</v>
      </c>
      <c r="CJ22" s="4" t="n">
        <f aca="false">CJ$27*CJ49*(1/COUNTIF($C$26:$CK$26,1))/(MAX(CJ$30:CJ$52)-MIN(CJ$30:CJ$52))</f>
        <v>0.000425587868811791</v>
      </c>
      <c r="CK22" s="4" t="n">
        <f aca="false">CK$27*CK49*(1/COUNTIF($C$26:$CK$26,1))/(MAX(CK$30:CK$52)-MIN(CK$30:CK$52))</f>
        <v>0.00264167274549923</v>
      </c>
      <c r="CL22" s="4" t="n">
        <v>0</v>
      </c>
      <c r="CN22" s="4" t="n">
        <f aca="false">SUM(C22:CK22)</f>
        <v>3</v>
      </c>
    </row>
    <row r="23" customFormat="false" ht="12.8" hidden="false" customHeight="false" outlineLevel="0" collapsed="false">
      <c r="A23" s="4" t="s">
        <v>158</v>
      </c>
      <c r="B23" s="7" t="s">
        <v>39</v>
      </c>
      <c r="C23" s="4" t="n">
        <f aca="false">Flows!$BG23*2*Capacity!$S23/(5*15*C80*(Capacity!$S23+Capacity!$BZ23))</f>
        <v>2.78024379006957E-006</v>
      </c>
      <c r="D23" s="4" t="n">
        <f aca="false">(DemClcs!$A$32*(Populations!$R22+3*Populations!$S22)/D80)+MAX((Flows!K23+Flows!M23)/1826.484018+Flows!L23/1111.111111-Flows!$F23,0)/D80</f>
        <v>0.190281539639309</v>
      </c>
      <c r="E23" s="4" t="n">
        <f aca="false">DemClcs!$A$40*(Populations!$R22+3*Populations!$S22)/E80</f>
        <v>0.093471412586336</v>
      </c>
      <c r="F23" s="4" t="n">
        <v>0</v>
      </c>
      <c r="G23" s="4" t="n">
        <f aca="false">Flows!Q23*40/G80</f>
        <v>0.00947881862700491</v>
      </c>
      <c r="H23" s="4" t="n">
        <f aca="false">IF(Flows!$AW23&gt;Flows!$Y23,(Flows!$AW23-Flows!$Y23)/H80)</f>
        <v>0.00227394023599764</v>
      </c>
      <c r="I23" s="4" t="n">
        <f aca="false">I50/$CN50</f>
        <v>0.104354016400502</v>
      </c>
      <c r="J23" s="4" t="n">
        <f aca="false">J50/$CN50</f>
        <v>0.895645983599498</v>
      </c>
      <c r="K23" s="4" t="n">
        <v>0</v>
      </c>
      <c r="L23" s="4" t="n">
        <v>0</v>
      </c>
      <c r="M23" s="4" t="n">
        <v>0</v>
      </c>
      <c r="N23" s="4" t="n">
        <f aca="false">SUM(Flows!$V23,Flows!$W23)/$N80</f>
        <v>0.0192026664628781</v>
      </c>
      <c r="O23" s="4" t="n">
        <v>0</v>
      </c>
      <c r="P23" s="4" t="n">
        <v>0</v>
      </c>
      <c r="Q23" s="4" t="n">
        <f aca="false">$Q$27*Q50*(1/COUNTIF($C$26:$CK$26,1))/(MAX(Q$30:Q$52)-MIN(Q$30:Q$52))</f>
        <v>0.00190497341653742</v>
      </c>
      <c r="R23" s="4" t="n">
        <f aca="false">$R$27*R50*(1/COUNTIF($C$26:$CK$26,1))/(MAX(R$30:R$52)-MIN(R$30:R$52))+0.5/COUNTIF($C$26:$CK$26,1)</f>
        <v>0.0276231904746912</v>
      </c>
      <c r="S23" s="4" t="n">
        <v>0</v>
      </c>
      <c r="T23" s="4" t="n">
        <v>0</v>
      </c>
      <c r="U23" s="4" t="n">
        <v>0</v>
      </c>
      <c r="V23" s="4" t="n">
        <f aca="false">$V$27*V50*(1/COUNTIF($C$26:$CK$26,1))/(MAX(V$30:V$52)-MIN(V$30:V$52))</f>
        <v>0.0120749314388589</v>
      </c>
      <c r="W23" s="4" t="n">
        <f aca="false">$V$27*W50*(1/COUNTIF($C$26:$CK$26,1))/(MAX(W$30:W$52)-MIN(W$30:W$52))</f>
        <v>0.0222588462883019</v>
      </c>
      <c r="X23" s="4" t="n">
        <f aca="false">X50/$CO50</f>
        <v>0.0796282504052637</v>
      </c>
      <c r="Y23" s="4" t="n">
        <v>0</v>
      </c>
      <c r="Z23" s="4" t="n">
        <f aca="false">Flows!$AA23/$Z80</f>
        <v>0.00018565593523335</v>
      </c>
      <c r="AA23" s="4" t="n">
        <f aca="false">Flows!$AB23/$AA80</f>
        <v>0.0024642950788784</v>
      </c>
      <c r="AB23" s="4" t="n">
        <f aca="false">DemClcs!$A$20*(Populations!$R22+3*Populations!$S22)/AB80</f>
        <v>0.00610446282762494</v>
      </c>
      <c r="AC23" s="4" t="n">
        <f aca="false">Flows!$AD23/$AC80</f>
        <v>0.0240968779658552</v>
      </c>
      <c r="AD23" s="4" t="n">
        <f aca="false">DemClcs!$A$25*(Populations!$R22+3*Populations!$S22)/AD80</f>
        <v>0.0605676151847997</v>
      </c>
      <c r="AE23" s="4" t="n">
        <f aca="false">AE50/$CP50</f>
        <v>0.106369813542609</v>
      </c>
      <c r="AF23" s="4" t="n">
        <f aca="false">$AF$27*AF50*(1/COUNTIF($C$26:$CK$26,1))/(MAX(AF$30:AF$52)-MIN(AF$30:AF$52))</f>
        <v>0.0188340651977668</v>
      </c>
      <c r="AG23" s="4" t="n">
        <f aca="false">$AF$27*AG50*(1/COUNTIF($C$26:$CK$26,1))/(MAX(AG$30:AG$52)-MIN(AG$30:AG$52))</f>
        <v>0.028552490105325</v>
      </c>
      <c r="AH23" s="4" t="n">
        <f aca="false">$AF$27*AH50*(1/COUNTIF($C$26:$CK$26,1))/(MAX(AH$30:AH$52)-MIN(AH$30:AH$52))</f>
        <v>0.00926801965616775</v>
      </c>
      <c r="AI23" s="4" t="n">
        <f aca="false">$AF$27*AI50*(1/COUNTIF($C$26:$CK$26,1))/(MAX(AI$30:AI$52)-MIN(AI$30:AI$52))</f>
        <v>0.0160492421305154</v>
      </c>
      <c r="AJ23" s="4" t="n">
        <f aca="false">$AF$27*AJ50*(1/COUNTIF($C$26:$CK$26,1))/(MAX(AJ$30:AJ$52)-MIN(AJ$30:AJ$52))</f>
        <v>0.0298618776564559</v>
      </c>
      <c r="AK23" s="4" t="n">
        <f aca="false">$AF$27*AK50*(1/COUNTIF($C$26:$CK$26,1))/(MAX(AK$30:AK$52)-MIN(AK$30:AK$52))</f>
        <v>0.00727954083495149</v>
      </c>
      <c r="AL23" s="4" t="n">
        <f aca="false">$AF$27*AL50*(1/COUNTIF($C$26:$CK$26,1))/(MAX(AL$30:AL$52)-MIN(AL$30:AL$52))</f>
        <v>0.0186949052466903</v>
      </c>
      <c r="AM23" s="4" t="n">
        <f aca="false">$AF$27*AM50*(1/COUNTIF($C$26:$CK$26,1))/(MAX(AM$30:AM$52)-MIN(AM$30:AM$52))</f>
        <v>0.0213793179839439</v>
      </c>
      <c r="AN23" s="4" t="n">
        <f aca="false">$AF$27*AN50*(1/COUNTIF($C$26:$CK$26,1))/(MAX(AN$30:AN$52)-MIN(AN$30:AN$52))</f>
        <v>0.0219615550241702</v>
      </c>
      <c r="AO23" s="4" t="n">
        <f aca="false">$AF$27*AO50*(1/COUNTIF($C$26:$CK$26,1))/(MAX(AO$30:AO$52)-MIN(AO$30:AO$52))</f>
        <v>0.0205741252134266</v>
      </c>
      <c r="AP23" s="4" t="n">
        <f aca="false">$AF$27*AP50*(1/COUNTIF($C$26:$CK$26,1))/(MAX(AP$30:AP$52)-MIN(AP$30:AP$52))</f>
        <v>0.0284228026979948</v>
      </c>
      <c r="AQ23" s="4" t="n">
        <f aca="false">$AF$27*AQ50*(1/COUNTIF($C$26:$CK$26,1))/(MAX(AQ$30:AQ$52)-MIN(AQ$30:AQ$52))</f>
        <v>0.0202678173975037</v>
      </c>
      <c r="AR23" s="4" t="n">
        <f aca="false">$AF$27*AR50*(1/COUNTIF($C$26:$CK$26,1))/(MAX(AR$30:AR$52)-MIN(AR$30:AR$52))</f>
        <v>0.0171033009749499</v>
      </c>
      <c r="AS23" s="4" t="n">
        <f aca="false">$AF$27*AS50*(1/COUNTIF($C$26:$CK$26,1))/(MAX(AS$30:AS$52)-MIN(AS$30:AS$52))</f>
        <v>0.00155494963399254</v>
      </c>
      <c r="AT23" s="4" t="n">
        <f aca="false">AT50/$CP50</f>
        <v>0.0289410085273269</v>
      </c>
      <c r="AU23" s="4" t="n">
        <f aca="false">AU50/$CP50</f>
        <v>0.0246320988336033</v>
      </c>
      <c r="AV23" s="4" t="n">
        <f aca="false">$AF$27*AV50*(1/COUNTIF($C$26:$CK$26,1))/(MAX(AV$30:AV$52)-MIN(AV$30:AV$52))</f>
        <v>0.00997244440264173</v>
      </c>
      <c r="AW23" s="4" t="n">
        <f aca="false">SUM(Flows!AX23,Flows!$AZ23)/$AW80</f>
        <v>0.00394776499992081</v>
      </c>
      <c r="AX23" s="4" t="n">
        <f aca="false">$AX$27*AX50*(1/COUNTIF($C$26:$CK$26,1))/(MAX(AX$30:AX$52)-MIN(AX$30:AX$52))</f>
        <v>0.0207845490912478</v>
      </c>
      <c r="AY23" s="4" t="n">
        <f aca="false">SUM(Flows!$BB23:$BE23)*Capacity!BS23/(AY80*SUM(Capacity!$BS23:$BT23))</f>
        <v>0.0170807190601997</v>
      </c>
      <c r="AZ23" s="4" t="n">
        <f aca="false">SUM(Flows!$BB23:$BE23)*Capacity!BT23/(AZ80*SUM(Capacity!$BS23:$BT23))+(DemClcs!$A$54*Populations!$Q22/AZ80)</f>
        <v>0.0875251093917436</v>
      </c>
      <c r="BA23" s="4" t="n">
        <v>0</v>
      </c>
      <c r="BB23" s="4" t="n">
        <f aca="false">$BB$27*BB50*(1/COUNTIF($C$26:$CK$26,1))/(MAX(BB$30:BB$52)-MIN(BB$30:BB$52))</f>
        <v>0.00073315334295469</v>
      </c>
      <c r="BC23" s="4" t="n">
        <f aca="false">$BB$27*BC50*(1/COUNTIF($C$26:$CK$26,1))/(MAX(BC$30:BC$52)-MIN(BC$30:BC$52))</f>
        <v>0.000840528050286737</v>
      </c>
      <c r="BD23" s="4" t="n">
        <f aca="false">$BB$27*BD50*(1/COUNTIF($C$26:$CK$26,1))/(MAX(BD$30:BD$52)-MIN(BD$30:BD$52))</f>
        <v>0.00138405636532077</v>
      </c>
      <c r="BE23" s="4" t="n">
        <f aca="false">$BB$27*BE50*(1/COUNTIF($C$26:$CK$26,1))/(MAX(BE$30:BE$52)-MIN(BE$30:BE$52))</f>
        <v>0.00145707463864937</v>
      </c>
      <c r="BF23" s="4" t="n">
        <f aca="false">(Flows!$BG23+Flows!$BI23)*1.5*Capacity!$BZ24/(15*$BF80*(Capacity!$S23+Capacity!$BZ23))</f>
        <v>5.15230664937272E-006</v>
      </c>
      <c r="BG23" s="4" t="n">
        <f aca="false">DemClcs!$A$45*(Populations!$R22+3*Populations!$S22)*Capacity!CA23/(BG80*SUM(Capacity!$CA23:$CC23,Capacity!$CE23))</f>
        <v>0.00260103455255904</v>
      </c>
      <c r="BH23" s="4" t="n">
        <f aca="false">DemClcs!$A$45*(Populations!$R22+3*Populations!$S22)*Capacity!CB23/(BH80*SUM(Capacity!$CA23:$CC23,Capacity!$CE23))</f>
        <v>0.0030149429130636</v>
      </c>
      <c r="BI23" s="4" t="n">
        <f aca="false">DemClcs!$A$45*(Populations!$R22+3*Populations!$S22)*Capacity!CC23/(BI80*SUM(Capacity!$CA23:$CC23,Capacity!$CE23))</f>
        <v>0.00260103455255904</v>
      </c>
      <c r="BJ23" s="4" t="n">
        <f aca="false">BJ50/$CP50</f>
        <v>0.118328974713611</v>
      </c>
      <c r="BK23" s="4" t="n">
        <f aca="false">DemClcs!$A$45*(Populations!$R22+3*Populations!$S22)*Capacity!CE23/(BK80*SUM(Capacity!$CA23:$CC23,Capacity!$CE23))</f>
        <v>0.00260103455255904</v>
      </c>
      <c r="BL23" s="4" t="n">
        <f aca="false">BL50/$CP50</f>
        <v>0.0607818873432774</v>
      </c>
      <c r="BM23" s="4" t="n">
        <f aca="false">BM50/$CP50</f>
        <v>0.0844784612447501</v>
      </c>
      <c r="BN23" s="4" t="n">
        <v>0</v>
      </c>
      <c r="BO23" s="4" t="n">
        <f aca="false">Flows!BT23*16/(25*BR80)</f>
        <v>0.00309609298224042</v>
      </c>
      <c r="BP23" s="4" t="n">
        <f aca="false">SUM(Flows!$AF23:$AS23,Flows!$AV23)/BP80</f>
        <v>5.40692425867934E-005</v>
      </c>
      <c r="BQ23" s="4" t="n">
        <v>0</v>
      </c>
      <c r="BR23" s="4" t="n">
        <f aca="false">Flows!BU23*16/(25*BR80)</f>
        <v>0.000309609298224041</v>
      </c>
      <c r="BS23" s="4" t="n">
        <f aca="false">Flows!BV23*16/(25*BS80)</f>
        <v>6.19218326423917E-005</v>
      </c>
      <c r="BT23" s="4" t="n">
        <f aca="false">Flows!$D51*0.8*0.8*$BT$27/(0.75*BT80)</f>
        <v>8.93426319688231E-006</v>
      </c>
      <c r="BU23" s="4" t="n">
        <f aca="false">Flows!$D51*0.8*0.8*$BT$27/(0.75*BU80*10)</f>
        <v>8.18974126380878E-006</v>
      </c>
      <c r="BV23" s="4" t="n">
        <f aca="false">Flows!$D51*0.8*0.8*$BT$27/(0.75*BV80*100)</f>
        <v>7.01977822612182E-006</v>
      </c>
      <c r="BW23" s="4" t="n">
        <v>0</v>
      </c>
      <c r="BX23" s="4" t="n">
        <f aca="false">BX50/$CP50</f>
        <v>0.0362653086038758</v>
      </c>
      <c r="BY23" s="4" t="n">
        <f aca="false">BY50/$CP50</f>
        <v>0.029090607187298</v>
      </c>
      <c r="BZ23" s="4" t="n">
        <f aca="false">BZ50/$CO50</f>
        <v>0.084054601227229</v>
      </c>
      <c r="CA23" s="4" t="n">
        <f aca="false">CA50/$CO50</f>
        <v>0.032275530946906</v>
      </c>
      <c r="CB23" s="4" t="n">
        <f aca="false">CB50/$CP50</f>
        <v>0.0260880608325677</v>
      </c>
      <c r="CC23" s="4" t="n">
        <f aca="false">CC50/$CO50</f>
        <v>0.0881914005481798</v>
      </c>
      <c r="CD23" s="4" t="n">
        <v>0</v>
      </c>
      <c r="CE23" s="4" t="n">
        <f aca="false">IF(SUM(Flows!$CJ23:$CK23)&gt;Flows!$BA23,(SUM(Flows!$CJ23:$CK23)-Flows!$BA23)/CE80)</f>
        <v>0.00341719244296012</v>
      </c>
      <c r="CF23" s="4" t="n">
        <f aca="false">CF50/$CO50</f>
        <v>0.0661482266140279</v>
      </c>
      <c r="CG23" s="4" t="n">
        <f aca="false">CG50/$CO50</f>
        <v>0.0907799078287703</v>
      </c>
      <c r="CH23" s="4" t="n">
        <f aca="false">CH50/$CO50</f>
        <v>0.0560230196101131</v>
      </c>
      <c r="CI23" s="4" t="n">
        <f aca="false">CI50/$CP50</f>
        <v>0.0917814599832555</v>
      </c>
      <c r="CJ23" s="4" t="n">
        <f aca="false">CJ$27*CJ50*(1/COUNTIF($C$26:$CK$26,1))/(MAX(CJ$30:CJ$52)-MIN(CJ$30:CJ$52))</f>
        <v>0.00275332861324242</v>
      </c>
      <c r="CK23" s="4" t="n">
        <f aca="false">CK$27*CK50*(1/COUNTIF($C$26:$CK$26,1))/(MAX(CK$30:CK$52)-MIN(CK$30:CK$52))</f>
        <v>8.04094324471452E-005</v>
      </c>
      <c r="CL23" s="4" t="n">
        <v>0</v>
      </c>
      <c r="CN23" s="4" t="n">
        <f aca="false">SUM(C23:CK23)</f>
        <v>3</v>
      </c>
    </row>
    <row r="24" customFormat="false" ht="12.8" hidden="false" customHeight="false" outlineLevel="0" collapsed="false">
      <c r="A24" s="4" t="s">
        <v>159</v>
      </c>
      <c r="B24" s="7" t="s">
        <v>39</v>
      </c>
      <c r="C24" s="4" t="n">
        <f aca="false">Flows!$BG24*2*Capacity!$S24/(5*15*C81*(Capacity!$S24+Capacity!$BZ24))</f>
        <v>1.12659452952025E-006</v>
      </c>
      <c r="D24" s="4" t="n">
        <f aca="false">(DemClcs!$A$32*(Populations!$R23+3*Populations!$S23)/D81)+MAX((Flows!K24+Flows!M24)/1826.484018+Flows!L24/1111.111111-Flows!$F24,0)/D81</f>
        <v>0.063240161836972</v>
      </c>
      <c r="E24" s="4" t="n">
        <f aca="false">DemClcs!$A$40*(Populations!$R23+3*Populations!$S23)/E81</f>
        <v>0.0161688881091453</v>
      </c>
      <c r="F24" s="4" t="n">
        <v>0</v>
      </c>
      <c r="G24" s="4" t="n">
        <f aca="false">Flows!Q24*40/G81</f>
        <v>0.00220129781190972</v>
      </c>
      <c r="H24" s="4" t="n">
        <f aca="false">IF(Flows!$AW24&gt;Flows!$Y24,(Flows!$AW24-Flows!$Y24)/H81)</f>
        <v>0.000121312188334417</v>
      </c>
      <c r="I24" s="4" t="n">
        <f aca="false">I51/$CN51</f>
        <v>0.471114529494781</v>
      </c>
      <c r="J24" s="4" t="n">
        <f aca="false">J51/$CN51</f>
        <v>0.528885470505219</v>
      </c>
      <c r="K24" s="4" t="n">
        <v>0</v>
      </c>
      <c r="L24" s="4" t="n">
        <v>0</v>
      </c>
      <c r="M24" s="4" t="n">
        <v>0</v>
      </c>
      <c r="N24" s="4" t="n">
        <f aca="false">SUM(Flows!$V24,Flows!$W24)/$N81</f>
        <v>0.00285173420183382</v>
      </c>
      <c r="O24" s="4" t="n">
        <v>0</v>
      </c>
      <c r="P24" s="4" t="n">
        <v>0</v>
      </c>
      <c r="Q24" s="4" t="n">
        <f aca="false">$Q$27*Q51*(1/COUNTIF($C$26:$CK$26,1))/(MAX(Q$30:Q$52)-MIN(Q$30:Q$52))</f>
        <v>0.00261444378214606</v>
      </c>
      <c r="R24" s="4" t="n">
        <f aca="false">$R$27*R51*(1/COUNTIF($C$26:$CK$26,1))/(MAX(R$30:R$52)-MIN(R$30:R$52))+0.5/COUNTIF($C$26:$CK$26,1)</f>
        <v>0.0295503111171205</v>
      </c>
      <c r="S24" s="4" t="n">
        <v>0</v>
      </c>
      <c r="T24" s="4" t="n">
        <v>0</v>
      </c>
      <c r="U24" s="4" t="n">
        <v>0</v>
      </c>
      <c r="V24" s="4" t="n">
        <f aca="false">$V$27*V51*(1/COUNTIF($C$26:$CK$26,1))/(MAX(V$30:V$52)-MIN(V$30:V$52))</f>
        <v>0.0173290674791224</v>
      </c>
      <c r="W24" s="4" t="n">
        <f aca="false">$V$27*W51*(1/COUNTIF($C$26:$CK$26,1))/(MAX(W$30:W$52)-MIN(W$30:W$52))</f>
        <v>0.00637164375775517</v>
      </c>
      <c r="X24" s="4" t="n">
        <f aca="false">X51/$CO51</f>
        <v>0.0542651182551907</v>
      </c>
      <c r="Y24" s="4" t="n">
        <v>0</v>
      </c>
      <c r="Z24" s="4" t="n">
        <f aca="false">Flows!$AA24/$Z81</f>
        <v>2.42015587295512E-005</v>
      </c>
      <c r="AA24" s="4" t="n">
        <f aca="false">Flows!$AB24/$AA81</f>
        <v>0.000434888980054124</v>
      </c>
      <c r="AB24" s="4" t="n">
        <f aca="false">DemClcs!$A$20*(Populations!$R23+3*Populations!$S23)/AB81</f>
        <v>0.00145121553664967</v>
      </c>
      <c r="AC24" s="4" t="n">
        <f aca="false">Flows!$AD24/$AC81</f>
        <v>0.00358022554549359</v>
      </c>
      <c r="AD24" s="4" t="n">
        <f aca="false">DemClcs!$A$25*(Populations!$R23+3*Populations!$S23)/AD81</f>
        <v>0.0143987549201275</v>
      </c>
      <c r="AE24" s="4" t="n">
        <f aca="false">AE51/$CP51</f>
        <v>0.00880093758484202</v>
      </c>
      <c r="AF24" s="4" t="n">
        <f aca="false">$AF$27*AF51*(1/COUNTIF($C$26:$CK$26,1))/(MAX(AF$30:AF$52)-MIN(AF$30:AF$52))</f>
        <v>0.0189074222039507</v>
      </c>
      <c r="AG24" s="4" t="n">
        <f aca="false">$AF$27*AG51*(1/COUNTIF($C$26:$CK$26,1))/(MAX(AG$30:AG$52)-MIN(AG$30:AG$52))</f>
        <v>0.0257311533277195</v>
      </c>
      <c r="AH24" s="4" t="n">
        <f aca="false">$AF$27*AH51*(1/COUNTIF($C$26:$CK$26,1))/(MAX(AH$30:AH$52)-MIN(AH$30:AH$52))</f>
        <v>0.0237215381571767</v>
      </c>
      <c r="AI24" s="4" t="n">
        <f aca="false">$AF$27*AI51*(1/COUNTIF($C$26:$CK$26,1))/(MAX(AI$30:AI$52)-MIN(AI$30:AI$52))</f>
        <v>0.00126431674713292</v>
      </c>
      <c r="AJ24" s="4" t="n">
        <f aca="false">$AF$27*AJ51*(1/COUNTIF($C$26:$CK$26,1))/(MAX(AJ$30:AJ$52)-MIN(AJ$30:AJ$52))</f>
        <v>0.00894373158766762</v>
      </c>
      <c r="AK24" s="4" t="n">
        <f aca="false">$AF$27*AK51*(1/COUNTIF($C$26:$CK$26,1))/(MAX(AK$30:AK$52)-MIN(AK$30:AK$52))</f>
        <v>0.00333214402600523</v>
      </c>
      <c r="AL24" s="4" t="n">
        <f aca="false">$AF$27*AL51*(1/COUNTIF($C$26:$CK$26,1))/(MAX(AL$30:AL$52)-MIN(AL$30:AL$52))</f>
        <v>0.00509933018052301</v>
      </c>
      <c r="AM24" s="4" t="n">
        <f aca="false">$AF$27*AM51*(1/COUNTIF($C$26:$CK$26,1))/(MAX(AM$30:AM$52)-MIN(AM$30:AM$52))</f>
        <v>0.0011664962269328</v>
      </c>
      <c r="AN24" s="4" t="n">
        <f aca="false">$AF$27*AN51*(1/COUNTIF($C$26:$CK$26,1))/(MAX(AN$30:AN$52)-MIN(AN$30:AN$52))</f>
        <v>0.0256657045625096</v>
      </c>
      <c r="AO24" s="4" t="n">
        <f aca="false">$AF$27*AO51*(1/COUNTIF($C$26:$CK$26,1))/(MAX(AO$30:AO$52)-MIN(AO$30:AO$52))</f>
        <v>0.0123628323327027</v>
      </c>
      <c r="AP24" s="4" t="n">
        <f aca="false">$AF$27*AP51*(1/COUNTIF($C$26:$CK$26,1))/(MAX(AP$30:AP$52)-MIN(AP$30:AP$52))</f>
        <v>0.021432952784241</v>
      </c>
      <c r="AQ24" s="4" t="n">
        <f aca="false">$AF$27*AQ51*(1/COUNTIF($C$26:$CK$26,1))/(MAX(AQ$30:AQ$52)-MIN(AQ$30:AQ$52))</f>
        <v>0.0118711896694979</v>
      </c>
      <c r="AR24" s="4" t="n">
        <f aca="false">$AF$27*AR51*(1/COUNTIF($C$26:$CK$26,1))/(MAX(AR$30:AR$52)-MIN(AR$30:AR$52))</f>
        <v>0.00414541210321078</v>
      </c>
      <c r="AS24" s="4" t="n">
        <f aca="false">$AF$27*AS51*(1/COUNTIF($C$26:$CK$26,1))/(MAX(AS$30:AS$52)-MIN(AS$30:AS$52))</f>
        <v>0.0125252323006309</v>
      </c>
      <c r="AT24" s="4" t="n">
        <f aca="false">AT51/$CP51</f>
        <v>0.0699128898046146</v>
      </c>
      <c r="AU24" s="4" t="n">
        <f aca="false">AU51/$CP51</f>
        <v>0.131852387422504</v>
      </c>
      <c r="AV24" s="4" t="n">
        <f aca="false">$AF$27*AV51*(1/COUNTIF($C$26:$CK$26,1))/(MAX(AV$30:AV$52)-MIN(AV$30:AV$52))</f>
        <v>0.00294795601617931</v>
      </c>
      <c r="AW24" s="4" t="n">
        <f aca="false">SUM(Flows!AX24,Flows!$AZ24)/$AW81</f>
        <v>0.000613727419669637</v>
      </c>
      <c r="AX24" s="4" t="n">
        <f aca="false">$AX$27*AX51*(1/COUNTIF($C$26:$CK$26,1))/(MAX(AX$30:AX$52)-MIN(AX$30:AX$52))</f>
        <v>0.0221421807507921</v>
      </c>
      <c r="AY24" s="4" t="n">
        <f aca="false">SUM(Flows!$BB24:$BE24)*Capacity!BS24/(AY81*SUM(Capacity!$BS24:$BT24))</f>
        <v>0.00346382335130166</v>
      </c>
      <c r="AZ24" s="4" t="n">
        <f aca="false">SUM(Flows!$BB24:$BE24)*Capacity!BT24/(AZ81*SUM(Capacity!$BS24:$BT24))+(DemClcs!$A$54*Populations!$Q23/AZ81)</f>
        <v>0.019293036133784</v>
      </c>
      <c r="BA24" s="4" t="n">
        <v>0</v>
      </c>
      <c r="BB24" s="4" t="n">
        <f aca="false">$BB$27*BB51*(1/COUNTIF($C$26:$CK$26,1))/(MAX(BB$30:BB$52)-MIN(BB$30:BB$52))</f>
        <v>0.000677882851904029</v>
      </c>
      <c r="BC24" s="4" t="n">
        <f aca="false">$BB$27*BC51*(1/COUNTIF($C$26:$CK$26,1))/(MAX(BC$30:BC$52)-MIN(BC$30:BC$52))</f>
        <v>0.00149813848901219</v>
      </c>
      <c r="BD24" s="4" t="n">
        <f aca="false">$BB$27*BD51*(1/COUNTIF($C$26:$CK$26,1))/(MAX(BD$30:BD$52)-MIN(BD$30:BD$52))</f>
        <v>0.000657710579893352</v>
      </c>
      <c r="BE24" s="4" t="n">
        <f aca="false">$BB$27*BE51*(1/COUNTIF($C$26:$CK$26,1))/(MAX(BE$30:BE$52)-MIN(BE$30:BE$52))</f>
        <v>0.00276976375969477</v>
      </c>
      <c r="BF24" s="4" t="n">
        <f aca="false">(Flows!$BG24+Flows!$BI24)*1.5*Capacity!$BZ25/(15*$BF81*(Capacity!$S24+Capacity!$BZ24))</f>
        <v>4.82731255020304E-006</v>
      </c>
      <c r="BG24" s="4" t="n">
        <f aca="false">DemClcs!$A$45*(Populations!$R23+3*Populations!$S23)*Capacity!CA24/(BG81*SUM(Capacity!$CA24:$CC24,Capacity!$CE24))</f>
        <v>0.000567184243166069</v>
      </c>
      <c r="BH24" s="4" t="n">
        <f aca="false">DemClcs!$A$45*(Populations!$R23+3*Populations!$S23)*Capacity!CB24/(BH81*SUM(Capacity!$CA24:$CC24,Capacity!$CE24))</f>
        <v>0.000711907972107935</v>
      </c>
      <c r="BI24" s="4" t="n">
        <f aca="false">DemClcs!$A$45*(Populations!$R23+3*Populations!$S23)*Capacity!CC24/(BI81*SUM(Capacity!$CA24:$CC24,Capacity!$CE24))</f>
        <v>0.000567184243166069</v>
      </c>
      <c r="BJ24" s="4" t="n">
        <f aca="false">BJ51/$CP51</f>
        <v>0.0547743639359153</v>
      </c>
      <c r="BK24" s="4" t="n">
        <f aca="false">DemClcs!$A$45*(Populations!$R23+3*Populations!$S23)*Capacity!CE24/(BK81*SUM(Capacity!$CA24:$CC24,Capacity!$CE24))</f>
        <v>0.000567184243166069</v>
      </c>
      <c r="BL24" s="4" t="n">
        <f aca="false">BL51/$CP51</f>
        <v>0.118298277019346</v>
      </c>
      <c r="BM24" s="4" t="n">
        <f aca="false">BM51/$CP51</f>
        <v>0.0266361083385821</v>
      </c>
      <c r="BN24" s="4" t="n">
        <v>0</v>
      </c>
      <c r="BO24" s="4" t="n">
        <f aca="false">Flows!BT24*16/(25*BR81)</f>
        <v>0.00022554943930483</v>
      </c>
      <c r="BP24" s="4" t="n">
        <f aca="false">SUM(Flows!$AF24:$AS24,Flows!$AV24)/BP81</f>
        <v>8.59908431852102E-006</v>
      </c>
      <c r="BQ24" s="4" t="n">
        <v>0</v>
      </c>
      <c r="BR24" s="4" t="n">
        <f aca="false">Flows!BU24*16/(25*BR81)</f>
        <v>2.2554943930483E-005</v>
      </c>
      <c r="BS24" s="4" t="n">
        <f aca="false">Flows!BV24*16/(25*BS81)</f>
        <v>4.51098625083618E-006</v>
      </c>
      <c r="BT24" s="4" t="n">
        <f aca="false">Flows!$D52*0.8*0.8*$BT$27/(0.75*BT81)</f>
        <v>3.91913744531569E-006</v>
      </c>
      <c r="BU24" s="4" t="n">
        <f aca="false">Flows!$D52*0.8*0.8*$BT$27/(0.75*BU81*10)</f>
        <v>3.59254265820605E-006</v>
      </c>
      <c r="BV24" s="4" t="n">
        <f aca="false">Flows!$D52*0.8*0.8*$BT$27/(0.75*BV81*100)</f>
        <v>3.07932227846233E-006</v>
      </c>
      <c r="BW24" s="4" t="n">
        <v>0</v>
      </c>
      <c r="BX24" s="4" t="n">
        <f aca="false">BX51/$CP51</f>
        <v>0.0852800309565307</v>
      </c>
      <c r="BY24" s="4" t="n">
        <f aca="false">BY51/$CP51</f>
        <v>0.0816638891567079</v>
      </c>
      <c r="BZ24" s="4" t="n">
        <f aca="false">BZ51/$CO51</f>
        <v>0.0842982094318684</v>
      </c>
      <c r="CA24" s="4" t="n">
        <f aca="false">CA51/$CO51</f>
        <v>0.112470416150037</v>
      </c>
      <c r="CB24" s="4" t="n">
        <f aca="false">CB51/$CP51</f>
        <v>0.085329812478013</v>
      </c>
      <c r="CC24" s="4" t="n">
        <f aca="false">CC51/$CO51</f>
        <v>0.213290199782477</v>
      </c>
      <c r="CD24" s="4" t="n">
        <v>0</v>
      </c>
      <c r="CE24" s="4" t="n">
        <f aca="false">IF(SUM(Flows!$CJ24:$CK24)&gt;Flows!$BA24,(SUM(Flows!$CJ24:$CK24)-Flows!$BA24)/CE81)</f>
        <v>0.000743776668474751</v>
      </c>
      <c r="CF24" s="4" t="n">
        <f aca="false">CF51/$CO51</f>
        <v>0.307483623406953</v>
      </c>
      <c r="CG24" s="4" t="n">
        <f aca="false">CG51/$CO51</f>
        <v>0.013516544942795</v>
      </c>
      <c r="CH24" s="4" t="n">
        <f aca="false">CH51/$CO51</f>
        <v>0.050414042976233</v>
      </c>
      <c r="CI24" s="4" t="n">
        <f aca="false">CI51/$CP51</f>
        <v>0.10477819505478</v>
      </c>
      <c r="CJ24" s="4" t="n">
        <f aca="false">CJ$27*CJ51*(1/COUNTIF($C$26:$CK$26,1))/(MAX(CJ$30:CJ$52)-MIN(CJ$30:CJ$52))</f>
        <v>0.00282783883373629</v>
      </c>
      <c r="CK24" s="4" t="n">
        <f aca="false">CK$27*CK51*(1/COUNTIF($C$26:$CK$26,1))/(MAX(CK$30:CK$52)-MIN(CK$30:CK$52))</f>
        <v>0.000100295348000068</v>
      </c>
      <c r="CL24" s="4" t="n">
        <v>0</v>
      </c>
      <c r="CN24" s="4" t="n">
        <f aca="false">SUM(C24:CK24)</f>
        <v>3</v>
      </c>
    </row>
    <row r="25" customFormat="false" ht="12.8" hidden="false" customHeight="false" outlineLevel="0" collapsed="false">
      <c r="A25" s="4" t="s">
        <v>160</v>
      </c>
      <c r="B25" s="7" t="s">
        <v>39</v>
      </c>
      <c r="C25" s="4" t="n">
        <f aca="false">Flows!$BG25*2*Capacity!$S25/(5*15*C82*(Capacity!$S25+Capacity!$BZ25))</f>
        <v>1.63763006070399E-006</v>
      </c>
      <c r="D25" s="4" t="n">
        <f aca="false">(DemClcs!$A$32*(Populations!$R24+3*Populations!$S24)/D82)+MAX((Flows!K25+Flows!M25)/1826.484018+Flows!L25/1111.111111-Flows!$F25,0)/D82</f>
        <v>0.089314353904173</v>
      </c>
      <c r="E25" s="4" t="n">
        <f aca="false">DemClcs!$A$40*(Populations!$R24+3*Populations!$S24)/E82</f>
        <v>0.0227852621799972</v>
      </c>
      <c r="F25" s="4" t="n">
        <v>0</v>
      </c>
      <c r="G25" s="4" t="n">
        <f aca="false">Flows!Q25*40/G82</f>
        <v>0.00389915934884051</v>
      </c>
      <c r="H25" s="4" t="n">
        <f aca="false">IF(Flows!$AW25&gt;Flows!$Y25,(Flows!$AW25-Flows!$Y25)/H82)</f>
        <v>0.000131685554460104</v>
      </c>
      <c r="I25" s="4" t="n">
        <f aca="false">I52/$CN52</f>
        <v>0.0267555231678908</v>
      </c>
      <c r="J25" s="4" t="n">
        <f aca="false">J52/$CN52</f>
        <v>0.973244476832109</v>
      </c>
      <c r="K25" s="4" t="n">
        <v>0</v>
      </c>
      <c r="L25" s="4" t="n">
        <v>0</v>
      </c>
      <c r="M25" s="4" t="n">
        <v>0</v>
      </c>
      <c r="N25" s="4" t="n">
        <f aca="false">SUM(Flows!$V25,Flows!$W25)/$N82</f>
        <v>0.00456349081119092</v>
      </c>
      <c r="O25" s="4" t="n">
        <v>0</v>
      </c>
      <c r="P25" s="4" t="n">
        <v>0</v>
      </c>
      <c r="Q25" s="4" t="n">
        <f aca="false">$Q$27*Q52*(1/COUNTIF($C$26:$CK$26,1))/(MAX(Q$30:Q$52)-MIN(Q$30:Q$52))</f>
        <v>0.00299121789138039</v>
      </c>
      <c r="R25" s="4" t="n">
        <f aca="false">$R$27*R52*(1/COUNTIF($C$26:$CK$26,1))/(MAX(R$30:R$52)-MIN(R$30:R$52))+0.5/COUNTIF($C$26:$CK$26,1)</f>
        <v>0.0302897085022765</v>
      </c>
      <c r="S25" s="4" t="n">
        <v>0</v>
      </c>
      <c r="T25" s="4" t="n">
        <v>0</v>
      </c>
      <c r="U25" s="4" t="n">
        <v>0</v>
      </c>
      <c r="V25" s="4" t="n">
        <f aca="false">$V$27*V52*(1/COUNTIF($C$26:$CK$26,1))/(MAX(V$30:V$52)-MIN(V$30:V$52))</f>
        <v>0.0206128966193082</v>
      </c>
      <c r="W25" s="4" t="n">
        <f aca="false">$V$27*W52*(1/COUNTIF($C$26:$CK$26,1))/(MAX(W$30:W$52)-MIN(W$30:W$52))</f>
        <v>0.0156029315948268</v>
      </c>
      <c r="X25" s="4" t="n">
        <f aca="false">X52/$CO52</f>
        <v>0.025224023752403</v>
      </c>
      <c r="Y25" s="4" t="n">
        <v>0</v>
      </c>
      <c r="Z25" s="4" t="n">
        <f aca="false">Flows!$AA25/$Z82</f>
        <v>3.23526042650796E-005</v>
      </c>
      <c r="AA25" s="4" t="n">
        <f aca="false">Flows!$AB25/$AA82</f>
        <v>0.000725444585151652</v>
      </c>
      <c r="AB25" s="4" t="n">
        <f aca="false">DemClcs!$A$20*(Populations!$R24+3*Populations!$S24)/AB82</f>
        <v>0.00213452635316269</v>
      </c>
      <c r="AC25" s="4" t="n">
        <f aca="false">Flows!$AD25/$AC82</f>
        <v>0.00596430379112008</v>
      </c>
      <c r="AD25" s="4" t="n">
        <f aca="false">DemClcs!$A$25*(Populations!$R24+3*Populations!$S24)/AD82</f>
        <v>0.0211784680177128</v>
      </c>
      <c r="AE25" s="4" t="n">
        <f aca="false">AE52/$CP52</f>
        <v>0.0543606578662845</v>
      </c>
      <c r="AF25" s="4" t="n">
        <f aca="false">$AF$27*AF52*(1/COUNTIF($C$26:$CK$26,1))/(MAX(AF$30:AF$52)-MIN(AF$30:AF$52))</f>
        <v>0.00940706594849453</v>
      </c>
      <c r="AG25" s="4" t="n">
        <f aca="false">$AF$27*AG52*(1/COUNTIF($C$26:$CK$26,1))/(MAX(AG$30:AG$52)-MIN(AG$30:AG$52))</f>
        <v>0.0227942924302306</v>
      </c>
      <c r="AH25" s="4" t="n">
        <f aca="false">$AF$27*AH52*(1/COUNTIF($C$26:$CK$26,1))/(MAX(AH$30:AH$52)-MIN(AH$30:AH$52))</f>
        <v>0.0298781334932789</v>
      </c>
      <c r="AI25" s="4" t="n">
        <f aca="false">$AF$27*AI52*(1/COUNTIF($C$26:$CK$26,1))/(MAX(AI$30:AI$52)-MIN(AI$30:AI$52))</f>
        <v>0.00551131609656142</v>
      </c>
      <c r="AJ25" s="4" t="n">
        <f aca="false">$AF$27*AJ52*(1/COUNTIF($C$26:$CK$26,1))/(MAX(AJ$30:AJ$52)-MIN(AJ$30:AJ$52))</f>
        <v>0.0298297629785522</v>
      </c>
      <c r="AK25" s="4" t="n">
        <f aca="false">$AF$27*AK52*(1/COUNTIF($C$26:$CK$26,1))/(MAX(AK$30:AK$52)-MIN(AK$30:AK$52))</f>
        <v>0.0273855048615367</v>
      </c>
      <c r="AL25" s="4" t="n">
        <f aca="false">$AF$27*AL52*(1/COUNTIF($C$26:$CK$26,1))/(MAX(AL$30:AL$52)-MIN(AL$30:AL$52))</f>
        <v>0.00451045454750191</v>
      </c>
      <c r="AM25" s="4" t="n">
        <f aca="false">$AF$27*AM52*(1/COUNTIF($C$26:$CK$26,1))/(MAX(AM$30:AM$52)-MIN(AM$30:AM$52))</f>
        <v>0.0220878724855549</v>
      </c>
      <c r="AN25" s="4" t="n">
        <f aca="false">$AF$27*AN52*(1/COUNTIF($C$26:$CK$26,1))/(MAX(AN$30:AN$52)-MIN(AN$30:AN$52))</f>
        <v>0.0282767078690108</v>
      </c>
      <c r="AO25" s="4" t="n">
        <f aca="false">$AF$27*AO52*(1/COUNTIF($C$26:$CK$26,1))/(MAX(AO$30:AO$52)-MIN(AO$30:AO$52))</f>
        <v>0.011167317139</v>
      </c>
      <c r="AP25" s="4" t="n">
        <f aca="false">$AF$27*AP52*(1/COUNTIF($C$26:$CK$26,1))/(MAX(AP$30:AP$52)-MIN(AP$30:AP$52))</f>
        <v>0.00638446373361983</v>
      </c>
      <c r="AQ25" s="4" t="n">
        <f aca="false">$AF$27*AQ52*(1/COUNTIF($C$26:$CK$26,1))/(MAX(AQ$30:AQ$52)-MIN(AQ$30:AQ$52))</f>
        <v>0.0229085023497723</v>
      </c>
      <c r="AR25" s="4" t="n">
        <f aca="false">$AF$27*AR52*(1/COUNTIF($C$26:$CK$26,1))/(MAX(AR$30:AR$52)-MIN(AR$30:AR$52))</f>
        <v>0.001967834611128</v>
      </c>
      <c r="AS25" s="4" t="n">
        <f aca="false">$AF$27*AS52*(1/COUNTIF($C$26:$CK$26,1))/(MAX(AS$30:AS$52)-MIN(AS$30:AS$52))</f>
        <v>0.0149976194799602</v>
      </c>
      <c r="AT25" s="4" t="n">
        <f aca="false">AT52/$CP52</f>
        <v>0.0928830760120172</v>
      </c>
      <c r="AU25" s="4" t="n">
        <f aca="false">AU52/$CP52</f>
        <v>0.0655789432924869</v>
      </c>
      <c r="AV25" s="4" t="n">
        <f aca="false">$AF$27*AV52*(1/COUNTIF($C$26:$CK$26,1))/(MAX(AV$30:AV$52)-MIN(AV$30:AV$52))</f>
        <v>0.0264983333084296</v>
      </c>
      <c r="AW25" s="4" t="n">
        <f aca="false">SUM(Flows!AX25,Flows!$AZ25)/$AW82</f>
        <v>0.000991658531385221</v>
      </c>
      <c r="AX25" s="4" t="n">
        <f aca="false">$AX$27*AX52*(1/COUNTIF($C$26:$CK$26,1))/(MAX(AX$30:AX$52)-MIN(AX$30:AX$52))</f>
        <v>0.0208564210279317</v>
      </c>
      <c r="AY25" s="4" t="n">
        <f aca="false">SUM(Flows!$BB25:$BE25)*Capacity!BS25/(AY82*SUM(Capacity!$BS25:$BT25))</f>
        <v>0.00627874714098997</v>
      </c>
      <c r="AZ25" s="4" t="n">
        <f aca="false">SUM(Flows!$BB25:$BE25)*Capacity!BT25/(AZ82*SUM(Capacity!$BS25:$BT25))+(DemClcs!$A$54*Populations!$Q24/AZ82)</f>
        <v>0.0300743637941876</v>
      </c>
      <c r="BA25" s="4" t="n">
        <v>0</v>
      </c>
      <c r="BB25" s="4" t="n">
        <f aca="false">$BB$27*BB52*(1/COUNTIF($C$26:$CK$26,1))/(MAX(BB$30:BB$52)-MIN(BB$30:BB$52))</f>
        <v>0.00302984680601457</v>
      </c>
      <c r="BC25" s="4" t="n">
        <f aca="false">$BB$27*BC52*(1/COUNTIF($C$26:$CK$26,1))/(MAX(BC$30:BC$52)-MIN(BC$30:BC$52))</f>
        <v>0.00151666001713611</v>
      </c>
      <c r="BD25" s="4" t="n">
        <f aca="false">$BB$27*BD52*(1/COUNTIF($C$26:$CK$26,1))/(MAX(BD$30:BD$52)-MIN(BD$30:BD$52))</f>
        <v>0.00047535461171455</v>
      </c>
      <c r="BE25" s="4" t="n">
        <f aca="false">$BB$27*BE52*(1/COUNTIF($C$26:$CK$26,1))/(MAX(BE$30:BE$52)-MIN(BE$30:BE$52))</f>
        <v>0.00209454640820193</v>
      </c>
      <c r="BF25" s="4" t="n">
        <f aca="false">(Flows!$BG25+Flows!$BI25)*1.5*Capacity!$BZ26/(15*$BF82*(Capacity!$S25+Capacity!$BZ25))</f>
        <v>0</v>
      </c>
      <c r="BG25" s="4" t="n">
        <f aca="false">DemClcs!$A$45*(Populations!$R24+3*Populations!$S24)*Capacity!CA25/(BG82*SUM(Capacity!$CA25:$CC25,Capacity!$CE25))</f>
        <v>0.000805880893652628</v>
      </c>
      <c r="BH25" s="4" t="n">
        <f aca="false">DemClcs!$A$45*(Populations!$R24+3*Populations!$S24)*Capacity!CB25/(BH82*SUM(Capacity!$CA25:$CC25,Capacity!$CE25))</f>
        <v>0.00102555424268602</v>
      </c>
      <c r="BI25" s="4" t="n">
        <f aca="false">DemClcs!$A$45*(Populations!$R24+3*Populations!$S24)*Capacity!CC25/(BI82*SUM(Capacity!$CA25:$CC25,Capacity!$CE25))</f>
        <v>0.000805880893652629</v>
      </c>
      <c r="BJ25" s="4" t="n">
        <f aca="false">BJ52/$CP52</f>
        <v>0.0745435914883115</v>
      </c>
      <c r="BK25" s="4" t="n">
        <f aca="false">DemClcs!$A$45*(Populations!$R24+3*Populations!$S24)*Capacity!CE25/(BK82*SUM(Capacity!$CA25:$CC25,Capacity!$CE25))</f>
        <v>0.000805880893652629</v>
      </c>
      <c r="BL25" s="4" t="n">
        <f aca="false">BL52/$CP52</f>
        <v>0.102693355627199</v>
      </c>
      <c r="BM25" s="4" t="n">
        <f aca="false">BM52/$CP52</f>
        <v>0.0458519555708049</v>
      </c>
      <c r="BN25" s="4" t="n">
        <v>0</v>
      </c>
      <c r="BO25" s="4" t="n">
        <f aca="false">Flows!BT25*16/(25*BR82)</f>
        <v>0.000525016947212362</v>
      </c>
      <c r="BP25" s="4" t="n">
        <f aca="false">SUM(Flows!$AF25:$AS25,Flows!$AV25)/BP82</f>
        <v>1.39761495568359E-005</v>
      </c>
      <c r="BQ25" s="4" t="n">
        <v>0</v>
      </c>
      <c r="BR25" s="4" t="n">
        <f aca="false">Flows!BU25*16/(25*BR82)</f>
        <v>5.25016947212362E-005</v>
      </c>
      <c r="BS25" s="4" t="n">
        <f aca="false">Flows!BV25*16/(25*BS82)</f>
        <v>1.05003330834298E-005</v>
      </c>
      <c r="BT25" s="4" t="n">
        <f aca="false">Flows!$D53*0.8*0.8*$BT$27/(0.75*BT82)</f>
        <v>5.652839094219E-006</v>
      </c>
      <c r="BU25" s="4" t="n">
        <f aca="false">Flows!$D53*0.8*0.8*$BT$27/(0.75*BU82*10)</f>
        <v>5.18176916970076E-006</v>
      </c>
      <c r="BV25" s="4" t="n">
        <f aca="false">Flows!$D53*0.8*0.8*$BT$27/(0.75*BV82*100)</f>
        <v>4.44151643117208E-006</v>
      </c>
      <c r="BW25" s="4" t="n">
        <v>0</v>
      </c>
      <c r="BX25" s="4" t="n">
        <f aca="false">BX52/$CP52</f>
        <v>0.0958352810288146</v>
      </c>
      <c r="BY25" s="4" t="n">
        <f aca="false">BY52/$CP52</f>
        <v>0.0368140073845965</v>
      </c>
      <c r="BZ25" s="4" t="n">
        <f aca="false">BZ52/$CO52</f>
        <v>0.121034097311425</v>
      </c>
      <c r="CA25" s="4" t="n">
        <f aca="false">CA52/$CO52</f>
        <v>0.0456098262990715</v>
      </c>
      <c r="CB25" s="4" t="n">
        <f aca="false">CB52/$CP52</f>
        <v>0.0489443880265248</v>
      </c>
      <c r="CC25" s="4" t="n">
        <f aca="false">CC52/$CO52</f>
        <v>0.118696983153283</v>
      </c>
      <c r="CD25" s="4" t="n">
        <v>0</v>
      </c>
      <c r="CE25" s="4" t="n">
        <f aca="false">IF(SUM(Flows!$CJ25:$CK25)&gt;Flows!$BA25,(SUM(Flows!$CJ25:$CK25)-Flows!$BA25)/CE82)</f>
        <v>0.00615262257050204</v>
      </c>
      <c r="CF25" s="4" t="n">
        <f aca="false">CF52/$CO52</f>
        <v>0.201029881945752</v>
      </c>
      <c r="CG25" s="4" t="n">
        <f aca="false">CG52/$CO52</f>
        <v>0.069679315883734</v>
      </c>
      <c r="CH25" s="4" t="n">
        <f aca="false">CH52/$CO52</f>
        <v>0.196788109138377</v>
      </c>
      <c r="CI25" s="4" t="n">
        <f aca="false">CI52/$CP52</f>
        <v>0.0436765802780235</v>
      </c>
      <c r="CJ25" s="4" t="n">
        <f aca="false">CJ$27*CJ52*(1/COUNTIF($C$26:$CK$26,1))/(MAX(CJ$30:CJ$52)-MIN(CJ$30:CJ$52))</f>
        <v>0.000784235945286342</v>
      </c>
      <c r="CK25" s="4" t="n">
        <f aca="false">CK$27*CK52*(1/COUNTIF($C$26:$CK$26,1))/(MAX(CK$30:CK$52)-MIN(CK$30:CK$52))</f>
        <v>0.000608380194069783</v>
      </c>
      <c r="CL25" s="4" t="n">
        <v>0</v>
      </c>
      <c r="CN25" s="4" t="n">
        <f aca="false">SUM(C25:CK25)</f>
        <v>3</v>
      </c>
    </row>
    <row r="26" customFormat="false" ht="12.8" hidden="false" customHeight="false" outlineLevel="0" collapsed="false">
      <c r="A26" s="4" t="s">
        <v>276</v>
      </c>
      <c r="B26" s="7" t="s">
        <v>39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1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1</v>
      </c>
      <c r="AU26" s="4" t="n">
        <v>1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1</v>
      </c>
      <c r="BK26" s="4" t="n">
        <v>0</v>
      </c>
      <c r="BL26" s="4" t="n">
        <v>1</v>
      </c>
      <c r="BM26" s="4" t="n">
        <v>1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1</v>
      </c>
      <c r="BY26" s="4" t="n">
        <v>1</v>
      </c>
      <c r="BZ26" s="4" t="n">
        <v>1</v>
      </c>
      <c r="CA26" s="4" t="n">
        <v>1</v>
      </c>
      <c r="CB26" s="4" t="n">
        <v>1</v>
      </c>
      <c r="CC26" s="4" t="n">
        <v>1</v>
      </c>
      <c r="CD26" s="4" t="n">
        <v>0</v>
      </c>
      <c r="CE26" s="4" t="n">
        <v>0</v>
      </c>
      <c r="CF26" s="4" t="n">
        <v>1</v>
      </c>
      <c r="CG26" s="4" t="n">
        <v>1</v>
      </c>
      <c r="CH26" s="4" t="n">
        <v>1</v>
      </c>
      <c r="CI26" s="4" t="n">
        <v>1</v>
      </c>
      <c r="CJ26" s="4" t="n">
        <v>0</v>
      </c>
      <c r="CK26" s="4" t="n">
        <v>0</v>
      </c>
      <c r="CL26" s="4" t="n">
        <v>0</v>
      </c>
    </row>
    <row r="27" customFormat="false" ht="12.8" hidden="false" customHeight="false" outlineLevel="0" collapsed="false">
      <c r="A27" s="4" t="s">
        <v>277</v>
      </c>
      <c r="B27" s="7" t="s">
        <v>39</v>
      </c>
      <c r="C27" s="15" t="n">
        <f aca="false" t="array" ref="C27:C27">MIN(IF(C3:CK25&lt;&gt;0,C3:CK25))</f>
        <v>3.7795134395253E-007</v>
      </c>
      <c r="D27" s="4" t="n">
        <v>1</v>
      </c>
      <c r="Q27" s="4" t="n">
        <v>0.1</v>
      </c>
      <c r="R27" s="4" t="n">
        <v>0.1</v>
      </c>
      <c r="V27" s="4" t="n">
        <v>0.5</v>
      </c>
      <c r="AF27" s="4" t="n">
        <v>0.5</v>
      </c>
      <c r="AX27" s="4" t="n">
        <v>0.5</v>
      </c>
      <c r="BB27" s="4" t="n">
        <v>0.05</v>
      </c>
      <c r="BC27" s="4" t="s">
        <v>278</v>
      </c>
      <c r="BT27" s="4" t="n">
        <f aca="false">1/8/Cash!$BT$3</f>
        <v>0.00625</v>
      </c>
      <c r="CJ27" s="4" t="n">
        <v>0.05</v>
      </c>
      <c r="CK27" s="4" t="n">
        <v>0.05</v>
      </c>
      <c r="CL27" s="4" t="n">
        <v>0</v>
      </c>
    </row>
    <row r="28" customFormat="false" ht="12.8" hidden="false" customHeight="false" outlineLevel="0" collapsed="false">
      <c r="B28" s="7" t="s">
        <v>39</v>
      </c>
      <c r="D28" s="16"/>
      <c r="Q28" s="4" t="s">
        <v>279</v>
      </c>
      <c r="R28" s="4" t="s">
        <v>279</v>
      </c>
      <c r="V28" s="4" t="s">
        <v>279</v>
      </c>
      <c r="AF28" s="4" t="s">
        <v>280</v>
      </c>
      <c r="AX28" s="4" t="s">
        <v>279</v>
      </c>
      <c r="BT28" s="4" t="s">
        <v>281</v>
      </c>
      <c r="CJ28" s="4" t="s">
        <v>279</v>
      </c>
      <c r="CK28" s="4" t="s">
        <v>279</v>
      </c>
      <c r="CL28" s="4" t="n">
        <v>0</v>
      </c>
    </row>
    <row r="29" customFormat="false" ht="12.8" hidden="false" customHeight="false" outlineLevel="0" collapsed="false">
      <c r="B29" s="7" t="s">
        <v>39</v>
      </c>
      <c r="CL29" s="4" t="n">
        <v>0</v>
      </c>
      <c r="CN29" s="4" t="s">
        <v>282</v>
      </c>
      <c r="CO29" s="4" t="s">
        <v>283</v>
      </c>
      <c r="CP29" s="4" t="s">
        <v>284</v>
      </c>
    </row>
    <row r="30" customFormat="false" ht="12.8" hidden="false" customHeight="false" outlineLevel="0" collapsed="false">
      <c r="A30" s="4" t="s">
        <v>131</v>
      </c>
      <c r="B30" s="7" t="s">
        <v>39</v>
      </c>
      <c r="C30" s="4" t="n">
        <v>0.629292986669907</v>
      </c>
      <c r="D30" s="4" t="n">
        <v>0.80320569437325</v>
      </c>
      <c r="E30" s="4" t="n">
        <v>0.19775014103592</v>
      </c>
      <c r="F30" s="4" t="n">
        <v>0.0832212911192912</v>
      </c>
      <c r="G30" s="4" t="n">
        <v>0.0224156767490553</v>
      </c>
      <c r="H30" s="4" t="n">
        <v>0.703763388979979</v>
      </c>
      <c r="I30" s="4" t="n">
        <v>0.293566380243149</v>
      </c>
      <c r="J30" s="4" t="n">
        <v>0.751581191917619</v>
      </c>
      <c r="K30" s="4" t="n">
        <v>0.450344603228003</v>
      </c>
      <c r="L30" s="4" t="n">
        <v>0.0968888728992028</v>
      </c>
      <c r="M30" s="4" t="n">
        <v>0.244841172960649</v>
      </c>
      <c r="N30" s="4" t="n">
        <v>0.13568133198582</v>
      </c>
      <c r="O30" s="4" t="n">
        <v>0.40882590559579</v>
      </c>
      <c r="P30" s="4" t="n">
        <v>0.169549638372935</v>
      </c>
      <c r="Q30" s="4" t="n">
        <v>0.00832274105642539</v>
      </c>
      <c r="R30" s="4" t="n">
        <v>0.335135520228765</v>
      </c>
      <c r="S30" s="4" t="n">
        <v>0.0270841290916124</v>
      </c>
      <c r="T30" s="4" t="n">
        <v>0.681405184818321</v>
      </c>
      <c r="U30" s="4" t="n">
        <v>0.37772679426849</v>
      </c>
      <c r="V30" s="4" t="n">
        <v>0.199228911524961</v>
      </c>
      <c r="W30" s="4" t="n">
        <v>0.134397864158325</v>
      </c>
      <c r="X30" s="4" t="n">
        <v>0.851884247523626</v>
      </c>
      <c r="Y30" s="4" t="n">
        <v>0.173540440144618</v>
      </c>
      <c r="Z30" s="4" t="n">
        <v>0.807757560677892</v>
      </c>
      <c r="AA30" s="4" t="n">
        <v>0.433412926388531</v>
      </c>
      <c r="AB30" s="4" t="n">
        <v>0.751674540924522</v>
      </c>
      <c r="AC30" s="4" t="n">
        <v>0.66108841953564</v>
      </c>
      <c r="AD30" s="4" t="n">
        <v>0.177192678303717</v>
      </c>
      <c r="AE30" s="4" t="n">
        <v>0.190008083008582</v>
      </c>
      <c r="AF30" s="4" t="n">
        <v>0.720160363628519</v>
      </c>
      <c r="AG30" s="4" t="n">
        <v>0.267077670396351</v>
      </c>
      <c r="AH30" s="4" t="n">
        <v>0.921364056762595</v>
      </c>
      <c r="AI30" s="4" t="n">
        <v>0.878477912891061</v>
      </c>
      <c r="AJ30" s="4" t="n">
        <v>0.695780821768751</v>
      </c>
      <c r="AK30" s="4" t="n">
        <v>0.500581310208593</v>
      </c>
      <c r="AL30" s="4" t="n">
        <v>0.546461701561239</v>
      </c>
      <c r="AM30" s="4" t="n">
        <v>0.108945478178555</v>
      </c>
      <c r="AN30" s="4" t="n">
        <v>0.0579900936075094</v>
      </c>
      <c r="AO30" s="4" t="n">
        <v>0.067073998872802</v>
      </c>
      <c r="AP30" s="4" t="n">
        <v>0.663788050893629</v>
      </c>
      <c r="AQ30" s="4" t="n">
        <v>0.15422738794159</v>
      </c>
      <c r="AR30" s="4" t="n">
        <v>0.279602652382881</v>
      </c>
      <c r="AS30" s="4" t="n">
        <v>0.0486861839293142</v>
      </c>
      <c r="AT30" s="4" t="n">
        <v>0.108589610936806</v>
      </c>
      <c r="AU30" s="4" t="n">
        <v>0.535232228783126</v>
      </c>
      <c r="AV30" s="4" t="n">
        <v>0.53626516187345</v>
      </c>
      <c r="AW30" s="4" t="n">
        <v>0.319468969572986</v>
      </c>
      <c r="AX30" s="4" t="n">
        <v>0.843984635950639</v>
      </c>
      <c r="AY30" s="4" t="n">
        <v>0.674158965207418</v>
      </c>
      <c r="AZ30" s="4" t="n">
        <v>0.41288837475739</v>
      </c>
      <c r="BA30" s="4" t="n">
        <v>0.213834317227809</v>
      </c>
      <c r="BB30" s="4" t="n">
        <v>0.643437527800846</v>
      </c>
      <c r="BC30" s="4" t="n">
        <v>0.66764738199289</v>
      </c>
      <c r="BD30" s="4" t="n">
        <v>0.768301148291715</v>
      </c>
      <c r="BE30" s="4" t="n">
        <v>0.287854328972581</v>
      </c>
      <c r="BF30" s="4" t="n">
        <v>0.113915990998493</v>
      </c>
      <c r="BG30" s="4" t="n">
        <v>0.944413931682734</v>
      </c>
      <c r="BH30" s="4" t="n">
        <v>0.876890545619558</v>
      </c>
      <c r="BI30" s="4" t="n">
        <v>0.850065750145351</v>
      </c>
      <c r="BJ30" s="4" t="n">
        <v>0.624040678129719</v>
      </c>
      <c r="BK30" s="4" t="n">
        <v>0.372793128086181</v>
      </c>
      <c r="BL30" s="4" t="n">
        <v>0.831963605797937</v>
      </c>
      <c r="BM30" s="4" t="n">
        <v>0.130149912994652</v>
      </c>
      <c r="BN30" s="4" t="n">
        <v>0.0976533228649393</v>
      </c>
      <c r="BO30" s="4" t="n">
        <v>0.0628574305755143</v>
      </c>
      <c r="BP30" s="4" t="n">
        <v>0.627194705644456</v>
      </c>
      <c r="BQ30" s="4" t="n">
        <v>0.581993949829759</v>
      </c>
      <c r="BR30" s="4" t="n">
        <v>0.672840651233342</v>
      </c>
      <c r="BS30" s="4" t="n">
        <v>0.0600169124084885</v>
      </c>
      <c r="BT30" s="4" t="n">
        <v>0.577279380939339</v>
      </c>
      <c r="BU30" s="4" t="n">
        <v>0.969143580326696</v>
      </c>
      <c r="BV30" s="4" t="n">
        <v>0.135440296019038</v>
      </c>
      <c r="BW30" s="4" t="n">
        <v>0.359611689661401</v>
      </c>
      <c r="BX30" s="4" t="n">
        <v>0.265701597934274</v>
      </c>
      <c r="BY30" s="4" t="n">
        <v>0.802130140467444</v>
      </c>
      <c r="BZ30" s="4" t="n">
        <v>0.46453273081661</v>
      </c>
      <c r="CA30" s="4" t="n">
        <v>0.718208671487015</v>
      </c>
      <c r="CB30" s="4" t="n">
        <v>0.367160025533285</v>
      </c>
      <c r="CC30" s="4" t="n">
        <v>0.446440823760651</v>
      </c>
      <c r="CD30" s="4" t="n">
        <v>0.316700404237064</v>
      </c>
      <c r="CE30" s="4" t="n">
        <v>0.699554645810985</v>
      </c>
      <c r="CF30" s="4" t="n">
        <v>0.0823869095266726</v>
      </c>
      <c r="CG30" s="4" t="n">
        <v>0.0279119138209303</v>
      </c>
      <c r="CH30" s="4" t="n">
        <v>0.152104336362642</v>
      </c>
      <c r="CI30" s="4" t="n">
        <v>0.584148744294397</v>
      </c>
      <c r="CJ30" s="4" t="n">
        <v>0.54547351372509</v>
      </c>
      <c r="CK30" s="4" t="n">
        <v>0.583668441802942</v>
      </c>
      <c r="CL30" s="4" t="n">
        <v>0</v>
      </c>
      <c r="CN30" s="0" t="n">
        <f aca="false" t="array" ref="CN30:CN30">SUM($I$26:$J$26*$I30:$J30)/(1-SUM(IF($I$26:$J$26=0,$I3:$J3,0)))</f>
        <v>1.04514757216077</v>
      </c>
      <c r="CO30" s="4" t="n">
        <f aca="false" t="array" ref="CO30:CO30">SUM($C$26:$H$26*$C30:$H30,$K$26:$N$26*$K30:$N30,$R$26:$U$26*$R30:$U30,$X$26:$Z$26*$X30:$Z30,$AC$26*$AC30,$AW$26:$BA$26*$AW30:$BA30,$BF$26*$BF30,$BN$26:$BS$26*$BN30:$BS30,$BZ$26:$CA$26*$BZ30:$CA30,$CC$26:$CH$26*$CC30:$CH30)/(1-SUM(IF($C$26:$H$26=0,$C3:$H3,0),IF($K$26:$N$26=0,$K3:$N3,0),IF($R$26:$U$26=0,$R3:$U3,0),IF($X$26:$Z$26=0,$X3:$Z3,0),IF($AC$26=0,$AC3,0),IF($AW$26:$BA$26=0,$AW3:$BA3,0),IF($BF$26=0,$BF3,0),IF($BN$26:$BS$26=0,$BN3:$BS3,0),IF($BZ$26:$CA$26=0,$BZ3:$CA3,0),IF($CC$26:$CH$26=0,$CC3:$CH3,0)))</f>
        <v>3.37311716495057</v>
      </c>
      <c r="CP30" s="4" t="n">
        <f aca="false" t="array" ref="CP30:CP30">SUM($O$26:$Q$26*$O30:$Q30,$V$26:$W$26*$V30:$W30,$AA$26:$AB$26*$AA30:$AB30,$AD$26:$AV$26*$AD30:$AV30,$BB$26:$BE$26*$BB30:$BE30,$BG$26:$BM$26*$BG30:$BM30,$BT$26:$BY$26*$BT30:$BY30,$CB$26*$CB30,$CI$26:$CK$26*$CI30:$CK30)/(1-SUM(IF($O$26:$Q$26=0,$O3:$Q3,0),IF($V$26:$W$26=0,$V3:$W3,0),IF($AA$26:$AB$26=0,$AA3:$AB3,0),IF($AD$26:$AV$26=0,$AD3:$AV3,0),IF($BB$26:$BE$26=0,$BB3:$BE3,0),IF($BG$26:$BM$26=0,$BG3:$BM3,0),IF($BT$26:$BY$26=0,$BT3:$BY3,0),IF($CB$26=0,$CB3,0),IF($CI$26:$CK$26=0,$CI3:$CK3,0)))</f>
        <v>5.80872433132938</v>
      </c>
    </row>
    <row r="31" customFormat="false" ht="12.8" hidden="false" customHeight="false" outlineLevel="0" collapsed="false">
      <c r="A31" s="4" t="s">
        <v>133</v>
      </c>
      <c r="B31" s="7" t="s">
        <v>39</v>
      </c>
      <c r="C31" s="4" t="n">
        <v>0.00529487473121889</v>
      </c>
      <c r="D31" s="4" t="n">
        <v>0.012660931549106</v>
      </c>
      <c r="E31" s="4" t="n">
        <v>0.106914889248937</v>
      </c>
      <c r="F31" s="4" t="n">
        <v>0.175110533761309</v>
      </c>
      <c r="G31" s="4" t="n">
        <v>0.511800764038806</v>
      </c>
      <c r="H31" s="4" t="n">
        <v>0.131507647244037</v>
      </c>
      <c r="I31" s="4" t="n">
        <v>0.949361186995814</v>
      </c>
      <c r="J31" s="4" t="n">
        <v>0.870814528378693</v>
      </c>
      <c r="K31" s="4" t="n">
        <v>0.217001169698687</v>
      </c>
      <c r="L31" s="4" t="n">
        <v>0.497131009120326</v>
      </c>
      <c r="M31" s="4" t="n">
        <v>0.523413411515342</v>
      </c>
      <c r="N31" s="4" t="n">
        <v>0.566922025383116</v>
      </c>
      <c r="O31" s="4" t="n">
        <v>0.0153194398715261</v>
      </c>
      <c r="P31" s="4" t="n">
        <v>0.499654693659389</v>
      </c>
      <c r="Q31" s="4" t="n">
        <v>0.496523059492522</v>
      </c>
      <c r="R31" s="4" t="n">
        <v>0.209304649107462</v>
      </c>
      <c r="S31" s="4" t="n">
        <v>0.000387186435656763</v>
      </c>
      <c r="T31" s="4" t="n">
        <v>0.374298737209063</v>
      </c>
      <c r="U31" s="4" t="n">
        <v>0.479087424946828</v>
      </c>
      <c r="V31" s="4" t="n">
        <v>0.736477869604588</v>
      </c>
      <c r="W31" s="4" t="n">
        <v>0.506763507391844</v>
      </c>
      <c r="X31" s="4" t="n">
        <v>0.588889828670517</v>
      </c>
      <c r="Y31" s="4" t="n">
        <v>0.320940498969796</v>
      </c>
      <c r="Z31" s="4" t="n">
        <v>0.88695585903107</v>
      </c>
      <c r="AA31" s="4" t="n">
        <v>0.900239773048632</v>
      </c>
      <c r="AB31" s="4" t="n">
        <v>0.419128320528068</v>
      </c>
      <c r="AC31" s="4" t="n">
        <v>0.520481029083563</v>
      </c>
      <c r="AD31" s="4" t="n">
        <v>0.291861545992279</v>
      </c>
      <c r="AE31" s="4" t="n">
        <v>0.880185293588343</v>
      </c>
      <c r="AF31" s="4" t="n">
        <v>0.378163096610663</v>
      </c>
      <c r="AG31" s="4" t="n">
        <v>0.797696415937594</v>
      </c>
      <c r="AH31" s="4" t="n">
        <v>0.447342809068512</v>
      </c>
      <c r="AI31" s="4" t="n">
        <v>0.988911388341852</v>
      </c>
      <c r="AJ31" s="4" t="n">
        <v>0.155013402232827</v>
      </c>
      <c r="AK31" s="4" t="n">
        <v>0.38654221297178</v>
      </c>
      <c r="AL31" s="4" t="n">
        <v>0.0323168359465103</v>
      </c>
      <c r="AM31" s="4" t="n">
        <v>0.551581336796145</v>
      </c>
      <c r="AN31" s="4" t="n">
        <v>0.672548608045334</v>
      </c>
      <c r="AO31" s="4" t="n">
        <v>0.0796391635831219</v>
      </c>
      <c r="AP31" s="4" t="n">
        <v>0.831203915933401</v>
      </c>
      <c r="AQ31" s="4" t="n">
        <v>0.753132903213326</v>
      </c>
      <c r="AR31" s="4" t="n">
        <v>0.346684655404493</v>
      </c>
      <c r="AS31" s="4" t="n">
        <v>0.347741852770988</v>
      </c>
      <c r="AT31" s="4" t="n">
        <v>0.528412345428609</v>
      </c>
      <c r="AU31" s="4" t="n">
        <v>0.00161437302048753</v>
      </c>
      <c r="AV31" s="4" t="n">
        <v>0.717416519294916</v>
      </c>
      <c r="AW31" s="4" t="n">
        <v>0.62411651984343</v>
      </c>
      <c r="AX31" s="4" t="n">
        <v>0.507889563150041</v>
      </c>
      <c r="AY31" s="4" t="n">
        <v>0.0403017552299589</v>
      </c>
      <c r="AZ31" s="4" t="n">
        <v>0.197462434890134</v>
      </c>
      <c r="BA31" s="4" t="n">
        <v>0.26207258277073</v>
      </c>
      <c r="BB31" s="4" t="n">
        <v>0.227182103334431</v>
      </c>
      <c r="BC31" s="4" t="n">
        <v>0.270198954931108</v>
      </c>
      <c r="BD31" s="4" t="n">
        <v>0.121952863714532</v>
      </c>
      <c r="BE31" s="4" t="n">
        <v>0.790016967181025</v>
      </c>
      <c r="BF31" s="4" t="n">
        <v>0.0892184771488661</v>
      </c>
      <c r="BG31" s="4" t="n">
        <v>0.613864965409949</v>
      </c>
      <c r="BH31" s="4" t="n">
        <v>0.880570067821195</v>
      </c>
      <c r="BI31" s="4" t="n">
        <v>0.933643135675584</v>
      </c>
      <c r="BJ31" s="4" t="n">
        <v>0.748752568635599</v>
      </c>
      <c r="BK31" s="4" t="n">
        <v>0.21689140496228</v>
      </c>
      <c r="BL31" s="4" t="n">
        <v>0.727168647269302</v>
      </c>
      <c r="BM31" s="4" t="n">
        <v>0.247950541213864</v>
      </c>
      <c r="BN31" s="4" t="n">
        <v>0.701723892334133</v>
      </c>
      <c r="BO31" s="4" t="n">
        <v>0.58129972005897</v>
      </c>
      <c r="BP31" s="4" t="n">
        <v>0.548750534495469</v>
      </c>
      <c r="BQ31" s="4" t="n">
        <v>0.992036785836164</v>
      </c>
      <c r="BR31" s="4" t="n">
        <v>0.285275427713754</v>
      </c>
      <c r="BS31" s="4" t="n">
        <v>0.92709836835354</v>
      </c>
      <c r="BT31" s="4" t="n">
        <v>0.592743785370996</v>
      </c>
      <c r="BU31" s="4" t="n">
        <v>0.758867683274577</v>
      </c>
      <c r="BV31" s="4" t="n">
        <v>0.908064781821976</v>
      </c>
      <c r="BW31" s="4" t="n">
        <v>0.402946554582516</v>
      </c>
      <c r="BX31" s="4" t="n">
        <v>0.767710042699673</v>
      </c>
      <c r="BY31" s="4" t="n">
        <v>0.382402132255391</v>
      </c>
      <c r="BZ31" s="4" t="n">
        <v>0.854968753473828</v>
      </c>
      <c r="CA31" s="4" t="n">
        <v>0.828557221393158</v>
      </c>
      <c r="CB31" s="4" t="n">
        <v>0.16359648137483</v>
      </c>
      <c r="CC31" s="4" t="n">
        <v>0.00231841343017894</v>
      </c>
      <c r="CD31" s="4" t="n">
        <v>0.433551753337752</v>
      </c>
      <c r="CE31" s="4" t="n">
        <v>0.302117500251176</v>
      </c>
      <c r="CF31" s="4" t="n">
        <v>0.738688906671775</v>
      </c>
      <c r="CG31" s="4" t="n">
        <v>0.99161320428786</v>
      </c>
      <c r="CH31" s="4" t="n">
        <v>0.424037811738972</v>
      </c>
      <c r="CI31" s="4" t="n">
        <v>0.408712965484785</v>
      </c>
      <c r="CJ31" s="4" t="n">
        <v>0.314368607194302</v>
      </c>
      <c r="CK31" s="4" t="n">
        <v>0.823928606151984</v>
      </c>
      <c r="CL31" s="4" t="n">
        <v>0</v>
      </c>
      <c r="CN31" s="0" t="n">
        <f aca="false" t="array" ref="CN31:CN31">SUM($I$26:$J$26*$I31:$J31)/(1-SUM(IF($I$26:$J$26=0,$I4:$J4,0)))</f>
        <v>1.82017571537451</v>
      </c>
      <c r="CO31" s="4" t="n">
        <f aca="false" t="array" ref="CO31:CO31">SUM($C$26:$H$26*$C31:$H31,$K$26:$N$26*$K31:$N31,$R$26:$U$26*$R31:$U31,$X$26:$Z$26*$X31:$Z31,$AC$26*$AC31,$AW$26:$BA$26*$AW31:$BA31,$BF$26*$BF31,$BN$26:$BS$26*$BN31:$BS31,$BZ$26:$CA$26*$BZ31:$CA31,$CC$26:$CH$26*$CC31:$CH31)/(1-SUM(IF($C$26:$H$26=0,$C4:$H4,0),IF($K$26:$N$26=0,$K4:$N4,0),IF($R$26:$U$26=0,$R4:$U4,0),IF($X$26:$Z$26=0,$X4:$Z4,0),IF($AC$26=0,$AC4,0),IF($AW$26:$BA$26=0,$AW4:$BA4,0),IF($BF$26=0,$BF4,0),IF($BN$26:$BS$26=0,$BN4:$BS4,0),IF($BZ$26:$CA$26=0,$BZ4:$CA4,0),IF($CC$26:$CH$26=0,$CC4:$CH4,0)))</f>
        <v>5.78027904619908</v>
      </c>
      <c r="CP31" s="4" t="n">
        <f aca="false" t="array" ref="CP31:CP31">SUM($O$26:$Q$26*$O31:$Q31,$V$26:$W$26*$V31:$W31,$AA$26:$AB$26*$AA31:$AB31,$AD$26:$AV$26*$AD31:$AV31,$BB$26:$BE$26*$BB31:$BE31,$BG$26:$BM$26*$BG31:$BM31,$BT$26:$BY$26*$BT31:$BY31,$CB$26*$CB31,$CI$26:$CK$26*$CI31:$CK31)/(1-SUM(IF($O$26:$Q$26=0,$O4:$Q4,0),IF($V$26:$W$26=0,$V4:$W4,0),IF($AA$26:$AB$26=0,$AA4:$AB4,0),IF($AD$26:$AV$26=0,$AD4:$AV4,0),IF($BB$26:$BE$26=0,$BB4:$BE4,0),IF($BG$26:$BM$26=0,$BG4:$BM4,0),IF($BT$26:$BY$26=0,$BT4:$BY4,0),IF($CB$26=0,$CB4,0),IF($CI$26:$CK$26=0,$CI4:$CK4,0)))</f>
        <v>7.17136631585052</v>
      </c>
    </row>
    <row r="32" customFormat="false" ht="12.8" hidden="false" customHeight="false" outlineLevel="0" collapsed="false">
      <c r="A32" s="4" t="s">
        <v>135</v>
      </c>
      <c r="B32" s="7" t="s">
        <v>39</v>
      </c>
      <c r="C32" s="4" t="n">
        <v>0.895160288580057</v>
      </c>
      <c r="D32" s="4" t="n">
        <v>0.50687264884782</v>
      </c>
      <c r="E32" s="4" t="n">
        <v>0.488003645943301</v>
      </c>
      <c r="F32" s="4" t="n">
        <v>0.636914284291649</v>
      </c>
      <c r="G32" s="4" t="n">
        <v>0.749351994364066</v>
      </c>
      <c r="H32" s="4" t="n">
        <v>0.94574453718024</v>
      </c>
      <c r="I32" s="4" t="n">
        <v>0.858089038227006</v>
      </c>
      <c r="J32" s="4" t="n">
        <v>0.479004886279269</v>
      </c>
      <c r="K32" s="4" t="n">
        <v>0.17575073783171</v>
      </c>
      <c r="L32" s="4" t="n">
        <v>0.183523998154523</v>
      </c>
      <c r="M32" s="4" t="n">
        <v>0.977025687407094</v>
      </c>
      <c r="N32" s="4" t="n">
        <v>0.963791595764005</v>
      </c>
      <c r="O32" s="4" t="n">
        <v>0.10686136478163</v>
      </c>
      <c r="P32" s="4" t="n">
        <v>0.931053561278627</v>
      </c>
      <c r="Q32" s="4" t="n">
        <v>0.797892865402132</v>
      </c>
      <c r="R32" s="4" t="n">
        <v>0.5961142821028</v>
      </c>
      <c r="S32" s="4" t="n">
        <v>0.593313682356152</v>
      </c>
      <c r="T32" s="4" t="n">
        <v>0.529289970852662</v>
      </c>
      <c r="U32" s="4" t="n">
        <v>0.065783450336518</v>
      </c>
      <c r="V32" s="4" t="n">
        <v>0.118334379188123</v>
      </c>
      <c r="W32" s="4" t="n">
        <v>0.80410569284439</v>
      </c>
      <c r="X32" s="4" t="n">
        <v>0.604683228608722</v>
      </c>
      <c r="Y32" s="4" t="n">
        <v>0.816701472961919</v>
      </c>
      <c r="Z32" s="4" t="n">
        <v>0.592671069377935</v>
      </c>
      <c r="AA32" s="4" t="n">
        <v>0.0415724079217833</v>
      </c>
      <c r="AB32" s="4" t="n">
        <v>0.227880640715423</v>
      </c>
      <c r="AC32" s="4" t="n">
        <v>0.232625855502767</v>
      </c>
      <c r="AD32" s="4" t="n">
        <v>0.666728176011892</v>
      </c>
      <c r="AE32" s="4" t="n">
        <v>0.537423695862911</v>
      </c>
      <c r="AF32" s="4" t="n">
        <v>0.152332869276997</v>
      </c>
      <c r="AG32" s="4" t="n">
        <v>0.84674750104314</v>
      </c>
      <c r="AH32" s="4" t="n">
        <v>0.961441775610878</v>
      </c>
      <c r="AI32" s="4" t="n">
        <v>0.40528705781427</v>
      </c>
      <c r="AJ32" s="4" t="n">
        <v>0.555758025028991</v>
      </c>
      <c r="AK32" s="4" t="n">
        <v>0.227087913082774</v>
      </c>
      <c r="AL32" s="4" t="n">
        <v>0.116685625151801</v>
      </c>
      <c r="AM32" s="4" t="n">
        <v>0.00646150619085456</v>
      </c>
      <c r="AN32" s="4" t="n">
        <v>0.491371045228662</v>
      </c>
      <c r="AO32" s="4" t="n">
        <v>0.0745673478662627</v>
      </c>
      <c r="AP32" s="4" t="n">
        <v>0.962643030078575</v>
      </c>
      <c r="AQ32" s="4" t="n">
        <v>0.472968456306597</v>
      </c>
      <c r="AR32" s="4" t="n">
        <v>0.216752688181591</v>
      </c>
      <c r="AS32" s="4" t="n">
        <v>0.845278234936727</v>
      </c>
      <c r="AT32" s="4" t="n">
        <v>0.18039257784389</v>
      </c>
      <c r="AU32" s="4" t="n">
        <v>0.284327076790928</v>
      </c>
      <c r="AV32" s="4" t="n">
        <v>0.0165250485085608</v>
      </c>
      <c r="AW32" s="4" t="n">
        <v>0.548448928031897</v>
      </c>
      <c r="AX32" s="4" t="n">
        <v>0.638788846514515</v>
      </c>
      <c r="AY32" s="4" t="n">
        <v>0.6157577474613</v>
      </c>
      <c r="AZ32" s="4" t="n">
        <v>0.774646136917602</v>
      </c>
      <c r="BA32" s="4" t="n">
        <v>0.962903423117259</v>
      </c>
      <c r="BB32" s="4" t="n">
        <v>0.846917663394248</v>
      </c>
      <c r="BC32" s="4" t="n">
        <v>0.558594184335854</v>
      </c>
      <c r="BD32" s="4" t="n">
        <v>0.54395067051047</v>
      </c>
      <c r="BE32" s="4" t="n">
        <v>0.847555509945567</v>
      </c>
      <c r="BF32" s="4" t="n">
        <v>0.427945458185533</v>
      </c>
      <c r="BG32" s="4" t="n">
        <v>0.958435956991674</v>
      </c>
      <c r="BH32" s="4" t="n">
        <v>0.365205432311947</v>
      </c>
      <c r="BI32" s="4" t="n">
        <v>0.859431509362482</v>
      </c>
      <c r="BJ32" s="4" t="n">
        <v>0.83541524564281</v>
      </c>
      <c r="BK32" s="4" t="n">
        <v>0.99857875881069</v>
      </c>
      <c r="BL32" s="4" t="n">
        <v>0.396393839002999</v>
      </c>
      <c r="BM32" s="4" t="n">
        <v>0.95233272233484</v>
      </c>
      <c r="BN32" s="4" t="n">
        <v>0.140180316803406</v>
      </c>
      <c r="BO32" s="4" t="n">
        <v>0.0669891301275308</v>
      </c>
      <c r="BP32" s="4" t="n">
        <v>0.114106556638399</v>
      </c>
      <c r="BQ32" s="4" t="n">
        <v>0.422565390966668</v>
      </c>
      <c r="BR32" s="4" t="n">
        <v>0.774301091409708</v>
      </c>
      <c r="BS32" s="4" t="n">
        <v>0.0719324794141357</v>
      </c>
      <c r="BT32" s="4" t="n">
        <v>0.255663510600519</v>
      </c>
      <c r="BU32" s="4" t="n">
        <v>0.286265264010568</v>
      </c>
      <c r="BV32" s="4" t="n">
        <v>0.801784977973234</v>
      </c>
      <c r="BW32" s="4" t="n">
        <v>0.386373330067097</v>
      </c>
      <c r="BX32" s="4" t="n">
        <v>0.888704934322506</v>
      </c>
      <c r="BY32" s="4" t="n">
        <v>0.750500529373603</v>
      </c>
      <c r="BZ32" s="4" t="n">
        <v>0.0540261362855601</v>
      </c>
      <c r="CA32" s="4" t="n">
        <v>0.30943599607242</v>
      </c>
      <c r="CB32" s="4" t="n">
        <v>0.213457627233404</v>
      </c>
      <c r="CC32" s="4" t="n">
        <v>0.0824513127107194</v>
      </c>
      <c r="CD32" s="4" t="n">
        <v>0.328557781459139</v>
      </c>
      <c r="CE32" s="4" t="n">
        <v>0.636224915789546</v>
      </c>
      <c r="CF32" s="4" t="n">
        <v>0.487122603939786</v>
      </c>
      <c r="CG32" s="4" t="n">
        <v>0.988349266462634</v>
      </c>
      <c r="CH32" s="4" t="n">
        <v>0.148520812324057</v>
      </c>
      <c r="CI32" s="4" t="n">
        <v>0.577442681439453</v>
      </c>
      <c r="CJ32" s="4" t="n">
        <v>0.0762652896465739</v>
      </c>
      <c r="CK32" s="4" t="n">
        <v>0.510001432395356</v>
      </c>
      <c r="CL32" s="4" t="n">
        <v>0</v>
      </c>
      <c r="CN32" s="0" t="n">
        <f aca="false" t="array" ref="CN32:CN32">SUM($I$26:$J$26*$I32:$J32)/(1-SUM(IF($I$26:$J$26=0,$I5:$J5,0)))</f>
        <v>1.33709392450628</v>
      </c>
      <c r="CO32" s="4" t="n">
        <f aca="false" t="array" ref="CO32:CO32">SUM($C$26:$H$26*$C32:$H32,$K$26:$N$26*$K32:$N32,$R$26:$U$26*$R32:$U32,$X$26:$Z$26*$X32:$Z32,$AC$26*$AC32,$AW$26:$BA$26*$AW32:$BA32,$BF$26*$BF32,$BN$26:$BS$26*$BN32:$BS32,$BZ$26:$CA$26*$BZ32:$CA32,$CC$26:$CH$26*$CC32:$CH32)/(1-SUM(IF($C$26:$H$26=0,$C5:$H5,0),IF($K$26:$N$26=0,$K5:$N5,0),IF($R$26:$U$26=0,$R5:$U5,0),IF($X$26:$Z$26=0,$X5:$Z5,0),IF($AC$26=0,$AC5,0),IF($AW$26:$BA$26=0,$AW5:$BA5,0),IF($BF$26=0,$BF5,0),IF($BN$26:$BS$26=0,$BN5:$BS5,0),IF($BZ$26:$CA$26=0,$BZ5:$CA5,0),IF($CC$26:$CH$26=0,$CC5:$CH5,0)))</f>
        <v>4.94026759547564</v>
      </c>
      <c r="CP32" s="4" t="n">
        <f aca="false" t="array" ref="CP32:CP32">SUM($O$26:$Q$26*$O32:$Q32,$V$26:$W$26*$V32:$W32,$AA$26:$AB$26*$AA32:$AB32,$AD$26:$AV$26*$AD32:$AV32,$BB$26:$BE$26*$BB32:$BE32,$BG$26:$BM$26*$BG32:$BM32,$BT$26:$BY$26*$BT32:$BY32,$CB$26*$CB32,$CI$26:$CK$26*$CI32:$CK32)/(1-SUM(IF($O$26:$Q$26=0,$O5:$Q5,0),IF($V$26:$W$26=0,$V5:$W5,0),IF($AA$26:$AB$26=0,$AA5:$AB5,0),IF($AD$26:$AV$26=0,$AD5:$AV5,0),IF($BB$26:$BE$26=0,$BB5:$BE5,0),IF($BG$26:$BM$26=0,$BG5:$BM5,0),IF($BT$26:$BY$26=0,$BT5:$BY5,0),IF($CB$26=0,$CB5,0),IF($CI$26:$CK$26=0,$CI5:$CK5,0)))</f>
        <v>8.14527934370827</v>
      </c>
    </row>
    <row r="33" customFormat="false" ht="12.8" hidden="false" customHeight="false" outlineLevel="0" collapsed="false">
      <c r="A33" s="4" t="s">
        <v>137</v>
      </c>
      <c r="B33" s="7" t="s">
        <v>39</v>
      </c>
      <c r="C33" s="4" t="n">
        <v>0.683780407189067</v>
      </c>
      <c r="D33" s="4" t="n">
        <v>0.862736773411707</v>
      </c>
      <c r="E33" s="4" t="n">
        <v>0.934109991124378</v>
      </c>
      <c r="F33" s="4" t="n">
        <v>0.859282114770191</v>
      </c>
      <c r="G33" s="4" t="n">
        <v>0.778105204877498</v>
      </c>
      <c r="H33" s="4" t="n">
        <v>0.816651477431702</v>
      </c>
      <c r="I33" s="4" t="n">
        <v>0.971734412067718</v>
      </c>
      <c r="J33" s="4" t="n">
        <v>0.498275949343909</v>
      </c>
      <c r="K33" s="4" t="n">
        <v>0.0481355493029568</v>
      </c>
      <c r="L33" s="4" t="n">
        <v>0.182892353048434</v>
      </c>
      <c r="M33" s="4" t="n">
        <v>0.759846500706658</v>
      </c>
      <c r="N33" s="4" t="n">
        <v>0.841675447532903</v>
      </c>
      <c r="O33" s="4" t="n">
        <v>0.158572768747973</v>
      </c>
      <c r="P33" s="4" t="n">
        <v>0.0236995113948277</v>
      </c>
      <c r="Q33" s="4" t="n">
        <v>0.910295081859277</v>
      </c>
      <c r="R33" s="4" t="n">
        <v>0.431181759512116</v>
      </c>
      <c r="S33" s="4" t="n">
        <v>0.617956759121132</v>
      </c>
      <c r="T33" s="4" t="n">
        <v>0.612749307760123</v>
      </c>
      <c r="U33" s="4" t="n">
        <v>0.322609034736559</v>
      </c>
      <c r="V33" s="4" t="n">
        <v>0.142452435260527</v>
      </c>
      <c r="W33" s="4" t="n">
        <v>0.503055309659733</v>
      </c>
      <c r="X33" s="4" t="n">
        <v>0.505247606723667</v>
      </c>
      <c r="Y33" s="4" t="n">
        <v>0.229880228765693</v>
      </c>
      <c r="Z33" s="4" t="n">
        <v>0.442750773325478</v>
      </c>
      <c r="AA33" s="4" t="n">
        <v>0.928681098711977</v>
      </c>
      <c r="AB33" s="4" t="n">
        <v>0.981186561296947</v>
      </c>
      <c r="AC33" s="4" t="n">
        <v>0.709288540815431</v>
      </c>
      <c r="AD33" s="4" t="n">
        <v>0.87887389093823</v>
      </c>
      <c r="AE33" s="4" t="n">
        <v>0.40483644482488</v>
      </c>
      <c r="AF33" s="4" t="n">
        <v>0.448929806861707</v>
      </c>
      <c r="AG33" s="4" t="n">
        <v>0.07621848834607</v>
      </c>
      <c r="AH33" s="4" t="n">
        <v>0.423024437358696</v>
      </c>
      <c r="AI33" s="4" t="n">
        <v>0.773650034381874</v>
      </c>
      <c r="AJ33" s="4" t="n">
        <v>0.984571665604229</v>
      </c>
      <c r="AK33" s="4" t="n">
        <v>0.968942224217658</v>
      </c>
      <c r="AL33" s="4" t="n">
        <v>0.602490157622434</v>
      </c>
      <c r="AM33" s="4" t="n">
        <v>0.782468918763603</v>
      </c>
      <c r="AN33" s="4" t="n">
        <v>0.620283010509613</v>
      </c>
      <c r="AO33" s="4" t="n">
        <v>0.477590467444189</v>
      </c>
      <c r="AP33" s="4" t="n">
        <v>0.743869111071686</v>
      </c>
      <c r="AQ33" s="4" t="n">
        <v>0.260856996755342</v>
      </c>
      <c r="AR33" s="4" t="n">
        <v>0.0142059220474541</v>
      </c>
      <c r="AS33" s="4" t="n">
        <v>0.778497353812405</v>
      </c>
      <c r="AT33" s="4" t="n">
        <v>0.80232174003283</v>
      </c>
      <c r="AU33" s="4" t="n">
        <v>0.660649324950288</v>
      </c>
      <c r="AV33" s="4" t="n">
        <v>0.991206935486674</v>
      </c>
      <c r="AW33" s="4" t="n">
        <v>0.237108272250962</v>
      </c>
      <c r="AX33" s="4" t="n">
        <v>0.399204079619254</v>
      </c>
      <c r="AY33" s="4" t="n">
        <v>0.468708559702134</v>
      </c>
      <c r="AZ33" s="4" t="n">
        <v>0.946094184678169</v>
      </c>
      <c r="BA33" s="4" t="n">
        <v>0.589249805196398</v>
      </c>
      <c r="BB33" s="4" t="n">
        <v>0.94708046836897</v>
      </c>
      <c r="BC33" s="4" t="n">
        <v>0.635134179178508</v>
      </c>
      <c r="BD33" s="4" t="n">
        <v>0.91523532549824</v>
      </c>
      <c r="BE33" s="4" t="n">
        <v>0.880155598633235</v>
      </c>
      <c r="BF33" s="4" t="n">
        <v>0.0438138785016114</v>
      </c>
      <c r="BG33" s="4" t="n">
        <v>0.0200400414215647</v>
      </c>
      <c r="BH33" s="4" t="n">
        <v>0.82565840848476</v>
      </c>
      <c r="BI33" s="4" t="n">
        <v>0.149319817854665</v>
      </c>
      <c r="BJ33" s="4" t="n">
        <v>0.789181362571078</v>
      </c>
      <c r="BK33" s="4" t="n">
        <v>0.838782414891506</v>
      </c>
      <c r="BL33" s="4" t="n">
        <v>0.0595899774724613</v>
      </c>
      <c r="BM33" s="4" t="n">
        <v>0.477961230413801</v>
      </c>
      <c r="BN33" s="4" t="n">
        <v>0.817506075962577</v>
      </c>
      <c r="BO33" s="4" t="n">
        <v>0.547365956459253</v>
      </c>
      <c r="BP33" s="4" t="n">
        <v>0.339767021813786</v>
      </c>
      <c r="BQ33" s="4" t="n">
        <v>0.0493607178136733</v>
      </c>
      <c r="BR33" s="4" t="n">
        <v>0.689441112927976</v>
      </c>
      <c r="BS33" s="4" t="n">
        <v>0.363809533716177</v>
      </c>
      <c r="BT33" s="4" t="n">
        <v>0.97537359700919</v>
      </c>
      <c r="BU33" s="4" t="n">
        <v>0.376437513514165</v>
      </c>
      <c r="BV33" s="4" t="n">
        <v>0.174168583101154</v>
      </c>
      <c r="BW33" s="4" t="n">
        <v>0.229635020758006</v>
      </c>
      <c r="BX33" s="4" t="n">
        <v>0.633560682130062</v>
      </c>
      <c r="BY33" s="4" t="n">
        <v>0.0886421663143879</v>
      </c>
      <c r="BZ33" s="4" t="n">
        <v>0.920798663399989</v>
      </c>
      <c r="CA33" s="4" t="n">
        <v>0.639966406406837</v>
      </c>
      <c r="CB33" s="4" t="n">
        <v>0.904057088768379</v>
      </c>
      <c r="CC33" s="4" t="n">
        <v>0.771980508827689</v>
      </c>
      <c r="CD33" s="4" t="n">
        <v>0.607694977603717</v>
      </c>
      <c r="CE33" s="4" t="n">
        <v>0.122922822856368</v>
      </c>
      <c r="CF33" s="4" t="n">
        <v>0.937327732013512</v>
      </c>
      <c r="CG33" s="4" t="n">
        <v>0.0956557124074642</v>
      </c>
      <c r="CH33" s="4" t="n">
        <v>0.158026113826393</v>
      </c>
      <c r="CI33" s="4" t="n">
        <v>0.67050492264015</v>
      </c>
      <c r="CJ33" s="4" t="n">
        <v>0.484391966166591</v>
      </c>
      <c r="CK33" s="4" t="n">
        <v>0.531606051790241</v>
      </c>
      <c r="CL33" s="4" t="n">
        <v>0</v>
      </c>
      <c r="CN33" s="0" t="n">
        <f aca="false" t="array" ref="CN33:CN33">SUM($I$26:$J$26*$I33:$J33)/(1-SUM(IF($I$26:$J$26=0,$I6:$J6,0)))</f>
        <v>1.47001036141163</v>
      </c>
      <c r="CO33" s="4" t="n">
        <f aca="false" t="array" ref="CO33:CO33">SUM($C$26:$H$26*$C33:$H33,$K$26:$N$26*$K33:$N33,$R$26:$U$26*$R33:$U33,$X$26:$Z$26*$X33:$Z33,$AC$26*$AC33,$AW$26:$BA$26*$AW33:$BA33,$BF$26*$BF33,$BN$26:$BS$26*$BN33:$BS33,$BZ$26:$CA$26*$BZ33:$CA33,$CC$26:$CH$26*$CC33:$CH33)/(1-SUM(IF($C$26:$H$26=0,$C6:$H6,0),IF($K$26:$N$26=0,$K6:$N6,0),IF($R$26:$U$26=0,$R6:$U6,0),IF($X$26:$Z$26=0,$X6:$Z6,0),IF($AC$26=0,$AC6,0),IF($AW$26:$BA$26=0,$AW6:$BA6,0),IF($BF$26=0,$BF6,0),IF($BN$26:$BS$26=0,$BN6:$BS6,0),IF($BZ$26:$CA$26=0,$BZ6:$CA6,0),IF($CC$26:$CH$26=0,$CC6:$CH6,0)))</f>
        <v>46.3753513889924</v>
      </c>
      <c r="CP33" s="4" t="n">
        <f aca="false" t="array" ref="CP33:CP33">SUM($O$26:$Q$26*$O33:$Q33,$V$26:$W$26*$V33:$W33,$AA$26:$AB$26*$AA33:$AB33,$AD$26:$AV$26*$AD33:$AV33,$BB$26:$BE$26*$BB33:$BE33,$BG$26:$BM$26*$BG33:$BM33,$BT$26:$BY$26*$BT33:$BY33,$CB$26*$CB33,$CI$26:$CK$26*$CI33:$CK33)/(1-SUM(IF($O$26:$Q$26=0,$O6:$Q6,0),IF($V$26:$W$26=0,$V6:$W6,0),IF($AA$26:$AB$26=0,$AA6:$AB6,0),IF($AD$26:$AV$26=0,$AD6:$AV6,0),IF($BB$26:$BE$26=0,$BB6:$BE6,0),IF($BG$26:$BM$26=0,$BG6:$BM6,0),IF($BT$26:$BY$26=0,$BT6:$BY6,0),IF($CB$26=0,$CB6,0),IF($CI$26:$CK$26=0,$CI6:$CK6,0)))</f>
        <v>10.3354247402091</v>
      </c>
    </row>
    <row r="34" customFormat="false" ht="12.8" hidden="false" customHeight="false" outlineLevel="0" collapsed="false">
      <c r="A34" s="4" t="s">
        <v>139</v>
      </c>
      <c r="B34" s="7" t="s">
        <v>39</v>
      </c>
      <c r="C34" s="4" t="n">
        <v>0.294036455345897</v>
      </c>
      <c r="D34" s="4" t="n">
        <v>0.0242402200050558</v>
      </c>
      <c r="E34" s="4" t="n">
        <v>0.778358016242011</v>
      </c>
      <c r="F34" s="4" t="n">
        <v>0.0170597996769807</v>
      </c>
      <c r="G34" s="4" t="n">
        <v>0.966342576378963</v>
      </c>
      <c r="H34" s="4" t="n">
        <v>0.814956893827804</v>
      </c>
      <c r="I34" s="4" t="n">
        <v>0.941570981443956</v>
      </c>
      <c r="J34" s="4" t="n">
        <v>0.542536930093079</v>
      </c>
      <c r="K34" s="4" t="n">
        <v>0.484979851528074</v>
      </c>
      <c r="L34" s="4" t="n">
        <v>0.185548191735208</v>
      </c>
      <c r="M34" s="4" t="n">
        <v>0.587259069962679</v>
      </c>
      <c r="N34" s="4" t="n">
        <v>0.30489446770108</v>
      </c>
      <c r="O34" s="4" t="n">
        <v>0.439759518055594</v>
      </c>
      <c r="P34" s="4" t="n">
        <v>0.0464335086537605</v>
      </c>
      <c r="Q34" s="4" t="n">
        <v>0.494882363426508</v>
      </c>
      <c r="R34" s="4" t="n">
        <v>0.795735245757009</v>
      </c>
      <c r="S34" s="4" t="n">
        <v>0.599838317137148</v>
      </c>
      <c r="T34" s="4" t="n">
        <v>0.951855964044703</v>
      </c>
      <c r="U34" s="4" t="n">
        <v>0.584185644551547</v>
      </c>
      <c r="V34" s="4" t="n">
        <v>0.0621908311270912</v>
      </c>
      <c r="W34" s="4" t="n">
        <v>0.380326076969001</v>
      </c>
      <c r="X34" s="4" t="n">
        <v>0.250205991636785</v>
      </c>
      <c r="Y34" s="4" t="n">
        <v>0.518183730681056</v>
      </c>
      <c r="Z34" s="4" t="n">
        <v>0.757596556179332</v>
      </c>
      <c r="AA34" s="4" t="n">
        <v>0.119798044188491</v>
      </c>
      <c r="AB34" s="4" t="n">
        <v>0.887811238065238</v>
      </c>
      <c r="AC34" s="4" t="n">
        <v>0.638444571946195</v>
      </c>
      <c r="AD34" s="4" t="n">
        <v>0.449732369577875</v>
      </c>
      <c r="AE34" s="4" t="n">
        <v>0.421330703534337</v>
      </c>
      <c r="AF34" s="4" t="n">
        <v>0.170667098600278</v>
      </c>
      <c r="AG34" s="4" t="n">
        <v>0.637792122458399</v>
      </c>
      <c r="AH34" s="4" t="n">
        <v>0.397639646584917</v>
      </c>
      <c r="AI34" s="4" t="n">
        <v>0.926734187418793</v>
      </c>
      <c r="AJ34" s="4" t="n">
        <v>0.682516928055489</v>
      </c>
      <c r="AK34" s="4" t="n">
        <v>0.0379738588065312</v>
      </c>
      <c r="AL34" s="4" t="n">
        <v>0.548482431822073</v>
      </c>
      <c r="AM34" s="4" t="n">
        <v>0.931794728495642</v>
      </c>
      <c r="AN34" s="4" t="n">
        <v>0.15313726834568</v>
      </c>
      <c r="AO34" s="4" t="n">
        <v>0.388396187501578</v>
      </c>
      <c r="AP34" s="4" t="n">
        <v>0.863632264221568</v>
      </c>
      <c r="AQ34" s="4" t="n">
        <v>0.17489680530893</v>
      </c>
      <c r="AR34" s="4" t="n">
        <v>0.315423672805272</v>
      </c>
      <c r="AS34" s="4" t="n">
        <v>0.802094545969151</v>
      </c>
      <c r="AT34" s="4" t="n">
        <v>0.125300498768378</v>
      </c>
      <c r="AU34" s="4" t="n">
        <v>0.910481582471138</v>
      </c>
      <c r="AV34" s="4" t="n">
        <v>0.864221440060733</v>
      </c>
      <c r="AW34" s="4" t="n">
        <v>0.914340883103217</v>
      </c>
      <c r="AX34" s="4" t="n">
        <v>0.0879903218692051</v>
      </c>
      <c r="AY34" s="4" t="n">
        <v>0.966644883056815</v>
      </c>
      <c r="AZ34" s="4" t="n">
        <v>0.29469778795845</v>
      </c>
      <c r="BA34" s="4" t="n">
        <v>0.316791581457885</v>
      </c>
      <c r="BB34" s="4" t="n">
        <v>0.642717541741253</v>
      </c>
      <c r="BC34" s="4" t="n">
        <v>0.914781040468172</v>
      </c>
      <c r="BD34" s="4" t="n">
        <v>0.552374875841086</v>
      </c>
      <c r="BE34" s="4" t="n">
        <v>0.702436138039611</v>
      </c>
      <c r="BF34" s="4" t="n">
        <v>0.859673033328889</v>
      </c>
      <c r="BG34" s="4" t="n">
        <v>0.6955794734032</v>
      </c>
      <c r="BH34" s="4" t="n">
        <v>0.408480628623207</v>
      </c>
      <c r="BI34" s="4" t="n">
        <v>0.529860123770315</v>
      </c>
      <c r="BJ34" s="4" t="n">
        <v>0.476285648048194</v>
      </c>
      <c r="BK34" s="4" t="n">
        <v>0.969035750106361</v>
      </c>
      <c r="BL34" s="4" t="n">
        <v>0.933993182247103</v>
      </c>
      <c r="BM34" s="4" t="n">
        <v>0.696514704740331</v>
      </c>
      <c r="BN34" s="4" t="n">
        <v>0.74043417966805</v>
      </c>
      <c r="BO34" s="4" t="n">
        <v>0.90871934763104</v>
      </c>
      <c r="BP34" s="4" t="n">
        <v>0.78147734306793</v>
      </c>
      <c r="BQ34" s="4" t="n">
        <v>0.519835756494535</v>
      </c>
      <c r="BR34" s="4" t="n">
        <v>0.145274767482264</v>
      </c>
      <c r="BS34" s="4" t="n">
        <v>0.174741267315858</v>
      </c>
      <c r="BT34" s="4" t="n">
        <v>0.80584823032269</v>
      </c>
      <c r="BU34" s="4" t="n">
        <v>0.0161211881255788</v>
      </c>
      <c r="BV34" s="4" t="n">
        <v>0.931227775108856</v>
      </c>
      <c r="BW34" s="4" t="n">
        <v>0.117323072763801</v>
      </c>
      <c r="BX34" s="4" t="n">
        <v>0.695473983088356</v>
      </c>
      <c r="BY34" s="4" t="n">
        <v>0.590896111102994</v>
      </c>
      <c r="BZ34" s="4" t="n">
        <v>0.586348847262449</v>
      </c>
      <c r="CA34" s="4" t="n">
        <v>0.969219555824249</v>
      </c>
      <c r="CB34" s="4" t="n">
        <v>0.220228217393754</v>
      </c>
      <c r="CC34" s="4" t="n">
        <v>0.788133815989718</v>
      </c>
      <c r="CD34" s="4" t="n">
        <v>0.340352632241334</v>
      </c>
      <c r="CE34" s="4" t="n">
        <v>0.0359734734261961</v>
      </c>
      <c r="CF34" s="4" t="n">
        <v>0.945532526876053</v>
      </c>
      <c r="CG34" s="4" t="n">
        <v>0.544829052337915</v>
      </c>
      <c r="CH34" s="4" t="n">
        <v>0.897037281247796</v>
      </c>
      <c r="CI34" s="4" t="n">
        <v>0.450574544135308</v>
      </c>
      <c r="CJ34" s="4" t="n">
        <v>0.0650726488611299</v>
      </c>
      <c r="CK34" s="4" t="n">
        <v>0.153541941400785</v>
      </c>
      <c r="CL34" s="4" t="n">
        <v>0</v>
      </c>
      <c r="CN34" s="0" t="n">
        <f aca="false" t="array" ref="CN34:CN34">SUM($I$26:$J$26*$I34:$J34)/(1-SUM(IF($I$26:$J$26=0,$I7:$J7,0)))</f>
        <v>1.48410791153704</v>
      </c>
      <c r="CO34" s="4" t="n">
        <f aca="false" t="array" ref="CO34:CO34">SUM($C$26:$H$26*$C34:$H34,$K$26:$N$26*$K34:$N34,$R$26:$U$26*$R34:$U34,$X$26:$Z$26*$X34:$Z34,$AC$26*$AC34,$AW$26:$BA$26*$AW34:$BA34,$BF$26*$BF34,$BN$26:$BS$26*$BN34:$BS34,$BZ$26:$CA$26*$BZ34:$CA34,$CC$26:$CH$26*$CC34:$CH34)/(1-SUM(IF($C$26:$H$26=0,$C7:$H7,0),IF($K$26:$N$26=0,$K7:$N7,0),IF($R$26:$U$26=0,$R7:$U7,0),IF($X$26:$Z$26=0,$X7:$Z7,0),IF($AC$26=0,$AC7,0),IF($AW$26:$BA$26=0,$AW7:$BA7,0),IF($BF$26=0,$BF7,0),IF($BN$26:$BS$26=0,$BN7:$BS7,0),IF($BZ$26:$CA$26=0,$BZ7:$CA7,0),IF($CC$26:$CH$26=0,$CC7:$CH7,0)))</f>
        <v>5.80299357366534</v>
      </c>
      <c r="CP34" s="4" t="n">
        <f aca="false" t="array" ref="CP34:CP34">SUM($O$26:$Q$26*$O34:$Q34,$V$26:$W$26*$V34:$W34,$AA$26:$AB$26*$AA34:$AB34,$AD$26:$AV$26*$AD34:$AV34,$BB$26:$BE$26*$BB34:$BE34,$BG$26:$BM$26*$BG34:$BM34,$BT$26:$BY$26*$BT34:$BY34,$CB$26*$CB34,$CI$26:$CK$26*$CI34:$CK34)/(1-SUM(IF($O$26:$Q$26=0,$O7:$Q7,0),IF($V$26:$W$26=0,$V7:$W7,0),IF($AA$26:$AB$26=0,$AA7:$AB7,0),IF($AD$26:$AV$26=0,$AD7:$AV7,0),IF($BB$26:$BE$26=0,$BB7:$BE7,0),IF($BG$26:$BM$26=0,$BG7:$BM7,0),IF($BT$26:$BY$26=0,$BT7:$BY7,0),IF($CB$26=0,$CB7,0),IF($CI$26:$CK$26=0,$CI7:$CK7,0)))</f>
        <v>7.74095356322571</v>
      </c>
    </row>
    <row r="35" customFormat="false" ht="12.8" hidden="false" customHeight="false" outlineLevel="0" collapsed="false">
      <c r="A35" s="4" t="s">
        <v>140</v>
      </c>
      <c r="B35" s="7" t="s">
        <v>39</v>
      </c>
      <c r="C35" s="4" t="n">
        <v>0.65294776747731</v>
      </c>
      <c r="D35" s="4" t="n">
        <v>0.676682782478855</v>
      </c>
      <c r="E35" s="4" t="n">
        <v>0.738164077923407</v>
      </c>
      <c r="F35" s="4" t="n">
        <v>0.842698394441007</v>
      </c>
      <c r="G35" s="4" t="n">
        <v>0.264409270559524</v>
      </c>
      <c r="H35" s="4" t="n">
        <v>0.831325799979547</v>
      </c>
      <c r="I35" s="4" t="n">
        <v>0.724158559442454</v>
      </c>
      <c r="J35" s="4" t="n">
        <v>0.610147974600137</v>
      </c>
      <c r="K35" s="4" t="n">
        <v>0.588541865135493</v>
      </c>
      <c r="L35" s="4" t="n">
        <v>0.416590887769652</v>
      </c>
      <c r="M35" s="4" t="n">
        <v>0.726233798778911</v>
      </c>
      <c r="N35" s="4" t="n">
        <v>0.64543668234415</v>
      </c>
      <c r="O35" s="4" t="n">
        <v>0.225000052780074</v>
      </c>
      <c r="P35" s="4" t="n">
        <v>0.614103227251878</v>
      </c>
      <c r="Q35" s="4" t="n">
        <v>0.531037136062822</v>
      </c>
      <c r="R35" s="4" t="n">
        <v>0.195015417210863</v>
      </c>
      <c r="S35" s="4" t="n">
        <v>0.726852234009755</v>
      </c>
      <c r="T35" s="4" t="n">
        <v>0.652769255023504</v>
      </c>
      <c r="U35" s="4" t="n">
        <v>0.72649534079473</v>
      </c>
      <c r="V35" s="4" t="n">
        <v>0.620192943022733</v>
      </c>
      <c r="W35" s="4" t="n">
        <v>0.399159772105147</v>
      </c>
      <c r="X35" s="4" t="n">
        <v>0.704589002766415</v>
      </c>
      <c r="Y35" s="4" t="n">
        <v>0.874718772700778</v>
      </c>
      <c r="Z35" s="4" t="n">
        <v>0.698829168511242</v>
      </c>
      <c r="AA35" s="4" t="n">
        <v>0.761089120919481</v>
      </c>
      <c r="AB35" s="4" t="n">
        <v>0.121158915925443</v>
      </c>
      <c r="AC35" s="4" t="n">
        <v>0.358932230139839</v>
      </c>
      <c r="AD35" s="4" t="n">
        <v>0.905766533975586</v>
      </c>
      <c r="AE35" s="4" t="n">
        <v>0.0390822281698384</v>
      </c>
      <c r="AF35" s="4" t="n">
        <v>0.769017553698096</v>
      </c>
      <c r="AG35" s="4" t="n">
        <v>0.264116354485506</v>
      </c>
      <c r="AH35" s="4" t="n">
        <v>0.695682746072532</v>
      </c>
      <c r="AI35" s="4" t="n">
        <v>0.571634556584106</v>
      </c>
      <c r="AJ35" s="4" t="n">
        <v>0.634816799212361</v>
      </c>
      <c r="AK35" s="4" t="n">
        <v>0.145121360673626</v>
      </c>
      <c r="AL35" s="4" t="n">
        <v>0.948400830406819</v>
      </c>
      <c r="AM35" s="4" t="n">
        <v>0.319311201701583</v>
      </c>
      <c r="AN35" s="4" t="n">
        <v>0.0960829428481872</v>
      </c>
      <c r="AO35" s="4" t="n">
        <v>0.769356260706036</v>
      </c>
      <c r="AP35" s="4" t="n">
        <v>0.500331184081572</v>
      </c>
      <c r="AQ35" s="4" t="n">
        <v>0.0665998152254113</v>
      </c>
      <c r="AR35" s="4" t="n">
        <v>0.87520384771855</v>
      </c>
      <c r="AS35" s="4" t="n">
        <v>0.403755609890403</v>
      </c>
      <c r="AT35" s="4" t="n">
        <v>0.429464562767467</v>
      </c>
      <c r="AU35" s="4" t="n">
        <v>0.0795870463972154</v>
      </c>
      <c r="AV35" s="4" t="n">
        <v>0.0152672642238011</v>
      </c>
      <c r="AW35" s="4" t="n">
        <v>0.199760094195059</v>
      </c>
      <c r="AX35" s="4" t="n">
        <v>0.559866209078489</v>
      </c>
      <c r="AY35" s="4" t="n">
        <v>0.348922255116901</v>
      </c>
      <c r="AZ35" s="4" t="n">
        <v>0.739046595775331</v>
      </c>
      <c r="BA35" s="4" t="n">
        <v>0.0975208281406034</v>
      </c>
      <c r="BB35" s="4" t="n">
        <v>0.297039904989855</v>
      </c>
      <c r="BC35" s="4" t="n">
        <v>0.205704871267083</v>
      </c>
      <c r="BD35" s="4" t="n">
        <v>0.760408066582752</v>
      </c>
      <c r="BE35" s="4" t="n">
        <v>0.0609268993275758</v>
      </c>
      <c r="BF35" s="4" t="n">
        <v>0.102824227547327</v>
      </c>
      <c r="BG35" s="4" t="n">
        <v>0.86409464660715</v>
      </c>
      <c r="BH35" s="4" t="n">
        <v>0.655777591365962</v>
      </c>
      <c r="BI35" s="4" t="n">
        <v>0.570916837236682</v>
      </c>
      <c r="BJ35" s="4" t="n">
        <v>0.353749641778418</v>
      </c>
      <c r="BK35" s="4" t="n">
        <v>0.896842077095781</v>
      </c>
      <c r="BL35" s="4" t="n">
        <v>0.577098758112879</v>
      </c>
      <c r="BM35" s="4" t="n">
        <v>0.222609154101929</v>
      </c>
      <c r="BN35" s="4" t="n">
        <v>0.347118071418425</v>
      </c>
      <c r="BO35" s="4" t="n">
        <v>0.897157613497243</v>
      </c>
      <c r="BP35" s="4" t="n">
        <v>0.761008689484359</v>
      </c>
      <c r="BQ35" s="4" t="n">
        <v>0.339270723866956</v>
      </c>
      <c r="BR35" s="4" t="n">
        <v>0.427845610941818</v>
      </c>
      <c r="BS35" s="4" t="n">
        <v>0.872019813633814</v>
      </c>
      <c r="BT35" s="4" t="n">
        <v>0.62429448652259</v>
      </c>
      <c r="BU35" s="4" t="n">
        <v>0.0493895931165125</v>
      </c>
      <c r="BV35" s="4" t="n">
        <v>0.172301532013705</v>
      </c>
      <c r="BW35" s="4" t="n">
        <v>0.664787729221463</v>
      </c>
      <c r="BX35" s="4" t="n">
        <v>0.683216541581767</v>
      </c>
      <c r="BY35" s="4" t="n">
        <v>0.332710359597963</v>
      </c>
      <c r="BZ35" s="4" t="n">
        <v>0.484631400495447</v>
      </c>
      <c r="CA35" s="4" t="n">
        <v>0.0893848849047915</v>
      </c>
      <c r="CB35" s="4" t="n">
        <v>0.416326047351349</v>
      </c>
      <c r="CC35" s="4" t="n">
        <v>0.149492092122523</v>
      </c>
      <c r="CD35" s="4" t="n">
        <v>0.85569541083231</v>
      </c>
      <c r="CE35" s="4" t="n">
        <v>0.925592051886679</v>
      </c>
      <c r="CF35" s="4" t="n">
        <v>0.417454902429599</v>
      </c>
      <c r="CG35" s="4" t="n">
        <v>0.364647070633406</v>
      </c>
      <c r="CH35" s="4" t="n">
        <v>0.028198583648253</v>
      </c>
      <c r="CI35" s="4" t="n">
        <v>0.603048137100534</v>
      </c>
      <c r="CJ35" s="4" t="n">
        <v>0.128715702145383</v>
      </c>
      <c r="CK35" s="4" t="n">
        <v>0.698036239559829</v>
      </c>
      <c r="CL35" s="4" t="n">
        <v>0</v>
      </c>
      <c r="CN35" s="0" t="n">
        <f aca="false" t="array" ref="CN35:CN35">SUM($I$26:$J$26*$I35:$J35)/(1-SUM(IF($I$26:$J$26=0,$I8:$J8,0)))</f>
        <v>1.33430653404259</v>
      </c>
      <c r="CO35" s="4" t="n">
        <f aca="false" t="array" ref="CO35:CO35">SUM($C$26:$H$26*$C35:$H35,$K$26:$N$26*$K35:$N35,$R$26:$U$26*$R35:$U35,$X$26:$Z$26*$X35:$Z35,$AC$26*$AC35,$AW$26:$BA$26*$AW35:$BA35,$BF$26*$BF35,$BN$26:$BS$26*$BN35:$BS35,$BZ$26:$CA$26*$BZ35:$CA35,$CC$26:$CH$26*$CC35:$CH35)/(1-SUM(IF($C$26:$H$26=0,$C8:$H8,0),IF($K$26:$N$26=0,$K8:$N8,0),IF($R$26:$U$26=0,$R8:$U8,0),IF($X$26:$Z$26=0,$X8:$Z8,0),IF($AC$26=0,$AC8,0),IF($AW$26:$BA$26=0,$AW8:$BA8,0),IF($BF$26=0,$BF8,0),IF($BN$26:$BS$26=0,$BN8:$BS8,0),IF($BZ$26:$CA$26=0,$BZ8:$CA8,0),IF($CC$26:$CH$26=0,$CC8:$CH8,0)))</f>
        <v>4.90639569730219</v>
      </c>
      <c r="CP35" s="4" t="n">
        <f aca="false" t="array" ref="CP35:CP35">SUM($O$26:$Q$26*$O35:$Q35,$V$26:$W$26*$V35:$W35,$AA$26:$AB$26*$AA35:$AB35,$AD$26:$AV$26*$AD35:$AV35,$BB$26:$BE$26*$BB35:$BE35,$BG$26:$BM$26*$BG35:$BM35,$BT$26:$BY$26*$BT35:$BY35,$CB$26*$CB35,$CI$26:$CK$26*$CI35:$CK35)/(1-SUM(IF($O$26:$Q$26=0,$O8:$Q8,0),IF($V$26:$W$26=0,$V8:$W8,0),IF($AA$26:$AB$26=0,$AA8:$AB8,0),IF($AD$26:$AV$26=0,$AD8:$AV8,0),IF($BB$26:$BE$26=0,$BB8:$BE8,0),IF($BG$26:$BM$26=0,$BG8:$BM8,0),IF($BT$26:$BY$26=0,$BT8:$BY8,0),IF($CB$26=0,$CB8,0),IF($CI$26:$CK$26=0,$CI8:$CK8,0)))</f>
        <v>5.57824515519031</v>
      </c>
    </row>
    <row r="36" customFormat="false" ht="12.8" hidden="false" customHeight="false" outlineLevel="0" collapsed="false">
      <c r="A36" s="4" t="s">
        <v>141</v>
      </c>
      <c r="B36" s="7" t="s">
        <v>39</v>
      </c>
      <c r="C36" s="4" t="n">
        <v>0.972795022627404</v>
      </c>
      <c r="D36" s="4" t="n">
        <v>0.606763197849467</v>
      </c>
      <c r="E36" s="4" t="n">
        <v>0.950544645653607</v>
      </c>
      <c r="F36" s="4" t="n">
        <v>0.146798244683861</v>
      </c>
      <c r="G36" s="4" t="n">
        <v>0.974259849625744</v>
      </c>
      <c r="H36" s="4" t="n">
        <v>0.365085922746904</v>
      </c>
      <c r="I36" s="4" t="n">
        <v>0.807232717625735</v>
      </c>
      <c r="J36" s="4" t="n">
        <v>0.333087428445193</v>
      </c>
      <c r="K36" s="4" t="n">
        <v>0.856295154294798</v>
      </c>
      <c r="L36" s="4" t="n">
        <v>0.172939192780775</v>
      </c>
      <c r="M36" s="4" t="n">
        <v>0.0849648357777179</v>
      </c>
      <c r="N36" s="4" t="n">
        <v>0.689654010773886</v>
      </c>
      <c r="O36" s="4" t="n">
        <v>0.746281817591664</v>
      </c>
      <c r="P36" s="4" t="n">
        <v>0.903470834550542</v>
      </c>
      <c r="Q36" s="4" t="n">
        <v>0.335552441293393</v>
      </c>
      <c r="R36" s="4" t="n">
        <v>0.0612323327545701</v>
      </c>
      <c r="S36" s="4" t="n">
        <v>0.985751737169292</v>
      </c>
      <c r="T36" s="4" t="n">
        <v>0.554984520069298</v>
      </c>
      <c r="U36" s="4" t="n">
        <v>0.921585338997363</v>
      </c>
      <c r="V36" s="4" t="n">
        <v>0.794353895329144</v>
      </c>
      <c r="W36" s="4" t="n">
        <v>0.881433174233892</v>
      </c>
      <c r="X36" s="4" t="n">
        <v>0.309555247411671</v>
      </c>
      <c r="Y36" s="4" t="n">
        <v>0.684577725212087</v>
      </c>
      <c r="Z36" s="4" t="n">
        <v>0.91726783547044</v>
      </c>
      <c r="AA36" s="4" t="n">
        <v>0.818889900161791</v>
      </c>
      <c r="AB36" s="4" t="n">
        <v>0.799400889006244</v>
      </c>
      <c r="AC36" s="4" t="n">
        <v>0.128790087596841</v>
      </c>
      <c r="AD36" s="4" t="n">
        <v>0.208634769949559</v>
      </c>
      <c r="AE36" s="4" t="n">
        <v>0.556034391267739</v>
      </c>
      <c r="AF36" s="4" t="n">
        <v>0.266987667125137</v>
      </c>
      <c r="AG36" s="4" t="n">
        <v>0.607664757970923</v>
      </c>
      <c r="AH36" s="4" t="n">
        <v>0.938910379514359</v>
      </c>
      <c r="AI36" s="4" t="n">
        <v>0.27093593063646</v>
      </c>
      <c r="AJ36" s="4" t="n">
        <v>0.319498252534808</v>
      </c>
      <c r="AK36" s="4" t="n">
        <v>0.311039743902531</v>
      </c>
      <c r="AL36" s="4" t="n">
        <v>0.2125674915968</v>
      </c>
      <c r="AM36" s="4" t="n">
        <v>0.938237035474368</v>
      </c>
      <c r="AN36" s="4" t="n">
        <v>0.279438470578944</v>
      </c>
      <c r="AO36" s="4" t="n">
        <v>0.0686192631699715</v>
      </c>
      <c r="AP36" s="4" t="n">
        <v>0.933211068031748</v>
      </c>
      <c r="AQ36" s="4" t="n">
        <v>0.592832882334965</v>
      </c>
      <c r="AR36" s="4" t="n">
        <v>0.449853996254273</v>
      </c>
      <c r="AS36" s="4" t="n">
        <v>0.160471399537554</v>
      </c>
      <c r="AT36" s="4" t="n">
        <v>0.203502123256663</v>
      </c>
      <c r="AU36" s="4" t="n">
        <v>0.532281954782439</v>
      </c>
      <c r="AV36" s="4" t="n">
        <v>0.395364412268273</v>
      </c>
      <c r="AW36" s="4" t="n">
        <v>0.775336485605776</v>
      </c>
      <c r="AX36" s="4" t="n">
        <v>0.962267903593251</v>
      </c>
      <c r="AY36" s="4" t="n">
        <v>0.0817383959244968</v>
      </c>
      <c r="AZ36" s="4" t="n">
        <v>0.0966549254278334</v>
      </c>
      <c r="BA36" s="4" t="n">
        <v>0.823288735243719</v>
      </c>
      <c r="BB36" s="4" t="n">
        <v>0.483217074353564</v>
      </c>
      <c r="BC36" s="4" t="n">
        <v>0.0878986979246145</v>
      </c>
      <c r="BD36" s="4" t="n">
        <v>0.333143486131626</v>
      </c>
      <c r="BE36" s="4" t="n">
        <v>0.0995539605186638</v>
      </c>
      <c r="BF36" s="4" t="n">
        <v>0.870694097078151</v>
      </c>
      <c r="BG36" s="4" t="n">
        <v>0.639964913972722</v>
      </c>
      <c r="BH36" s="4" t="n">
        <v>0.201619728513368</v>
      </c>
      <c r="BI36" s="4" t="n">
        <v>0.899814322910197</v>
      </c>
      <c r="BJ36" s="4" t="n">
        <v>0.730384597992945</v>
      </c>
      <c r="BK36" s="4" t="n">
        <v>0.563251507829164</v>
      </c>
      <c r="BL36" s="4" t="n">
        <v>0.638336676117211</v>
      </c>
      <c r="BM36" s="4" t="n">
        <v>0.158641562734891</v>
      </c>
      <c r="BN36" s="4" t="n">
        <v>0.843824055724834</v>
      </c>
      <c r="BO36" s="4" t="n">
        <v>0.426324521546815</v>
      </c>
      <c r="BP36" s="4" t="n">
        <v>0.35336047952556</v>
      </c>
      <c r="BQ36" s="4" t="n">
        <v>0.64454610218233</v>
      </c>
      <c r="BR36" s="4" t="n">
        <v>0.362543934509441</v>
      </c>
      <c r="BS36" s="4" t="n">
        <v>0.36494143606774</v>
      </c>
      <c r="BT36" s="4" t="n">
        <v>0.441448023427927</v>
      </c>
      <c r="BU36" s="4" t="n">
        <v>0.751582085184145</v>
      </c>
      <c r="BV36" s="4" t="n">
        <v>0.803154464920425</v>
      </c>
      <c r="BW36" s="4" t="n">
        <v>0.0137555342454814</v>
      </c>
      <c r="BX36" s="4" t="n">
        <v>0.921338529683529</v>
      </c>
      <c r="BY36" s="4" t="n">
        <v>0.468754414092137</v>
      </c>
      <c r="BZ36" s="4" t="n">
        <v>0.914180310618376</v>
      </c>
      <c r="CA36" s="4" t="n">
        <v>0.332228777516109</v>
      </c>
      <c r="CB36" s="4" t="n">
        <v>0.288157915126045</v>
      </c>
      <c r="CC36" s="4" t="n">
        <v>0.995345333739379</v>
      </c>
      <c r="CD36" s="4" t="n">
        <v>0.371286632343585</v>
      </c>
      <c r="CE36" s="4" t="n">
        <v>0.0576879961629658</v>
      </c>
      <c r="CF36" s="4" t="n">
        <v>0.659921406120532</v>
      </c>
      <c r="CG36" s="4" t="n">
        <v>0.0115238323892931</v>
      </c>
      <c r="CH36" s="4" t="n">
        <v>0.571010651671852</v>
      </c>
      <c r="CI36" s="4" t="n">
        <v>0.133240091094698</v>
      </c>
      <c r="CJ36" s="4" t="n">
        <v>0.0926476262613435</v>
      </c>
      <c r="CK36" s="4" t="n">
        <v>0.865658780349973</v>
      </c>
      <c r="CL36" s="4" t="n">
        <v>0</v>
      </c>
      <c r="CN36" s="0" t="n">
        <f aca="false" t="array" ref="CN36:CN36">SUM($I$26:$J$26*$I36:$J36)/(1-SUM(IF($I$26:$J$26=0,$I9:$J9,0)))</f>
        <v>1.14032014607093</v>
      </c>
      <c r="CO36" s="4" t="n">
        <f aca="false" t="array" ref="CO36:CO36">SUM($C$26:$H$26*$C36:$H36,$K$26:$N$26*$K36:$N36,$R$26:$U$26*$R36:$U36,$X$26:$Z$26*$X36:$Z36,$AC$26*$AC36,$AW$26:$BA$26*$AW36:$BA36,$BF$26*$BF36,$BN$26:$BS$26*$BN36:$BS36,$BZ$26:$CA$26*$BZ36:$CA36,$CC$26:$CH$26*$CC36:$CH36)/(1-SUM(IF($C$26:$H$26=0,$C9:$H9,0),IF($K$26:$N$26=0,$K9:$N9,0),IF($R$26:$U$26=0,$R9:$U9,0),IF($X$26:$Z$26=0,$X9:$Z9,0),IF($AC$26=0,$AC9,0),IF($AW$26:$BA$26=0,$AW9:$BA9,0),IF($BF$26=0,$BF9,0),IF($BN$26:$BS$26=0,$BN9:$BS9,0),IF($BZ$26:$CA$26=0,$BZ9:$CA9,0),IF($CC$26:$CH$26=0,$CC9:$CH9,0)))</f>
        <v>6.6867221762511</v>
      </c>
      <c r="CP36" s="4" t="n">
        <f aca="false" t="array" ref="CP36:CP36">SUM($O$26:$Q$26*$O36:$Q36,$V$26:$W$26*$V36:$W36,$AA$26:$AB$26*$AA36:$AB36,$AD$26:$AV$26*$AD36:$AV36,$BB$26:$BE$26*$BB36:$BE36,$BG$26:$BM$26*$BG36:$BM36,$BT$26:$BY$26*$BT36:$BY36,$CB$26*$CB36,$CI$26:$CK$26*$CI36:$CK36)/(1-SUM(IF($O$26:$Q$26=0,$O9:$Q9,0),IF($V$26:$W$26=0,$V9:$W9,0),IF($AA$26:$AB$26=0,$AA9:$AB9,0),IF($AD$26:$AV$26=0,$AD9:$AV9,0),IF($BB$26:$BE$26=0,$BB9:$BE9,0),IF($BG$26:$BM$26=0,$BG9:$BM9,0),IF($BT$26:$BY$26=0,$BT9:$BY9,0),IF($CB$26=0,$CB9,0),IF($CI$26:$CK$26=0,$CI9:$CK9,0)))</f>
        <v>6.88288654433034</v>
      </c>
    </row>
    <row r="37" customFormat="false" ht="12.8" hidden="false" customHeight="false" outlineLevel="0" collapsed="false">
      <c r="A37" s="4" t="s">
        <v>142</v>
      </c>
      <c r="B37" s="7" t="s">
        <v>39</v>
      </c>
      <c r="C37" s="4" t="n">
        <v>0.663457146950294</v>
      </c>
      <c r="D37" s="4" t="n">
        <v>0.30934272814402</v>
      </c>
      <c r="E37" s="4" t="n">
        <v>0.109202769701489</v>
      </c>
      <c r="F37" s="4" t="n">
        <v>0.592134335395765</v>
      </c>
      <c r="G37" s="4" t="n">
        <v>0.440502510507821</v>
      </c>
      <c r="H37" s="4" t="n">
        <v>0.886049638616962</v>
      </c>
      <c r="I37" s="4" t="n">
        <v>0.350766337715985</v>
      </c>
      <c r="J37" s="4" t="n">
        <v>0.0268748818758182</v>
      </c>
      <c r="K37" s="4" t="n">
        <v>0.556782699520842</v>
      </c>
      <c r="L37" s="4" t="n">
        <v>0.0678481897835496</v>
      </c>
      <c r="M37" s="4" t="n">
        <v>0.601844692737123</v>
      </c>
      <c r="N37" s="4" t="n">
        <v>0.968498945670325</v>
      </c>
      <c r="O37" s="4" t="n">
        <v>0.800999008481308</v>
      </c>
      <c r="P37" s="4" t="n">
        <v>0.0189312521355513</v>
      </c>
      <c r="Q37" s="4" t="n">
        <v>0.0244884399176273</v>
      </c>
      <c r="R37" s="4" t="n">
        <v>0.178243753334264</v>
      </c>
      <c r="S37" s="4" t="n">
        <v>0.616555808391777</v>
      </c>
      <c r="T37" s="4" t="n">
        <v>0.603593115503281</v>
      </c>
      <c r="U37" s="4" t="n">
        <v>0.380011554792953</v>
      </c>
      <c r="V37" s="4" t="n">
        <v>0.321594560376571</v>
      </c>
      <c r="W37" s="4" t="n">
        <v>0.82071873841759</v>
      </c>
      <c r="X37" s="4" t="n">
        <v>0.259831040867351</v>
      </c>
      <c r="Y37" s="4" t="n">
        <v>0.618818057968824</v>
      </c>
      <c r="Z37" s="4" t="n">
        <v>0.140707829641738</v>
      </c>
      <c r="AA37" s="4" t="n">
        <v>0.0905724193307984</v>
      </c>
      <c r="AB37" s="4" t="n">
        <v>0.128887471999759</v>
      </c>
      <c r="AC37" s="4" t="n">
        <v>0.870679174436681</v>
      </c>
      <c r="AD37" s="4" t="n">
        <v>0.807516120700615</v>
      </c>
      <c r="AE37" s="4" t="n">
        <v>0.189952446193117</v>
      </c>
      <c r="AF37" s="4" t="n">
        <v>0.50385891057372</v>
      </c>
      <c r="AG37" s="4" t="n">
        <v>0.193829051963555</v>
      </c>
      <c r="AH37" s="4" t="n">
        <v>0.430614291442229</v>
      </c>
      <c r="AI37" s="4" t="n">
        <v>0.104062272111607</v>
      </c>
      <c r="AJ37" s="4" t="n">
        <v>0.720577617753267</v>
      </c>
      <c r="AK37" s="4" t="n">
        <v>0.706984569126011</v>
      </c>
      <c r="AL37" s="4" t="n">
        <v>0.507909220696777</v>
      </c>
      <c r="AM37" s="4" t="n">
        <v>0.244251039882767</v>
      </c>
      <c r="AN37" s="4" t="n">
        <v>0.160819478155616</v>
      </c>
      <c r="AO37" s="4" t="n">
        <v>0.503837524093995</v>
      </c>
      <c r="AP37" s="4" t="n">
        <v>0.783557011978579</v>
      </c>
      <c r="AQ37" s="4" t="n">
        <v>0.927737927314043</v>
      </c>
      <c r="AR37" s="4" t="n">
        <v>0.569045974179026</v>
      </c>
      <c r="AS37" s="4" t="n">
        <v>0.180488353342688</v>
      </c>
      <c r="AT37" s="4" t="n">
        <v>0.249291533328278</v>
      </c>
      <c r="AU37" s="4" t="n">
        <v>0.475053230956423</v>
      </c>
      <c r="AV37" s="4" t="n">
        <v>0.926749305497402</v>
      </c>
      <c r="AW37" s="4" t="n">
        <v>0.341987732581222</v>
      </c>
      <c r="AX37" s="4" t="n">
        <v>0.380465667383079</v>
      </c>
      <c r="AY37" s="4" t="n">
        <v>0.724284891727039</v>
      </c>
      <c r="AZ37" s="4" t="n">
        <v>0.139299732939927</v>
      </c>
      <c r="BA37" s="4" t="n">
        <v>0.692625407814824</v>
      </c>
      <c r="BB37" s="4" t="n">
        <v>0.977621517639126</v>
      </c>
      <c r="BC37" s="4" t="n">
        <v>0.350547362460212</v>
      </c>
      <c r="BD37" s="4" t="n">
        <v>0.198679933419589</v>
      </c>
      <c r="BE37" s="4" t="n">
        <v>0.893182395282223</v>
      </c>
      <c r="BF37" s="4" t="n">
        <v>0.00139559872110898</v>
      </c>
      <c r="BG37" s="4" t="n">
        <v>0.525955640142501</v>
      </c>
      <c r="BH37" s="4" t="n">
        <v>0.728817964797435</v>
      </c>
      <c r="BI37" s="4" t="n">
        <v>0.499231224914469</v>
      </c>
      <c r="BJ37" s="4" t="n">
        <v>0.965683796165027</v>
      </c>
      <c r="BK37" s="4" t="n">
        <v>0.850661396532387</v>
      </c>
      <c r="BL37" s="4" t="n">
        <v>0.775643924650712</v>
      </c>
      <c r="BM37" s="4" t="n">
        <v>0.633197631969236</v>
      </c>
      <c r="BN37" s="4" t="n">
        <v>0.576813740499357</v>
      </c>
      <c r="BO37" s="4" t="n">
        <v>0.547001283500729</v>
      </c>
      <c r="BP37" s="4" t="n">
        <v>0.851236615276481</v>
      </c>
      <c r="BQ37" s="4" t="n">
        <v>0.872968220718738</v>
      </c>
      <c r="BR37" s="4" t="n">
        <v>0.18042805214501</v>
      </c>
      <c r="BS37" s="4" t="n">
        <v>0.37322505520526</v>
      </c>
      <c r="BT37" s="4" t="n">
        <v>0.345524934921141</v>
      </c>
      <c r="BU37" s="4" t="n">
        <v>0.797332194956669</v>
      </c>
      <c r="BV37" s="4" t="n">
        <v>0.72149231625066</v>
      </c>
      <c r="BW37" s="4" t="n">
        <v>0.819768278894474</v>
      </c>
      <c r="BX37" s="4" t="n">
        <v>0.047521569234191</v>
      </c>
      <c r="BY37" s="4" t="n">
        <v>0.431101515352247</v>
      </c>
      <c r="BZ37" s="4" t="n">
        <v>0.0650122676296446</v>
      </c>
      <c r="CA37" s="4" t="n">
        <v>0.430354629326327</v>
      </c>
      <c r="CB37" s="4" t="n">
        <v>0.467693274104532</v>
      </c>
      <c r="CC37" s="4" t="n">
        <v>0.0786644544790635</v>
      </c>
      <c r="CD37" s="4" t="n">
        <v>0.686290175306721</v>
      </c>
      <c r="CE37" s="4" t="n">
        <v>0.708704450344756</v>
      </c>
      <c r="CF37" s="4" t="n">
        <v>0.900051009148014</v>
      </c>
      <c r="CG37" s="4" t="n">
        <v>0.791728843587584</v>
      </c>
      <c r="CH37" s="4" t="n">
        <v>0.992127019656568</v>
      </c>
      <c r="CI37" s="4" t="n">
        <v>0.915177558551391</v>
      </c>
      <c r="CJ37" s="4" t="n">
        <v>0.538160185937083</v>
      </c>
      <c r="CK37" s="4" t="n">
        <v>0.353302397389013</v>
      </c>
      <c r="CL37" s="4" t="n">
        <v>0</v>
      </c>
      <c r="CN37" s="0" t="n">
        <f aca="false" t="array" ref="CN37:CN37">SUM($I$26:$J$26*$I37:$J37)/(1-SUM(IF($I$26:$J$26=0,$I10:$J10,0)))</f>
        <v>0.377641219591803</v>
      </c>
      <c r="CO37" s="4" t="n">
        <f aca="false" t="array" ref="CO37:CO37">SUM($C$26:$H$26*$C37:$H37,$K$26:$N$26*$K37:$N37,$R$26:$U$26*$R37:$U37,$X$26:$Z$26*$X37:$Z37,$AC$26*$AC37,$AW$26:$BA$26*$AW37:$BA37,$BF$26*$BF37,$BN$26:$BS$26*$BN37:$BS37,$BZ$26:$CA$26*$BZ37:$CA37,$CC$26:$CH$26*$CC37:$CH37)/(1-SUM(IF($C$26:$H$26=0,$C10:$H10,0),IF($K$26:$N$26=0,$K10:$N10,0),IF($R$26:$U$26=0,$R10:$U10,0),IF($X$26:$Z$26=0,$X10:$Z10,0),IF($AC$26=0,$AC10,0),IF($AW$26:$BA$26=0,$AW10:$BA10,0),IF($BF$26=0,$BF10,0),IF($BN$26:$BS$26=0,$BN10:$BS10,0),IF($BZ$26:$CA$26=0,$BZ10:$CA10,0),IF($CC$26:$CH$26=0,$CC10:$CH10,0)))</f>
        <v>4.16242061752236</v>
      </c>
      <c r="CP37" s="4" t="n">
        <f aca="false" t="array" ref="CP37:CP37">SUM($O$26:$Q$26*$O37:$Q37,$V$26:$W$26*$V37:$W37,$AA$26:$AB$26*$AA37:$AB37,$AD$26:$AV$26*$AD37:$AV37,$BB$26:$BE$26*$BB37:$BE37,$BG$26:$BM$26*$BG37:$BM37,$BT$26:$BY$26*$BT37:$BY37,$CB$26*$CB37,$CI$26:$CK$26*$CI37:$CK37)/(1-SUM(IF($O$26:$Q$26=0,$O10:$Q10,0),IF($V$26:$W$26=0,$V10:$W10,0),IF($AA$26:$AB$26=0,$AA10:$AB10,0),IF($AD$26:$AV$26=0,$AD10:$AV10,0),IF($BB$26:$BE$26=0,$BB10:$BE10,0),IF($BG$26:$BM$26=0,$BG10:$BM10,0),IF($BT$26:$BY$26=0,$BT10:$BY10,0),IF($CB$26=0,$CB10,0),IF($CI$26:$CK$26=0,$CI10:$CK10,0)))</f>
        <v>7.29386573388368</v>
      </c>
    </row>
    <row r="38" customFormat="false" ht="12.8" hidden="false" customHeight="false" outlineLevel="0" collapsed="false">
      <c r="A38" s="4" t="s">
        <v>143</v>
      </c>
      <c r="B38" s="7" t="s">
        <v>39</v>
      </c>
      <c r="C38" s="4" t="n">
        <v>0.665114645580336</v>
      </c>
      <c r="D38" s="4" t="n">
        <v>0.0941839501253966</v>
      </c>
      <c r="E38" s="4" t="n">
        <v>0.9723629851266</v>
      </c>
      <c r="F38" s="4" t="n">
        <v>0.691542312170203</v>
      </c>
      <c r="G38" s="4" t="n">
        <v>0.80790314777844</v>
      </c>
      <c r="H38" s="4" t="n">
        <v>0.59253251880615</v>
      </c>
      <c r="I38" s="4" t="n">
        <v>0.48177899079076</v>
      </c>
      <c r="J38" s="4" t="n">
        <v>0.721864684709646</v>
      </c>
      <c r="K38" s="4" t="n">
        <v>0.104901059314442</v>
      </c>
      <c r="L38" s="4" t="n">
        <v>0.728524707954189</v>
      </c>
      <c r="M38" s="4" t="n">
        <v>0.725026204476492</v>
      </c>
      <c r="N38" s="4" t="n">
        <v>0.0497970487163576</v>
      </c>
      <c r="O38" s="4" t="n">
        <v>0.374459104498984</v>
      </c>
      <c r="P38" s="4" t="n">
        <v>0.540230813500373</v>
      </c>
      <c r="Q38" s="4" t="n">
        <v>0.508387852575018</v>
      </c>
      <c r="R38" s="4" t="n">
        <v>0.179445225323425</v>
      </c>
      <c r="S38" s="4" t="n">
        <v>0.426422627860543</v>
      </c>
      <c r="T38" s="4" t="n">
        <v>0.715059875491905</v>
      </c>
      <c r="U38" s="4" t="n">
        <v>0.324885157315925</v>
      </c>
      <c r="V38" s="4" t="n">
        <v>0.536267864614829</v>
      </c>
      <c r="W38" s="4" t="n">
        <v>0.741317200584185</v>
      </c>
      <c r="X38" s="4" t="n">
        <v>0.801363255023107</v>
      </c>
      <c r="Y38" s="4" t="n">
        <v>0.093557576684932</v>
      </c>
      <c r="Z38" s="4" t="n">
        <v>0.723506828987886</v>
      </c>
      <c r="AA38" s="4" t="n">
        <v>0.772672016433846</v>
      </c>
      <c r="AB38" s="4" t="n">
        <v>0.564504267607707</v>
      </c>
      <c r="AC38" s="4" t="n">
        <v>0.947003137411203</v>
      </c>
      <c r="AD38" s="4" t="n">
        <v>0.934262496317286</v>
      </c>
      <c r="AE38" s="4" t="n">
        <v>0.660435187552206</v>
      </c>
      <c r="AF38" s="4" t="n">
        <v>0.375475217190883</v>
      </c>
      <c r="AG38" s="4" t="n">
        <v>0.274930498127683</v>
      </c>
      <c r="AH38" s="4" t="n">
        <v>0.704335952802868</v>
      </c>
      <c r="AI38" s="4" t="n">
        <v>0.40712015774243</v>
      </c>
      <c r="AJ38" s="4" t="n">
        <v>0.358678722738588</v>
      </c>
      <c r="AK38" s="4" t="n">
        <v>0.775918986751994</v>
      </c>
      <c r="AL38" s="4" t="n">
        <v>0.541072446994846</v>
      </c>
      <c r="AM38" s="4" t="n">
        <v>0.0343242522698522</v>
      </c>
      <c r="AN38" s="4" t="n">
        <v>0.803160782951051</v>
      </c>
      <c r="AO38" s="4" t="n">
        <v>0.764250616685912</v>
      </c>
      <c r="AP38" s="4" t="n">
        <v>0.103077828684136</v>
      </c>
      <c r="AQ38" s="4" t="n">
        <v>0.628221861173437</v>
      </c>
      <c r="AR38" s="4" t="n">
        <v>0.648112885337345</v>
      </c>
      <c r="AS38" s="4" t="n">
        <v>0.294561039888173</v>
      </c>
      <c r="AT38" s="4" t="n">
        <v>0.592627284374145</v>
      </c>
      <c r="AU38" s="4" t="n">
        <v>0.0883498352647372</v>
      </c>
      <c r="AV38" s="4" t="n">
        <v>0.0431517103364467</v>
      </c>
      <c r="AW38" s="4" t="n">
        <v>0.83375254579728</v>
      </c>
      <c r="AX38" s="4" t="n">
        <v>0.255499190886706</v>
      </c>
      <c r="AY38" s="4" t="n">
        <v>0.562783450683325</v>
      </c>
      <c r="AZ38" s="4" t="n">
        <v>0.892472803094084</v>
      </c>
      <c r="BA38" s="4" t="n">
        <v>0.867050620654944</v>
      </c>
      <c r="BB38" s="4" t="n">
        <v>0.814117725657562</v>
      </c>
      <c r="BC38" s="4" t="n">
        <v>0.224373405962129</v>
      </c>
      <c r="BD38" s="4" t="n">
        <v>0.572959683933907</v>
      </c>
      <c r="BE38" s="4" t="n">
        <v>0.712157033885563</v>
      </c>
      <c r="BF38" s="4" t="n">
        <v>0.726508788153199</v>
      </c>
      <c r="BG38" s="4" t="n">
        <v>0.145724400920317</v>
      </c>
      <c r="BH38" s="4" t="n">
        <v>0.595933072149405</v>
      </c>
      <c r="BI38" s="4" t="n">
        <v>0.686916997268971</v>
      </c>
      <c r="BJ38" s="4" t="n">
        <v>0.0418064694264248</v>
      </c>
      <c r="BK38" s="4" t="n">
        <v>0.0252797505924305</v>
      </c>
      <c r="BL38" s="4" t="n">
        <v>0.364841073502785</v>
      </c>
      <c r="BM38" s="4" t="n">
        <v>0.436329736803276</v>
      </c>
      <c r="BN38" s="4" t="n">
        <v>0.206100246348361</v>
      </c>
      <c r="BO38" s="4" t="n">
        <v>0.901801924705298</v>
      </c>
      <c r="BP38" s="4" t="n">
        <v>0.929720319730084</v>
      </c>
      <c r="BQ38" s="4" t="n">
        <v>0.993852360016557</v>
      </c>
      <c r="BR38" s="4" t="n">
        <v>0.635977798873224</v>
      </c>
      <c r="BS38" s="4" t="n">
        <v>0.685127837861711</v>
      </c>
      <c r="BT38" s="4" t="n">
        <v>0.862569493851713</v>
      </c>
      <c r="BU38" s="4" t="n">
        <v>0.293954032276793</v>
      </c>
      <c r="BV38" s="4" t="n">
        <v>0.643327152879558</v>
      </c>
      <c r="BW38" s="4" t="n">
        <v>0.990164974859062</v>
      </c>
      <c r="BX38" s="4" t="n">
        <v>0.963180028106828</v>
      </c>
      <c r="BY38" s="4" t="n">
        <v>0.835309355938683</v>
      </c>
      <c r="BZ38" s="4" t="n">
        <v>0.157152527978213</v>
      </c>
      <c r="CA38" s="4" t="n">
        <v>0.166534917053172</v>
      </c>
      <c r="CB38" s="4" t="n">
        <v>0.700058407165425</v>
      </c>
      <c r="CC38" s="4" t="n">
        <v>0.153534213667805</v>
      </c>
      <c r="CD38" s="4" t="n">
        <v>0.980837955878944</v>
      </c>
      <c r="CE38" s="4" t="n">
        <v>0.943795660502284</v>
      </c>
      <c r="CF38" s="4" t="n">
        <v>0.225811483641923</v>
      </c>
      <c r="CG38" s="4" t="n">
        <v>0.652290798116533</v>
      </c>
      <c r="CH38" s="4" t="n">
        <v>0.0938981174151141</v>
      </c>
      <c r="CI38" s="4" t="n">
        <v>0.323592358575232</v>
      </c>
      <c r="CJ38" s="4" t="n">
        <v>0.474098754414573</v>
      </c>
      <c r="CK38" s="4" t="n">
        <v>0.086405746668943</v>
      </c>
      <c r="CL38" s="4" t="n">
        <v>0</v>
      </c>
      <c r="CN38" s="0" t="n">
        <f aca="false" t="array" ref="CN38:CN38">SUM($I$26:$J$26*$I38:$J38)/(1-SUM(IF($I$26:$J$26=0,$I11:$J11,0)))</f>
        <v>1.20364367550041</v>
      </c>
      <c r="CO38" s="4" t="n">
        <f aca="false" t="array" ref="CO38:CO38">SUM($C$26:$H$26*$C38:$H38,$K$26:$N$26*$K38:$N38,$R$26:$U$26*$R38:$U38,$X$26:$Z$26*$X38:$Z38,$AC$26*$AC38,$AW$26:$BA$26*$AW38:$BA38,$BF$26*$BF38,$BN$26:$BS$26*$BN38:$BS38,$BZ$26:$CA$26*$BZ38:$CA38,$CC$26:$CH$26*$CC38:$CH38)/(1-SUM(IF($C$26:$H$26=0,$C11:$H11,0),IF($K$26:$N$26=0,$K11:$N11,0),IF($R$26:$U$26=0,$R11:$U11,0),IF($X$26:$Z$26=0,$X11:$Z11,0),IF($AC$26=0,$AC11,0),IF($AW$26:$BA$26=0,$AW11:$BA11,0),IF($BF$26=0,$BF11,0),IF($BN$26:$BS$26=0,$BN11:$BS11,0),IF($BZ$26:$CA$26=0,$BZ11:$CA11,0),IF($CC$26:$CH$26=0,$CC11:$CH11,0)))</f>
        <v>5.94568219804752</v>
      </c>
      <c r="CP38" s="4" t="n">
        <f aca="false" t="array" ref="CP38:CP38">SUM($O$26:$Q$26*$O38:$Q38,$V$26:$W$26*$V38:$W38,$AA$26:$AB$26*$AA38:$AB38,$AD$26:$AV$26*$AD38:$AV38,$BB$26:$BE$26*$BB38:$BE38,$BG$26:$BM$26*$BG38:$BM38,$BT$26:$BY$26*$BT38:$BY38,$CB$26*$CB38,$CI$26:$CK$26*$CI38:$CK38)/(1-SUM(IF($O$26:$Q$26=0,$O11:$Q11,0),IF($V$26:$W$26=0,$V11:$W11,0),IF($AA$26:$AB$26=0,$AA11:$AB11,0),IF($AD$26:$AV$26=0,$AD11:$AV11,0),IF($BB$26:$BE$26=0,$BB11:$BE11,0),IF($BG$26:$BM$26=0,$BG11:$BM11,0),IF($BT$26:$BY$26=0,$BT11:$BY11,0),IF($CB$26=0,$CB11,0),IF($CI$26:$CK$26=0,$CI11:$CK11,0)))</f>
        <v>7.70567693753607</v>
      </c>
    </row>
    <row r="39" customFormat="false" ht="12.8" hidden="false" customHeight="false" outlineLevel="0" collapsed="false">
      <c r="A39" s="4" t="s">
        <v>144</v>
      </c>
      <c r="B39" s="7" t="s">
        <v>39</v>
      </c>
      <c r="C39" s="4" t="n">
        <v>0.337971308262109</v>
      </c>
      <c r="D39" s="4" t="n">
        <v>0.148386573634054</v>
      </c>
      <c r="E39" s="4" t="n">
        <v>0.619794597481243</v>
      </c>
      <c r="F39" s="4" t="n">
        <v>0.26883148281544</v>
      </c>
      <c r="G39" s="4" t="n">
        <v>0.0797236170260496</v>
      </c>
      <c r="H39" s="4" t="n">
        <v>0.58227039454887</v>
      </c>
      <c r="I39" s="4" t="n">
        <v>0.175622814423563</v>
      </c>
      <c r="J39" s="4" t="n">
        <v>0.220333024190394</v>
      </c>
      <c r="K39" s="4" t="n">
        <v>0.965918750637738</v>
      </c>
      <c r="L39" s="4" t="n">
        <v>0.653566958651118</v>
      </c>
      <c r="M39" s="4" t="n">
        <v>0.570988478729087</v>
      </c>
      <c r="N39" s="4" t="n">
        <v>0.126988953273467</v>
      </c>
      <c r="O39" s="4" t="n">
        <v>0.536208996598832</v>
      </c>
      <c r="P39" s="4" t="n">
        <v>0.721895550257605</v>
      </c>
      <c r="Q39" s="4" t="n">
        <v>0.729815789732302</v>
      </c>
      <c r="R39" s="4" t="n">
        <v>0.186361946957644</v>
      </c>
      <c r="S39" s="4" t="n">
        <v>0.259831881712703</v>
      </c>
      <c r="T39" s="4" t="n">
        <v>0.898574377129091</v>
      </c>
      <c r="U39" s="4" t="n">
        <v>0.134247251286354</v>
      </c>
      <c r="V39" s="4" t="n">
        <v>0.795329658603285</v>
      </c>
      <c r="W39" s="4" t="n">
        <v>0.804967851031297</v>
      </c>
      <c r="X39" s="4" t="n">
        <v>0.39212973625492</v>
      </c>
      <c r="Y39" s="4" t="n">
        <v>0.667079811910681</v>
      </c>
      <c r="Z39" s="4" t="n">
        <v>0.551499336394302</v>
      </c>
      <c r="AA39" s="4" t="n">
        <v>0.655921149737395</v>
      </c>
      <c r="AB39" s="4" t="n">
        <v>0.533897893172566</v>
      </c>
      <c r="AC39" s="4" t="n">
        <v>0.714924901894591</v>
      </c>
      <c r="AD39" s="4" t="n">
        <v>0.508739074384151</v>
      </c>
      <c r="AE39" s="4" t="n">
        <v>0.322380315190124</v>
      </c>
      <c r="AF39" s="4" t="n">
        <v>0.856754558484119</v>
      </c>
      <c r="AG39" s="4" t="n">
        <v>0.246813772955121</v>
      </c>
      <c r="AH39" s="4" t="n">
        <v>0.16107236275483</v>
      </c>
      <c r="AI39" s="4" t="n">
        <v>0.667679949759119</v>
      </c>
      <c r="AJ39" s="4" t="n">
        <v>0.339430318322693</v>
      </c>
      <c r="AK39" s="4" t="n">
        <v>0.752833037106337</v>
      </c>
      <c r="AL39" s="4" t="n">
        <v>0.928285615051503</v>
      </c>
      <c r="AM39" s="4" t="n">
        <v>0.680215698934819</v>
      </c>
      <c r="AN39" s="4" t="n">
        <v>0.697382487499475</v>
      </c>
      <c r="AO39" s="4" t="n">
        <v>0.975497011539848</v>
      </c>
      <c r="AP39" s="4" t="n">
        <v>0.799791937930049</v>
      </c>
      <c r="AQ39" s="4" t="n">
        <v>0.0269522616653456</v>
      </c>
      <c r="AR39" s="4" t="n">
        <v>0.162400720251722</v>
      </c>
      <c r="AS39" s="4" t="n">
        <v>0.285883843167924</v>
      </c>
      <c r="AT39" s="4" t="n">
        <v>0.482923696574394</v>
      </c>
      <c r="AU39" s="4" t="n">
        <v>0.461730927899777</v>
      </c>
      <c r="AV39" s="4" t="n">
        <v>0.088965323963638</v>
      </c>
      <c r="AW39" s="4" t="n">
        <v>0.206190226763104</v>
      </c>
      <c r="AX39" s="4" t="n">
        <v>0.396530466648207</v>
      </c>
      <c r="AY39" s="4" t="n">
        <v>0.774471480593134</v>
      </c>
      <c r="AZ39" s="4" t="n">
        <v>0.83473023995616</v>
      </c>
      <c r="BA39" s="4" t="n">
        <v>0.663076387307747</v>
      </c>
      <c r="BB39" s="4" t="n">
        <v>0.130463947096325</v>
      </c>
      <c r="BC39" s="4" t="n">
        <v>0.571961489306788</v>
      </c>
      <c r="BD39" s="4" t="n">
        <v>0.496947895146084</v>
      </c>
      <c r="BE39" s="4" t="n">
        <v>0.456562675236352</v>
      </c>
      <c r="BF39" s="4" t="n">
        <v>0.257730588742728</v>
      </c>
      <c r="BG39" s="4" t="n">
        <v>0.810956989838416</v>
      </c>
      <c r="BH39" s="4" t="n">
        <v>0.684559861351822</v>
      </c>
      <c r="BI39" s="4" t="n">
        <v>0.622692579214655</v>
      </c>
      <c r="BJ39" s="4" t="n">
        <v>0.590541986957561</v>
      </c>
      <c r="BK39" s="4" t="n">
        <v>0.511620594366497</v>
      </c>
      <c r="BL39" s="4" t="n">
        <v>0.796494013855715</v>
      </c>
      <c r="BM39" s="4" t="n">
        <v>0.566003896881797</v>
      </c>
      <c r="BN39" s="4" t="n">
        <v>0.648392297018721</v>
      </c>
      <c r="BO39" s="4" t="n">
        <v>0.59123277331942</v>
      </c>
      <c r="BP39" s="4" t="n">
        <v>0.470665692008316</v>
      </c>
      <c r="BQ39" s="4" t="n">
        <v>0.503060335387891</v>
      </c>
      <c r="BR39" s="4" t="n">
        <v>0.463176162896545</v>
      </c>
      <c r="BS39" s="4" t="n">
        <v>0.0975841884112894</v>
      </c>
      <c r="BT39" s="4" t="n">
        <v>0.774469284594743</v>
      </c>
      <c r="BU39" s="4" t="n">
        <v>0.85017030331134</v>
      </c>
      <c r="BV39" s="4" t="n">
        <v>0.296493787660843</v>
      </c>
      <c r="BW39" s="4" t="n">
        <v>0.200978955424164</v>
      </c>
      <c r="BX39" s="4" t="n">
        <v>0.875283331749772</v>
      </c>
      <c r="BY39" s="4" t="n">
        <v>0.886458598790336</v>
      </c>
      <c r="BZ39" s="4" t="n">
        <v>0.486715575665308</v>
      </c>
      <c r="CA39" s="4" t="n">
        <v>0.106316469487627</v>
      </c>
      <c r="CB39" s="4" t="n">
        <v>0.91927615214514</v>
      </c>
      <c r="CC39" s="4" t="n">
        <v>0.114217652282446</v>
      </c>
      <c r="CD39" s="4" t="n">
        <v>0.325410192327744</v>
      </c>
      <c r="CE39" s="4" t="n">
        <v>0.538533638007048</v>
      </c>
      <c r="CF39" s="4" t="n">
        <v>0.989819027315771</v>
      </c>
      <c r="CG39" s="4" t="n">
        <v>0.59952312646737</v>
      </c>
      <c r="CH39" s="4" t="n">
        <v>0.78212535075752</v>
      </c>
      <c r="CI39" s="4" t="n">
        <v>0.943138984230711</v>
      </c>
      <c r="CJ39" s="4" t="n">
        <v>0.692740469279028</v>
      </c>
      <c r="CK39" s="4" t="n">
        <v>0.957817235922876</v>
      </c>
      <c r="CL39" s="4" t="n">
        <v>0</v>
      </c>
      <c r="CN39" s="0" t="n">
        <f aca="false" t="array" ref="CN39:CN39">SUM($I$26:$J$26*$I39:$J39)/(1-SUM(IF($I$26:$J$26=0,$I12:$J12,0)))</f>
        <v>0.395955838613957</v>
      </c>
      <c r="CO39" s="4" t="n">
        <f aca="false" t="array" ref="CO39:CO39">SUM($C$26:$H$26*$C39:$H39,$K$26:$N$26*$K39:$N39,$R$26:$U$26*$R39:$U39,$X$26:$Z$26*$X39:$Z39,$AC$26*$AC39,$AW$26:$BA$26*$AW39:$BA39,$BF$26*$BF39,$BN$26:$BS$26*$BN39:$BS39,$BZ$26:$CA$26*$BZ39:$CA39,$CC$26:$CH$26*$CC39:$CH39)/(1-SUM(IF($C$26:$H$26=0,$C12:$H12,0),IF($K$26:$N$26=0,$K12:$N12,0),IF($R$26:$U$26=0,$R12:$U12,0),IF($X$26:$Z$26=0,$X12:$Z12,0),IF($AC$26=0,$AC12,0),IF($AW$26:$BA$26=0,$AW12:$BA12,0),IF($BF$26=0,$BF12,0),IF($BN$26:$BS$26=0,$BN12:$BS12,0),IF($BZ$26:$CA$26=0,$BZ12:$CA12,0),IF($CC$26:$CH$26=0,$CC12:$CH12,0)))</f>
        <v>4.24942045310717</v>
      </c>
      <c r="CP39" s="4" t="n">
        <f aca="false" t="array" ref="CP39:CP39">SUM($O$26:$Q$26*$O39:$Q39,$V$26:$W$26*$V39:$W39,$AA$26:$AB$26*$AA39:$AB39,$AD$26:$AV$26*$AD39:$AV39,$BB$26:$BE$26*$BB39:$BE39,$BG$26:$BM$26*$BG39:$BM39,$BT$26:$BY$26*$BT39:$BY39,$CB$26*$CB39,$CI$26:$CK$26*$CI39:$CK39)/(1-SUM(IF($O$26:$Q$26=0,$O12:$Q12,0),IF($V$26:$W$26=0,$V12:$W12,0),IF($AA$26:$AB$26=0,$AA12:$AB12,0),IF($AD$26:$AV$26=0,$AD12:$AV12,0),IF($BB$26:$BE$26=0,$BB12:$BE12,0),IF($BG$26:$BM$26=0,$BG12:$BM12,0),IF($BT$26:$BY$26=0,$BT12:$BY12,0),IF($CB$26=0,$CB12,0),IF($CI$26:$CK$26=0,$CI12:$CK12,0)))</f>
        <v>10.1238192042758</v>
      </c>
    </row>
    <row r="40" customFormat="false" ht="12.8" hidden="false" customHeight="false" outlineLevel="0" collapsed="false">
      <c r="A40" s="4" t="s">
        <v>145</v>
      </c>
      <c r="B40" s="7" t="s">
        <v>39</v>
      </c>
      <c r="C40" s="4" t="n">
        <v>0.132496047081847</v>
      </c>
      <c r="D40" s="4" t="n">
        <v>0.392445215402367</v>
      </c>
      <c r="E40" s="4" t="n">
        <v>0.575036076178496</v>
      </c>
      <c r="F40" s="4" t="n">
        <v>0.989210761185425</v>
      </c>
      <c r="G40" s="4" t="n">
        <v>0.58132166145204</v>
      </c>
      <c r="H40" s="4" t="n">
        <v>0.0101610508645217</v>
      </c>
      <c r="I40" s="4" t="n">
        <v>0.397868922595813</v>
      </c>
      <c r="J40" s="4" t="n">
        <v>0.731889696504919</v>
      </c>
      <c r="K40" s="4" t="n">
        <v>0.731552207261978</v>
      </c>
      <c r="L40" s="4" t="n">
        <v>0.381858525529774</v>
      </c>
      <c r="M40" s="4" t="n">
        <v>0.344027821794333</v>
      </c>
      <c r="N40" s="4" t="n">
        <v>0.857998751791958</v>
      </c>
      <c r="O40" s="4" t="n">
        <v>0.739509453835837</v>
      </c>
      <c r="P40" s="4" t="n">
        <v>0.550979864596227</v>
      </c>
      <c r="Q40" s="4" t="n">
        <v>0.974839767225343</v>
      </c>
      <c r="R40" s="4" t="n">
        <v>0.320585820787723</v>
      </c>
      <c r="S40" s="4" t="n">
        <v>0.516109927221608</v>
      </c>
      <c r="T40" s="4" t="n">
        <v>0.970637417341518</v>
      </c>
      <c r="U40" s="4" t="n">
        <v>0.628062548073442</v>
      </c>
      <c r="V40" s="4" t="n">
        <v>0.695978126950254</v>
      </c>
      <c r="W40" s="4" t="n">
        <v>0.697083068313653</v>
      </c>
      <c r="X40" s="4" t="n">
        <v>0.696827150615301</v>
      </c>
      <c r="Y40" s="4" t="n">
        <v>0.526547381301078</v>
      </c>
      <c r="Z40" s="4" t="n">
        <v>0.436846911143387</v>
      </c>
      <c r="AA40" s="4" t="n">
        <v>0.466183082659986</v>
      </c>
      <c r="AB40" s="4" t="n">
        <v>0.634453969941115</v>
      </c>
      <c r="AC40" s="4" t="n">
        <v>0.228654679863777</v>
      </c>
      <c r="AD40" s="4" t="n">
        <v>0.0918568497312257</v>
      </c>
      <c r="AE40" s="4" t="n">
        <v>0.654216131503695</v>
      </c>
      <c r="AF40" s="4" t="n">
        <v>0.53653053605248</v>
      </c>
      <c r="AG40" s="4" t="n">
        <v>0.155928880458727</v>
      </c>
      <c r="AH40" s="4" t="n">
        <v>0.501492403278678</v>
      </c>
      <c r="AI40" s="4" t="n">
        <v>0.000759992585940675</v>
      </c>
      <c r="AJ40" s="4" t="n">
        <v>0.791811499336301</v>
      </c>
      <c r="AK40" s="4" t="n">
        <v>0.932096349254693</v>
      </c>
      <c r="AL40" s="4" t="n">
        <v>0.502659971176891</v>
      </c>
      <c r="AM40" s="4" t="n">
        <v>0.887345515156575</v>
      </c>
      <c r="AN40" s="4" t="n">
        <v>0.702824470794339</v>
      </c>
      <c r="AO40" s="4" t="n">
        <v>0.725000171817149</v>
      </c>
      <c r="AP40" s="4" t="n">
        <v>0.846033696570875</v>
      </c>
      <c r="AQ40" s="4" t="n">
        <v>0.20880943823189</v>
      </c>
      <c r="AR40" s="4" t="n">
        <v>0.353164260725714</v>
      </c>
      <c r="AS40" s="4" t="n">
        <v>0.538476155785313</v>
      </c>
      <c r="AT40" s="4" t="n">
        <v>0.472263410525147</v>
      </c>
      <c r="AU40" s="4" t="n">
        <v>0.0687431243554194</v>
      </c>
      <c r="AV40" s="4" t="n">
        <v>0.404102248618526</v>
      </c>
      <c r="AW40" s="4" t="n">
        <v>0.269675232850816</v>
      </c>
      <c r="AX40" s="4" t="n">
        <v>0.39121124696034</v>
      </c>
      <c r="AY40" s="4" t="n">
        <v>0.106846890677692</v>
      </c>
      <c r="AZ40" s="4" t="n">
        <v>0.730169811184174</v>
      </c>
      <c r="BA40" s="4" t="n">
        <v>0.479275414066836</v>
      </c>
      <c r="BB40" s="4" t="n">
        <v>0.790415352098327</v>
      </c>
      <c r="BC40" s="4" t="n">
        <v>0.213108903998057</v>
      </c>
      <c r="BD40" s="4" t="n">
        <v>0.877010994245783</v>
      </c>
      <c r="BE40" s="4" t="n">
        <v>0.551000934434462</v>
      </c>
      <c r="BF40" s="4" t="n">
        <v>0.300020340588346</v>
      </c>
      <c r="BG40" s="4" t="n">
        <v>0.536894870789415</v>
      </c>
      <c r="BH40" s="4" t="n">
        <v>0.957225922237485</v>
      </c>
      <c r="BI40" s="4" t="n">
        <v>0.0202207354957699</v>
      </c>
      <c r="BJ40" s="4" t="n">
        <v>0.451908057185196</v>
      </c>
      <c r="BK40" s="4" t="n">
        <v>0.232627915478716</v>
      </c>
      <c r="BL40" s="4" t="n">
        <v>0.863263834664646</v>
      </c>
      <c r="BM40" s="4" t="n">
        <v>0.667211929168319</v>
      </c>
      <c r="BN40" s="4" t="n">
        <v>0.950316112114744</v>
      </c>
      <c r="BO40" s="4" t="n">
        <v>0.873425881718383</v>
      </c>
      <c r="BP40" s="4" t="n">
        <v>0.140278210578671</v>
      </c>
      <c r="BQ40" s="4" t="n">
        <v>0.67750573476952</v>
      </c>
      <c r="BR40" s="4" t="n">
        <v>0.408816400251394</v>
      </c>
      <c r="BS40" s="4" t="n">
        <v>0.0639707744087766</v>
      </c>
      <c r="BT40" s="4" t="n">
        <v>0.340100632755626</v>
      </c>
      <c r="BU40" s="4" t="n">
        <v>0.899951419012972</v>
      </c>
      <c r="BV40" s="4" t="n">
        <v>0.598976954457206</v>
      </c>
      <c r="BW40" s="4" t="n">
        <v>0.23215377854862</v>
      </c>
      <c r="BX40" s="4" t="n">
        <v>0.166819969045011</v>
      </c>
      <c r="BY40" s="4" t="n">
        <v>0.351500675165048</v>
      </c>
      <c r="BZ40" s="4" t="n">
        <v>0.339376934233816</v>
      </c>
      <c r="CA40" s="4" t="n">
        <v>0.572943844781589</v>
      </c>
      <c r="CB40" s="4" t="n">
        <v>0.880278754465591</v>
      </c>
      <c r="CC40" s="4" t="n">
        <v>0.897625356887258</v>
      </c>
      <c r="CD40" s="4" t="n">
        <v>0.681952370333733</v>
      </c>
      <c r="CE40" s="4" t="n">
        <v>0.196405064104876</v>
      </c>
      <c r="CF40" s="4" t="n">
        <v>0.782156637953206</v>
      </c>
      <c r="CG40" s="4" t="n">
        <v>0.541002095085171</v>
      </c>
      <c r="CH40" s="4" t="n">
        <v>0.585226045367355</v>
      </c>
      <c r="CI40" s="4" t="n">
        <v>0.965013417574384</v>
      </c>
      <c r="CJ40" s="4" t="n">
        <v>0.922561010947946</v>
      </c>
      <c r="CK40" s="4" t="n">
        <v>0.519885708906495</v>
      </c>
      <c r="CL40" s="4" t="n">
        <v>0</v>
      </c>
      <c r="CN40" s="0" t="n">
        <f aca="false" t="array" ref="CN40:CN40">SUM($I$26:$J$26*$I40:$J40)/(1-SUM(IF($I$26:$J$26=0,$I13:$J13,0)))</f>
        <v>1.12975861910073</v>
      </c>
      <c r="CO40" s="4" t="n">
        <f aca="false" t="array" ref="CO40:CO40">SUM($C$26:$H$26*$C40:$H40,$K$26:$N$26*$K40:$N40,$R$26:$U$26*$R40:$U40,$X$26:$Z$26*$X40:$Z40,$AC$26*$AC40,$AW$26:$BA$26*$AW40:$BA40,$BF$26*$BF40,$BN$26:$BS$26*$BN40:$BS40,$BZ$26:$CA$26*$BZ40:$CA40,$CC$26:$CH$26*$CC40:$CH40)/(1-SUM(IF($C$26:$H$26=0,$C13:$H13,0),IF($K$26:$N$26=0,$K13:$N13,0),IF($R$26:$U$26=0,$R13:$U13,0),IF($X$26:$Z$26=0,$X13:$Z13,0),IF($AC$26=0,$AC13,0),IF($AW$26:$BA$26=0,$AW13:$BA13,0),IF($BF$26=0,$BF13,0),IF($BN$26:$BS$26=0,$BN13:$BS13,0),IF($BZ$26:$CA$26=0,$BZ13:$CA13,0),IF($CC$26:$CH$26=0,$CC13:$CH13,0)))</f>
        <v>10.8213433983077</v>
      </c>
      <c r="CP40" s="4" t="n">
        <f aca="false" t="array" ref="CP40:CP40">SUM($O$26:$Q$26*$O40:$Q40,$V$26:$W$26*$V40:$W40,$AA$26:$AB$26*$AA40:$AB40,$AD$26:$AV$26*$AD40:$AV40,$BB$26:$BE$26*$BB40:$BE40,$BG$26:$BM$26*$BG40:$BM40,$BT$26:$BY$26*$BT40:$BY40,$CB$26*$CB40,$CI$26:$CK$26*$CI40:$CK40)/(1-SUM(IF($O$26:$Q$26=0,$O13:$Q13,0),IF($V$26:$W$26=0,$V13:$W13,0),IF($AA$26:$AB$26=0,$AA13:$AB13,0),IF($AD$26:$AV$26=0,$AD13:$AV13,0),IF($BB$26:$BE$26=0,$BB13:$BE13,0),IF($BG$26:$BM$26=0,$BG13:$BM13,0),IF($BT$26:$BY$26=0,$BT13:$BY13,0),IF($CB$26=0,$CB13,0),IF($CI$26:$CK$26=0,$CI13:$CK13,0)))</f>
        <v>9.10255529141391</v>
      </c>
    </row>
    <row r="41" customFormat="false" ht="12.8" hidden="false" customHeight="false" outlineLevel="0" collapsed="false">
      <c r="A41" s="4" t="s">
        <v>147</v>
      </c>
      <c r="B41" s="7" t="s">
        <v>39</v>
      </c>
      <c r="C41" s="4" t="n">
        <v>0.732127140993365</v>
      </c>
      <c r="D41" s="4" t="n">
        <v>0.418049358123854</v>
      </c>
      <c r="E41" s="4" t="n">
        <v>0.690186081403615</v>
      </c>
      <c r="F41" s="4" t="n">
        <v>0.948568057241351</v>
      </c>
      <c r="G41" s="4" t="n">
        <v>0.690477554781309</v>
      </c>
      <c r="H41" s="4" t="n">
        <v>0.448581162659662</v>
      </c>
      <c r="I41" s="4" t="n">
        <v>0.60215405015515</v>
      </c>
      <c r="J41" s="4" t="n">
        <v>0.273952582156593</v>
      </c>
      <c r="K41" s="4" t="n">
        <v>0.0714204752294632</v>
      </c>
      <c r="L41" s="4" t="n">
        <v>0.790166496561755</v>
      </c>
      <c r="M41" s="4" t="n">
        <v>0.158610694146467</v>
      </c>
      <c r="N41" s="4" t="n">
        <v>0.226209477171792</v>
      </c>
      <c r="O41" s="4" t="n">
        <v>0.990825086615637</v>
      </c>
      <c r="P41" s="4" t="n">
        <v>0.278008025260028</v>
      </c>
      <c r="Q41" s="4" t="n">
        <v>0.832142922917444</v>
      </c>
      <c r="R41" s="4" t="n">
        <v>0.388804068768212</v>
      </c>
      <c r="S41" s="4" t="n">
        <v>0.408914084617648</v>
      </c>
      <c r="T41" s="4" t="n">
        <v>0.791449668089249</v>
      </c>
      <c r="U41" s="4" t="n">
        <v>0.166486260109419</v>
      </c>
      <c r="V41" s="4" t="n">
        <v>0.732413707795089</v>
      </c>
      <c r="W41" s="4" t="n">
        <v>0.0857699964041725</v>
      </c>
      <c r="X41" s="4" t="n">
        <v>0.916708262479369</v>
      </c>
      <c r="Y41" s="4" t="n">
        <v>0.417650622454207</v>
      </c>
      <c r="Z41" s="4" t="n">
        <v>0.710906186274898</v>
      </c>
      <c r="AA41" s="4" t="n">
        <v>0.811401745562079</v>
      </c>
      <c r="AB41" s="4" t="n">
        <v>0.141813285341394</v>
      </c>
      <c r="AC41" s="4" t="n">
        <v>0.7583871936057</v>
      </c>
      <c r="AD41" s="4" t="n">
        <v>0.428319915317669</v>
      </c>
      <c r="AE41" s="4" t="n">
        <v>0.811883385744926</v>
      </c>
      <c r="AF41" s="4" t="n">
        <v>0.504236717013775</v>
      </c>
      <c r="AG41" s="4" t="n">
        <v>0.79859559033893</v>
      </c>
      <c r="AH41" s="4" t="n">
        <v>0.510132837753555</v>
      </c>
      <c r="AI41" s="4" t="n">
        <v>0.253907455186836</v>
      </c>
      <c r="AJ41" s="4" t="n">
        <v>0.264592290479615</v>
      </c>
      <c r="AK41" s="4" t="n">
        <v>0.809975871552237</v>
      </c>
      <c r="AL41" s="4" t="n">
        <v>0.483153342156355</v>
      </c>
      <c r="AM41" s="4" t="n">
        <v>0.302052549497407</v>
      </c>
      <c r="AN41" s="4" t="n">
        <v>0.761587593281213</v>
      </c>
      <c r="AO41" s="4" t="n">
        <v>0.343188039975072</v>
      </c>
      <c r="AP41" s="4" t="n">
        <v>0.266218871917977</v>
      </c>
      <c r="AQ41" s="4" t="n">
        <v>0.360026759018815</v>
      </c>
      <c r="AR41" s="4" t="n">
        <v>0.462495622493656</v>
      </c>
      <c r="AS41" s="4" t="n">
        <v>0.939090827013498</v>
      </c>
      <c r="AT41" s="4" t="n">
        <v>0.180417821110708</v>
      </c>
      <c r="AU41" s="4" t="n">
        <v>0.693744543506285</v>
      </c>
      <c r="AV41" s="4" t="n">
        <v>0.0999384903562198</v>
      </c>
      <c r="AW41" s="4" t="n">
        <v>0.448275324594362</v>
      </c>
      <c r="AX41" s="4" t="n">
        <v>0.37839946983866</v>
      </c>
      <c r="AY41" s="4" t="n">
        <v>0.846314930456284</v>
      </c>
      <c r="AZ41" s="4" t="n">
        <v>0.577868949111448</v>
      </c>
      <c r="BA41" s="4" t="n">
        <v>0.431278952075013</v>
      </c>
      <c r="BB41" s="4" t="n">
        <v>0.685280865948405</v>
      </c>
      <c r="BC41" s="4" t="n">
        <v>0.305735679488482</v>
      </c>
      <c r="BD41" s="4" t="n">
        <v>0.62932658026706</v>
      </c>
      <c r="BE41" s="4" t="n">
        <v>0.52479088726399</v>
      </c>
      <c r="BF41" s="4" t="n">
        <v>0.988428319031081</v>
      </c>
      <c r="BG41" s="4" t="n">
        <v>0.077649682098648</v>
      </c>
      <c r="BH41" s="4" t="n">
        <v>0.735195695510917</v>
      </c>
      <c r="BI41" s="4" t="n">
        <v>0.451718446064625</v>
      </c>
      <c r="BJ41" s="4" t="n">
        <v>0.684093141830943</v>
      </c>
      <c r="BK41" s="4" t="n">
        <v>0.930535808078609</v>
      </c>
      <c r="BL41" s="4" t="n">
        <v>0.0441708155061526</v>
      </c>
      <c r="BM41" s="4" t="n">
        <v>0.990873205337776</v>
      </c>
      <c r="BN41" s="4" t="n">
        <v>0.4637151546386</v>
      </c>
      <c r="BO41" s="4" t="n">
        <v>0.859246218969944</v>
      </c>
      <c r="BP41" s="4" t="n">
        <v>0.0971490046200017</v>
      </c>
      <c r="BQ41" s="4" t="n">
        <v>0.928400963904145</v>
      </c>
      <c r="BR41" s="4" t="n">
        <v>0.26789447137996</v>
      </c>
      <c r="BS41" s="4" t="n">
        <v>0.340728798535699</v>
      </c>
      <c r="BT41" s="4" t="n">
        <v>0.712064339681841</v>
      </c>
      <c r="BU41" s="4" t="n">
        <v>0.0484555745260997</v>
      </c>
      <c r="BV41" s="4" t="n">
        <v>0.81214416246547</v>
      </c>
      <c r="BW41" s="4" t="n">
        <v>0.0313730512602058</v>
      </c>
      <c r="BX41" s="4" t="n">
        <v>0.0549519663661463</v>
      </c>
      <c r="BY41" s="4" t="n">
        <v>0.890839732623738</v>
      </c>
      <c r="BZ41" s="4" t="n">
        <v>0.945588892337866</v>
      </c>
      <c r="CA41" s="4" t="n">
        <v>0.0148699776931959</v>
      </c>
      <c r="CB41" s="4" t="n">
        <v>0.348945580008795</v>
      </c>
      <c r="CC41" s="4" t="n">
        <v>0.949248642572374</v>
      </c>
      <c r="CD41" s="4" t="n">
        <v>0.275965907714604</v>
      </c>
      <c r="CE41" s="4" t="n">
        <v>0.474067102148659</v>
      </c>
      <c r="CF41" s="4" t="n">
        <v>0.685461800581088</v>
      </c>
      <c r="CG41" s="4" t="n">
        <v>0.0854244435605855</v>
      </c>
      <c r="CH41" s="4" t="n">
        <v>0.995220866972239</v>
      </c>
      <c r="CI41" s="4" t="n">
        <v>0.0979883528515629</v>
      </c>
      <c r="CJ41" s="4" t="n">
        <v>0.678777436321939</v>
      </c>
      <c r="CK41" s="4" t="n">
        <v>0.104768779150814</v>
      </c>
      <c r="CL41" s="4" t="n">
        <v>0</v>
      </c>
      <c r="CN41" s="0" t="n">
        <f aca="false" t="array" ref="CN41:CN41">SUM($I$26:$J$26*$I41:$J41)/(1-SUM(IF($I$26:$J$26=0,$I14:$J14,0)))</f>
        <v>0.876106632311743</v>
      </c>
      <c r="CO41" s="4" t="n">
        <f aca="false" t="array" ref="CO41:CO41">SUM($C$26:$H$26*$C41:$H41,$K$26:$N$26*$K41:$N41,$R$26:$U$26*$R41:$U41,$X$26:$Z$26*$X41:$Z41,$AC$26*$AC41,$AW$26:$BA$26*$AW41:$BA41,$BF$26*$BF41,$BN$26:$BS$26*$BN41:$BS41,$BZ$26:$CA$26*$BZ41:$CA41,$CC$26:$CH$26*$CC41:$CH41)/(1-SUM(IF($C$26:$H$26=0,$C14:$H14,0),IF($K$26:$N$26=0,$K14:$N14,0),IF($R$26:$U$26=0,$R14:$U14,0),IF($X$26:$Z$26=0,$X14:$Z14,0),IF($AC$26=0,$AC14,0),IF($AW$26:$BA$26=0,$AW14:$BA14,0),IF($BF$26=0,$BF14,0),IF($BN$26:$BS$26=0,$BN14:$BS14,0),IF($BZ$26:$CA$26=0,$BZ14:$CA14,0),IF($CC$26:$CH$26=0,$CC14:$CH14,0)))</f>
        <v>7.11592103963948</v>
      </c>
      <c r="CP41" s="4" t="n">
        <f aca="false" t="array" ref="CP41:CP41">SUM($O$26:$Q$26*$O41:$Q41,$V$26:$W$26*$V41:$W41,$AA$26:$AB$26*$AA41:$AB41,$AD$26:$AV$26*$AD41:$AV41,$BB$26:$BE$26*$BB41:$BE41,$BG$26:$BM$26*$BG41:$BM41,$BT$26:$BY$26*$BT41:$BY41,$CB$26*$CB41,$CI$26:$CK$26*$CI41:$CK41)/(1-SUM(IF($O$26:$Q$26=0,$O14:$Q14,0),IF($V$26:$W$26=0,$V14:$W14,0),IF($AA$26:$AB$26=0,$AA14:$AB14,0),IF($AD$26:$AV$26=0,$AD14:$AV14,0),IF($BB$26:$BE$26=0,$BB14:$BE14,0),IF($BG$26:$BM$26=0,$BG14:$BM14,0),IF($BT$26:$BY$26=0,$BT14:$BY14,0),IF($CB$26=0,$CB14,0),IF($CI$26:$CK$26=0,$CI14:$CK14,0)))</f>
        <v>7.01983020321222</v>
      </c>
    </row>
    <row r="42" customFormat="false" ht="12.8" hidden="false" customHeight="false" outlineLevel="0" collapsed="false">
      <c r="A42" s="4" t="s">
        <v>148</v>
      </c>
      <c r="B42" s="7" t="s">
        <v>39</v>
      </c>
      <c r="C42" s="4" t="n">
        <v>0.760024679428188</v>
      </c>
      <c r="D42" s="4" t="n">
        <v>0.324802887028825</v>
      </c>
      <c r="E42" s="4" t="n">
        <v>0.676949296262241</v>
      </c>
      <c r="F42" s="4" t="n">
        <v>0.336092856971413</v>
      </c>
      <c r="G42" s="4" t="n">
        <v>0.994543896064059</v>
      </c>
      <c r="H42" s="4" t="n">
        <v>0.98845366423435</v>
      </c>
      <c r="I42" s="4" t="n">
        <v>0.329777313721506</v>
      </c>
      <c r="J42" s="4" t="n">
        <v>0.09291932477508</v>
      </c>
      <c r="K42" s="4" t="n">
        <v>0.018808050958601</v>
      </c>
      <c r="L42" s="4" t="n">
        <v>0.252633793436881</v>
      </c>
      <c r="M42" s="4" t="n">
        <v>0.742969310969296</v>
      </c>
      <c r="N42" s="4" t="n">
        <v>0.610289431167085</v>
      </c>
      <c r="O42" s="4" t="n">
        <v>0.914104012912481</v>
      </c>
      <c r="P42" s="4" t="n">
        <v>0.462676261847697</v>
      </c>
      <c r="Q42" s="4" t="n">
        <v>0.91864216278438</v>
      </c>
      <c r="R42" s="4" t="n">
        <v>0.692182489504842</v>
      </c>
      <c r="S42" s="4" t="n">
        <v>0.444577030309324</v>
      </c>
      <c r="T42" s="4" t="n">
        <v>0.944328934479462</v>
      </c>
      <c r="U42" s="4" t="n">
        <v>0.0320974047775213</v>
      </c>
      <c r="V42" s="4" t="n">
        <v>0.722915672811397</v>
      </c>
      <c r="W42" s="4" t="n">
        <v>0.220703634439971</v>
      </c>
      <c r="X42" s="4" t="n">
        <v>0.0205844169549893</v>
      </c>
      <c r="Y42" s="4" t="n">
        <v>0.876173567762954</v>
      </c>
      <c r="Z42" s="4" t="n">
        <v>0.256580856280483</v>
      </c>
      <c r="AA42" s="4" t="n">
        <v>0.61803879471077</v>
      </c>
      <c r="AB42" s="4" t="n">
        <v>0.790585476904128</v>
      </c>
      <c r="AC42" s="4" t="n">
        <v>0.81103933339289</v>
      </c>
      <c r="AD42" s="4" t="n">
        <v>0.604325691117358</v>
      </c>
      <c r="AE42" s="4" t="n">
        <v>0.306406386365115</v>
      </c>
      <c r="AF42" s="4" t="n">
        <v>0.462081427436229</v>
      </c>
      <c r="AG42" s="4" t="n">
        <v>0.935567369761485</v>
      </c>
      <c r="AH42" s="4" t="n">
        <v>0.756994038446459</v>
      </c>
      <c r="AI42" s="4" t="n">
        <v>0.756122644489237</v>
      </c>
      <c r="AJ42" s="4" t="n">
        <v>0.346299416109476</v>
      </c>
      <c r="AK42" s="4" t="n">
        <v>0.0854036249330951</v>
      </c>
      <c r="AL42" s="4" t="n">
        <v>0.339791451967023</v>
      </c>
      <c r="AM42" s="4" t="n">
        <v>0.33176397928756</v>
      </c>
      <c r="AN42" s="4" t="n">
        <v>0.528961272268559</v>
      </c>
      <c r="AO42" s="4" t="n">
        <v>0.355868425463377</v>
      </c>
      <c r="AP42" s="4" t="n">
        <v>0.821580810772477</v>
      </c>
      <c r="AQ42" s="4" t="n">
        <v>0.159254465567718</v>
      </c>
      <c r="AR42" s="4" t="n">
        <v>0.862699251069147</v>
      </c>
      <c r="AS42" s="4" t="n">
        <v>0.140560182276292</v>
      </c>
      <c r="AT42" s="4" t="n">
        <v>0.419338781625165</v>
      </c>
      <c r="AU42" s="4" t="n">
        <v>0.0531693143140992</v>
      </c>
      <c r="AV42" s="4" t="n">
        <v>0.38441962956946</v>
      </c>
      <c r="AW42" s="4" t="n">
        <v>0.351553780722517</v>
      </c>
      <c r="AX42" s="4" t="n">
        <v>0.3836559834735</v>
      </c>
      <c r="AY42" s="4" t="n">
        <v>0.722582478816881</v>
      </c>
      <c r="AZ42" s="4" t="n">
        <v>0.5315086805077</v>
      </c>
      <c r="BA42" s="4" t="n">
        <v>0.343441347150368</v>
      </c>
      <c r="BB42" s="4" t="n">
        <v>0.809824997446142</v>
      </c>
      <c r="BC42" s="4" t="n">
        <v>0.430096513911795</v>
      </c>
      <c r="BD42" s="4" t="n">
        <v>0.851006331662553</v>
      </c>
      <c r="BE42" s="4" t="n">
        <v>0.65649541248158</v>
      </c>
      <c r="BF42" s="4" t="n">
        <v>0.545280118718373</v>
      </c>
      <c r="BG42" s="4" t="n">
        <v>0.931066037928412</v>
      </c>
      <c r="BH42" s="4" t="n">
        <v>0.954705544862145</v>
      </c>
      <c r="BI42" s="4" t="n">
        <v>0.69832366514046</v>
      </c>
      <c r="BJ42" s="4" t="n">
        <v>0.050417385134151</v>
      </c>
      <c r="BK42" s="4" t="n">
        <v>0.140167984339621</v>
      </c>
      <c r="BL42" s="4" t="n">
        <v>0.431931792597163</v>
      </c>
      <c r="BM42" s="4" t="n">
        <v>0.0579342589072795</v>
      </c>
      <c r="BN42" s="4" t="n">
        <v>0.837836699932082</v>
      </c>
      <c r="BO42" s="4" t="n">
        <v>0.998641769404524</v>
      </c>
      <c r="BP42" s="4" t="n">
        <v>0.421495377713979</v>
      </c>
      <c r="BQ42" s="4" t="n">
        <v>0.533400986157293</v>
      </c>
      <c r="BR42" s="4" t="n">
        <v>0.500355324750691</v>
      </c>
      <c r="BS42" s="4" t="n">
        <v>0.288590018710754</v>
      </c>
      <c r="BT42" s="4" t="n">
        <v>0.76669676265106</v>
      </c>
      <c r="BU42" s="4" t="n">
        <v>0.235004609648581</v>
      </c>
      <c r="BV42" s="4" t="n">
        <v>0.284616120613185</v>
      </c>
      <c r="BW42" s="4" t="n">
        <v>0.467462910398612</v>
      </c>
      <c r="BX42" s="4" t="n">
        <v>0.581098115577413</v>
      </c>
      <c r="BY42" s="4" t="n">
        <v>0.357664087300761</v>
      </c>
      <c r="BZ42" s="4" t="n">
        <v>0.636923411825078</v>
      </c>
      <c r="CA42" s="4" t="n">
        <v>0.850394656964446</v>
      </c>
      <c r="CB42" s="4" t="n">
        <v>0.949097474883725</v>
      </c>
      <c r="CC42" s="4" t="n">
        <v>0.827811780866044</v>
      </c>
      <c r="CD42" s="4" t="n">
        <v>0.514826026126333</v>
      </c>
      <c r="CE42" s="4" t="n">
        <v>0.931090499577008</v>
      </c>
      <c r="CF42" s="4" t="n">
        <v>0.248274007084575</v>
      </c>
      <c r="CG42" s="4" t="n">
        <v>0.916043484634368</v>
      </c>
      <c r="CH42" s="4" t="n">
        <v>0.00918689528077153</v>
      </c>
      <c r="CI42" s="4" t="n">
        <v>0.131360859599106</v>
      </c>
      <c r="CJ42" s="4" t="n">
        <v>0.185866751515153</v>
      </c>
      <c r="CK42" s="4" t="n">
        <v>0.317485175397318</v>
      </c>
      <c r="CL42" s="4" t="n">
        <v>0</v>
      </c>
      <c r="CN42" s="0" t="n">
        <f aca="false" t="array" ref="CN42:CN42">SUM($I$26:$J$26*$I42:$J42)/(1-SUM(IF($I$26:$J$26=0,$I15:$J15,0)))</f>
        <v>0.422696638496586</v>
      </c>
      <c r="CO42" s="4" t="n">
        <f aca="false" t="array" ref="CO42:CO42">SUM($C$26:$H$26*$C42:$H42,$K$26:$N$26*$K42:$N42,$R$26:$U$26*$R42:$U42,$X$26:$Z$26*$X42:$Z42,$AC$26*$AC42,$AW$26:$BA$26*$AW42:$BA42,$BF$26*$BF42,$BN$26:$BS$26*$BN42:$BS42,$BZ$26:$CA$26*$BZ42:$CA42,$CC$26:$CH$26*$CC42:$CH42)/(1-SUM(IF($C$26:$H$26=0,$C15:$H15,0),IF($K$26:$N$26=0,$K15:$N15,0),IF($R$26:$U$26=0,$R15:$U15,0),IF($X$26:$Z$26=0,$X15:$Z15,0),IF($AC$26=0,$AC15,0),IF($AW$26:$BA$26=0,$AW15:$BA15,0),IF($BF$26=0,$BF15,0),IF($BN$26:$BS$26=0,$BN15:$BS15,0),IF($BZ$26:$CA$26=0,$BZ15:$CA15,0),IF($CC$26:$CH$26=0,$CC15:$CH15,0)))</f>
        <v>6.56919449700288</v>
      </c>
      <c r="CP42" s="4" t="n">
        <f aca="false" t="array" ref="CP42:CP42">SUM($O$26:$Q$26*$O42:$Q42,$V$26:$W$26*$V42:$W42,$AA$26:$AB$26*$AA42:$AB42,$AD$26:$AV$26*$AD42:$AV42,$BB$26:$BE$26*$BB42:$BE42,$BG$26:$BM$26*$BG42:$BM42,$BT$26:$BY$26*$BT42:$BY42,$CB$26*$CB42,$CI$26:$CK$26*$CI42:$CK42)/(1-SUM(IF($O$26:$Q$26=0,$O15:$Q15,0),IF($V$26:$W$26=0,$V15:$W15,0),IF($AA$26:$AB$26=0,$AA15:$AB15,0),IF($AD$26:$AV$26=0,$AD15:$AV15,0),IF($BB$26:$BE$26=0,$BB15:$BE15,0),IF($BG$26:$BM$26=0,$BG15:$BM15,0),IF($BT$26:$BY$26=0,$BT15:$BY15,0),IF($CB$26=0,$CB15,0),IF($CI$26:$CK$26=0,$CI15:$CK15,0)))</f>
        <v>5.0629139149122</v>
      </c>
    </row>
    <row r="43" customFormat="false" ht="12.8" hidden="false" customHeight="false" outlineLevel="0" collapsed="false">
      <c r="A43" s="4" t="s">
        <v>150</v>
      </c>
      <c r="B43" s="7" t="s">
        <v>39</v>
      </c>
      <c r="C43" s="4" t="n">
        <v>0.376125226282293</v>
      </c>
      <c r="D43" s="4" t="n">
        <v>0.442927732986308</v>
      </c>
      <c r="E43" s="4" t="n">
        <v>0.80081073886365</v>
      </c>
      <c r="F43" s="4" t="n">
        <v>0.954622077756066</v>
      </c>
      <c r="G43" s="4" t="n">
        <v>0.0904561140104056</v>
      </c>
      <c r="H43" s="4" t="n">
        <v>0.138650872474802</v>
      </c>
      <c r="I43" s="4" t="n">
        <v>0.568901436545987</v>
      </c>
      <c r="J43" s="4" t="n">
        <v>0.72553728877163</v>
      </c>
      <c r="K43" s="4" t="n">
        <v>0.312971698637339</v>
      </c>
      <c r="L43" s="4" t="n">
        <v>0.772955034072457</v>
      </c>
      <c r="M43" s="4" t="n">
        <v>0.0552464205289415</v>
      </c>
      <c r="N43" s="4" t="n">
        <v>0.03372821618587</v>
      </c>
      <c r="O43" s="4" t="n">
        <v>0.33308264537997</v>
      </c>
      <c r="P43" s="4" t="n">
        <v>0.00291489355813704</v>
      </c>
      <c r="Q43" s="4" t="n">
        <v>0.418191118424037</v>
      </c>
      <c r="R43" s="4" t="n">
        <v>0.900542257287269</v>
      </c>
      <c r="S43" s="4" t="n">
        <v>0.776116563600927</v>
      </c>
      <c r="T43" s="4" t="n">
        <v>0.355561883414678</v>
      </c>
      <c r="U43" s="4" t="n">
        <v>0.864050132218061</v>
      </c>
      <c r="V43" s="4" t="n">
        <v>0.67792436309046</v>
      </c>
      <c r="W43" s="4" t="n">
        <v>0.61717096198838</v>
      </c>
      <c r="X43" s="4" t="n">
        <v>0.904964726867303</v>
      </c>
      <c r="Y43" s="4" t="n">
        <v>0.935048040630941</v>
      </c>
      <c r="Z43" s="4" t="n">
        <v>0.228061508684893</v>
      </c>
      <c r="AA43" s="4" t="n">
        <v>0.585060643078307</v>
      </c>
      <c r="AB43" s="4" t="n">
        <v>0.886768801416813</v>
      </c>
      <c r="AC43" s="4" t="n">
        <v>0.213902654348789</v>
      </c>
      <c r="AD43" s="4" t="n">
        <v>0.663966296114177</v>
      </c>
      <c r="AE43" s="4" t="n">
        <v>0.442906641761506</v>
      </c>
      <c r="AF43" s="4" t="n">
        <v>0.1978580776213</v>
      </c>
      <c r="AG43" s="4" t="n">
        <v>0.790848961224148</v>
      </c>
      <c r="AH43" s="4" t="n">
        <v>0.729792220219327</v>
      </c>
      <c r="AI43" s="4" t="n">
        <v>0.576908853165172</v>
      </c>
      <c r="AJ43" s="4" t="n">
        <v>0.528307523315603</v>
      </c>
      <c r="AK43" s="4" t="n">
        <v>0.645769616097237</v>
      </c>
      <c r="AL43" s="4" t="n">
        <v>0.55628896349456</v>
      </c>
      <c r="AM43" s="4" t="n">
        <v>0.844667694463857</v>
      </c>
      <c r="AN43" s="4" t="n">
        <v>0.208670738716839</v>
      </c>
      <c r="AO43" s="4" t="n">
        <v>0.741652008396014</v>
      </c>
      <c r="AP43" s="4" t="n">
        <v>0.771872881367448</v>
      </c>
      <c r="AQ43" s="4" t="n">
        <v>0.524403141781477</v>
      </c>
      <c r="AR43" s="4" t="n">
        <v>0.323767473308733</v>
      </c>
      <c r="AS43" s="4" t="n">
        <v>0.259812159461823</v>
      </c>
      <c r="AT43" s="4" t="n">
        <v>0.551375770325991</v>
      </c>
      <c r="AU43" s="4" t="n">
        <v>0.350517089436318</v>
      </c>
      <c r="AV43" s="4" t="n">
        <v>0.637787581061984</v>
      </c>
      <c r="AW43" s="4" t="n">
        <v>0.608099129340802</v>
      </c>
      <c r="AX43" s="4" t="n">
        <v>0.124904956353613</v>
      </c>
      <c r="AY43" s="4" t="n">
        <v>0.93509095937639</v>
      </c>
      <c r="AZ43" s="4" t="n">
        <v>0.26430022061855</v>
      </c>
      <c r="BA43" s="4" t="n">
        <v>0.367889979174162</v>
      </c>
      <c r="BB43" s="4" t="n">
        <v>0.692519973661061</v>
      </c>
      <c r="BC43" s="4" t="n">
        <v>0.707790711191878</v>
      </c>
      <c r="BD43" s="4" t="n">
        <v>0.844669142182761</v>
      </c>
      <c r="BE43" s="4" t="n">
        <v>0.846571590141764</v>
      </c>
      <c r="BF43" s="4" t="n">
        <v>0.741455100510599</v>
      </c>
      <c r="BG43" s="4" t="n">
        <v>0.112281198187165</v>
      </c>
      <c r="BH43" s="4" t="n">
        <v>0.529866356469138</v>
      </c>
      <c r="BI43" s="4" t="n">
        <v>0.779692165788241</v>
      </c>
      <c r="BJ43" s="4" t="n">
        <v>0.977243550084885</v>
      </c>
      <c r="BK43" s="4" t="n">
        <v>0.819083260834531</v>
      </c>
      <c r="BL43" s="4" t="n">
        <v>0.79729907875472</v>
      </c>
      <c r="BM43" s="4" t="n">
        <v>0.613500639526955</v>
      </c>
      <c r="BN43" s="4" t="n">
        <v>0.487638468853594</v>
      </c>
      <c r="BO43" s="4" t="n">
        <v>0.55994888031638</v>
      </c>
      <c r="BP43" s="4" t="n">
        <v>0.274544984979604</v>
      </c>
      <c r="BQ43" s="4" t="n">
        <v>0.594965139317402</v>
      </c>
      <c r="BR43" s="4" t="n">
        <v>0.754256539947553</v>
      </c>
      <c r="BS43" s="4" t="n">
        <v>0.0656540998292348</v>
      </c>
      <c r="BT43" s="4" t="n">
        <v>0.309622613936806</v>
      </c>
      <c r="BU43" s="4" t="n">
        <v>0.936422386882837</v>
      </c>
      <c r="BV43" s="4" t="n">
        <v>0.99805991426768</v>
      </c>
      <c r="BW43" s="4" t="n">
        <v>0.945680033533751</v>
      </c>
      <c r="BX43" s="4" t="n">
        <v>0.850948378466773</v>
      </c>
      <c r="BY43" s="4" t="n">
        <v>0.114463307371218</v>
      </c>
      <c r="BZ43" s="4" t="n">
        <v>0.403903226050686</v>
      </c>
      <c r="CA43" s="4" t="n">
        <v>0.22190830355355</v>
      </c>
      <c r="CB43" s="4" t="n">
        <v>0.363943217625888</v>
      </c>
      <c r="CC43" s="4" t="n">
        <v>0.0471685149132142</v>
      </c>
      <c r="CD43" s="4" t="n">
        <v>0.805957965540294</v>
      </c>
      <c r="CE43" s="4" t="n">
        <v>0.13970583217473</v>
      </c>
      <c r="CF43" s="4" t="n">
        <v>0.160207202605594</v>
      </c>
      <c r="CG43" s="4" t="n">
        <v>0.933759230416034</v>
      </c>
      <c r="CH43" s="4" t="n">
        <v>0.311401204915377</v>
      </c>
      <c r="CI43" s="4" t="n">
        <v>0.600869817847531</v>
      </c>
      <c r="CJ43" s="4" t="n">
        <v>0.245483086175545</v>
      </c>
      <c r="CK43" s="4" t="n">
        <v>0.477600324831526</v>
      </c>
      <c r="CL43" s="4" t="n">
        <v>0</v>
      </c>
      <c r="CN43" s="0" t="n">
        <f aca="false" t="array" ref="CN43:CN43">SUM($I$26:$J$26*$I43:$J43)/(1-SUM(IF($I$26:$J$26=0,$I16:$J16,0)))</f>
        <v>1.29443872531762</v>
      </c>
      <c r="CO43" s="4" t="n">
        <f aca="false" t="array" ref="CO43:CO43">SUM($C$26:$H$26*$C43:$H43,$K$26:$N$26*$K43:$N43,$R$26:$U$26*$R43:$U43,$X$26:$Z$26*$X43:$Z43,$AC$26*$AC43,$AW$26:$BA$26*$AW43:$BA43,$BF$26*$BF43,$BN$26:$BS$26*$BN43:$BS43,$BZ$26:$CA$26*$BZ43:$CA43,$CC$26:$CH$26*$CC43:$CH43)/(1-SUM(IF($C$26:$H$26=0,$C16:$H16,0),IF($K$26:$N$26=0,$K16:$N16,0),IF($R$26:$U$26=0,$R16:$U16,0),IF($X$26:$Z$26=0,$X16:$Z16,0),IF($AC$26=0,$AC16,0),IF($AW$26:$BA$26=0,$AW16:$BA16,0),IF($BF$26=0,$BF16,0),IF($BN$26:$BS$26=0,$BN16:$BS16,0),IF($BZ$26:$CA$26=0,$BZ16:$CA16,0),IF($CC$26:$CH$26=0,$CC16:$CH16,0)))</f>
        <v>5.33663867647874</v>
      </c>
      <c r="CP43" s="4" t="n">
        <f aca="false" t="array" ref="CP43:CP43">SUM($O$26:$Q$26*$O43:$Q43,$V$26:$W$26*$V43:$W43,$AA$26:$AB$26*$AA43:$AB43,$AD$26:$AV$26*$AD43:$AV43,$BB$26:$BE$26*$BB43:$BE43,$BG$26:$BM$26*$BG43:$BM43,$BT$26:$BY$26*$BT43:$BY43,$CB$26*$CB43,$CI$26:$CK$26*$CI43:$CK43)/(1-SUM(IF($O$26:$Q$26=0,$O16:$Q16,0),IF($V$26:$W$26=0,$V16:$W16,0),IF($AA$26:$AB$26=0,$AA16:$AB16,0),IF($AD$26:$AV$26=0,$AD16:$AV16,0),IF($BB$26:$BE$26=0,$BB16:$BE16,0),IF($BG$26:$BM$26=0,$BG16:$BM16,0),IF($BT$26:$BY$26=0,$BT16:$BY16,0),IF($CB$26=0,$CB16,0),IF($CI$26:$CK$26=0,$CI16:$CK16,0)))</f>
        <v>8.79209620234343</v>
      </c>
    </row>
    <row r="44" customFormat="false" ht="12.8" hidden="false" customHeight="false" outlineLevel="0" collapsed="false">
      <c r="A44" s="4" t="s">
        <v>151</v>
      </c>
      <c r="B44" s="7" t="s">
        <v>39</v>
      </c>
      <c r="C44" s="4" t="n">
        <v>0.514589597926506</v>
      </c>
      <c r="D44" s="4" t="n">
        <v>0.976264711370186</v>
      </c>
      <c r="E44" s="4" t="n">
        <v>0.625433912242557</v>
      </c>
      <c r="F44" s="4" t="n">
        <v>0.737820718974684</v>
      </c>
      <c r="G44" s="4" t="n">
        <v>0.570593525060084</v>
      </c>
      <c r="H44" s="4" t="n">
        <v>0.979039664665905</v>
      </c>
      <c r="I44" s="4" t="n">
        <v>0.89386590665589</v>
      </c>
      <c r="J44" s="4" t="n">
        <v>0.872285971610988</v>
      </c>
      <c r="K44" s="4" t="n">
        <v>0.10645903400011</v>
      </c>
      <c r="L44" s="4" t="n">
        <v>0.162320941757612</v>
      </c>
      <c r="M44" s="4" t="n">
        <v>0.916605933745701</v>
      </c>
      <c r="N44" s="4" t="n">
        <v>0.160415606713126</v>
      </c>
      <c r="O44" s="4" t="n">
        <v>0.704034180965994</v>
      </c>
      <c r="P44" s="4" t="n">
        <v>0.72367397042832</v>
      </c>
      <c r="Q44" s="4" t="n">
        <v>0.60879553779229</v>
      </c>
      <c r="R44" s="4" t="n">
        <v>0.14278276005963</v>
      </c>
      <c r="S44" s="4" t="n">
        <v>0.532064788215804</v>
      </c>
      <c r="T44" s="4" t="n">
        <v>0.5375623835069</v>
      </c>
      <c r="U44" s="4" t="n">
        <v>0.332957591237599</v>
      </c>
      <c r="V44" s="4" t="n">
        <v>0.984168071390809</v>
      </c>
      <c r="W44" s="4" t="n">
        <v>0.0319329410878156</v>
      </c>
      <c r="X44" s="4" t="n">
        <v>0.486184628156974</v>
      </c>
      <c r="Y44" s="4" t="n">
        <v>0.897148545494371</v>
      </c>
      <c r="Z44" s="4" t="n">
        <v>0.557035730486636</v>
      </c>
      <c r="AA44" s="4" t="n">
        <v>0.855571457141886</v>
      </c>
      <c r="AB44" s="4" t="n">
        <v>0.284237331340513</v>
      </c>
      <c r="AC44" s="4" t="n">
        <v>0.968898812766457</v>
      </c>
      <c r="AD44" s="4" t="n">
        <v>0.497165034775363</v>
      </c>
      <c r="AE44" s="4" t="n">
        <v>0.434015457654706</v>
      </c>
      <c r="AF44" s="4" t="n">
        <v>0.678564804408659</v>
      </c>
      <c r="AG44" s="4" t="n">
        <v>0.4062682714913</v>
      </c>
      <c r="AH44" s="4" t="n">
        <v>0.338211944047349</v>
      </c>
      <c r="AI44" s="4" t="n">
        <v>0.994521777933885</v>
      </c>
      <c r="AJ44" s="4" t="n">
        <v>0.356451184754708</v>
      </c>
      <c r="AK44" s="4" t="n">
        <v>0.418918715267523</v>
      </c>
      <c r="AL44" s="4" t="n">
        <v>0.664214729337205</v>
      </c>
      <c r="AM44" s="4" t="n">
        <v>0.768440459039546</v>
      </c>
      <c r="AN44" s="4" t="n">
        <v>0.1155175165218</v>
      </c>
      <c r="AO44" s="4" t="n">
        <v>0.488198415411384</v>
      </c>
      <c r="AP44" s="4" t="n">
        <v>0.113872451280971</v>
      </c>
      <c r="AQ44" s="4" t="n">
        <v>0.201143132457616</v>
      </c>
      <c r="AR44" s="4" t="n">
        <v>0.920892053017779</v>
      </c>
      <c r="AS44" s="4" t="n">
        <v>0.298848778601913</v>
      </c>
      <c r="AT44" s="4" t="n">
        <v>0.837556622233487</v>
      </c>
      <c r="AU44" s="4" t="n">
        <v>0.96142226279921</v>
      </c>
      <c r="AV44" s="4" t="n">
        <v>0.623173446058229</v>
      </c>
      <c r="AW44" s="4" t="n">
        <v>0.470696059103546</v>
      </c>
      <c r="AX44" s="4" t="n">
        <v>0.29690430797637</v>
      </c>
      <c r="AY44" s="4" t="n">
        <v>0.220712048635681</v>
      </c>
      <c r="AZ44" s="4" t="n">
        <v>0.984676029145071</v>
      </c>
      <c r="BA44" s="4" t="n">
        <v>0.784591403423402</v>
      </c>
      <c r="BB44" s="4" t="n">
        <v>0.525739065003576</v>
      </c>
      <c r="BC44" s="4" t="n">
        <v>0.48968825132269</v>
      </c>
      <c r="BD44" s="4" t="n">
        <v>0.07717043549788</v>
      </c>
      <c r="BE44" s="4" t="n">
        <v>0.573698455452221</v>
      </c>
      <c r="BF44" s="4" t="n">
        <v>0.43090178904683</v>
      </c>
      <c r="BG44" s="4" t="n">
        <v>0.735842070213451</v>
      </c>
      <c r="BH44" s="4" t="n">
        <v>0.261638168104062</v>
      </c>
      <c r="BI44" s="4" t="n">
        <v>0.820432934384799</v>
      </c>
      <c r="BJ44" s="4" t="n">
        <v>0.237705973529283</v>
      </c>
      <c r="BK44" s="4" t="n">
        <v>0.694470060498868</v>
      </c>
      <c r="BL44" s="4" t="n">
        <v>0.493563573742789</v>
      </c>
      <c r="BM44" s="4" t="n">
        <v>0.162292645684308</v>
      </c>
      <c r="BN44" s="4" t="n">
        <v>0.596786806390498</v>
      </c>
      <c r="BO44" s="4" t="n">
        <v>0.964639635123853</v>
      </c>
      <c r="BP44" s="4" t="n">
        <v>0.41173280695521</v>
      </c>
      <c r="BQ44" s="4" t="n">
        <v>0.400050992776732</v>
      </c>
      <c r="BR44" s="4" t="n">
        <v>0.741860999642607</v>
      </c>
      <c r="BS44" s="4" t="n">
        <v>0.8329724686438</v>
      </c>
      <c r="BT44" s="4" t="n">
        <v>0.297125353033729</v>
      </c>
      <c r="BU44" s="4" t="n">
        <v>0.952085630778933</v>
      </c>
      <c r="BV44" s="4" t="n">
        <v>0.908408995033766</v>
      </c>
      <c r="BW44" s="4" t="n">
        <v>0.718700257212744</v>
      </c>
      <c r="BX44" s="4" t="n">
        <v>0.108117949663981</v>
      </c>
      <c r="BY44" s="4" t="n">
        <v>0.475198973693734</v>
      </c>
      <c r="BZ44" s="4" t="n">
        <v>0.2063909186037</v>
      </c>
      <c r="CA44" s="4" t="n">
        <v>0.92477607352259</v>
      </c>
      <c r="CB44" s="4" t="n">
        <v>0.918156493020036</v>
      </c>
      <c r="CC44" s="4" t="n">
        <v>0.784645712461098</v>
      </c>
      <c r="CD44" s="4" t="n">
        <v>0.599822258529097</v>
      </c>
      <c r="CE44" s="4" t="n">
        <v>0.630582235244259</v>
      </c>
      <c r="CF44" s="4" t="n">
        <v>0.353676055687097</v>
      </c>
      <c r="CG44" s="4" t="n">
        <v>0.975258649671761</v>
      </c>
      <c r="CH44" s="4" t="n">
        <v>0.0649848739685968</v>
      </c>
      <c r="CI44" s="4" t="n">
        <v>0.394580539446814</v>
      </c>
      <c r="CJ44" s="4" t="n">
        <v>0.471630516465183</v>
      </c>
      <c r="CK44" s="4" t="n">
        <v>0.0496828169759652</v>
      </c>
      <c r="CL44" s="4" t="n">
        <v>0</v>
      </c>
      <c r="CN44" s="0" t="n">
        <f aca="false" t="array" ref="CN44:CN44">SUM($I$26:$J$26*$I44:$J44)/(1-SUM(IF($I$26:$J$26=0,$I17:$J17,0)))</f>
        <v>1.76615187826688</v>
      </c>
      <c r="CO44" s="4" t="n">
        <f aca="false" t="array" ref="CO44:CO44">SUM($C$26:$H$26*$C44:$H44,$K$26:$N$26*$K44:$N44,$R$26:$U$26*$R44:$U44,$X$26:$Z$26*$X44:$Z44,$AC$26*$AC44,$AW$26:$BA$26*$AW44:$BA44,$BF$26*$BF44,$BN$26:$BS$26*$BN44:$BS44,$BZ$26:$CA$26*$BZ44:$CA44,$CC$26:$CH$26*$CC44:$CH44)/(1-SUM(IF($C$26:$H$26=0,$C17:$H17,0),IF($K$26:$N$26=0,$K17:$N17,0),IF($R$26:$U$26=0,$R17:$U17,0),IF($X$26:$Z$26=0,$X17:$Z17,0),IF($AC$26=0,$AC17,0),IF($AW$26:$BA$26=0,$AW17:$BA17,0),IF($BF$26=0,$BF17,0),IF($BN$26:$BS$26=0,$BN17:$BS17,0),IF($BZ$26:$CA$26=0,$BZ17:$CA17,0),IF($CC$26:$CH$26=0,$CC17:$CH17,0)))</f>
        <v>11.0188373411437</v>
      </c>
      <c r="CP44" s="4" t="n">
        <f aca="false" t="array" ref="CP44:CP44">SUM($O$26:$Q$26*$O44:$Q44,$V$26:$W$26*$V44:$W44,$AA$26:$AB$26*$AA44:$AB44,$AD$26:$AV$26*$AD44:$AV44,$BB$26:$BE$26*$BB44:$BE44,$BG$26:$BM$26*$BG44:$BM44,$BT$26:$BY$26*$BT44:$BY44,$CB$26*$CB44,$CI$26:$CK$26*$CI44:$CK44)/(1-SUM(IF($O$26:$Q$26=0,$O17:$Q17,0),IF($V$26:$W$26=0,$V17:$W17,0),IF($AA$26:$AB$26=0,$AA17:$AB17,0),IF($AD$26:$AV$26=0,$AD17:$AV17,0),IF($BB$26:$BE$26=0,$BB17:$BE17,0),IF($BG$26:$BM$26=0,$BG17:$BM17,0),IF($BT$26:$BY$26=0,$BT17:$BY17,0),IF($CB$26=0,$CB17,0),IF($CI$26:$CK$26=0,$CI17:$CK17,0)))</f>
        <v>7.9342474608284</v>
      </c>
    </row>
    <row r="45" customFormat="false" ht="12.8" hidden="false" customHeight="false" outlineLevel="0" collapsed="false">
      <c r="A45" s="4" t="s">
        <v>152</v>
      </c>
      <c r="B45" s="7" t="s">
        <v>39</v>
      </c>
      <c r="C45" s="4" t="n">
        <v>0.0926693047344991</v>
      </c>
      <c r="D45" s="4" t="n">
        <v>0.951219013717168</v>
      </c>
      <c r="E45" s="4" t="n">
        <v>0.520938585238481</v>
      </c>
      <c r="F45" s="4" t="n">
        <v>0.890168618949193</v>
      </c>
      <c r="G45" s="4" t="n">
        <v>0.32534136215595</v>
      </c>
      <c r="H45" s="4" t="n">
        <v>0.587511439265707</v>
      </c>
      <c r="I45" s="4" t="n">
        <v>0.446709558015649</v>
      </c>
      <c r="J45" s="4" t="n">
        <v>0.086329527517426</v>
      </c>
      <c r="K45" s="4" t="n">
        <v>0.217431046049111</v>
      </c>
      <c r="L45" s="4" t="n">
        <v>0.153329301990866</v>
      </c>
      <c r="M45" s="4" t="n">
        <v>0.516499857965493</v>
      </c>
      <c r="N45" s="4" t="n">
        <v>0.586927674576671</v>
      </c>
      <c r="O45" s="4" t="n">
        <v>0.595454181036379</v>
      </c>
      <c r="P45" s="4" t="n">
        <v>0.632394194406005</v>
      </c>
      <c r="Q45" s="4" t="n">
        <v>0.018930370690678</v>
      </c>
      <c r="R45" s="4" t="n">
        <v>0.456250434484666</v>
      </c>
      <c r="S45" s="4" t="n">
        <v>0.707203491997977</v>
      </c>
      <c r="T45" s="4" t="n">
        <v>0.611093480788013</v>
      </c>
      <c r="U45" s="4" t="n">
        <v>0.873531929699061</v>
      </c>
      <c r="V45" s="4" t="n">
        <v>0.794387269897077</v>
      </c>
      <c r="W45" s="4" t="n">
        <v>0.310112329361134</v>
      </c>
      <c r="X45" s="4" t="n">
        <v>0.952865833654011</v>
      </c>
      <c r="Y45" s="4" t="n">
        <v>0.985683767082698</v>
      </c>
      <c r="Z45" s="4" t="n">
        <v>0.0538025947000839</v>
      </c>
      <c r="AA45" s="4" t="n">
        <v>0.131548305781866</v>
      </c>
      <c r="AB45" s="4" t="n">
        <v>0.950097598111473</v>
      </c>
      <c r="AC45" s="4" t="n">
        <v>0.504715022457332</v>
      </c>
      <c r="AD45" s="4" t="n">
        <v>0.925553946980873</v>
      </c>
      <c r="AE45" s="4" t="n">
        <v>0.11082646440101</v>
      </c>
      <c r="AF45" s="4" t="n">
        <v>0.484904586630274</v>
      </c>
      <c r="AG45" s="4" t="n">
        <v>0.796707858705533</v>
      </c>
      <c r="AH45" s="4" t="n">
        <v>0.144577669003615</v>
      </c>
      <c r="AI45" s="4" t="n">
        <v>0.426964341214353</v>
      </c>
      <c r="AJ45" s="4" t="n">
        <v>0.712060579812474</v>
      </c>
      <c r="AK45" s="4" t="n">
        <v>0.677399388850619</v>
      </c>
      <c r="AL45" s="4" t="n">
        <v>0.342918026200485</v>
      </c>
      <c r="AM45" s="4" t="n">
        <v>0.310520666997395</v>
      </c>
      <c r="AN45" s="4" t="n">
        <v>0.236152056742114</v>
      </c>
      <c r="AO45" s="4" t="n">
        <v>0.532752853824071</v>
      </c>
      <c r="AP45" s="4" t="n">
        <v>0.427523250178954</v>
      </c>
      <c r="AQ45" s="4" t="n">
        <v>0.991865867178333</v>
      </c>
      <c r="AR45" s="4" t="n">
        <v>0.416631866426439</v>
      </c>
      <c r="AS45" s="4" t="n">
        <v>0.405721707337111</v>
      </c>
      <c r="AT45" s="4" t="n">
        <v>0.345867068395876</v>
      </c>
      <c r="AU45" s="4" t="n">
        <v>0.0608374957130991</v>
      </c>
      <c r="AV45" s="4" t="n">
        <v>0.188876369924711</v>
      </c>
      <c r="AW45" s="4" t="n">
        <v>0.812374476608328</v>
      </c>
      <c r="AX45" s="4" t="n">
        <v>0.126939564121617</v>
      </c>
      <c r="AY45" s="4" t="n">
        <v>0.185044334362313</v>
      </c>
      <c r="AZ45" s="4" t="n">
        <v>0.840678740283759</v>
      </c>
      <c r="BA45" s="4" t="n">
        <v>0.903419199768635</v>
      </c>
      <c r="BB45" s="4" t="n">
        <v>0.211797747415179</v>
      </c>
      <c r="BC45" s="4" t="n">
        <v>0.46592138043193</v>
      </c>
      <c r="BD45" s="4" t="n">
        <v>0.586093274348743</v>
      </c>
      <c r="BE45" s="4" t="n">
        <v>0.754638620664388</v>
      </c>
      <c r="BF45" s="4" t="n">
        <v>0.848031180728699</v>
      </c>
      <c r="BG45" s="4" t="n">
        <v>0.100623544667154</v>
      </c>
      <c r="BH45" s="4" t="n">
        <v>0.712042331537842</v>
      </c>
      <c r="BI45" s="4" t="n">
        <v>0.373164552832816</v>
      </c>
      <c r="BJ45" s="4" t="n">
        <v>0.857811071740857</v>
      </c>
      <c r="BK45" s="4" t="n">
        <v>0.305592081931816</v>
      </c>
      <c r="BL45" s="4" t="n">
        <v>0.880957523367725</v>
      </c>
      <c r="BM45" s="4" t="n">
        <v>0.442744596263846</v>
      </c>
      <c r="BN45" s="4" t="n">
        <v>0.407507107140772</v>
      </c>
      <c r="BO45" s="4" t="n">
        <v>0.439018567185721</v>
      </c>
      <c r="BP45" s="4" t="n">
        <v>0.714037116825061</v>
      </c>
      <c r="BQ45" s="4" t="n">
        <v>0.68519038246215</v>
      </c>
      <c r="BR45" s="4" t="n">
        <v>0.298225638576026</v>
      </c>
      <c r="BS45" s="4" t="n">
        <v>0.528351479217343</v>
      </c>
      <c r="BT45" s="4" t="n">
        <v>0.486904198426966</v>
      </c>
      <c r="BU45" s="4" t="n">
        <v>0.624554177680745</v>
      </c>
      <c r="BV45" s="4" t="n">
        <v>0.0581275779684384</v>
      </c>
      <c r="BW45" s="4" t="n">
        <v>0.953454711010975</v>
      </c>
      <c r="BX45" s="4" t="n">
        <v>0.93187119282524</v>
      </c>
      <c r="BY45" s="4" t="n">
        <v>0.578889634619792</v>
      </c>
      <c r="BZ45" s="4" t="n">
        <v>0.527936098634539</v>
      </c>
      <c r="CA45" s="4" t="n">
        <v>0.171802168286945</v>
      </c>
      <c r="CB45" s="4" t="n">
        <v>0.670811590018575</v>
      </c>
      <c r="CC45" s="4" t="n">
        <v>0.433856991686062</v>
      </c>
      <c r="CD45" s="4" t="n">
        <v>0.397583822525907</v>
      </c>
      <c r="CE45" s="4" t="n">
        <v>0.998291225837054</v>
      </c>
      <c r="CF45" s="4" t="n">
        <v>0.482637763480754</v>
      </c>
      <c r="CG45" s="4" t="n">
        <v>0.718085627636182</v>
      </c>
      <c r="CH45" s="4" t="n">
        <v>0.964279686190318</v>
      </c>
      <c r="CI45" s="4" t="n">
        <v>0.963887074677778</v>
      </c>
      <c r="CJ45" s="4" t="n">
        <v>0.502512913042656</v>
      </c>
      <c r="CK45" s="4" t="n">
        <v>0.357334817465135</v>
      </c>
      <c r="CL45" s="4" t="n">
        <v>0</v>
      </c>
      <c r="CN45" s="0" t="n">
        <f aca="false" t="array" ref="CN45:CN45">SUM($I$26:$J$26*$I45:$J45)/(1-SUM(IF($I$26:$J$26=0,$I18:$J18,0)))</f>
        <v>0.533039085533075</v>
      </c>
      <c r="CO45" s="4" t="n">
        <f aca="false" t="array" ref="CO45:CO45">SUM($C$26:$H$26*$C45:$H45,$K$26:$N$26*$K45:$N45,$R$26:$U$26*$R45:$U45,$X$26:$Z$26*$X45:$Z45,$AC$26*$AC45,$AW$26:$BA$26*$AW45:$BA45,$BF$26*$BF45,$BN$26:$BS$26*$BN45:$BS45,$BZ$26:$CA$26*$BZ45:$CA45,$CC$26:$CH$26*$CC45:$CH45)/(1-SUM(IF($C$26:$H$26=0,$C18:$H18,0),IF($K$26:$N$26=0,$K18:$N18,0),IF($R$26:$U$26=0,$R18:$U18,0),IF($X$26:$Z$26=0,$X18:$Z18,0),IF($AC$26=0,$AC18,0),IF($AW$26:$BA$26=0,$AW18:$BA18,0),IF($BF$26=0,$BF18,0),IF($BN$26:$BS$26=0,$BN18:$BS18,0),IF($BZ$26:$CA$26=0,$BZ18:$CA18,0),IF($CC$26:$CH$26=0,$CC18:$CH18,0)))</f>
        <v>7.70449593754127</v>
      </c>
      <c r="CP45" s="4" t="n">
        <f aca="false" t="array" ref="CP45:CP45">SUM($O$26:$Q$26*$O45:$Q45,$V$26:$W$26*$V45:$W45,$AA$26:$AB$26*$AA45:$AB45,$AD$26:$AV$26*$AD45:$AV45,$BB$26:$BE$26*$BB45:$BE45,$BG$26:$BM$26*$BG45:$BM45,$BT$26:$BY$26*$BT45:$BY45,$CB$26*$CB45,$CI$26:$CK$26*$CI45:$CK45)/(1-SUM(IF($O$26:$Q$26=0,$O18:$Q18,0),IF($V$26:$W$26=0,$V18:$W18,0),IF($AA$26:$AB$26=0,$AA18:$AB18,0),IF($AD$26:$AV$26=0,$AD18:$AV18,0),IF($BB$26:$BE$26=0,$BB18:$BE18,0),IF($BG$26:$BM$26=0,$BG18:$BM18,0),IF($BT$26:$BY$26=0,$BT18:$BY18,0),IF($CB$26=0,$CB18,0),IF($CI$26:$CK$26=0,$CI18:$CK18,0)))</f>
        <v>8.96925593557908</v>
      </c>
    </row>
    <row r="46" customFormat="false" ht="12.8" hidden="false" customHeight="false" outlineLevel="0" collapsed="false">
      <c r="A46" s="4" t="s">
        <v>153</v>
      </c>
      <c r="B46" s="7" t="s">
        <v>39</v>
      </c>
      <c r="C46" s="4" t="n">
        <v>0.754863863874496</v>
      </c>
      <c r="D46" s="4" t="n">
        <v>0.614884034854466</v>
      </c>
      <c r="E46" s="4" t="n">
        <v>0.59191523946225</v>
      </c>
      <c r="F46" s="4" t="n">
        <v>0.454677318719507</v>
      </c>
      <c r="G46" s="4" t="n">
        <v>0.155011470513013</v>
      </c>
      <c r="H46" s="4" t="n">
        <v>0.0590643149722115</v>
      </c>
      <c r="I46" s="4" t="n">
        <v>0.686503434984299</v>
      </c>
      <c r="J46" s="4" t="n">
        <v>0.300837379913128</v>
      </c>
      <c r="K46" s="4" t="n">
        <v>0.631990578196594</v>
      </c>
      <c r="L46" s="4" t="n">
        <v>0.308629653098144</v>
      </c>
      <c r="M46" s="4" t="n">
        <v>0.467754391258717</v>
      </c>
      <c r="N46" s="4" t="n">
        <v>0.642922688894176</v>
      </c>
      <c r="O46" s="4" t="n">
        <v>0.385530282811377</v>
      </c>
      <c r="P46" s="4" t="n">
        <v>0.971777344442825</v>
      </c>
      <c r="Q46" s="4" t="n">
        <v>0.135295476197341</v>
      </c>
      <c r="R46" s="4" t="n">
        <v>0.879813020362267</v>
      </c>
      <c r="S46" s="4" t="n">
        <v>0.797000486127706</v>
      </c>
      <c r="T46" s="4" t="n">
        <v>0.173834030830336</v>
      </c>
      <c r="U46" s="4" t="n">
        <v>0.0825327123977294</v>
      </c>
      <c r="V46" s="4" t="n">
        <v>0.114125371004434</v>
      </c>
      <c r="W46" s="4" t="n">
        <v>0.595271663785405</v>
      </c>
      <c r="X46" s="4" t="n">
        <v>0.487719814051486</v>
      </c>
      <c r="Y46" s="4" t="n">
        <v>0.42769066149657</v>
      </c>
      <c r="Z46" s="4" t="n">
        <v>0.219320537384422</v>
      </c>
      <c r="AA46" s="4" t="n">
        <v>0.776306595119419</v>
      </c>
      <c r="AB46" s="4" t="n">
        <v>0.724862149949568</v>
      </c>
      <c r="AC46" s="4" t="n">
        <v>0.720767629585828</v>
      </c>
      <c r="AD46" s="4" t="n">
        <v>0.396336196172424</v>
      </c>
      <c r="AE46" s="4" t="n">
        <v>0.48197454308618</v>
      </c>
      <c r="AF46" s="4" t="n">
        <v>0.835550107602844</v>
      </c>
      <c r="AG46" s="4" t="n">
        <v>0.370631108985861</v>
      </c>
      <c r="AH46" s="4" t="n">
        <v>0.98614779653157</v>
      </c>
      <c r="AI46" s="4" t="n">
        <v>0.788368923357167</v>
      </c>
      <c r="AJ46" s="4" t="n">
        <v>0.314725276531504</v>
      </c>
      <c r="AK46" s="4" t="n">
        <v>0.896184206141473</v>
      </c>
      <c r="AL46" s="4" t="n">
        <v>0.63995907920626</v>
      </c>
      <c r="AM46" s="4" t="n">
        <v>0.0648934747933042</v>
      </c>
      <c r="AN46" s="4" t="n">
        <v>0.529759174647646</v>
      </c>
      <c r="AO46" s="4" t="n">
        <v>0.893712134154412</v>
      </c>
      <c r="AP46" s="4" t="n">
        <v>0.231062444458324</v>
      </c>
      <c r="AQ46" s="4" t="n">
        <v>0.51869271950478</v>
      </c>
      <c r="AR46" s="4" t="n">
        <v>0.200314024816825</v>
      </c>
      <c r="AS46" s="4" t="n">
        <v>0.191494296905014</v>
      </c>
      <c r="AT46" s="4" t="n">
        <v>0.5883882774537</v>
      </c>
      <c r="AU46" s="4" t="n">
        <v>0.14191168801332</v>
      </c>
      <c r="AV46" s="4" t="n">
        <v>0.306924423958836</v>
      </c>
      <c r="AW46" s="4" t="n">
        <v>0.581553955956889</v>
      </c>
      <c r="AX46" s="4" t="n">
        <v>0.55267536672003</v>
      </c>
      <c r="AY46" s="4" t="n">
        <v>0.418534553928169</v>
      </c>
      <c r="AZ46" s="4" t="n">
        <v>0.31815145147044</v>
      </c>
      <c r="BA46" s="4" t="n">
        <v>0.998533896794038</v>
      </c>
      <c r="BB46" s="4" t="n">
        <v>0.221635582338797</v>
      </c>
      <c r="BC46" s="4" t="n">
        <v>0.797765731358325</v>
      </c>
      <c r="BD46" s="4" t="n">
        <v>0.721617092932834</v>
      </c>
      <c r="BE46" s="4" t="n">
        <v>0.539803307350432</v>
      </c>
      <c r="BF46" s="4" t="n">
        <v>0.0704360827256162</v>
      </c>
      <c r="BG46" s="4" t="n">
        <v>0.0634635603792135</v>
      </c>
      <c r="BH46" s="4" t="n">
        <v>0.874532226628577</v>
      </c>
      <c r="BI46" s="4" t="n">
        <v>0.306834006003149</v>
      </c>
      <c r="BJ46" s="4" t="n">
        <v>0.0261175213969369</v>
      </c>
      <c r="BK46" s="4" t="n">
        <v>0.978119152198322</v>
      </c>
      <c r="BL46" s="4" t="n">
        <v>0.358827771493258</v>
      </c>
      <c r="BM46" s="4" t="n">
        <v>0.567865654349399</v>
      </c>
      <c r="BN46" s="4" t="n">
        <v>0.0877295336530484</v>
      </c>
      <c r="BO46" s="4" t="n">
        <v>0.175077016058348</v>
      </c>
      <c r="BP46" s="4" t="n">
        <v>0.370864447643669</v>
      </c>
      <c r="BQ46" s="4" t="n">
        <v>0.425345499290736</v>
      </c>
      <c r="BR46" s="4" t="n">
        <v>0.30319061583253</v>
      </c>
      <c r="BS46" s="4" t="n">
        <v>0.837654028272355</v>
      </c>
      <c r="BT46" s="4" t="n">
        <v>0.0168015954497109</v>
      </c>
      <c r="BU46" s="4" t="n">
        <v>0.273302699051209</v>
      </c>
      <c r="BV46" s="4" t="n">
        <v>0.792599368712751</v>
      </c>
      <c r="BW46" s="4" t="n">
        <v>0.504077859716453</v>
      </c>
      <c r="BX46" s="4" t="n">
        <v>0.00640563902219498</v>
      </c>
      <c r="BY46" s="4" t="n">
        <v>0.425398679494571</v>
      </c>
      <c r="BZ46" s="4" t="n">
        <v>0.43142529626239</v>
      </c>
      <c r="CA46" s="4" t="n">
        <v>0.899694646334178</v>
      </c>
      <c r="CB46" s="4" t="n">
        <v>0.868563521587966</v>
      </c>
      <c r="CC46" s="4" t="n">
        <v>0.839613086628016</v>
      </c>
      <c r="CD46" s="4" t="n">
        <v>0.208196522047</v>
      </c>
      <c r="CE46" s="4" t="n">
        <v>0.702877569229104</v>
      </c>
      <c r="CF46" s="4" t="n">
        <v>0.646802858574217</v>
      </c>
      <c r="CG46" s="4" t="n">
        <v>0.650532859197645</v>
      </c>
      <c r="CH46" s="4" t="n">
        <v>0.2429271614211</v>
      </c>
      <c r="CI46" s="4" t="n">
        <v>0.0773526933316527</v>
      </c>
      <c r="CJ46" s="4" t="n">
        <v>0.627360920554212</v>
      </c>
      <c r="CK46" s="4" t="n">
        <v>0.330580639757935</v>
      </c>
      <c r="CL46" s="4" t="n">
        <v>0</v>
      </c>
      <c r="CN46" s="0" t="n">
        <f aca="false" t="array" ref="CN46:CN46">SUM($I$26:$J$26*$I46:$J46)/(1-SUM(IF($I$26:$J$26=0,$I19:$J19,0)))</f>
        <v>0.987340814897427</v>
      </c>
      <c r="CO46" s="4" t="n">
        <f aca="false" t="array" ref="CO46:CO46">SUM($C$26:$H$26*$C46:$H46,$K$26:$N$26*$K46:$N46,$R$26:$U$26*$R46:$U46,$X$26:$Z$26*$X46:$Z46,$AC$26*$AC46,$AW$26:$BA$26*$AW46:$BA46,$BF$26*$BF46,$BN$26:$BS$26*$BN46:$BS46,$BZ$26:$CA$26*$BZ46:$CA46,$CC$26:$CH$26*$CC46:$CH46)/(1-SUM(IF($C$26:$H$26=0,$C19:$H19,0),IF($K$26:$N$26=0,$K19:$N19,0),IF($R$26:$U$26=0,$R19:$U19,0),IF($X$26:$Z$26=0,$X19:$Z19,0),IF($AC$26=0,$AC19,0),IF($AW$26:$BA$26=0,$AW19:$BA19,0),IF($BF$26=0,$BF19,0),IF($BN$26:$BS$26=0,$BN19:$BS19,0),IF($BZ$26:$CA$26=0,$BZ19:$CA19,0),IF($CC$26:$CH$26=0,$CC19:$CH19,0)))</f>
        <v>8.50104022955101</v>
      </c>
      <c r="CP46" s="4" t="n">
        <f aca="false" t="array" ref="CP46:CP46">SUM($O$26:$Q$26*$O46:$Q46,$V$26:$W$26*$V46:$W46,$AA$26:$AB$26*$AA46:$AB46,$AD$26:$AV$26*$AD46:$AV46,$BB$26:$BE$26*$BB46:$BE46,$BG$26:$BM$26*$BG46:$BM46,$BT$26:$BY$26*$BT46:$BY46,$CB$26*$CB46,$CI$26:$CK$26*$CI46:$CK46)/(1-SUM(IF($O$26:$Q$26=0,$O19:$Q19,0),IF($V$26:$W$26=0,$V19:$W19,0),IF($AA$26:$AB$26=0,$AA19:$AB19,0),IF($AD$26:$AV$26=0,$AD19:$AV19,0),IF($BB$26:$BE$26=0,$BB19:$BE19,0),IF($BG$26:$BM$26=0,$BG19:$BM19,0),IF($BT$26:$BY$26=0,$BT19:$BY19,0),IF($CB$26=0,$CB19,0),IF($CI$26:$CK$26=0,$CI19:$CK19,0)))</f>
        <v>5.26015560541326</v>
      </c>
    </row>
    <row r="47" customFormat="false" ht="12.8" hidden="false" customHeight="false" outlineLevel="0" collapsed="false">
      <c r="A47" s="4" t="s">
        <v>155</v>
      </c>
      <c r="B47" s="7" t="s">
        <v>39</v>
      </c>
      <c r="C47" s="4" t="n">
        <v>0.397994683650538</v>
      </c>
      <c r="D47" s="4" t="n">
        <v>0.0327725702803254</v>
      </c>
      <c r="E47" s="4" t="n">
        <v>0.602802961406647</v>
      </c>
      <c r="F47" s="4" t="n">
        <v>0.150242152493341</v>
      </c>
      <c r="G47" s="4" t="n">
        <v>0.234450670644319</v>
      </c>
      <c r="H47" s="4" t="n">
        <v>0.761661137728343</v>
      </c>
      <c r="I47" s="4" t="n">
        <v>0.974540419066136</v>
      </c>
      <c r="J47" s="4" t="n">
        <v>0.122711755024638</v>
      </c>
      <c r="K47" s="4" t="n">
        <v>0.91093771068668</v>
      </c>
      <c r="L47" s="4" t="n">
        <v>0.031022206668767</v>
      </c>
      <c r="M47" s="4" t="n">
        <v>0.57123785055538</v>
      </c>
      <c r="N47" s="4" t="n">
        <v>0.477406260766421</v>
      </c>
      <c r="O47" s="4" t="n">
        <v>0.728300720117611</v>
      </c>
      <c r="P47" s="4" t="n">
        <v>0.905448104998807</v>
      </c>
      <c r="Q47" s="4" t="n">
        <v>0.114684593307359</v>
      </c>
      <c r="R47" s="4" t="n">
        <v>0.140763404523375</v>
      </c>
      <c r="S47" s="4" t="n">
        <v>0.114351340427227</v>
      </c>
      <c r="T47" s="4" t="n">
        <v>0.584307225158604</v>
      </c>
      <c r="U47" s="4" t="n">
        <v>0.272261511507766</v>
      </c>
      <c r="V47" s="4" t="n">
        <v>0.821520993918356</v>
      </c>
      <c r="W47" s="4" t="n">
        <v>0.787687759884548</v>
      </c>
      <c r="X47" s="4" t="n">
        <v>0.715076269416589</v>
      </c>
      <c r="Y47" s="4" t="n">
        <v>0.979313276490177</v>
      </c>
      <c r="Z47" s="4" t="n">
        <v>0.717080596030235</v>
      </c>
      <c r="AA47" s="4" t="n">
        <v>0.0195543967771431</v>
      </c>
      <c r="AB47" s="4" t="n">
        <v>0.0630032641562822</v>
      </c>
      <c r="AC47" s="4" t="n">
        <v>0.534061920195941</v>
      </c>
      <c r="AD47" s="4" t="n">
        <v>0.317194288767729</v>
      </c>
      <c r="AE47" s="4" t="n">
        <v>0.377729436770971</v>
      </c>
      <c r="AF47" s="4" t="n">
        <v>0.853763059614534</v>
      </c>
      <c r="AG47" s="4" t="n">
        <v>0.699634584882897</v>
      </c>
      <c r="AH47" s="4" t="n">
        <v>0.225395443178437</v>
      </c>
      <c r="AI47" s="4" t="n">
        <v>0.876164100713316</v>
      </c>
      <c r="AJ47" s="4" t="n">
        <v>0.213374012252466</v>
      </c>
      <c r="AK47" s="4" t="n">
        <v>0.802731213404604</v>
      </c>
      <c r="AL47" s="4" t="n">
        <v>0.603651188671235</v>
      </c>
      <c r="AM47" s="4" t="n">
        <v>0.918330467861981</v>
      </c>
      <c r="AN47" s="4" t="n">
        <v>0.404539526422993</v>
      </c>
      <c r="AO47" s="4" t="n">
        <v>0.329537718732342</v>
      </c>
      <c r="AP47" s="4" t="n">
        <v>0.288318258998898</v>
      </c>
      <c r="AQ47" s="4" t="n">
        <v>0.802142095837987</v>
      </c>
      <c r="AR47" s="4" t="n">
        <v>0.958751670045841</v>
      </c>
      <c r="AS47" s="4" t="n">
        <v>0.438642429602152</v>
      </c>
      <c r="AT47" s="4" t="n">
        <v>0.322920834681323</v>
      </c>
      <c r="AU47" s="4" t="n">
        <v>0.594856026075814</v>
      </c>
      <c r="AV47" s="4" t="n">
        <v>0.627862749803129</v>
      </c>
      <c r="AW47" s="4" t="n">
        <v>0.401081040171585</v>
      </c>
      <c r="AX47" s="4" t="n">
        <v>0.827309362666053</v>
      </c>
      <c r="AY47" s="4" t="n">
        <v>0.00156208127386883</v>
      </c>
      <c r="AZ47" s="4" t="n">
        <v>0.0705124589185013</v>
      </c>
      <c r="BA47" s="4" t="n">
        <v>0.450849702003124</v>
      </c>
      <c r="BB47" s="4" t="n">
        <v>0.733704283064304</v>
      </c>
      <c r="BC47" s="4" t="n">
        <v>0.866822286442369</v>
      </c>
      <c r="BD47" s="4" t="n">
        <v>0.899788830458589</v>
      </c>
      <c r="BE47" s="4" t="n">
        <v>0.641480760925499</v>
      </c>
      <c r="BF47" s="4" t="n">
        <v>0.617289625144273</v>
      </c>
      <c r="BG47" s="4" t="n">
        <v>0.616093773804875</v>
      </c>
      <c r="BH47" s="4" t="n">
        <v>0.908950561701761</v>
      </c>
      <c r="BI47" s="4" t="n">
        <v>0.131682046560182</v>
      </c>
      <c r="BJ47" s="4" t="n">
        <v>0.914625849274977</v>
      </c>
      <c r="BK47" s="4" t="n">
        <v>0.292429103497059</v>
      </c>
      <c r="BL47" s="4" t="n">
        <v>0.952432046206875</v>
      </c>
      <c r="BM47" s="4" t="n">
        <v>0.373352849407548</v>
      </c>
      <c r="BN47" s="4" t="n">
        <v>0.584350057900933</v>
      </c>
      <c r="BO47" s="4" t="n">
        <v>0.497866963744298</v>
      </c>
      <c r="BP47" s="4" t="n">
        <v>0.501146560806989</v>
      </c>
      <c r="BQ47" s="4" t="n">
        <v>0.391285975345248</v>
      </c>
      <c r="BR47" s="4" t="n">
        <v>0.0347106782935288</v>
      </c>
      <c r="BS47" s="4" t="n">
        <v>0.18251065296544</v>
      </c>
      <c r="BT47" s="4" t="n">
        <v>0.450708993690199</v>
      </c>
      <c r="BU47" s="4" t="n">
        <v>0.95272640452208</v>
      </c>
      <c r="BV47" s="4" t="n">
        <v>0.383794461990185</v>
      </c>
      <c r="BW47" s="4" t="n">
        <v>0.729120054094265</v>
      </c>
      <c r="BX47" s="4" t="n">
        <v>0.615749009985982</v>
      </c>
      <c r="BY47" s="4" t="n">
        <v>0.765053466764852</v>
      </c>
      <c r="BZ47" s="4" t="n">
        <v>0.0866662575731829</v>
      </c>
      <c r="CA47" s="4" t="n">
        <v>0.161013783644612</v>
      </c>
      <c r="CB47" s="4" t="n">
        <v>0.688693240950101</v>
      </c>
      <c r="CC47" s="4" t="n">
        <v>0.363061657929692</v>
      </c>
      <c r="CD47" s="4" t="n">
        <v>0.295463801831158</v>
      </c>
      <c r="CE47" s="4" t="n">
        <v>0.32926822027859</v>
      </c>
      <c r="CF47" s="4" t="n">
        <v>0.376196107676327</v>
      </c>
      <c r="CG47" s="4" t="n">
        <v>0.0521578757841249</v>
      </c>
      <c r="CH47" s="4" t="n">
        <v>0.926733329070559</v>
      </c>
      <c r="CI47" s="4" t="n">
        <v>0.667487828686884</v>
      </c>
      <c r="CJ47" s="4" t="n">
        <v>0.109507920045041</v>
      </c>
      <c r="CK47" s="4" t="n">
        <v>0.486179050277288</v>
      </c>
      <c r="CL47" s="4" t="n">
        <v>0</v>
      </c>
      <c r="CN47" s="0" t="n">
        <f aca="false" t="array" ref="CN47:CN47">SUM($I$26:$J$26*$I47:$J47)/(1-SUM(IF($I$26:$J$26=0,$I20:$J20,0)))</f>
        <v>1.09725217409077</v>
      </c>
      <c r="CO47" s="4" t="n">
        <f aca="false" t="array" ref="CO47:CO47">SUM($C$26:$H$26*$C47:$H47,$K$26:$N$26*$K47:$N47,$R$26:$U$26*$R47:$U47,$X$26:$Z$26*$X47:$Z47,$AC$26*$AC47,$AW$26:$BA$26*$AW47:$BA47,$BF$26*$BF47,$BN$26:$BS$26*$BN47:$BS47,$BZ$26:$CA$26*$BZ47:$CA47,$CC$26:$CH$26*$CC47:$CH47)/(1-SUM(IF($C$26:$H$26=0,$C20:$H20,0),IF($K$26:$N$26=0,$K20:$N20,0),IF($R$26:$U$26=0,$R20:$U20,0),IF($X$26:$Z$26=0,$X20:$Z20,0),IF($AC$26=0,$AC20,0),IF($AW$26:$BA$26=0,$AW20:$BA20,0),IF($BF$26=0,$BF20,0),IF($BN$26:$BS$26=0,$BN20:$BS20,0),IF($BZ$26:$CA$26=0,$BZ20:$CA20,0),IF($CC$26:$CH$26=0,$CC20:$CH20,0)))</f>
        <v>3.01928861455808</v>
      </c>
      <c r="CP47" s="4" t="n">
        <f aca="false" t="array" ref="CP47:CP47">SUM($O$26:$Q$26*$O47:$Q47,$V$26:$W$26*$V47:$W47,$AA$26:$AB$26*$AA47:$AB47,$AD$26:$AV$26*$AD47:$AV47,$BB$26:$BE$26*$BB47:$BE47,$BG$26:$BM$26*$BG47:$BM47,$BT$26:$BY$26*$BT47:$BY47,$CB$26*$CB47,$CI$26:$CK$26*$CI47:$CK47)/(1-SUM(IF($O$26:$Q$26=0,$O20:$Q20,0),IF($V$26:$W$26=0,$V20:$W20,0),IF($AA$26:$AB$26=0,$AA20:$AB20,0),IF($AD$26:$AV$26=0,$AD20:$AV20,0),IF($BB$26:$BE$26=0,$BB20:$BE20,0),IF($BG$26:$BM$26=0,$BG20:$BM20,0),IF($BT$26:$BY$26=0,$BT20:$BY20,0),IF($CB$26=0,$CB20,0),IF($CI$26:$CK$26=0,$CI20:$CK20,0)))</f>
        <v>9.48832119379643</v>
      </c>
    </row>
    <row r="48" customFormat="false" ht="12.8" hidden="false" customHeight="false" outlineLevel="0" collapsed="false">
      <c r="A48" s="4" t="s">
        <v>156</v>
      </c>
      <c r="B48" s="7" t="s">
        <v>39</v>
      </c>
      <c r="C48" s="4" t="n">
        <v>0.329755917403872</v>
      </c>
      <c r="D48" s="4" t="n">
        <v>0.0566149335615943</v>
      </c>
      <c r="E48" s="4" t="n">
        <v>0.897815868775463</v>
      </c>
      <c r="F48" s="4" t="n">
        <v>0.856014266452765</v>
      </c>
      <c r="G48" s="4" t="n">
        <v>0.864403187336598</v>
      </c>
      <c r="H48" s="4" t="n">
        <v>0.115363390396704</v>
      </c>
      <c r="I48" s="4" t="n">
        <v>0.29216912940275</v>
      </c>
      <c r="J48" s="4" t="n">
        <v>0.94603988855589</v>
      </c>
      <c r="K48" s="4" t="n">
        <v>0.387894109805058</v>
      </c>
      <c r="L48" s="4" t="n">
        <v>0.00151614292929692</v>
      </c>
      <c r="M48" s="4" t="n">
        <v>0.0597368487066911</v>
      </c>
      <c r="N48" s="4" t="n">
        <v>0.836954958761908</v>
      </c>
      <c r="O48" s="4" t="n">
        <v>0.530500622886588</v>
      </c>
      <c r="P48" s="4" t="n">
        <v>0.929155797694745</v>
      </c>
      <c r="Q48" s="4" t="n">
        <v>0.825865839384078</v>
      </c>
      <c r="R48" s="4" t="n">
        <v>0.161811912894235</v>
      </c>
      <c r="S48" s="4" t="n">
        <v>0.901374305972236</v>
      </c>
      <c r="T48" s="4" t="n">
        <v>0.250309377198681</v>
      </c>
      <c r="U48" s="4" t="n">
        <v>0.36794466977846</v>
      </c>
      <c r="V48" s="4" t="n">
        <v>0.146833211436967</v>
      </c>
      <c r="W48" s="4" t="n">
        <v>0.506149911186061</v>
      </c>
      <c r="X48" s="4" t="n">
        <v>0.719945573135121</v>
      </c>
      <c r="Y48" s="4" t="n">
        <v>0.440055254290114</v>
      </c>
      <c r="Z48" s="4" t="n">
        <v>0.121143588957376</v>
      </c>
      <c r="AA48" s="4" t="n">
        <v>0.122470982642369</v>
      </c>
      <c r="AB48" s="4" t="n">
        <v>0.486010386533657</v>
      </c>
      <c r="AC48" s="4" t="n">
        <v>0.317017231165007</v>
      </c>
      <c r="AD48" s="4" t="n">
        <v>0.827601871242293</v>
      </c>
      <c r="AE48" s="4" t="n">
        <v>0.86228393844104</v>
      </c>
      <c r="AF48" s="4" t="n">
        <v>0.309453887418514</v>
      </c>
      <c r="AG48" s="4" t="n">
        <v>0.86974783212449</v>
      </c>
      <c r="AH48" s="4" t="n">
        <v>0.882621613884738</v>
      </c>
      <c r="AI48" s="4" t="n">
        <v>0.343895379472191</v>
      </c>
      <c r="AJ48" s="4" t="n">
        <v>0.679247442164482</v>
      </c>
      <c r="AK48" s="4" t="n">
        <v>0.64409099045872</v>
      </c>
      <c r="AL48" s="4" t="n">
        <v>0.326886030697844</v>
      </c>
      <c r="AM48" s="4" t="n">
        <v>0.498453083219027</v>
      </c>
      <c r="AN48" s="4" t="n">
        <v>0.469830041302458</v>
      </c>
      <c r="AO48" s="4" t="n">
        <v>0.388519270476635</v>
      </c>
      <c r="AP48" s="4" t="n">
        <v>0.908119156172023</v>
      </c>
      <c r="AQ48" s="4" t="n">
        <v>0.7216832494465</v>
      </c>
      <c r="AR48" s="4" t="n">
        <v>0.594394090990264</v>
      </c>
      <c r="AS48" s="4" t="n">
        <v>0.393857177783542</v>
      </c>
      <c r="AT48" s="4" t="n">
        <v>0.170155785539435</v>
      </c>
      <c r="AU48" s="4" t="n">
        <v>0.888122868507808</v>
      </c>
      <c r="AV48" s="4" t="n">
        <v>0.285880896540209</v>
      </c>
      <c r="AW48" s="4" t="n">
        <v>0.477913840188674</v>
      </c>
      <c r="AX48" s="4" t="n">
        <v>0.875216444576697</v>
      </c>
      <c r="AY48" s="4" t="n">
        <v>0.682078431565117</v>
      </c>
      <c r="AZ48" s="4" t="n">
        <v>0.520642635515357</v>
      </c>
      <c r="BA48" s="4" t="n">
        <v>0.892093310122623</v>
      </c>
      <c r="BB48" s="4" t="n">
        <v>0.672880705615096</v>
      </c>
      <c r="BC48" s="4" t="n">
        <v>0.340153876046396</v>
      </c>
      <c r="BD48" s="4" t="n">
        <v>0.263889069004379</v>
      </c>
      <c r="BE48" s="4" t="n">
        <v>0.641432617962326</v>
      </c>
      <c r="BF48" s="4" t="n">
        <v>0.267969364479119</v>
      </c>
      <c r="BG48" s="4" t="n">
        <v>0.258275852090825</v>
      </c>
      <c r="BH48" s="4" t="n">
        <v>0.855238432249605</v>
      </c>
      <c r="BI48" s="4" t="n">
        <v>0.807096320236089</v>
      </c>
      <c r="BJ48" s="4" t="n">
        <v>0.405198470492892</v>
      </c>
      <c r="BK48" s="4" t="n">
        <v>0.885215165567766</v>
      </c>
      <c r="BL48" s="4" t="n">
        <v>0.0129653157666288</v>
      </c>
      <c r="BM48" s="4" t="n">
        <v>0.736291425450892</v>
      </c>
      <c r="BN48" s="4" t="n">
        <v>0.431753263060027</v>
      </c>
      <c r="BO48" s="4" t="n">
        <v>0.431362452509574</v>
      </c>
      <c r="BP48" s="4" t="n">
        <v>0.7748568103776</v>
      </c>
      <c r="BQ48" s="4" t="n">
        <v>0.0197245180841111</v>
      </c>
      <c r="BR48" s="4" t="n">
        <v>0.364607759917061</v>
      </c>
      <c r="BS48" s="4" t="n">
        <v>0.684800973653637</v>
      </c>
      <c r="BT48" s="4" t="n">
        <v>0.424524397075777</v>
      </c>
      <c r="BU48" s="4" t="n">
        <v>0.527364613665574</v>
      </c>
      <c r="BV48" s="4" t="n">
        <v>0.957960595505952</v>
      </c>
      <c r="BW48" s="4" t="n">
        <v>0.0773290052572688</v>
      </c>
      <c r="BX48" s="4" t="n">
        <v>0.812043803717313</v>
      </c>
      <c r="BY48" s="4" t="n">
        <v>0.126259932687835</v>
      </c>
      <c r="BZ48" s="4" t="n">
        <v>0.219069195100695</v>
      </c>
      <c r="CA48" s="4" t="n">
        <v>0.26419590570982</v>
      </c>
      <c r="CB48" s="4" t="n">
        <v>0.0488866841075631</v>
      </c>
      <c r="CC48" s="4" t="n">
        <v>0.289021612679295</v>
      </c>
      <c r="CD48" s="4" t="n">
        <v>0.776841584221587</v>
      </c>
      <c r="CE48" s="4" t="n">
        <v>0.118888367628289</v>
      </c>
      <c r="CF48" s="4" t="n">
        <v>0.0704658512088901</v>
      </c>
      <c r="CG48" s="4" t="n">
        <v>0.671316023895586</v>
      </c>
      <c r="CH48" s="4" t="n">
        <v>0.672524107463027</v>
      </c>
      <c r="CI48" s="4" t="n">
        <v>0.525307039734423</v>
      </c>
      <c r="CJ48" s="4" t="n">
        <v>0.410868725837066</v>
      </c>
      <c r="CK48" s="4" t="n">
        <v>0.532338971571934</v>
      </c>
      <c r="CL48" s="4" t="n">
        <v>0</v>
      </c>
      <c r="CN48" s="0" t="n">
        <f aca="false" t="array" ref="CN48:CN48">SUM($I$26:$J$26*$I48:$J48)/(1-SUM(IF($I$26:$J$26=0,$I21:$J21,0)))</f>
        <v>1.23820901795864</v>
      </c>
      <c r="CO48" s="4" t="n">
        <f aca="false" t="array" ref="CO48:CO48">SUM($C$26:$H$26*$C48:$H48,$K$26:$N$26*$K48:$N48,$R$26:$U$26*$R48:$U48,$X$26:$Z$26*$X48:$Z48,$AC$26*$AC48,$AW$26:$BA$26*$AW48:$BA48,$BF$26*$BF48,$BN$26:$BS$26*$BN48:$BS48,$BZ$26:$CA$26*$BZ48:$CA48,$CC$26:$CH$26*$CC48:$CH48)/(1-SUM(IF($C$26:$H$26=0,$C21:$H21,0),IF($K$26:$N$26=0,$K21:$N21,0),IF($R$26:$U$26=0,$R21:$U21,0),IF($X$26:$Z$26=0,$X21:$Z21,0),IF($AC$26=0,$AC21,0),IF($AW$26:$BA$26=0,$AW21:$BA21,0),IF($BF$26=0,$BF21,0),IF($BN$26:$BS$26=0,$BN21:$BS21,0),IF($BZ$26:$CA$26=0,$BZ21:$CA21,0),IF($CC$26:$CH$26=0,$CC21:$CH21,0)))</f>
        <v>175.434002654226</v>
      </c>
      <c r="CP48" s="4" t="n">
        <f aca="false" t="array" ref="CP48:CP48">SUM($O$26:$Q$26*$O48:$Q48,$V$26:$W$26*$V48:$W48,$AA$26:$AB$26*$AA48:$AB48,$AD$26:$AV$26*$AD48:$AV48,$BB$26:$BE$26*$BB48:$BE48,$BG$26:$BM$26*$BG48:$BM48,$BT$26:$BY$26*$BT48:$BY48,$CB$26*$CB48,$CI$26:$CK$26*$CI48:$CK48)/(1-SUM(IF($O$26:$Q$26=0,$O21:$Q21,0),IF($V$26:$W$26=0,$V21:$W21,0),IF($AA$26:$AB$26=0,$AA21:$AB21,0),IF($AD$26:$AV$26=0,$AD21:$AV21,0),IF($BB$26:$BE$26=0,$BB21:$BE21,0),IF($BG$26:$BM$26=0,$BG21:$BM21,0),IF($BT$26:$BY$26=0,$BT21:$BY21,0),IF($CB$26=0,$CB21,0),IF($CI$26:$CK$26=0,$CI21:$CK21,0)))</f>
        <v>7.66685649228619</v>
      </c>
    </row>
    <row r="49" customFormat="false" ht="12.8" hidden="false" customHeight="false" outlineLevel="0" collapsed="false">
      <c r="A49" s="4" t="s">
        <v>157</v>
      </c>
      <c r="B49" s="7" t="s">
        <v>39</v>
      </c>
      <c r="C49" s="4" t="n">
        <v>0.325921609672701</v>
      </c>
      <c r="D49" s="4" t="n">
        <v>0.132356600096452</v>
      </c>
      <c r="E49" s="4" t="n">
        <v>0.725106661337792</v>
      </c>
      <c r="F49" s="4" t="n">
        <v>0.359530586168483</v>
      </c>
      <c r="G49" s="4" t="n">
        <v>0.202535879411265</v>
      </c>
      <c r="H49" s="4" t="n">
        <v>0.303741520153849</v>
      </c>
      <c r="I49" s="4" t="n">
        <v>0.498614197490507</v>
      </c>
      <c r="J49" s="4" t="n">
        <v>0.652331797868923</v>
      </c>
      <c r="K49" s="4" t="n">
        <v>0.0828824281283667</v>
      </c>
      <c r="L49" s="4" t="n">
        <v>0.912882043971806</v>
      </c>
      <c r="M49" s="4" t="n">
        <v>0.243844222314828</v>
      </c>
      <c r="N49" s="4" t="n">
        <v>0.21482172954306</v>
      </c>
      <c r="O49" s="4" t="n">
        <v>0.863912411708596</v>
      </c>
      <c r="P49" s="4" t="n">
        <v>0.740459731377862</v>
      </c>
      <c r="Q49" s="4" t="n">
        <v>0.973500719610216</v>
      </c>
      <c r="R49" s="4" t="n">
        <v>0.492287043849699</v>
      </c>
      <c r="S49" s="4" t="n">
        <v>0.608936053028138</v>
      </c>
      <c r="T49" s="4" t="n">
        <v>0.262534033826632</v>
      </c>
      <c r="U49" s="4" t="n">
        <v>0.937384312105166</v>
      </c>
      <c r="V49" s="4" t="n">
        <v>0.0563714637559472</v>
      </c>
      <c r="W49" s="4" t="n">
        <v>0.274133039437137</v>
      </c>
      <c r="X49" s="4" t="n">
        <v>0.707873030891656</v>
      </c>
      <c r="Y49" s="4" t="n">
        <v>0.932773447374456</v>
      </c>
      <c r="Z49" s="4" t="n">
        <v>0.623911067370062</v>
      </c>
      <c r="AA49" s="4" t="n">
        <v>0.690868586925738</v>
      </c>
      <c r="AB49" s="4" t="n">
        <v>0.484748211574423</v>
      </c>
      <c r="AC49" s="4" t="n">
        <v>0.184268108926907</v>
      </c>
      <c r="AD49" s="4" t="n">
        <v>0.17551876376044</v>
      </c>
      <c r="AE49" s="4" t="n">
        <v>0.208421213218113</v>
      </c>
      <c r="AF49" s="4" t="n">
        <v>0.913797321180165</v>
      </c>
      <c r="AG49" s="4" t="n">
        <v>0.593129279943076</v>
      </c>
      <c r="AH49" s="4" t="n">
        <v>0.544869944300049</v>
      </c>
      <c r="AI49" s="4" t="n">
        <v>0.394768384982029</v>
      </c>
      <c r="AJ49" s="4" t="n">
        <v>0.129625182892442</v>
      </c>
      <c r="AK49" s="4" t="n">
        <v>0.0919996739932848</v>
      </c>
      <c r="AL49" s="4" t="n">
        <v>0.335842509203824</v>
      </c>
      <c r="AM49" s="4" t="n">
        <v>0.376628853408668</v>
      </c>
      <c r="AN49" s="4" t="n">
        <v>0.120322162760106</v>
      </c>
      <c r="AO49" s="4" t="n">
        <v>0.286501626918334</v>
      </c>
      <c r="AP49" s="4" t="n">
        <v>0.306898284528195</v>
      </c>
      <c r="AQ49" s="4" t="n">
        <v>0.442561581400968</v>
      </c>
      <c r="AR49" s="4" t="n">
        <v>0.596073281283716</v>
      </c>
      <c r="AS49" s="4" t="n">
        <v>0.637270604989564</v>
      </c>
      <c r="AT49" s="4" t="n">
        <v>0.249609019591603</v>
      </c>
      <c r="AU49" s="4" t="n">
        <v>0.0843844484018172</v>
      </c>
      <c r="AV49" s="4" t="n">
        <v>0.573056535109976</v>
      </c>
      <c r="AW49" s="4" t="n">
        <v>0.865112737870002</v>
      </c>
      <c r="AX49" s="4" t="n">
        <v>0.534036406282153</v>
      </c>
      <c r="AY49" s="4" t="n">
        <v>0.760579995471131</v>
      </c>
      <c r="AZ49" s="4" t="n">
        <v>0.581496722906833</v>
      </c>
      <c r="BA49" s="4" t="n">
        <v>0.997635809385642</v>
      </c>
      <c r="BB49" s="4" t="n">
        <v>0.945652265963355</v>
      </c>
      <c r="BC49" s="4" t="n">
        <v>0.976963621441048</v>
      </c>
      <c r="BD49" s="4" t="n">
        <v>0.577952397770907</v>
      </c>
      <c r="BE49" s="4" t="n">
        <v>0.220958566132082</v>
      </c>
      <c r="BF49" s="4" t="n">
        <v>0.492711103315102</v>
      </c>
      <c r="BG49" s="4" t="n">
        <v>0.614813790557089</v>
      </c>
      <c r="BH49" s="4" t="n">
        <v>0.382311197185734</v>
      </c>
      <c r="BI49" s="4" t="n">
        <v>0.815013933714349</v>
      </c>
      <c r="BJ49" s="4" t="n">
        <v>0.248020610521108</v>
      </c>
      <c r="BK49" s="4" t="n">
        <v>0.00122745770958428</v>
      </c>
      <c r="BL49" s="4" t="n">
        <v>0.815962862545088</v>
      </c>
      <c r="BM49" s="4" t="n">
        <v>0.4124499374125</v>
      </c>
      <c r="BN49" s="4" t="n">
        <v>0.568196059636225</v>
      </c>
      <c r="BO49" s="4" t="n">
        <v>0.510031355638663</v>
      </c>
      <c r="BP49" s="4" t="n">
        <v>0.723151345672845</v>
      </c>
      <c r="BQ49" s="4" t="n">
        <v>0.50412462238403</v>
      </c>
      <c r="BR49" s="4" t="n">
        <v>0.196310317241307</v>
      </c>
      <c r="BS49" s="4" t="n">
        <v>0.311141363217559</v>
      </c>
      <c r="BT49" s="4" t="n">
        <v>0.464127613892635</v>
      </c>
      <c r="BU49" s="4" t="n">
        <v>0.574457022447233</v>
      </c>
      <c r="BV49" s="4" t="n">
        <v>0.187230447777193</v>
      </c>
      <c r="BW49" s="4" t="n">
        <v>0.762689916294292</v>
      </c>
      <c r="BX49" s="4" t="n">
        <v>0.139509785433981</v>
      </c>
      <c r="BY49" s="4" t="n">
        <v>0.0344686227506404</v>
      </c>
      <c r="BZ49" s="4" t="n">
        <v>0.648627800837423</v>
      </c>
      <c r="CA49" s="4" t="n">
        <v>0.127699994964532</v>
      </c>
      <c r="CB49" s="4" t="n">
        <v>0.477137646899553</v>
      </c>
      <c r="CC49" s="4" t="n">
        <v>0.59892626120665</v>
      </c>
      <c r="CD49" s="4" t="n">
        <v>0.931854278609429</v>
      </c>
      <c r="CE49" s="4" t="n">
        <v>0.31776697342208</v>
      </c>
      <c r="CF49" s="4" t="n">
        <v>0.983747287906158</v>
      </c>
      <c r="CG49" s="4" t="n">
        <v>0.321035177057181</v>
      </c>
      <c r="CH49" s="4" t="n">
        <v>0.800938628865418</v>
      </c>
      <c r="CI49" s="4" t="n">
        <v>0.654023185348621</v>
      </c>
      <c r="CJ49" s="4" t="n">
        <v>0.141109477128894</v>
      </c>
      <c r="CK49" s="4" t="n">
        <v>0.932983233312725</v>
      </c>
      <c r="CL49" s="4" t="n">
        <v>0</v>
      </c>
      <c r="CN49" s="0" t="n">
        <f aca="false" t="array" ref="CN49:CN49">SUM($I$26:$J$26*$I49:$J49)/(1-SUM(IF($I$26:$J$26=0,$I22:$J22,0)))</f>
        <v>1.15094599535943</v>
      </c>
      <c r="CO49" s="4" t="n">
        <f aca="false" t="array" ref="CO49:CO49">SUM($C$26:$H$26*$C49:$H49,$K$26:$N$26*$K49:$N49,$R$26:$U$26*$R49:$U49,$X$26:$Z$26*$X49:$Z49,$AC$26*$AC49,$AW$26:$BA$26*$AW49:$BA49,$BF$26*$BF49,$BN$26:$BS$26*$BN49:$BS49,$BZ$26:$CA$26*$BZ49:$CA49,$CC$26:$CH$26*$CC49:$CH49)/(1-SUM(IF($C$26:$H$26=0,$C22:$H22,0),IF($K$26:$N$26=0,$K22:$N22,0),IF($R$26:$U$26=0,$R22:$U22,0),IF($X$26:$Z$26=0,$X22:$Z22,0),IF($AC$26=0,$AC22,0),IF($AW$26:$BA$26=0,$AW22:$BA22,0),IF($BF$26=0,$BF22,0),IF($BN$26:$BS$26=0,$BN22:$BS22,0),IF($BZ$26:$CA$26=0,$BZ22:$CA22,0),IF($CC$26:$CH$26=0,$CC22:$CH22,0)))</f>
        <v>5.08487449056472</v>
      </c>
      <c r="CP49" s="4" t="n">
        <f aca="false" t="array" ref="CP49:CP49">SUM($O$26:$Q$26*$O49:$Q49,$V$26:$W$26*$V49:$W49,$AA$26:$AB$26*$AA49:$AB49,$AD$26:$AV$26*$AD49:$AV49,$BB$26:$BE$26*$BB49:$BE49,$BG$26:$BM$26*$BG49:$BM49,$BT$26:$BY$26*$BT49:$BY49,$CB$26*$CB49,$CI$26:$CK$26*$CI49:$CK49)/(1-SUM(IF($O$26:$Q$26=0,$O22:$Q22,0),IF($V$26:$W$26=0,$V22:$W22,0),IF($AA$26:$AB$26=0,$AA22:$AB22,0),IF($AD$26:$AV$26=0,$AD22:$AV22,0),IF($BB$26:$BE$26=0,$BB22:$BE22,0),IF($BG$26:$BM$26=0,$BG22:$BM22,0),IF($BT$26:$BY$26=0,$BT22:$BY22,0),IF($CB$26=0,$CB22,0),IF($CI$26:$CK$26=0,$CI22:$CK22,0)))</f>
        <v>4.40914728443759</v>
      </c>
    </row>
    <row r="50" customFormat="false" ht="12.8" hidden="false" customHeight="false" outlineLevel="0" collapsed="false">
      <c r="A50" s="4" t="s">
        <v>158</v>
      </c>
      <c r="B50" s="7" t="s">
        <v>39</v>
      </c>
      <c r="C50" s="4" t="n">
        <v>0.78667029132263</v>
      </c>
      <c r="D50" s="4" t="n">
        <v>0.895124787173386</v>
      </c>
      <c r="E50" s="4" t="n">
        <v>0.0525780005714029</v>
      </c>
      <c r="F50" s="4" t="n">
        <v>0.987904447045873</v>
      </c>
      <c r="G50" s="4" t="n">
        <v>0.362587786125991</v>
      </c>
      <c r="H50" s="4" t="n">
        <v>0.154547305093245</v>
      </c>
      <c r="I50" s="4" t="n">
        <v>0.0504293483470049</v>
      </c>
      <c r="J50" s="4" t="n">
        <v>0.432823238246896</v>
      </c>
      <c r="K50" s="4" t="n">
        <v>0.453724682265666</v>
      </c>
      <c r="L50" s="4" t="n">
        <v>0.0719313471455286</v>
      </c>
      <c r="M50" s="4" t="n">
        <v>0.654291828684735</v>
      </c>
      <c r="N50" s="4" t="n">
        <v>0.638498096136741</v>
      </c>
      <c r="O50" s="4" t="n">
        <v>0.534412871033613</v>
      </c>
      <c r="P50" s="4" t="n">
        <v>0.120181030440765</v>
      </c>
      <c r="Q50" s="4" t="n">
        <v>0.349825955881692</v>
      </c>
      <c r="R50" s="4" t="n">
        <v>0.208489780742934</v>
      </c>
      <c r="S50" s="4" t="n">
        <v>0.29422641069012</v>
      </c>
      <c r="T50" s="4" t="n">
        <v>0.0753428111618134</v>
      </c>
      <c r="U50" s="4" t="n">
        <v>0.24762408287577</v>
      </c>
      <c r="V50" s="4" t="n">
        <v>0.425717056203078</v>
      </c>
      <c r="W50" s="4" t="n">
        <v>0.718538014236054</v>
      </c>
      <c r="X50" s="4" t="n">
        <v>0.651808804649786</v>
      </c>
      <c r="Y50" s="4" t="n">
        <v>0.669064570675788</v>
      </c>
      <c r="Z50" s="4" t="n">
        <v>0.381730247896908</v>
      </c>
      <c r="AA50" s="4" t="n">
        <v>0.664336137577187</v>
      </c>
      <c r="AB50" s="4" t="n">
        <v>0.155720565665997</v>
      </c>
      <c r="AC50" s="4" t="n">
        <v>0.738917960941093</v>
      </c>
      <c r="AD50" s="4" t="n">
        <v>0.48273294100923</v>
      </c>
      <c r="AE50" s="4" t="n">
        <v>0.783607924059748</v>
      </c>
      <c r="AF50" s="4" t="n">
        <v>0.544975903051188</v>
      </c>
      <c r="AG50" s="4" t="n">
        <v>0.972963302982393</v>
      </c>
      <c r="AH50" s="4" t="n">
        <v>0.296388162390962</v>
      </c>
      <c r="AI50" s="4" t="n">
        <v>0.606066693497891</v>
      </c>
      <c r="AJ50" s="4" t="n">
        <v>0.970151676243154</v>
      </c>
      <c r="AK50" s="4" t="n">
        <v>0.258416639586514</v>
      </c>
      <c r="AL50" s="4" t="n">
        <v>0.65079193202891</v>
      </c>
      <c r="AM50" s="4" t="n">
        <v>0.756987562547975</v>
      </c>
      <c r="AN50" s="4" t="n">
        <v>0.649467430492419</v>
      </c>
      <c r="AO50" s="4" t="n">
        <v>0.710220334756062</v>
      </c>
      <c r="AP50" s="4" t="n">
        <v>0.92838758076126</v>
      </c>
      <c r="AQ50" s="4" t="n">
        <v>0.743154324914359</v>
      </c>
      <c r="AR50" s="4" t="n">
        <v>0.613884308079772</v>
      </c>
      <c r="AS50" s="4" t="n">
        <v>0.0526123062070223</v>
      </c>
      <c r="AT50" s="4" t="n">
        <v>0.213203378449185</v>
      </c>
      <c r="AU50" s="4" t="n">
        <v>0.181460389836094</v>
      </c>
      <c r="AV50" s="4" t="n">
        <v>0.369835156256055</v>
      </c>
      <c r="AW50" s="4" t="n">
        <v>0.956927266267773</v>
      </c>
      <c r="AX50" s="4" t="n">
        <v>0.690515682035393</v>
      </c>
      <c r="AY50" s="4" t="n">
        <v>0.694455458223267</v>
      </c>
      <c r="AZ50" s="4" t="n">
        <v>0.328269707809238</v>
      </c>
      <c r="BA50" s="4" t="n">
        <v>0.656126758251894</v>
      </c>
      <c r="BB50" s="4" t="n">
        <v>0.240165197547908</v>
      </c>
      <c r="BC50" s="4" t="n">
        <v>0.283967922561806</v>
      </c>
      <c r="BD50" s="4" t="n">
        <v>0.440773037311602</v>
      </c>
      <c r="BE50" s="4" t="n">
        <v>0.460810182892186</v>
      </c>
      <c r="BF50" s="4" t="n">
        <v>0.824291036834004</v>
      </c>
      <c r="BG50" s="4" t="n">
        <v>0.637163266177929</v>
      </c>
      <c r="BH50" s="4" t="n">
        <v>0.577728669822051</v>
      </c>
      <c r="BI50" s="4" t="n">
        <v>0.120687127477604</v>
      </c>
      <c r="BJ50" s="4" t="n">
        <v>0.871708985315729</v>
      </c>
      <c r="BK50" s="4" t="n">
        <v>0.58941818982911</v>
      </c>
      <c r="BL50" s="4" t="n">
        <v>0.447769597174486</v>
      </c>
      <c r="BM50" s="4" t="n">
        <v>0.622338137475849</v>
      </c>
      <c r="BN50" s="4" t="n">
        <v>0.487392307785515</v>
      </c>
      <c r="BO50" s="4" t="n">
        <v>0.23136359694118</v>
      </c>
      <c r="BP50" s="4" t="n">
        <v>0.5287318733967</v>
      </c>
      <c r="BQ50" s="4" t="n">
        <v>0.257397047271938</v>
      </c>
      <c r="BR50" s="4" t="n">
        <v>0.031433993300426</v>
      </c>
      <c r="BS50" s="4" t="n">
        <v>0.526263053894048</v>
      </c>
      <c r="BT50" s="4" t="n">
        <v>0.563570011067339</v>
      </c>
      <c r="BU50" s="4" t="n">
        <v>0.524616947424702</v>
      </c>
      <c r="BV50" s="4" t="n">
        <v>0.680007427705941</v>
      </c>
      <c r="BW50" s="4" t="n">
        <v>0.32289931183734</v>
      </c>
      <c r="BX50" s="4" t="n">
        <v>0.267160223789298</v>
      </c>
      <c r="BY50" s="4" t="n">
        <v>0.214305445769583</v>
      </c>
      <c r="BZ50" s="4" t="n">
        <v>0.68804135306749</v>
      </c>
      <c r="CA50" s="4" t="n">
        <v>0.264196125607066</v>
      </c>
      <c r="CB50" s="4" t="n">
        <v>0.192186208764613</v>
      </c>
      <c r="CC50" s="4" t="n">
        <v>0.721903734907375</v>
      </c>
      <c r="CD50" s="4" t="n">
        <v>0.110197855776813</v>
      </c>
      <c r="CE50" s="4" t="n">
        <v>0.450202123477261</v>
      </c>
      <c r="CF50" s="4" t="n">
        <v>0.541466078929979</v>
      </c>
      <c r="CG50" s="4" t="n">
        <v>0.743092343570782</v>
      </c>
      <c r="CH50" s="4" t="n">
        <v>0.458584701523537</v>
      </c>
      <c r="CI50" s="4" t="n">
        <v>0.676138059561816</v>
      </c>
      <c r="CJ50" s="4" t="n">
        <v>0.912903749026919</v>
      </c>
      <c r="CK50" s="4" t="n">
        <v>0.0283989197379561</v>
      </c>
      <c r="CL50" s="4" t="n">
        <v>0</v>
      </c>
      <c r="CN50" s="0" t="n">
        <f aca="false" t="array" ref="CN50:CN50">SUM($I$26:$J$26*$I50:$J50)/(1-SUM(IF($I$26:$J$26=0,$I23:$J23,0)))</f>
        <v>0.483252586593901</v>
      </c>
      <c r="CO50" s="4" t="n">
        <f aca="false" t="array" ref="CO50:CO50">SUM($C$26:$H$26*$C50:$H50,$K$26:$N$26*$K50:$N50,$R$26:$U$26*$R50:$U50,$X$26:$Z$26*$X50:$Z50,$AC$26*$AC50,$AW$26:$BA$26*$AW50:$BA50,$BF$26*$BF50,$BN$26:$BS$26*$BN50:$BS50,$BZ$26:$CA$26*$BZ50:$CA50,$CC$26:$CH$26*$CC50:$CH50)/(1-SUM(IF($C$26:$H$26=0,$C23:$H23,0),IF($K$26:$N$26=0,$K23:$N23,0),IF($R$26:$U$26=0,$R23:$U23,0),IF($X$26:$Z$26=0,$X23:$Z23,0),IF($AC$26=0,$AC23,0),IF($AW$26:$BA$26=0,$AW23:$BA23,0),IF($BF$26=0,$BF23,0),IF($BN$26:$BS$26=0,$BN23:$BS23,0),IF($BZ$26:$CA$26=0,$BZ23:$CA23,0),IF($CC$26:$CH$26=0,$CC23:$CH23,0)))</f>
        <v>8.18564769830355</v>
      </c>
      <c r="CP50" s="4" t="n">
        <f aca="false" t="array" ref="CP50:CP50">SUM($O$26:$Q$26*$O50:$Q50,$V$26:$W$26*$V50:$W50,$AA$26:$AB$26*$AA50:$AB50,$AD$26:$AV$26*$AD50:$AV50,$BB$26:$BE$26*$BB50:$BE50,$BG$26:$BM$26*$BG50:$BM50,$BT$26:$BY$26*$BT50:$BY50,$CB$26*$CB50,$CI$26:$CK$26*$CI50:$CK50)/(1-SUM(IF($O$26:$Q$26=0,$O23:$Q23,0),IF($V$26:$W$26=0,$V23:$W23,0),IF($AA$26:$AB$26=0,$AA23:$AB23,0),IF($AD$26:$AV$26=0,$AD23:$AV23,0),IF($BB$26:$BE$26=0,$BB23:$BE23,0),IF($BG$26:$BM$26=0,$BG23:$BM23,0),IF($BT$26:$BY$26=0,$BT23:$BY23,0),IF($CB$26=0,$CB23,0),IF($CI$26:$CK$26=0,$CI23:$CK23,0)))</f>
        <v>7.36682615078437</v>
      </c>
    </row>
    <row r="51" customFormat="false" ht="12.8" hidden="false" customHeight="false" outlineLevel="0" collapsed="false">
      <c r="A51" s="4" t="s">
        <v>159</v>
      </c>
      <c r="B51" s="7" t="s">
        <v>39</v>
      </c>
      <c r="C51" s="4" t="n">
        <v>0.512691658953557</v>
      </c>
      <c r="D51" s="4" t="n">
        <v>0.109221881592473</v>
      </c>
      <c r="E51" s="4" t="n">
        <v>0.625946036347751</v>
      </c>
      <c r="F51" s="4" t="n">
        <v>0.856832341881691</v>
      </c>
      <c r="G51" s="4" t="n">
        <v>0.507928751377996</v>
      </c>
      <c r="H51" s="4" t="n">
        <v>0.246509883851756</v>
      </c>
      <c r="I51" s="4" t="n">
        <v>0.545287262370076</v>
      </c>
      <c r="J51" s="4" t="n">
        <v>0.612153716906953</v>
      </c>
      <c r="K51" s="4" t="n">
        <v>0.585697278001519</v>
      </c>
      <c r="L51" s="4" t="n">
        <v>0.324854127400915</v>
      </c>
      <c r="M51" s="4" t="n">
        <v>0.580181270326915</v>
      </c>
      <c r="N51" s="4" t="n">
        <v>0.858335981071805</v>
      </c>
      <c r="O51" s="4" t="n">
        <v>0.0511702373461929</v>
      </c>
      <c r="P51" s="4" t="n">
        <v>0.568026651029829</v>
      </c>
      <c r="Q51" s="4" t="n">
        <v>0.480111841587069</v>
      </c>
      <c r="R51" s="4" t="n">
        <v>0.515805562125855</v>
      </c>
      <c r="S51" s="4" t="n">
        <v>0.258023586448203</v>
      </c>
      <c r="T51" s="4" t="n">
        <v>0.585125209657324</v>
      </c>
      <c r="U51" s="4" t="n">
        <v>0.384992659232992</v>
      </c>
      <c r="V51" s="4" t="n">
        <v>0.610958300783005</v>
      </c>
      <c r="W51" s="4" t="n">
        <v>0.205683088593997</v>
      </c>
      <c r="X51" s="4" t="n">
        <v>0.163151768705912</v>
      </c>
      <c r="Y51" s="4" t="n">
        <v>0.493351722028587</v>
      </c>
      <c r="Z51" s="4" t="n">
        <v>0.670077754308282</v>
      </c>
      <c r="AA51" s="4" t="n">
        <v>0.639569471077298</v>
      </c>
      <c r="AB51" s="4" t="n">
        <v>0.644915157425692</v>
      </c>
      <c r="AC51" s="4" t="n">
        <v>0.413476066490178</v>
      </c>
      <c r="AD51" s="4" t="n">
        <v>0.66678413263496</v>
      </c>
      <c r="AE51" s="4" t="n">
        <v>0.0594538136526286</v>
      </c>
      <c r="AF51" s="4" t="n">
        <v>0.547098535646457</v>
      </c>
      <c r="AG51" s="4" t="n">
        <v>0.876822576207297</v>
      </c>
      <c r="AH51" s="4" t="n">
        <v>0.75860683989959</v>
      </c>
      <c r="AI51" s="4" t="n">
        <v>0.0477443273792926</v>
      </c>
      <c r="AJ51" s="4" t="n">
        <v>0.2905636508014</v>
      </c>
      <c r="AK51" s="4" t="n">
        <v>0.118287881247154</v>
      </c>
      <c r="AL51" s="4" t="n">
        <v>0.17751376091213</v>
      </c>
      <c r="AM51" s="4" t="n">
        <v>0.0413026802917861</v>
      </c>
      <c r="AN51" s="4" t="n">
        <v>0.759009968813468</v>
      </c>
      <c r="AO51" s="4" t="n">
        <v>0.42676589292531</v>
      </c>
      <c r="AP51" s="4" t="n">
        <v>0.700074774305619</v>
      </c>
      <c r="AQ51" s="4" t="n">
        <v>0.435277552177502</v>
      </c>
      <c r="AR51" s="4" t="n">
        <v>0.148790192279974</v>
      </c>
      <c r="AS51" s="4" t="n">
        <v>0.42379594985521</v>
      </c>
      <c r="AT51" s="4" t="n">
        <v>0.47228921717605</v>
      </c>
      <c r="AU51" s="4" t="n">
        <v>0.890715017110584</v>
      </c>
      <c r="AV51" s="4" t="n">
        <v>0.109327034562443</v>
      </c>
      <c r="AW51" s="4" t="n">
        <v>0.218906363566944</v>
      </c>
      <c r="AX51" s="4" t="n">
        <v>0.735619665154172</v>
      </c>
      <c r="AY51" s="4" t="n">
        <v>0.115787128391103</v>
      </c>
      <c r="AZ51" s="4" t="n">
        <v>0.639595572466474</v>
      </c>
      <c r="BA51" s="4" t="n">
        <v>0.679379910786387</v>
      </c>
      <c r="BB51" s="4" t="n">
        <v>0.222059778634784</v>
      </c>
      <c r="BC51" s="4" t="n">
        <v>0.506138104837246</v>
      </c>
      <c r="BD51" s="4" t="n">
        <v>0.20945757502035</v>
      </c>
      <c r="BE51" s="4" t="n">
        <v>0.875957422370751</v>
      </c>
      <c r="BF51" s="4" t="n">
        <v>0.81087903141782</v>
      </c>
      <c r="BG51" s="4" t="n">
        <v>0.243755761207295</v>
      </c>
      <c r="BH51" s="4" t="n">
        <v>0.197947668252315</v>
      </c>
      <c r="BI51" s="4" t="n">
        <v>0.415445164175386</v>
      </c>
      <c r="BJ51" s="4" t="n">
        <v>0.370022488512583</v>
      </c>
      <c r="BK51" s="4" t="n">
        <v>0.956117708339907</v>
      </c>
      <c r="BL51" s="4" t="n">
        <v>0.799151641462471</v>
      </c>
      <c r="BM51" s="4" t="n">
        <v>0.179937444883233</v>
      </c>
      <c r="BN51" s="4" t="n">
        <v>0.676981640579738</v>
      </c>
      <c r="BO51" s="4" t="n">
        <v>0.139009364580927</v>
      </c>
      <c r="BP51" s="4" t="n">
        <v>0.987462296123738</v>
      </c>
      <c r="BQ51" s="4" t="n">
        <v>0.38091359255645</v>
      </c>
      <c r="BR51" s="4" t="n">
        <v>0.23381628858254</v>
      </c>
      <c r="BS51" s="4" t="n">
        <v>0.0848160752960995</v>
      </c>
      <c r="BT51" s="4" t="n">
        <v>0.7659203877529</v>
      </c>
      <c r="BU51" s="4" t="n">
        <v>0.0821238604901589</v>
      </c>
      <c r="BV51" s="4" t="n">
        <v>0.759907917816363</v>
      </c>
      <c r="BW51" s="4" t="n">
        <v>0.0540466062630246</v>
      </c>
      <c r="BX51" s="4" t="n">
        <v>0.576100332481904</v>
      </c>
      <c r="BY51" s="4" t="n">
        <v>0.551671864647019</v>
      </c>
      <c r="BZ51" s="4" t="n">
        <v>0.253448299935017</v>
      </c>
      <c r="CA51" s="4" t="n">
        <v>0.338149955477398</v>
      </c>
      <c r="CB51" s="4" t="n">
        <v>0.576436626345259</v>
      </c>
      <c r="CC51" s="4" t="n">
        <v>0.641271491909444</v>
      </c>
      <c r="CD51" s="4" t="n">
        <v>0.664165023731741</v>
      </c>
      <c r="CE51" s="4" t="n">
        <v>0.955125375416136</v>
      </c>
      <c r="CF51" s="4" t="n">
        <v>0.924470426306468</v>
      </c>
      <c r="CG51" s="4" t="n">
        <v>0.0406384116558894</v>
      </c>
      <c r="CH51" s="4" t="n">
        <v>0.151573248960929</v>
      </c>
      <c r="CI51" s="4" t="n">
        <v>0.707818141373339</v>
      </c>
      <c r="CJ51" s="4" t="n">
        <v>0.937608631438167</v>
      </c>
      <c r="CK51" s="4" t="n">
        <v>0.0354222067145735</v>
      </c>
      <c r="CL51" s="4" t="n">
        <v>0</v>
      </c>
      <c r="CN51" s="0" t="n">
        <f aca="false" t="array" ref="CN51:CN51">SUM($I$26:$J$26*$I51:$J51)/(1-SUM(IF($I$26:$J$26=0,$I24:$J24,0)))</f>
        <v>1.15744097927703</v>
      </c>
      <c r="CO51" s="4" t="n">
        <f aca="false" t="array" ref="CO51:CO51">SUM($C$26:$H$26*$C51:$H51,$K$26:$N$26*$K51:$N51,$R$26:$U$26*$R51:$U51,$X$26:$Z$26*$X51:$Z51,$AC$26*$AC51,$AW$26:$BA$26*$AW51:$BA51,$BF$26*$BF51,$BN$26:$BS$26*$BN51:$BS51,$BZ$26:$CA$26*$BZ51:$CA51,$CC$26:$CH$26*$CC51:$CH51)/(1-SUM(IF($C$26:$H$26=0,$C24:$H24,0),IF($K$26:$N$26=0,$K24:$N24,0),IF($R$26:$U$26=0,$R24:$U24,0),IF($X$26:$Z$26=0,$X24:$Z24,0),IF($AC$26=0,$AC24,0),IF($AW$26:$BA$26=0,$AW24:$BA24,0),IF($BF$26=0,$BF24,0),IF($BN$26:$BS$26=0,$BN24:$BS24,0),IF($BZ$26:$CA$26=0,$BZ24:$CA24,0),IF($CC$26:$CH$26=0,$CC24:$CH24,0)))</f>
        <v>3.00656801186103</v>
      </c>
      <c r="CP51" s="4" t="n">
        <f aca="false" t="array" ref="CP51:CP51">SUM($O$26:$Q$26*$O51:$Q51,$V$26:$W$26*$V51:$W51,$AA$26:$AB$26*$AA51:$AB51,$AD$26:$AV$26*$AD51:$AV51,$BB$26:$BE$26*$BB51:$BE51,$BG$26:$BM$26*$BG51:$BM51,$BT$26:$BY$26*$BT51:$BY51,$CB$26*$CB51,$CI$26:$CK$26*$CI51:$CK51)/(1-SUM(IF($O$26:$Q$26=0,$O24:$Q24,0),IF($V$26:$W$26=0,$V24:$W24,0),IF($AA$26:$AB$26=0,$AA24:$AB24,0),IF($AD$26:$AV$26=0,$AD24:$AV24,0),IF($BB$26:$BE$26=0,$BB24:$BE24,0),IF($BG$26:$BM$26=0,$BG24:$BM24,0),IF($BT$26:$BY$26=0,$BT24:$BY24,0),IF($CB$26=0,$CB24,0),IF($CI$26:$CK$26=0,$CI24:$CK24,0)))</f>
        <v>6.75539544275678</v>
      </c>
    </row>
    <row r="52" customFormat="false" ht="12.8" hidden="false" customHeight="false" outlineLevel="0" collapsed="false">
      <c r="A52" s="4" t="s">
        <v>160</v>
      </c>
      <c r="B52" s="7" t="s">
        <v>39</v>
      </c>
      <c r="C52" s="4" t="n">
        <v>0.909496387599052</v>
      </c>
      <c r="D52" s="4" t="n">
        <v>0.539706634469196</v>
      </c>
      <c r="E52" s="4" t="n">
        <v>0.627991392356217</v>
      </c>
      <c r="F52" s="4" t="n">
        <v>0.0665358619140486</v>
      </c>
      <c r="G52" s="4" t="n">
        <v>0.917552704097685</v>
      </c>
      <c r="H52" s="4" t="n">
        <v>0.0255249892229721</v>
      </c>
      <c r="I52" s="4" t="n">
        <v>0.0273620437169112</v>
      </c>
      <c r="J52" s="4" t="n">
        <v>0.995306941120892</v>
      </c>
      <c r="K52" s="4" t="n">
        <v>0.147317549565969</v>
      </c>
      <c r="L52" s="4" t="n">
        <v>0.654200483136001</v>
      </c>
      <c r="M52" s="4" t="n">
        <v>0.219474571407554</v>
      </c>
      <c r="N52" s="4" t="n">
        <v>0.0503571397646816</v>
      </c>
      <c r="O52" s="4" t="n">
        <v>0.41518912452764</v>
      </c>
      <c r="P52" s="4" t="n">
        <v>0.574124985381684</v>
      </c>
      <c r="Q52" s="4" t="n">
        <v>0.549301973990045</v>
      </c>
      <c r="R52" s="4" t="n">
        <v>0.633716439197506</v>
      </c>
      <c r="S52" s="4" t="n">
        <v>0.612872437480478</v>
      </c>
      <c r="T52" s="4" t="n">
        <v>0.854157086476604</v>
      </c>
      <c r="U52" s="4" t="n">
        <v>0.978193674066039</v>
      </c>
      <c r="V52" s="4" t="n">
        <v>0.726733871163047</v>
      </c>
      <c r="W52" s="4" t="n">
        <v>0.503678373047572</v>
      </c>
      <c r="X52" s="4" t="n">
        <v>0.0798213919740933</v>
      </c>
      <c r="Y52" s="4" t="n">
        <v>0.298685714982137</v>
      </c>
      <c r="Z52" s="4" t="n">
        <v>0.539039307265288</v>
      </c>
      <c r="AA52" s="4" t="n">
        <v>0.520809034736836</v>
      </c>
      <c r="AB52" s="4" t="n">
        <v>0.208292359541355</v>
      </c>
      <c r="AC52" s="4" t="n">
        <v>0.0218844619543862</v>
      </c>
      <c r="AD52" s="4" t="n">
        <v>0.723583140253772</v>
      </c>
      <c r="AE52" s="4" t="n">
        <v>0.452877725247847</v>
      </c>
      <c r="AF52" s="4" t="n">
        <v>0.272199560026519</v>
      </c>
      <c r="AG52" s="4" t="n">
        <v>0.776745214524306</v>
      </c>
      <c r="AH52" s="4" t="n">
        <v>0.955492695340966</v>
      </c>
      <c r="AI52" s="4" t="n">
        <v>0.208123542301958</v>
      </c>
      <c r="AJ52" s="4" t="n">
        <v>0.969108335668301</v>
      </c>
      <c r="AK52" s="4" t="n">
        <v>0.97215886278432</v>
      </c>
      <c r="AL52" s="4" t="n">
        <v>0.157014298310874</v>
      </c>
      <c r="AM52" s="4" t="n">
        <v>0.782075684887036</v>
      </c>
      <c r="AN52" s="4" t="n">
        <v>0.836224975064813</v>
      </c>
      <c r="AO52" s="4" t="n">
        <v>0.385496619395112</v>
      </c>
      <c r="AP52" s="4" t="n">
        <v>0.208538788489408</v>
      </c>
      <c r="AQ52" s="4" t="n">
        <v>0.839979572770417</v>
      </c>
      <c r="AR52" s="4" t="n">
        <v>0.0706309729587905</v>
      </c>
      <c r="AS52" s="4" t="n">
        <v>0.507450100766323</v>
      </c>
      <c r="AT52" s="4" t="n">
        <v>0.773807342100517</v>
      </c>
      <c r="AU52" s="4" t="n">
        <v>0.546337072217057</v>
      </c>
      <c r="AV52" s="4" t="n">
        <v>0.982709438525626</v>
      </c>
      <c r="AW52" s="4" t="n">
        <v>0.381691973220917</v>
      </c>
      <c r="AX52" s="4" t="n">
        <v>0.69290345090931</v>
      </c>
      <c r="AY52" s="4" t="n">
        <v>0.0972833872367942</v>
      </c>
      <c r="AZ52" s="4" t="n">
        <v>0.817157042081317</v>
      </c>
      <c r="BA52" s="4" t="n">
        <v>0.691100769028412</v>
      </c>
      <c r="BB52" s="4" t="n">
        <v>0.992512362794147</v>
      </c>
      <c r="BC52" s="4" t="n">
        <v>0.51239550441151</v>
      </c>
      <c r="BD52" s="4" t="n">
        <v>0.151383643943533</v>
      </c>
      <c r="BE52" s="4" t="n">
        <v>0.662415148708086</v>
      </c>
      <c r="BF52" s="4" t="n">
        <v>0.448125932280587</v>
      </c>
      <c r="BG52" s="4" t="n">
        <v>0.338068625495904</v>
      </c>
      <c r="BH52" s="4" t="n">
        <v>0.95949978786146</v>
      </c>
      <c r="BI52" s="4" t="n">
        <v>0.380092860361772</v>
      </c>
      <c r="BJ52" s="4" t="n">
        <v>0.621021405371352</v>
      </c>
      <c r="BK52" s="4" t="n">
        <v>0.470684592958923</v>
      </c>
      <c r="BL52" s="4" t="n">
        <v>0.855536616369001</v>
      </c>
      <c r="BM52" s="4" t="n">
        <v>0.381991869711174</v>
      </c>
      <c r="BN52" s="4" t="n">
        <v>0.367018256778148</v>
      </c>
      <c r="BO52" s="4" t="n">
        <v>0.145706721679965</v>
      </c>
      <c r="BP52" s="4" t="n">
        <v>0.0182735043890357</v>
      </c>
      <c r="BQ52" s="4" t="n">
        <v>0.997689108600631</v>
      </c>
      <c r="BR52" s="4" t="n">
        <v>0.628936207462993</v>
      </c>
      <c r="BS52" s="4" t="n">
        <v>0.915761973919617</v>
      </c>
      <c r="BT52" s="4" t="n">
        <v>0.760559912833916</v>
      </c>
      <c r="BU52" s="4" t="n">
        <v>0.929471977162086</v>
      </c>
      <c r="BV52" s="4" t="n">
        <v>0.0805535537480396</v>
      </c>
      <c r="BW52" s="4" t="n">
        <v>0.413920874805256</v>
      </c>
      <c r="BX52" s="4" t="n">
        <v>0.798402112380178</v>
      </c>
      <c r="BY52" s="4" t="n">
        <v>0.306696875571367</v>
      </c>
      <c r="BZ52" s="4" t="n">
        <v>0.383012251279117</v>
      </c>
      <c r="CA52" s="4" t="n">
        <v>0.144332238925269</v>
      </c>
      <c r="CB52" s="4" t="n">
        <v>0.407754872423061</v>
      </c>
      <c r="CC52" s="4" t="n">
        <v>0.3756164564156</v>
      </c>
      <c r="CD52" s="4" t="n">
        <v>0.259664538120228</v>
      </c>
      <c r="CE52" s="4" t="n">
        <v>0.641711540264992</v>
      </c>
      <c r="CF52" s="4" t="n">
        <v>0.636158812836864</v>
      </c>
      <c r="CG52" s="4" t="n">
        <v>0.220500108953169</v>
      </c>
      <c r="CH52" s="4" t="n">
        <v>0.622735728033025</v>
      </c>
      <c r="CI52" s="4" t="n">
        <v>0.36386885478044</v>
      </c>
      <c r="CJ52" s="4" t="n">
        <v>0.260024150815207</v>
      </c>
      <c r="CK52" s="4" t="n">
        <v>0.214867084317585</v>
      </c>
      <c r="CL52" s="4" t="n">
        <v>0</v>
      </c>
      <c r="CN52" s="0" t="n">
        <f aca="false" t="array" ref="CN52:CN52">SUM($I$26:$J$26*$I52:$J52)/(1-SUM(IF($I$26:$J$26=0,$I25:$J25,0)))</f>
        <v>1.0226689848378</v>
      </c>
      <c r="CO52" s="4" t="n">
        <f aca="false" t="array" ref="CO52:CO52">SUM($C$26:$H$26*$C52:$H52,$K$26:$N$26*$K52:$N52,$R$26:$U$26*$R52:$U52,$X$26:$Z$26*$X52:$Z52,$AC$26*$AC52,$AW$26:$BA$26*$AW52:$BA52,$BF$26*$BF52,$BN$26:$BS$26*$BN52:$BS52,$BZ$26:$CA$26*$BZ52:$CA52,$CC$26:$CH$26*$CC52:$CH52)/(1-SUM(IF($C$26:$H$26=0,$C25:$H25,0),IF($K$26:$N$26=0,$K25:$N25,0),IF($R$26:$U$26=0,$R25:$U25,0),IF($X$26:$Z$26=0,$X25:$Z25,0),IF($AC$26=0,$AC25,0),IF($AW$26:$BA$26=0,$AW25:$BA25,0),IF($BF$26=0,$BF25,0),IF($BN$26:$BS$26=0,$BN25:$BS25,0),IF($BZ$26:$CA$26=0,$BZ25:$CA25,0),IF($CC$26:$CH$26=0,$CC25:$CH25,0)))</f>
        <v>3.16449876346508</v>
      </c>
      <c r="CP52" s="4" t="n">
        <f aca="false" t="array" ref="CP52:CP52">SUM($O$26:$Q$26*$O52:$Q52,$V$26:$W$26*$V52:$W52,$AA$26:$AB$26*$AA52:$AB52,$AD$26:$AV$26*$AD52:$AV52,$BB$26:$BE$26*$BB52:$BE52,$BG$26:$BM$26*$BG52:$BM52,$BT$26:$BY$26*$BT52:$BY52,$CB$26*$CB52,$CI$26:$CK$26*$CI52:$CK52)/(1-SUM(IF($O$26:$Q$26=0,$O25:$Q25,0),IF($V$26:$W$26=0,$V25:$W25,0),IF($AA$26:$AB$26=0,$AA25:$AB25,0),IF($AD$26:$AV$26=0,$AD25:$AV25,0),IF($BB$26:$BE$26=0,$BB25:$BE25,0),IF($BG$26:$BM$26=0,$BG25:$BM25,0),IF($BT$26:$BY$26=0,$BT25:$BY25,0),IF($CB$26=0,$CB25,0),IF($CI$26:$CK$26=0,$CI25:$CK25,0)))</f>
        <v>8.3309831599505</v>
      </c>
    </row>
    <row r="53" customFormat="false" ht="12.8" hidden="false" customHeight="false" outlineLevel="0" collapsed="false">
      <c r="B53" s="7" t="s">
        <v>39</v>
      </c>
    </row>
    <row r="54" customFormat="false" ht="12.8" hidden="false" customHeight="false" outlineLevel="0" collapsed="false">
      <c r="B54" s="7" t="s">
        <v>39</v>
      </c>
    </row>
    <row r="55" customFormat="false" ht="12.8" hidden="false" customHeight="false" outlineLevel="0" collapsed="false">
      <c r="B55" s="7" t="s">
        <v>39</v>
      </c>
    </row>
    <row r="56" customFormat="false" ht="12.8" hidden="false" customHeight="false" outlineLevel="0" collapsed="false">
      <c r="B56" s="7" t="s">
        <v>39</v>
      </c>
      <c r="CP56" s="0"/>
    </row>
    <row r="57" customFormat="false" ht="12.8" hidden="false" customHeight="false" outlineLevel="0" collapsed="false">
      <c r="B57" s="7" t="s">
        <v>39</v>
      </c>
      <c r="CP57" s="0"/>
    </row>
    <row r="58" customFormat="false" ht="12.8" hidden="false" customHeight="false" outlineLevel="0" collapsed="false">
      <c r="B58" s="7" t="s">
        <v>39</v>
      </c>
    </row>
    <row r="59" customFormat="false" ht="12.8" hidden="false" customHeight="false" outlineLevel="0" collapsed="false">
      <c r="A59" s="4" t="s">
        <v>285</v>
      </c>
      <c r="B59" s="7" t="s">
        <v>39</v>
      </c>
    </row>
    <row r="60" customFormat="false" ht="12.8" hidden="false" customHeight="false" outlineLevel="0" collapsed="false">
      <c r="A60" s="4" t="s">
        <v>131</v>
      </c>
      <c r="B60" s="7" t="s">
        <v>39</v>
      </c>
      <c r="C60" s="4" t="n">
        <f aca="false" t="array" ref="C60:C60">SUM(Capacity!S$3:S$25*Capacity!$DH3/(TRANSPOSE(Dists!$B2:$X2)*MMULT(1/Dists!$B2:$X2,Capacity!$DH$3:$DH$25)))</f>
        <v>5068.49451298302</v>
      </c>
      <c r="D60" s="4" t="n">
        <f aca="false" t="array" ref="D60:D60">SUM(Capacity!V$3:V$25*Capacity!$DH3/(TRANSPOSE(Dists!$B2:$X2)*MMULT(1/Dists!$B2:$X2,Capacity!$DH$3:$DH$25)))</f>
        <v>6303.35204151583</v>
      </c>
      <c r="E60" s="4" t="n">
        <f aca="false" t="array" ref="E60:E60">SUM(Capacity!Y$3:Y$25*Capacity!$DH3/(TRANSPOSE(Dists!$B2:$X2)*MMULT(1/Dists!$B2:$X2,Capacity!$DH$3:$DH$25)))</f>
        <v>7917.19422150519</v>
      </c>
      <c r="F60" s="4" t="n">
        <f aca="false" t="array" ref="F60:F60">SUM(Capacity!Z$3:Z$25*Capacity!$DH3/(TRANSPOSE(Dists!$B2:$X2)*MMULT(1/Dists!$B2:$X2,Capacity!$DH$3:$DH$25)))</f>
        <v>2927.12248173371</v>
      </c>
      <c r="G60" s="4" t="n">
        <f aca="false" t="array" ref="G60:G60">SUM(Capacity!AA$3:AA$25*Capacity!$DH3/(TRANSPOSE(Dists!$B2:$X2)*MMULT(1/Dists!$B2:$X2,Capacity!$DH$3:$DH$25)))</f>
        <v>42332.4131490623</v>
      </c>
      <c r="H60" s="4" t="n">
        <f aca="false" t="array" ref="H60:H60">SUM(Capacity!AB$3:AB$25*Capacity!$DI3/(TRANSPOSE(Dists!$B2:$X2)*MMULT(1/Dists!$B2:$X2,Capacity!$DI$3:$DI$25)))</f>
        <v>1956.59357437551</v>
      </c>
      <c r="I60" s="0"/>
      <c r="J60" s="0"/>
      <c r="K60" s="0"/>
      <c r="L60" s="0"/>
      <c r="M60" s="0"/>
      <c r="N60" s="4" t="n">
        <f aca="false" t="array" ref="N60:N60">SUM(Capacity!AH$3:AH$25*Capacity!$DH3/(TRANSPOSE(Dists!$B2:$X2)*MMULT(1/Dists!$B2:$X2,Capacity!$DH$3:$DH$25)))</f>
        <v>56050.5865591444</v>
      </c>
      <c r="O60" s="0"/>
      <c r="U60" s="0"/>
      <c r="V60" s="0"/>
      <c r="W60" s="0"/>
      <c r="X60" s="0"/>
      <c r="Y60" s="4" t="n">
        <f aca="false" t="array" ref="Y60:Y60">SUM(Capacity!AS$3:AS$25*Capacity!$DI3/(TRANSPOSE(Dists!$B2:$X2)*MMULT(1/Dists!$B2:$X2,Capacity!$DI$3:$DI$25)))</f>
        <v>212.405646558618</v>
      </c>
      <c r="Z60" s="4" t="n">
        <f aca="false" t="array" ref="Z60:Z60">SUM(Capacity!AT$3:AT$25*Capacity!$DH3/(TRANSPOSE(Dists!$B2:$X2)*MMULT(1/Dists!$B2:$X2,Capacity!$DH$3:$DH$25)))</f>
        <v>251036.729750436</v>
      </c>
      <c r="AA60" s="4" t="n">
        <f aca="false" t="array" ref="AA60:AA60">SUM(Capacity!AU$3:AU$25*Capacity!$DI3/(TRANSPOSE(Dists!$B2:$X2)*MMULT(1/Dists!$B2:$X2,Capacity!$DI$3:$DI$25)))</f>
        <v>12384.5229914056</v>
      </c>
      <c r="AB60" s="4" t="n">
        <f aca="false" t="array" ref="AB60:AB60">SUM(Capacity!AV$3:AV$25*Capacity!$DI3/(TRANSPOSE(Dists!$B2:$X2)*MMULT(1/Dists!$B2:$X2,Capacity!$DI$3:$DI$25)))</f>
        <v>5160.21791308566</v>
      </c>
      <c r="AC60" s="4" t="n">
        <f aca="false" t="array" ref="AC60:AC60">SUM(Capacity!AW$3:AW$25*Capacity!$DH3/(TRANSPOSE(Dists!$B2:$X2)*MMULT(1/Dists!$B2:$X2,Capacity!$DH$3:$DH$25)))</f>
        <v>282.201751452902</v>
      </c>
      <c r="AD60" s="4" t="n">
        <f aca="false" t="array" ref="AD60:AD60">SUM(Capacity!AX$3:AX$25*Capacity!$DI3/(TRANSPOSE(Dists!$B2:$X2)*MMULT(1/Dists!$B2:$X2,Capacity!$DI$3:$DI$25)))</f>
        <v>85.1435955659134</v>
      </c>
      <c r="AE60" s="4" t="n">
        <f aca="false" t="array" ref="AE60:AE60">SUM(Capacity!AY$3:AY$25*Capacity!$DI3/(TRANSPOSE(Dists!$B2:$X2)*MMULT(1/Dists!$B2:$X2,Capacity!$DI$3:$DI$25)))</f>
        <v>59.4457103587468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4" t="n">
        <f aca="false" t="array" ref="AW60:AW60">SUM(Capacity!BQ$3:BQ$25*Capacity!$DH3/(TRANSPOSE(Dists!$B2:$X2)*MMULT(1/Dists!$B2:$X2,Capacity!$DH$3:$DH$25)))</f>
        <v>972.978429251755</v>
      </c>
      <c r="AX60" s="0"/>
      <c r="AY60" s="4" t="n">
        <f aca="false" t="array" ref="AY60:AY60">SUM(Capacity!BS$3:BS$25*Capacity!$DH3/(TRANSPOSE(Dists!$B2:$X2)*MMULT(1/Dists!$B2:$X2,Capacity!$DH$3:$DH$25)))</f>
        <v>20.4114306797982</v>
      </c>
      <c r="AZ60" s="4" t="n">
        <f aca="false" t="array" ref="AZ60:AZ60">SUM(Capacity!BT$3:BT$25*Capacity!$DH3/(TRANSPOSE(Dists!$B2:$X2)*MMULT(1/Dists!$B2:$X2,Capacity!$DH$3:$DH$25)))</f>
        <v>28.7035743934663</v>
      </c>
      <c r="BA60" s="0"/>
      <c r="BB60" s="4" t="n">
        <f aca="false" t="array" ref="BB60:BB60">SUM(Capacity!BV$3:BV$25*Capacity!$DI3/(TRANSPOSE(Dists!$B2:$X2)*MMULT(1/Dists!$B2:$X2,Capacity!$DI$3:$DI$25)))</f>
        <v>208.059986255614</v>
      </c>
      <c r="BC60" s="4" t="n">
        <f aca="false" t="array" ref="BC60:BC60">SUM(Capacity!BW$3:BW$25*Capacity!$DI3/(TRANSPOSE(Dists!$B2:$X2)*MMULT(1/Dists!$B2:$X2,Capacity!$DI$3:$DI$25)))</f>
        <v>178.337131076241</v>
      </c>
      <c r="BD60" s="4" t="n">
        <f aca="false" t="array" ref="BD60:BD60">SUM(Capacity!BX$3:BX$25*Capacity!$DI3/(TRANSPOSE(Dists!$B2:$X2)*MMULT(1/Dists!$B2:$X2,Capacity!$DI$3:$DI$25)))</f>
        <v>89.1685655381201</v>
      </c>
      <c r="BE60" s="4" t="n">
        <f aca="false" t="array" ref="BE60:BE60">SUM(Capacity!BY$3:BY$25*Capacity!$DI3/(TRANSPOSE(Dists!$B2:$X2)*MMULT(1/Dists!$B2:$X2,Capacity!$DI$3:$DI$25)))</f>
        <v>52.0149965639034</v>
      </c>
      <c r="BF60" s="4" t="n">
        <f aca="false" t="array" ref="BF60:BF60">SUM(Capacity!BZ$3:BZ$25*Capacity!$DH3/(TRANSPOSE(Dists!$B2:$X2)*MMULT(1/Dists!$B2:$X2,Capacity!$DH$3:$DH$25)))</f>
        <v>145946.764387763</v>
      </c>
      <c r="BG60" s="4" t="n">
        <f aca="false" t="array" ref="BG60:BG60">SUM(Capacity!CA$3:CA$25*Capacity!$DI3/(TRANSPOSE(Dists!$B2:$X2)*MMULT(1/Dists!$B2:$X2,Capacity!$DI$3:$DI$25)))</f>
        <v>4533.88259141314</v>
      </c>
      <c r="BH60" s="4" t="n">
        <f aca="false" t="array" ref="BH60:BH60">SUM(Capacity!CB$3:CB$25*Capacity!$DI3/(TRANSPOSE(Dists!$B2:$X2)*MMULT(1/Dists!$B2:$X2,Capacity!$DI$3:$DI$25)))</f>
        <v>6328.30663420073</v>
      </c>
      <c r="BI60" s="4" t="n">
        <f aca="false" t="array" ref="BI60:BI60">SUM(Capacity!CC$3:CC$25*Capacity!$DI3/(TRANSPOSE(Dists!$B2:$X2)*MMULT(1/Dists!$B2:$X2,Capacity!$DI$3:$DI$25)))</f>
        <v>12090.3535771017</v>
      </c>
      <c r="BJ60" s="0"/>
      <c r="BK60" s="4" t="n">
        <f aca="false" t="array" ref="BK60:BK60">SUM(Capacity!CE$3:CE$25*Capacity!$DI3/(TRANSPOSE(Dists!$B2:$X2)*MMULT(1/Dists!$B2:$X2,Capacity!$DI$3:$DI$25)))</f>
        <v>6045.17678855085</v>
      </c>
      <c r="BL60" s="0"/>
      <c r="BM60" s="0"/>
      <c r="BN60" s="4" t="n">
        <f aca="false" t="array" ref="BN60:BN60">SUM(Capacity!CH$3:CH$25*Capacity!$DH3/(TRANSPOSE(Dists!$B2:$X2)*MMULT(1/Dists!$B2:$X2,Capacity!$DH$3:$DH$25)))</f>
        <v>1341580.05370639</v>
      </c>
      <c r="BO60" s="4" t="n">
        <f aca="false" t="array" ref="BO60:BO60">SUM(Capacity!CI$3:CI$25*Capacity!$DH3/(TRANSPOSE(Dists!$B2:$X2)*MMULT(1/Dists!$B2:$X2,Capacity!$DH$3:$DH$25)))</f>
        <v>2683.16076304009</v>
      </c>
      <c r="BP60" s="4" t="n">
        <f aca="false" t="array" ref="BP60:BP60">SUM(Capacity!CJ$3:CJ$25*Capacity!$DH3/(TRANSPOSE(Dists!$B2:$X2)*MMULT(1/Dists!$B2:$X2,Capacity!$DH$3:$DH$25)))</f>
        <v>313035.346368478</v>
      </c>
      <c r="BQ60" s="4" t="n">
        <f aca="false" t="array" ref="BQ60:BQ60">SUM(Capacity!CK$3:CK$25*Capacity!$DH3/(TRANSPOSE(Dists!$B2:$X2)*MMULT(1/Dists!$B2:$X2,Capacity!$DH$3:$DH$25)))</f>
        <v>290675.678817654</v>
      </c>
      <c r="BR60" s="4" t="n">
        <f aca="false" t="array" ref="BR60:BR60">SUM(Capacity!CL$3:CL$25*Capacity!$DH3/(TRANSPOSE(Dists!$B2:$X2)*MMULT(1/Dists!$B2:$X2,Capacity!$DH$3:$DH$25)))</f>
        <v>894.387358974161</v>
      </c>
      <c r="BS60" s="4" t="n">
        <f aca="false" t="array" ref="BS60:BS60">SUM(Capacity!CM$3:CM$25*Capacity!$DH3/(TRANSPOSE(Dists!$B2:$X2)*MMULT(1/Dists!$B2:$X2,Capacity!$DH$3:$DH$25)))</f>
        <v>447.19400795768</v>
      </c>
      <c r="BT60" s="4" t="n">
        <f aca="false" t="array" ref="BT60:BT60">SUM(Capacity!CN$3:CN$25*Capacity!$DI3/(TRANSPOSE(Dists!$B2:$X2)*MMULT(1/Dists!$B2:$X2,Capacity!$DI$3:$DI$25)))</f>
        <v>454099.176351538</v>
      </c>
      <c r="BU60" s="4" t="n">
        <f aca="false" t="array" ref="BU60:BU60">SUM(Capacity!CO$3:CO$25*Capacity!$DI3/(TRANSPOSE(Dists!$B2:$X2)*MMULT(1/Dists!$B2:$X2,Capacity!$DI$3:$DI$25)))</f>
        <v>49538.0919656223</v>
      </c>
      <c r="BV60" s="4" t="n">
        <f aca="false" t="array" ref="BV60:BV60">SUM(Capacity!CP$3:CP$25*Capacity!$DI3/(TRANSPOSE(Dists!$B2:$X2)*MMULT(1/Dists!$B2:$X2,Capacity!$DI$3:$DI$25)))</f>
        <v>5779.44406265594</v>
      </c>
      <c r="BW60" s="0"/>
      <c r="BX60" s="0"/>
      <c r="BY60" s="0"/>
      <c r="BZ60" s="0"/>
      <c r="CA60" s="0"/>
      <c r="CB60" s="0"/>
      <c r="CC60" s="0"/>
      <c r="CE60" s="4" t="n">
        <f aca="false" t="array" ref="CE60:CE60">SUM(Capacity!CY$3:CY$25*Capacity!$DH3/(TRANSPOSE(Dists!$B2:$X2)*MMULT(1/Dists!$B2:$X2,Capacity!$DH$3:$DH$25)))</f>
        <v>182.433455484704</v>
      </c>
      <c r="CG60" s="0"/>
      <c r="CH60" s="0"/>
      <c r="CI60" s="0"/>
      <c r="CJ60" s="0"/>
      <c r="CK60" s="0"/>
    </row>
    <row r="61" customFormat="false" ht="12.8" hidden="false" customHeight="false" outlineLevel="0" collapsed="false">
      <c r="A61" s="4" t="s">
        <v>133</v>
      </c>
      <c r="B61" s="7" t="s">
        <v>39</v>
      </c>
      <c r="C61" s="4" t="n">
        <f aca="false" t="array" ref="C61:C61">SUM(Capacity!S$3:S$25*Capacity!$DH4/(TRANSPOSE(Dists!$B3:$X3)*MMULT(1/Dists!$B3:$X3,Capacity!$DH$3:$DH$25)))</f>
        <v>6766.1467778402</v>
      </c>
      <c r="D61" s="4" t="n">
        <f aca="false" t="array" ref="D61:D61">SUM(Capacity!V$3:V$25*Capacity!$DH4/(TRANSPOSE(Dists!$B3:$X3)*MMULT(1/Dists!$B3:$X3,Capacity!$DH$3:$DH$25)))</f>
        <v>8037.2965468931</v>
      </c>
      <c r="E61" s="4" t="n">
        <f aca="false" t="array" ref="E61:E61">SUM(Capacity!Y$3:Y$25*Capacity!$DH4/(TRANSPOSE(Dists!$B3:$X3)*MMULT(1/Dists!$B3:$X3,Capacity!$DH$3:$DH$25)))</f>
        <v>12171.4285545444</v>
      </c>
      <c r="F61" s="4" t="n">
        <f aca="false" t="array" ref="F61:F61">SUM(Capacity!Z$3:Z$25*Capacity!$DH4/(TRANSPOSE(Dists!$B3:$X3)*MMULT(1/Dists!$B3:$X3,Capacity!$DH$3:$DH$25)))</f>
        <v>5220.39507264628</v>
      </c>
      <c r="G61" s="4" t="n">
        <f aca="false" t="array" ref="G61:G61">SUM(Capacity!AA$3:AA$25*Capacity!$DH4/(TRANSPOSE(Dists!$B3:$X3)*MMULT(1/Dists!$B3:$X3,Capacity!$DH$3:$DH$25)))</f>
        <v>53418.7940343202</v>
      </c>
      <c r="H61" s="4" t="n">
        <f aca="false" t="array" ref="H61:H61">SUM(Capacity!AB$3:AB$25*Capacity!$DI4/(TRANSPOSE(Dists!$B3:$X3)*MMULT(1/Dists!$B3:$X3,Capacity!$DI$3:$DI$25)))</f>
        <v>1480.64960925436</v>
      </c>
      <c r="I61" s="0"/>
      <c r="J61" s="0"/>
      <c r="K61" s="0"/>
      <c r="L61" s="0"/>
      <c r="M61" s="0"/>
      <c r="N61" s="4" t="n">
        <f aca="false" t="array" ref="N61:N61">SUM(Capacity!AH$3:AH$25*Capacity!$DH4/(TRANSPOSE(Dists!$B3:$X3)*MMULT(1/Dists!$B3:$X3,Capacity!$DH$3:$DH$25)))</f>
        <v>71814.6744121418</v>
      </c>
      <c r="O61" s="0"/>
      <c r="U61" s="0"/>
      <c r="V61" s="0"/>
      <c r="W61" s="0"/>
      <c r="X61" s="0"/>
      <c r="Y61" s="4" t="n">
        <f aca="false" t="array" ref="Y61:Y61">SUM(Capacity!AS$3:AS$25*Capacity!$DI4/(TRANSPOSE(Dists!$B3:$X3)*MMULT(1/Dists!$B3:$X3,Capacity!$DI$3:$DI$25)))</f>
        <v>199.467411591382</v>
      </c>
      <c r="Z61" s="4" t="n">
        <f aca="false" t="array" ref="Z61:Z61">SUM(Capacity!AT$3:AT$25*Capacity!$DH4/(TRANSPOSE(Dists!$B3:$X3)*MMULT(1/Dists!$B3:$X3,Capacity!$DH$3:$DH$25)))</f>
        <v>362797.848730245</v>
      </c>
      <c r="AA61" s="4" t="n">
        <f aca="false" t="array" ref="AA61:AA61">SUM(Capacity!AU$3:AU$25*Capacity!$DI4/(TRANSPOSE(Dists!$B3:$X3)*MMULT(1/Dists!$B3:$X3,Capacity!$DI$3:$DI$25)))</f>
        <v>11071.2451902696</v>
      </c>
      <c r="AB61" s="4" t="n">
        <f aca="false" t="array" ref="AB61:AB61">SUM(Capacity!AV$3:AV$25*Capacity!$DI4/(TRANSPOSE(Dists!$B3:$X3)*MMULT(1/Dists!$B3:$X3,Capacity!$DI$3:$DI$25)))</f>
        <v>4613.01882927901</v>
      </c>
      <c r="AC61" s="4" t="n">
        <f aca="false" t="array" ref="AC61:AC61">SUM(Capacity!AW$3:AW$25*Capacity!$DH4/(TRANSPOSE(Dists!$B3:$X3)*MMULT(1/Dists!$B3:$X3,Capacity!$DH$3:$DH$25)))</f>
        <v>390.09710422533</v>
      </c>
      <c r="AD61" s="4" t="n">
        <f aca="false" t="array" ref="AD61:AD61">SUM(Capacity!AX$3:AX$25*Capacity!$DI4/(TRANSPOSE(Dists!$B3:$X3)*MMULT(1/Dists!$B3:$X3,Capacity!$DI$3:$DI$25)))</f>
        <v>76.1148106831036</v>
      </c>
      <c r="AE61" s="4" t="n">
        <f aca="false" t="array" ref="AE61:AE61">SUM(Capacity!AY$3:AY$25*Capacity!$DI4/(TRANSPOSE(Dists!$B3:$X3)*MMULT(1/Dists!$B3:$X3,Capacity!$DI$3:$DI$25)))</f>
        <v>53.1419769132941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4" t="n">
        <f aca="false" t="array" ref="AW61:AW61">SUM(Capacity!BQ$3:BQ$25*Capacity!$DH4/(TRANSPOSE(Dists!$B3:$X3)*MMULT(1/Dists!$B3:$X3,Capacity!$DH$3:$DH$25)))</f>
        <v>1344.98126170619</v>
      </c>
      <c r="AX61" s="0"/>
      <c r="AY61" s="4" t="n">
        <f aca="false" t="array" ref="AY61:AY61">SUM(Capacity!BS$3:BS$25*Capacity!$DH4/(TRANSPOSE(Dists!$B3:$X3)*MMULT(1/Dists!$B3:$X3,Capacity!$DH$3:$DH$25)))</f>
        <v>27.9079940905703</v>
      </c>
      <c r="AZ61" s="4" t="n">
        <f aca="false" t="array" ref="AZ61:AZ61">SUM(Capacity!BT$3:BT$25*Capacity!$DH4/(TRANSPOSE(Dists!$B3:$X3)*MMULT(1/Dists!$B3:$X3,Capacity!$DH$3:$DH$25)))</f>
        <v>39.2456166898645</v>
      </c>
      <c r="BA61" s="0"/>
      <c r="BB61" s="4" t="n">
        <f aca="false" t="array" ref="BB61:BB61">SUM(Capacity!BV$3:BV$25*Capacity!$DI4/(TRANSPOSE(Dists!$B3:$X3)*MMULT(1/Dists!$B3:$X3,Capacity!$DI$3:$DI$25)))</f>
        <v>185.996919196529</v>
      </c>
      <c r="BC61" s="4" t="n">
        <f aca="false" t="array" ref="BC61:BC61">SUM(Capacity!BW$3:BW$25*Capacity!$DI4/(TRANSPOSE(Dists!$B3:$X3)*MMULT(1/Dists!$B3:$X3,Capacity!$DI$3:$DI$25)))</f>
        <v>159.425930739883</v>
      </c>
      <c r="BD61" s="4" t="n">
        <f aca="false" t="array" ref="BD61:BD61">SUM(Capacity!BX$3:BX$25*Capacity!$DI4/(TRANSPOSE(Dists!$B3:$X3)*MMULT(1/Dists!$B3:$X3,Capacity!$DI$3:$DI$25)))</f>
        <v>79.7129653699411</v>
      </c>
      <c r="BE61" s="4" t="n">
        <f aca="false" t="array" ref="BE61:BE61">SUM(Capacity!BY$3:BY$25*Capacity!$DI4/(TRANSPOSE(Dists!$B3:$X3)*MMULT(1/Dists!$B3:$X3,Capacity!$DI$3:$DI$25)))</f>
        <v>46.4992297991324</v>
      </c>
      <c r="BF61" s="4" t="n">
        <f aca="false" t="array" ref="BF61:BF61">SUM(Capacity!BZ$3:BZ$25*Capacity!$DH4/(TRANSPOSE(Dists!$B3:$X3)*MMULT(1/Dists!$B3:$X3,Capacity!$DH$3:$DH$25)))</f>
        <v>201747.189255928</v>
      </c>
      <c r="BG61" s="4" t="n">
        <f aca="false" t="array" ref="BG61:BG61">SUM(Capacity!CA$3:CA$25*Capacity!$DI4/(TRANSPOSE(Dists!$B3:$X3)*MMULT(1/Dists!$B3:$X3,Capacity!$DI$3:$DI$25)))</f>
        <v>4097.74850468691</v>
      </c>
      <c r="BH61" s="4" t="n">
        <f aca="false" t="array" ref="BH61:BH61">SUM(Capacity!CB$3:CB$25*Capacity!$DI4/(TRANSPOSE(Dists!$B3:$X3)*MMULT(1/Dists!$B3:$X3,Capacity!$DI$3:$DI$25)))</f>
        <v>5597.167748908</v>
      </c>
      <c r="BI61" s="4" t="n">
        <f aca="false" t="array" ref="BI61:BI61">SUM(Capacity!CC$3:CC$25*Capacity!$DI4/(TRANSPOSE(Dists!$B3:$X3)*MMULT(1/Dists!$B3:$X3,Capacity!$DI$3:$DI$25)))</f>
        <v>10927.3293458317</v>
      </c>
      <c r="BJ61" s="0"/>
      <c r="BK61" s="4" t="n">
        <f aca="false" t="array" ref="BK61:BK61">SUM(Capacity!CE$3:CE$25*Capacity!$DI4/(TRANSPOSE(Dists!$B3:$X3)*MMULT(1/Dists!$B3:$X3,Capacity!$DI$3:$DI$25)))</f>
        <v>5463.66467291587</v>
      </c>
      <c r="BL61" s="0"/>
      <c r="BM61" s="0"/>
      <c r="BN61" s="4" t="n">
        <f aca="false" t="array" ref="BN61:BN61">SUM(Capacity!CH$3:CH$25*Capacity!$DH4/(TRANSPOSE(Dists!$B3:$X3)*MMULT(1/Dists!$B3:$X3,Capacity!$DH$3:$DH$25)))</f>
        <v>4992576.67118868</v>
      </c>
      <c r="BO61" s="4" t="n">
        <f aca="false" t="array" ref="BO61:BO61">SUM(Capacity!CI$3:CI$25*Capacity!$DH4/(TRANSPOSE(Dists!$B3:$X3)*MMULT(1/Dists!$B3:$X3,Capacity!$DH$3:$DH$25)))</f>
        <v>9985.1540738212</v>
      </c>
      <c r="BP61" s="4" t="n">
        <f aca="false" t="array" ref="BP61:BP61">SUM(Capacity!CJ$3:CJ$25*Capacity!$DH4/(TRANSPOSE(Dists!$B3:$X3)*MMULT(1/Dists!$B3:$X3,Capacity!$DH$3:$DH$25)))</f>
        <v>1164934.55717259</v>
      </c>
      <c r="BQ61" s="4" t="n">
        <f aca="false" t="array" ref="BQ61:BQ61">SUM(Capacity!CK$3:CK$25*Capacity!$DH4/(TRANSPOSE(Dists!$B3:$X3)*MMULT(1/Dists!$B3:$X3,Capacity!$DH$3:$DH$25)))</f>
        <v>1081724.94599833</v>
      </c>
      <c r="BR61" s="4" t="n">
        <f aca="false" t="array" ref="BR61:BR61">SUM(Capacity!CL$3:CL$25*Capacity!$DH4/(TRANSPOSE(Dists!$B3:$X3)*MMULT(1/Dists!$B3:$X3,Capacity!$DH$3:$DH$25)))</f>
        <v>3328.38517988017</v>
      </c>
      <c r="BS61" s="4" t="n">
        <f aca="false" t="array" ref="BS61:BS61">SUM(Capacity!CM$3:CM$25*Capacity!$DH4/(TRANSPOSE(Dists!$B3:$X3)*MMULT(1/Dists!$B3:$X3,Capacity!$DH$3:$DH$25)))</f>
        <v>1664.19295639491</v>
      </c>
      <c r="BT61" s="4" t="n">
        <f aca="false" t="array" ref="BT61:BT61">SUM(Capacity!CN$3:CN$25*Capacity!$DI4/(TRANSPOSE(Dists!$B3:$X3)*MMULT(1/Dists!$B3:$X3,Capacity!$DI$3:$DI$25)))</f>
        <v>405945.656976552</v>
      </c>
      <c r="BU61" s="4" t="n">
        <f aca="false" t="array" ref="BU61:BU61">SUM(Capacity!CO$3:CO$25*Capacity!$DI4/(TRANSPOSE(Dists!$B3:$X3)*MMULT(1/Dists!$B3:$X3,Capacity!$DI$3:$DI$25)))</f>
        <v>44284.9807610784</v>
      </c>
      <c r="BV61" s="4" t="n">
        <f aca="false" t="array" ref="BV61:BV61">SUM(Capacity!CP$3:CP$25*Capacity!$DI4/(TRANSPOSE(Dists!$B3:$X3)*MMULT(1/Dists!$B3:$X3,Capacity!$DI$3:$DI$25)))</f>
        <v>5166.58108879248</v>
      </c>
      <c r="BW61" s="0"/>
      <c r="BX61" s="0"/>
      <c r="BY61" s="0"/>
      <c r="BZ61" s="0"/>
      <c r="CA61" s="0"/>
      <c r="CB61" s="0"/>
      <c r="CC61" s="0"/>
      <c r="CE61" s="4" t="n">
        <f aca="false" t="array" ref="CE61:CE61">SUM(Capacity!CY$3:CY$25*Capacity!$DH4/(TRANSPOSE(Dists!$B3:$X3)*MMULT(1/Dists!$B3:$X3,Capacity!$DH$3:$DH$25)))</f>
        <v>252.18398656991</v>
      </c>
      <c r="CG61" s="0"/>
      <c r="CH61" s="0"/>
      <c r="CI61" s="0"/>
      <c r="CJ61" s="0"/>
      <c r="CK61" s="0"/>
    </row>
    <row r="62" customFormat="false" ht="12.8" hidden="false" customHeight="false" outlineLevel="0" collapsed="false">
      <c r="A62" s="4" t="s">
        <v>135</v>
      </c>
      <c r="B62" s="7" t="s">
        <v>39</v>
      </c>
      <c r="C62" s="4" t="n">
        <f aca="false" t="array" ref="C62:C62">SUM(Capacity!S$3:S$25*Capacity!$DH5/(TRANSPOSE(Dists!$B4:$X4)*MMULT(1/Dists!$B4:$X4,Capacity!$DH$3:$DH$25)))</f>
        <v>8385.83769223701</v>
      </c>
      <c r="D62" s="4" t="n">
        <f aca="false" t="array" ref="D62:D62">SUM(Capacity!V$3:V$25*Capacity!$DH5/(TRANSPOSE(Dists!$B4:$X4)*MMULT(1/Dists!$B4:$X4,Capacity!$DH$3:$DH$25)))</f>
        <v>10334.0680990376</v>
      </c>
      <c r="E62" s="4" t="n">
        <f aca="false" t="array" ref="E62:E62">SUM(Capacity!Y$3:Y$25*Capacity!$DH5/(TRANSPOSE(Dists!$B4:$X4)*MMULT(1/Dists!$B4:$X4,Capacity!$DH$3:$DH$25)))</f>
        <v>12905.1501049806</v>
      </c>
      <c r="F62" s="4" t="n">
        <f aca="false" t="array" ref="F62:F62">SUM(Capacity!Z$3:Z$25*Capacity!$DH5/(TRANSPOSE(Dists!$B4:$X4)*MMULT(1/Dists!$B4:$X4,Capacity!$DH$3:$DH$25)))</f>
        <v>4684.08718766169</v>
      </c>
      <c r="G62" s="4" t="n">
        <f aca="false" t="array" ref="G62:G62">SUM(Capacity!AA$3:AA$25*Capacity!$DH5/(TRANSPOSE(Dists!$B4:$X4)*MMULT(1/Dists!$B4:$X4,Capacity!$DH$3:$DH$25)))</f>
        <v>69261.5731624724</v>
      </c>
      <c r="H62" s="4" t="n">
        <f aca="false" t="array" ref="H62:H62">SUM(Capacity!AB$3:AB$25*Capacity!$DI5/(TRANSPOSE(Dists!$B4:$X4)*MMULT(1/Dists!$B4:$X4,Capacity!$DI$3:$DI$25)))</f>
        <v>3553.29545552616</v>
      </c>
      <c r="I62" s="0"/>
      <c r="J62" s="0"/>
      <c r="K62" s="0"/>
      <c r="L62" s="0"/>
      <c r="M62" s="0"/>
      <c r="N62" s="4" t="n">
        <f aca="false" t="array" ref="N62:N62">SUM(Capacity!AH$3:AH$25*Capacity!$DH5/(TRANSPOSE(Dists!$B4:$X4)*MMULT(1/Dists!$B4:$X4,Capacity!$DH$3:$DH$25)))</f>
        <v>93486.5134508949</v>
      </c>
      <c r="O62" s="0"/>
      <c r="U62" s="0"/>
      <c r="V62" s="0"/>
      <c r="W62" s="0"/>
      <c r="X62" s="0"/>
      <c r="Y62" s="4" t="n">
        <f aca="false" t="array" ref="Y62:Y62">SUM(Capacity!AS$3:AS$25*Capacity!$DI5/(TRANSPOSE(Dists!$B4:$X4)*MMULT(1/Dists!$B4:$X4,Capacity!$DI$3:$DI$25)))</f>
        <v>369.446918962454</v>
      </c>
      <c r="Z62" s="4" t="n">
        <f aca="false" t="array" ref="Z62:Z62">SUM(Capacity!AT$3:AT$25*Capacity!$DH5/(TRANSPOSE(Dists!$B4:$X4)*MMULT(1/Dists!$B4:$X4,Capacity!$DH$3:$DH$25)))</f>
        <v>412012.76367544</v>
      </c>
      <c r="AA62" s="4" t="n">
        <f aca="false" t="array" ref="AA62:AA62">SUM(Capacity!AU$3:AU$25*Capacity!$DI5/(TRANSPOSE(Dists!$B4:$X4)*MMULT(1/Dists!$B4:$X4,Capacity!$DI$3:$DI$25)))</f>
        <v>22841.8131046879</v>
      </c>
      <c r="AB62" s="4" t="n">
        <f aca="false" t="array" ref="AB62:AB62">SUM(Capacity!AV$3:AV$25*Capacity!$DI5/(TRANSPOSE(Dists!$B4:$X4)*MMULT(1/Dists!$B4:$X4,Capacity!$DI$3:$DI$25)))</f>
        <v>9517.42212695329</v>
      </c>
      <c r="AC62" s="4" t="n">
        <f aca="false" t="array" ref="AC62:AC62">SUM(Capacity!AW$3:AW$25*Capacity!$DH5/(TRANSPOSE(Dists!$B4:$X4)*MMULT(1/Dists!$B4:$X4,Capacity!$DH$3:$DH$25)))</f>
        <v>502.332830104939</v>
      </c>
      <c r="AD62" s="4" t="n">
        <f aca="false" t="array" ref="AD62:AD62">SUM(Capacity!AX$3:AX$25*Capacity!$DI5/(TRANSPOSE(Dists!$B4:$X4)*MMULT(1/Dists!$B4:$X4,Capacity!$DI$3:$DI$25)))</f>
        <v>157.037465094729</v>
      </c>
      <c r="AE62" s="4" t="n">
        <f aca="false" t="array" ref="AE62:AE62">SUM(Capacity!AY$3:AY$25*Capacity!$DI5/(TRANSPOSE(Dists!$B4:$X4)*MMULT(1/Dists!$B4:$X4,Capacity!$DI$3:$DI$25)))</f>
        <v>109.640702902502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4" t="n">
        <f aca="false" t="array" ref="AW62:AW62">SUM(Capacity!BQ$3:BQ$25*Capacity!$DH5/(TRANSPOSE(Dists!$B4:$X4)*MMULT(1/Dists!$B4:$X4,Capacity!$DH$3:$DH$25)))</f>
        <v>1731.94888224733</v>
      </c>
      <c r="AX62" s="0"/>
      <c r="AY62" s="4" t="n">
        <f aca="false" t="array" ref="AY62:AY62">SUM(Capacity!BS$3:BS$25*Capacity!$DH5/(TRANSPOSE(Dists!$B4:$X4)*MMULT(1/Dists!$B4:$X4,Capacity!$DH$3:$DH$25)))</f>
        <v>35.2152931270123</v>
      </c>
      <c r="AZ62" s="4" t="n">
        <f aca="false" t="array" ref="AZ62:AZ62">SUM(Capacity!BT$3:BT$25*Capacity!$DH5/(TRANSPOSE(Dists!$B4:$X4)*MMULT(1/Dists!$B4:$X4,Capacity!$DH$3:$DH$25)))</f>
        <v>49.5215059598611</v>
      </c>
      <c r="BA62" s="0"/>
      <c r="BB62" s="4" t="n">
        <f aca="false" t="array" ref="BB62:BB62">SUM(Capacity!BV$3:BV$25*Capacity!$DI5/(TRANSPOSE(Dists!$B4:$X4)*MMULT(1/Dists!$B4:$X4,Capacity!$DI$3:$DI$25)))</f>
        <v>383.742460158757</v>
      </c>
      <c r="BC62" s="4" t="n">
        <f aca="false" t="array" ref="BC62:BC62">SUM(Capacity!BW$3:BW$25*Capacity!$DI5/(TRANSPOSE(Dists!$B4:$X4)*MMULT(1/Dists!$B4:$X4,Capacity!$DI$3:$DI$25)))</f>
        <v>328.922108707506</v>
      </c>
      <c r="BD62" s="4" t="n">
        <f aca="false" t="array" ref="BD62:BD62">SUM(Capacity!BX$3:BX$25*Capacity!$DI5/(TRANSPOSE(Dists!$B4:$X4)*MMULT(1/Dists!$B4:$X4,Capacity!$DI$3:$DI$25)))</f>
        <v>164.461054353753</v>
      </c>
      <c r="BE62" s="4" t="n">
        <f aca="false" t="array" ref="BE62:BE62">SUM(Capacity!BY$3:BY$25*Capacity!$DI5/(TRANSPOSE(Dists!$B4:$X4)*MMULT(1/Dists!$B4:$X4,Capacity!$DI$3:$DI$25)))</f>
        <v>95.9356150396892</v>
      </c>
      <c r="BF62" s="4" t="n">
        <f aca="false" t="array" ref="BF62:BF62">SUM(Capacity!BZ$3:BZ$25*Capacity!$DH5/(TRANSPOSE(Dists!$B4:$X4)*MMULT(1/Dists!$B4:$X4,Capacity!$DH$3:$DH$25)))</f>
        <v>259792.3323371</v>
      </c>
      <c r="BG62" s="4" t="n">
        <f aca="false" t="array" ref="BG62:BG62">SUM(Capacity!CA$3:CA$25*Capacity!$DI5/(TRANSPOSE(Dists!$B4:$X4)*MMULT(1/Dists!$B4:$X4,Capacity!$DI$3:$DI$25)))</f>
        <v>8627.71033736549</v>
      </c>
      <c r="BH62" s="4" t="n">
        <f aca="false" t="array" ref="BH62:BH62">SUM(Capacity!CB$3:CB$25*Capacity!$DI5/(TRANSPOSE(Dists!$B4:$X4)*MMULT(1/Dists!$B4:$X4,Capacity!$DI$3:$DI$25)))</f>
        <v>10362.1784698236</v>
      </c>
      <c r="BI62" s="4" t="n">
        <f aca="false" t="array" ref="BI62:BI62">SUM(Capacity!CC$3:CC$25*Capacity!$DI5/(TRANSPOSE(Dists!$B4:$X4)*MMULT(1/Dists!$B4:$X4,Capacity!$DI$3:$DI$25)))</f>
        <v>23007.227566308</v>
      </c>
      <c r="BJ62" s="0"/>
      <c r="BK62" s="4" t="n">
        <f aca="false" t="array" ref="BK62:BK62">SUM(Capacity!CE$3:CE$25*Capacity!$DI5/(TRANSPOSE(Dists!$B4:$X4)*MMULT(1/Dists!$B4:$X4,Capacity!$DI$3:$DI$25)))</f>
        <v>11503.613783154</v>
      </c>
      <c r="BL62" s="0"/>
      <c r="BM62" s="0"/>
      <c r="BN62" s="4" t="n">
        <f aca="false" t="array" ref="BN62:BN62">SUM(Capacity!CH$3:CH$25*Capacity!$DH5/(TRANSPOSE(Dists!$B4:$X4)*MMULT(1/Dists!$B4:$X4,Capacity!$DH$3:$DH$25)))</f>
        <v>1408529.05265446</v>
      </c>
      <c r="BO62" s="4" t="n">
        <f aca="false" t="array" ref="BO62:BO62">SUM(Capacity!CI$3:CI$25*Capacity!$DH5/(TRANSPOSE(Dists!$B4:$X4)*MMULT(1/Dists!$B4:$X4,Capacity!$DH$3:$DH$25)))</f>
        <v>2817.05891057016</v>
      </c>
      <c r="BP62" s="4" t="n">
        <f aca="false" t="array" ref="BP62:BP62">SUM(Capacity!CJ$3:CJ$25*Capacity!$DH5/(TRANSPOSE(Dists!$B4:$X4)*MMULT(1/Dists!$B4:$X4,Capacity!$DH$3:$DH$25)))</f>
        <v>328656.779571312</v>
      </c>
      <c r="BQ62" s="4" t="n">
        <f aca="false" t="array" ref="BQ62:BQ62">SUM(Capacity!CK$3:CK$25*Capacity!$DH5/(TRANSPOSE(Dists!$B4:$X4)*MMULT(1/Dists!$B4:$X4,Capacity!$DH$3:$DH$25)))</f>
        <v>305181.295373852</v>
      </c>
      <c r="BR62" s="4" t="n">
        <f aca="false" t="array" ref="BR62:BR62">SUM(Capacity!CL$3:CL$25*Capacity!$DH5/(TRANSPOSE(Dists!$B4:$X4)*MMULT(1/Dists!$B4:$X4,Capacity!$DH$3:$DH$25)))</f>
        <v>939.020174773381</v>
      </c>
      <c r="BS62" s="4" t="n">
        <f aca="false" t="array" ref="BS62:BS62">SUM(Capacity!CM$3:CM$25*Capacity!$DH5/(TRANSPOSE(Dists!$B4:$X4)*MMULT(1/Dists!$B4:$X4,Capacity!$DH$3:$DH$25)))</f>
        <v>469.510490824186</v>
      </c>
      <c r="BT62" s="4" t="n">
        <f aca="false" t="array" ref="BT62:BT62">SUM(Capacity!CN$3:CN$25*Capacity!$DI5/(TRANSPOSE(Dists!$B4:$X4)*MMULT(1/Dists!$B4:$X4,Capacity!$DI$3:$DI$25)))</f>
        <v>837533.14717189</v>
      </c>
      <c r="BU62" s="4" t="n">
        <f aca="false" t="array" ref="BU62:BU62">SUM(Capacity!CO$3:CO$25*Capacity!$DI5/(TRANSPOSE(Dists!$B4:$X4)*MMULT(1/Dists!$B4:$X4,Capacity!$DI$3:$DI$25)))</f>
        <v>91367.2524187516</v>
      </c>
      <c r="BV62" s="4" t="n">
        <f aca="false" t="array" ref="BV62:BV62">SUM(Capacity!CP$3:CP$25*Capacity!$DI5/(TRANSPOSE(Dists!$B4:$X4)*MMULT(1/Dists!$B4:$X4,Capacity!$DI$3:$DI$25)))</f>
        <v>10659.5127821877</v>
      </c>
      <c r="BW62" s="0"/>
      <c r="BX62" s="0"/>
      <c r="BY62" s="0"/>
      <c r="BZ62" s="0"/>
      <c r="CA62" s="0"/>
      <c r="CB62" s="0"/>
      <c r="CC62" s="0"/>
      <c r="CE62" s="4" t="n">
        <f aca="false" t="array" ref="CE62:CE62">SUM(Capacity!CY$3:CY$25*Capacity!$DH5/(TRANSPOSE(Dists!$B4:$X4)*MMULT(1/Dists!$B4:$X4,Capacity!$DH$3:$DH$25)))</f>
        <v>324.740415421375</v>
      </c>
      <c r="CG62" s="0"/>
      <c r="CH62" s="0"/>
      <c r="CI62" s="0"/>
      <c r="CJ62" s="0"/>
      <c r="CK62" s="0"/>
    </row>
    <row r="63" customFormat="false" ht="12.8" hidden="false" customHeight="false" outlineLevel="0" collapsed="false">
      <c r="A63" s="4" t="s">
        <v>137</v>
      </c>
      <c r="B63" s="7" t="s">
        <v>39</v>
      </c>
      <c r="C63" s="4" t="n">
        <f aca="false" t="array" ref="C63:C63">SUM(Capacity!S$3:S$25*Capacity!$DH6/(TRANSPOSE(Dists!$B5:$X5)*MMULT(1/Dists!$B5:$X5,Capacity!$DH$3:$DH$25)))</f>
        <v>8397.99980714995</v>
      </c>
      <c r="D63" s="4" t="n">
        <f aca="false" t="array" ref="D63:D63">SUM(Capacity!V$3:V$25*Capacity!$DH6/(TRANSPOSE(Dists!$B5:$X5)*MMULT(1/Dists!$B5:$X5,Capacity!$DH$3:$DH$25)))</f>
        <v>10523.2127149689</v>
      </c>
      <c r="E63" s="4" t="n">
        <f aca="false" t="array" ref="E63:E63">SUM(Capacity!Y$3:Y$25*Capacity!$DH6/(TRANSPOSE(Dists!$B5:$X5)*MMULT(1/Dists!$B5:$X5,Capacity!$DH$3:$DH$25)))</f>
        <v>13109.2500266778</v>
      </c>
      <c r="F63" s="4" t="n">
        <f aca="false" t="array" ref="F63:F63">SUM(Capacity!Z$3:Z$25*Capacity!$DH6/(TRANSPOSE(Dists!$B5:$X5)*MMULT(1/Dists!$B5:$X5,Capacity!$DH$3:$DH$25)))</f>
        <v>4842.77355813783</v>
      </c>
      <c r="G63" s="4" t="n">
        <f aca="false" t="array" ref="G63:G63">SUM(Capacity!AA$3:AA$25*Capacity!$DH6/(TRANSPOSE(Dists!$B5:$X5)*MMULT(1/Dists!$B5:$X5,Capacity!$DH$3:$DH$25)))</f>
        <v>70789.5562359139</v>
      </c>
      <c r="H63" s="4" t="n">
        <f aca="false" t="array" ref="H63:H63">SUM(Capacity!AB$3:AB$25*Capacity!$DI6/(TRANSPOSE(Dists!$B5:$X5)*MMULT(1/Dists!$B5:$X5,Capacity!$DI$3:$DI$25)))</f>
        <v>3604.54885932341</v>
      </c>
      <c r="I63" s="0"/>
      <c r="J63" s="0"/>
      <c r="K63" s="0"/>
      <c r="L63" s="0"/>
      <c r="M63" s="0"/>
      <c r="N63" s="4" t="n">
        <f aca="false" t="array" ref="N63:N63">SUM(Capacity!AH$3:AH$25*Capacity!$DH6/(TRANSPOSE(Dists!$B5:$X5)*MMULT(1/Dists!$B5:$X5,Capacity!$DH$3:$DH$25)))</f>
        <v>93875.2454045506</v>
      </c>
      <c r="O63" s="0"/>
      <c r="U63" s="0"/>
      <c r="V63" s="0"/>
      <c r="W63" s="0"/>
      <c r="X63" s="0"/>
      <c r="Y63" s="4" t="n">
        <f aca="false" t="array" ref="Y63:Y63">SUM(Capacity!AS$3:AS$25*Capacity!$DI6/(TRANSPOSE(Dists!$B5:$X5)*MMULT(1/Dists!$B5:$X5,Capacity!$DI$3:$DI$25)))</f>
        <v>379.568676699964</v>
      </c>
      <c r="Z63" s="4" t="n">
        <f aca="false" t="array" ref="Z63:Z63">SUM(Capacity!AT$3:AT$25*Capacity!$DH6/(TRANSPOSE(Dists!$B5:$X5)*MMULT(1/Dists!$B5:$X5,Capacity!$DH$3:$DH$25)))</f>
        <v>465133.720885192</v>
      </c>
      <c r="AA63" s="4" t="n">
        <f aca="false" t="array" ref="AA63:AA63">SUM(Capacity!AU$3:AU$25*Capacity!$DI6/(TRANSPOSE(Dists!$B5:$X5)*MMULT(1/Dists!$B5:$X5,Capacity!$DI$3:$DI$25)))</f>
        <v>25115.7835339527</v>
      </c>
      <c r="AB63" s="4" t="n">
        <f aca="false" t="array" ref="AB63:AB63">SUM(Capacity!AV$3:AV$25*Capacity!$DI6/(TRANSPOSE(Dists!$B5:$X5)*MMULT(1/Dists!$B5:$X5,Capacity!$DI$3:$DI$25)))</f>
        <v>10464.9098058136</v>
      </c>
      <c r="AC63" s="4" t="n">
        <f aca="false" t="array" ref="AC63:AC63">SUM(Capacity!AW$3:AW$25*Capacity!$DH6/(TRANSPOSE(Dists!$B5:$X5)*MMULT(1/Dists!$B5:$X5,Capacity!$DH$3:$DH$25)))</f>
        <v>514.81533449918</v>
      </c>
      <c r="AD63" s="4" t="n">
        <f aca="false" t="array" ref="AD63:AD63">SUM(Capacity!AX$3:AX$25*Capacity!$DI6/(TRANSPOSE(Dists!$B5:$X5)*MMULT(1/Dists!$B5:$X5,Capacity!$DI$3:$DI$25)))</f>
        <v>172.671011795924</v>
      </c>
      <c r="AE63" s="4" t="n">
        <f aca="false" t="array" ref="AE63:AE63">SUM(Capacity!AY$3:AY$25*Capacity!$DI6/(TRANSPOSE(Dists!$B5:$X5)*MMULT(1/Dists!$B5:$X5,Capacity!$DI$3:$DI$25)))</f>
        <v>120.555760962973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4" t="n">
        <f aca="false" t="array" ref="AW63:AW63">SUM(Capacity!BQ$3:BQ$25*Capacity!$DH6/(TRANSPOSE(Dists!$B5:$X5)*MMULT(1/Dists!$B5:$X5,Capacity!$DH$3:$DH$25)))</f>
        <v>1774.98620379515</v>
      </c>
      <c r="AX63" s="0"/>
      <c r="AY63" s="4" t="n">
        <f aca="false" t="array" ref="AY63:AY63">SUM(Capacity!BS$3:BS$25*Capacity!$DH6/(TRANSPOSE(Dists!$B5:$X5)*MMULT(1/Dists!$B5:$X5,Capacity!$DH$3:$DH$25)))</f>
        <v>38.5614182936392</v>
      </c>
      <c r="AZ63" s="4" t="n">
        <f aca="false" t="array" ref="AZ63:AZ63">SUM(Capacity!BT$3:BT$25*Capacity!$DH6/(TRANSPOSE(Dists!$B5:$X5)*MMULT(1/Dists!$B5:$X5,Capacity!$DH$3:$DH$25)))</f>
        <v>54.2269944754301</v>
      </c>
      <c r="BA63" s="0"/>
      <c r="BB63" s="4" t="n">
        <f aca="false" t="array" ref="BB63:BB63">SUM(Capacity!BV$3:BV$25*Capacity!$DI6/(TRANSPOSE(Dists!$B5:$X5)*MMULT(1/Dists!$B5:$X5,Capacity!$DI$3:$DI$25)))</f>
        <v>421.945163370405</v>
      </c>
      <c r="BC63" s="4" t="n">
        <f aca="false" t="array" ref="BC63:BC63">SUM(Capacity!BW$3:BW$25*Capacity!$DI6/(TRANSPOSE(Dists!$B5:$X5)*MMULT(1/Dists!$B5:$X5,Capacity!$DI$3:$DI$25)))</f>
        <v>361.667282888918</v>
      </c>
      <c r="BD63" s="4" t="n">
        <f aca="false" t="array" ref="BD63:BD63">SUM(Capacity!BX$3:BX$25*Capacity!$DI6/(TRANSPOSE(Dists!$B5:$X5)*MMULT(1/Dists!$B5:$X5,Capacity!$DI$3:$DI$25)))</f>
        <v>180.833641444459</v>
      </c>
      <c r="BE63" s="4" t="n">
        <f aca="false" t="array" ref="BE63:BE63">SUM(Capacity!BY$3:BY$25*Capacity!$DI6/(TRANSPOSE(Dists!$B5:$X5)*MMULT(1/Dists!$B5:$X5,Capacity!$DI$3:$DI$25)))</f>
        <v>105.486290842601</v>
      </c>
      <c r="BF63" s="4" t="n">
        <f aca="false" t="array" ref="BF63:BF63">SUM(Capacity!BZ$3:BZ$25*Capacity!$DH6/(TRANSPOSE(Dists!$B5:$X5)*MMULT(1/Dists!$B5:$X5,Capacity!$DH$3:$DH$25)))</f>
        <v>266247.930569273</v>
      </c>
      <c r="BG63" s="4" t="n">
        <f aca="false" t="array" ref="BG63:BG63">SUM(Capacity!CA$3:CA$25*Capacity!$DI6/(TRANSPOSE(Dists!$B5:$X5)*MMULT(1/Dists!$B5:$X5,Capacity!$DI$3:$DI$25)))</f>
        <v>8878.71129086971</v>
      </c>
      <c r="BH63" s="4" t="n">
        <f aca="false" t="array" ref="BH63:BH63">SUM(Capacity!CB$3:CB$25*Capacity!$DI6/(TRANSPOSE(Dists!$B5:$X5)*MMULT(1/Dists!$B5:$X5,Capacity!$DI$3:$DI$25)))</f>
        <v>11982.0437741126</v>
      </c>
      <c r="BI63" s="4" t="n">
        <f aca="false" t="array" ref="BI63:BI63">SUM(Capacity!CC$3:CC$25*Capacity!$DI6/(TRANSPOSE(Dists!$B5:$X5)*MMULT(1/Dists!$B5:$X5,Capacity!$DI$3:$DI$25)))</f>
        <v>23676.5634423192</v>
      </c>
      <c r="BJ63" s="0"/>
      <c r="BK63" s="4" t="n">
        <f aca="false" t="array" ref="BK63:BK63">SUM(Capacity!CE$3:CE$25*Capacity!$DI6/(TRANSPOSE(Dists!$B5:$X5)*MMULT(1/Dists!$B5:$X5,Capacity!$DI$3:$DI$25)))</f>
        <v>11838.2817211596</v>
      </c>
      <c r="BL63" s="0"/>
      <c r="BM63" s="0"/>
      <c r="BN63" s="4" t="n">
        <f aca="false" t="array" ref="BN63:BN63">SUM(Capacity!CH$3:CH$25*Capacity!$DH6/(TRANSPOSE(Dists!$B5:$X5)*MMULT(1/Dists!$B5:$X5,Capacity!$DH$3:$DH$25)))</f>
        <v>2200657.18872276</v>
      </c>
      <c r="BO63" s="4" t="n">
        <f aca="false" t="array" ref="BO63:BO63">SUM(Capacity!CI$3:CI$25*Capacity!$DH6/(TRANSPOSE(Dists!$B5:$X5)*MMULT(1/Dists!$B5:$X5,Capacity!$DH$3:$DH$25)))</f>
        <v>4401.31523087237</v>
      </c>
      <c r="BP63" s="4" t="n">
        <f aca="false" t="array" ref="BP63:BP63">SUM(Capacity!CJ$3:CJ$25*Capacity!$DH6/(TRANSPOSE(Dists!$B5:$X5)*MMULT(1/Dists!$B5:$X5,Capacity!$DH$3:$DH$25)))</f>
        <v>513486.678024249</v>
      </c>
      <c r="BQ63" s="4" t="n">
        <f aca="false" t="array" ref="BQ63:BQ63">SUM(Capacity!CK$3:CK$25*Capacity!$DH6/(TRANSPOSE(Dists!$B5:$X5)*MMULT(1/Dists!$B5:$X5,Capacity!$DH$3:$DH$25)))</f>
        <v>476809.058226456</v>
      </c>
      <c r="BR63" s="4" t="n">
        <f aca="false" t="array" ref="BR63:BR63">SUM(Capacity!CL$3:CL$25*Capacity!$DH6/(TRANSPOSE(Dists!$B5:$X5)*MMULT(1/Dists!$B5:$X5,Capacity!$DH$3:$DH$25)))</f>
        <v>1467.10564704887</v>
      </c>
      <c r="BS63" s="4" t="n">
        <f aca="false" t="array" ref="BS63:BS63">SUM(Capacity!CM$3:CM$25*Capacity!$DH6/(TRANSPOSE(Dists!$B5:$X5)*MMULT(1/Dists!$B5:$X5,Capacity!$DH$3:$DH$25)))</f>
        <v>733.553251092996</v>
      </c>
      <c r="BT63" s="4" t="n">
        <f aca="false" t="array" ref="BT63:BT63">SUM(Capacity!CN$3:CN$25*Capacity!$DI6/(TRANSPOSE(Dists!$B5:$X5)*MMULT(1/Dists!$B5:$X5,Capacity!$DI$3:$DI$25)))</f>
        <v>920912.062911597</v>
      </c>
      <c r="BU63" s="4" t="n">
        <f aca="false" t="array" ref="BU63:BU63">SUM(Capacity!CO$3:CO$25*Capacity!$DI6/(TRANSPOSE(Dists!$B5:$X5)*MMULT(1/Dists!$B5:$X5,Capacity!$DI$3:$DI$25)))</f>
        <v>100463.134135811</v>
      </c>
      <c r="BV63" s="4" t="n">
        <f aca="false" t="array" ref="BV63:BV63">SUM(Capacity!CP$3:CP$25*Capacity!$DI6/(TRANSPOSE(Dists!$B5:$X5)*MMULT(1/Dists!$B5:$X5,Capacity!$DI$3:$DI$25)))</f>
        <v>11720.6989825112</v>
      </c>
      <c r="BW63" s="0"/>
      <c r="BX63" s="0"/>
      <c r="BY63" s="0"/>
      <c r="BZ63" s="0"/>
      <c r="CA63" s="0"/>
      <c r="CB63" s="0"/>
      <c r="CC63" s="0"/>
      <c r="CE63" s="4" t="n">
        <f aca="false" t="array" ref="CE63:CE63">SUM(Capacity!CY$3:CY$25*Capacity!$DH6/(TRANSPOSE(Dists!$B5:$X5)*MMULT(1/Dists!$B5:$X5,Capacity!$DH$3:$DH$25)))</f>
        <v>332.809913211591</v>
      </c>
      <c r="CG63" s="0"/>
      <c r="CH63" s="0"/>
      <c r="CI63" s="0"/>
      <c r="CJ63" s="0"/>
      <c r="CK63" s="0"/>
    </row>
    <row r="64" customFormat="false" ht="12.8" hidden="false" customHeight="false" outlineLevel="0" collapsed="false">
      <c r="A64" s="4" t="s">
        <v>139</v>
      </c>
      <c r="B64" s="7" t="s">
        <v>39</v>
      </c>
      <c r="C64" s="4" t="n">
        <f aca="false" t="array" ref="C64:C64">SUM(Capacity!S$3:S$25*Capacity!$DH7/(TRANSPOSE(Dists!$B6:$X6)*MMULT(1/Dists!$B6:$X6,Capacity!$DH$3:$DH$25)))</f>
        <v>6052.02555127253</v>
      </c>
      <c r="D64" s="4" t="n">
        <f aca="false" t="array" ref="D64:D64">SUM(Capacity!V$3:V$25*Capacity!$DH7/(TRANSPOSE(Dists!$B6:$X6)*MMULT(1/Dists!$B6:$X6,Capacity!$DH$3:$DH$25)))</f>
        <v>7204.52703723941</v>
      </c>
      <c r="E64" s="4" t="n">
        <f aca="false" t="array" ref="E64:E64">SUM(Capacity!Y$3:Y$25*Capacity!$DH7/(TRANSPOSE(Dists!$B6:$X6)*MMULT(1/Dists!$B6:$X6,Capacity!$DH$3:$DH$25)))</f>
        <v>10634.1063223061</v>
      </c>
      <c r="F64" s="4" t="n">
        <f aca="false" t="array" ref="F64:F64">SUM(Capacity!Z$3:Z$25*Capacity!$DH7/(TRANSPOSE(Dists!$B6:$X6)*MMULT(1/Dists!$B6:$X6,Capacity!$DH$3:$DH$25)))</f>
        <v>4462.37278419263</v>
      </c>
      <c r="G64" s="4" t="n">
        <f aca="false" t="array" ref="G64:G64">SUM(Capacity!AA$3:AA$25*Capacity!$DH7/(TRANSPOSE(Dists!$B6:$X6)*MMULT(1/Dists!$B6:$X6,Capacity!$DH$3:$DH$25)))</f>
        <v>47907.9200346264</v>
      </c>
      <c r="H64" s="4" t="n">
        <f aca="false" t="array" ref="H64:H64">SUM(Capacity!AB$3:AB$25*Capacity!$DI7/(TRANSPOSE(Dists!$B6:$X6)*MMULT(1/Dists!$B6:$X6,Capacity!$DI$3:$DI$25)))</f>
        <v>1342.06379531552</v>
      </c>
      <c r="I64" s="0"/>
      <c r="J64" s="0"/>
      <c r="K64" s="0"/>
      <c r="L64" s="0"/>
      <c r="M64" s="0"/>
      <c r="N64" s="4" t="n">
        <f aca="false" t="array" ref="N64:N64">SUM(Capacity!AH$3:AH$25*Capacity!$DH7/(TRANSPOSE(Dists!$B6:$X6)*MMULT(1/Dists!$B6:$X6,Capacity!$DH$3:$DH$25)))</f>
        <v>64631.6571651182</v>
      </c>
      <c r="O64" s="0"/>
      <c r="U64" s="0"/>
      <c r="V64" s="0"/>
      <c r="W64" s="0"/>
      <c r="X64" s="0"/>
      <c r="Y64" s="4" t="n">
        <f aca="false" t="array" ref="Y64:Y64">SUM(Capacity!AS$3:AS$25*Capacity!$DI7/(TRANSPOSE(Dists!$B6:$X6)*MMULT(1/Dists!$B6:$X6,Capacity!$DI$3:$DI$25)))</f>
        <v>173.947464840779</v>
      </c>
      <c r="Z64" s="4" t="n">
        <f aca="false" t="array" ref="Z64:Z64">SUM(Capacity!AT$3:AT$25*Capacity!$DH7/(TRANSPOSE(Dists!$B6:$X6)*MMULT(1/Dists!$B6:$X6,Capacity!$DH$3:$DH$25)))</f>
        <v>311745.704947307</v>
      </c>
      <c r="AA64" s="4" t="n">
        <f aca="false" t="array" ref="AA64:AA64">SUM(Capacity!AU$3:AU$25*Capacity!$DI7/(TRANSPOSE(Dists!$B6:$X6)*MMULT(1/Dists!$B6:$X6,Capacity!$DI$3:$DI$25)))</f>
        <v>9694.98784233142</v>
      </c>
      <c r="AB64" s="4" t="n">
        <f aca="false" t="array" ref="AB64:AB64">SUM(Capacity!AV$3:AV$25*Capacity!$DI7/(TRANSPOSE(Dists!$B6:$X6)*MMULT(1/Dists!$B6:$X6,Capacity!$DI$3:$DI$25)))</f>
        <v>4039.57826763809</v>
      </c>
      <c r="AC64" s="4" t="n">
        <f aca="false" t="array" ref="AC64:AC64">SUM(Capacity!AW$3:AW$25*Capacity!$DH7/(TRANSPOSE(Dists!$B6:$X6)*MMULT(1/Dists!$B6:$X6,Capacity!$DH$3:$DH$25)))</f>
        <v>346.903654703176</v>
      </c>
      <c r="AD64" s="4" t="n">
        <f aca="false" t="array" ref="AD64:AD64">SUM(Capacity!AX$3:AX$25*Capacity!$DI7/(TRANSPOSE(Dists!$B6:$X6)*MMULT(1/Dists!$B6:$X6,Capacity!$DI$3:$DI$25)))</f>
        <v>66.6530414160285</v>
      </c>
      <c r="AE64" s="4" t="n">
        <f aca="false" t="array" ref="AE64:AE64">SUM(Capacity!AY$3:AY$25*Capacity!$DI7/(TRANSPOSE(Dists!$B6:$X6)*MMULT(1/Dists!$B6:$X6,Capacity!$DI$3:$DI$25)))</f>
        <v>46.5359416431908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4" t="n">
        <f aca="false" t="array" ref="AW64:AW64">SUM(Capacity!BQ$3:BQ$25*Capacity!$DH7/(TRANSPOSE(Dists!$B6:$X6)*MMULT(1/Dists!$B6:$X6,Capacity!$DH$3:$DH$25)))</f>
        <v>1196.05839197324</v>
      </c>
      <c r="AX64" s="0"/>
      <c r="AY64" s="4" t="n">
        <f aca="false" t="array" ref="AY64:AY64">SUM(Capacity!BS$3:BS$25*Capacity!$DH7/(TRANSPOSE(Dists!$B6:$X6)*MMULT(1/Dists!$B6:$X6,Capacity!$DH$3:$DH$25)))</f>
        <v>24.6615759829463</v>
      </c>
      <c r="AZ64" s="4" t="n">
        <f aca="false" t="array" ref="AZ64:AZ64">SUM(Capacity!BT$3:BT$25*Capacity!$DH7/(TRANSPOSE(Dists!$B6:$X6)*MMULT(1/Dists!$B6:$X6,Capacity!$DH$3:$DH$25)))</f>
        <v>34.6803412260183</v>
      </c>
      <c r="BA64" s="0"/>
      <c r="BB64" s="4" t="n">
        <f aca="false" t="array" ref="BB64:BB64">SUM(Capacity!BV$3:BV$25*Capacity!$DI7/(TRANSPOSE(Dists!$B6:$X6)*MMULT(1/Dists!$B6:$X6,Capacity!$DI$3:$DI$25)))</f>
        <v>162.875795751168</v>
      </c>
      <c r="BC64" s="4" t="n">
        <f aca="false" t="array" ref="BC64:BC64">SUM(Capacity!BW$3:BW$25*Capacity!$DI7/(TRANSPOSE(Dists!$B6:$X6)*MMULT(1/Dists!$B6:$X6,Capacity!$DI$3:$DI$25)))</f>
        <v>139.607824929573</v>
      </c>
      <c r="BD64" s="4" t="n">
        <f aca="false" t="array" ref="BD64:BD64">SUM(Capacity!BX$3:BX$25*Capacity!$DI7/(TRANSPOSE(Dists!$B6:$X6)*MMULT(1/Dists!$B6:$X6,Capacity!$DI$3:$DI$25)))</f>
        <v>69.8039124647861</v>
      </c>
      <c r="BE64" s="4" t="n">
        <f aca="false" t="array" ref="BE64:BE64">SUM(Capacity!BY$3:BY$25*Capacity!$DI7/(TRANSPOSE(Dists!$B6:$X6)*MMULT(1/Dists!$B6:$X6,Capacity!$DI$3:$DI$25)))</f>
        <v>40.718948937792</v>
      </c>
      <c r="BF64" s="4" t="n">
        <f aca="false" t="array" ref="BF64:BF64">SUM(Capacity!BZ$3:BZ$25*Capacity!$DH7/(TRANSPOSE(Dists!$B6:$X6)*MMULT(1/Dists!$B6:$X6,Capacity!$DH$3:$DH$25)))</f>
        <v>179408.758795986</v>
      </c>
      <c r="BG64" s="4" t="n">
        <f aca="false" t="array" ref="BG64:BG64">SUM(Capacity!CA$3:CA$25*Capacity!$DI7/(TRANSPOSE(Dists!$B6:$X6)*MMULT(1/Dists!$B6:$X6,Capacity!$DI$3:$DI$25)))</f>
        <v>3611.10440430599</v>
      </c>
      <c r="BH64" s="4" t="n">
        <f aca="false" t="array" ref="BH64:BH64">SUM(Capacity!CB$3:CB$25*Capacity!$DI7/(TRANSPOSE(Dists!$B6:$X6)*MMULT(1/Dists!$B6:$X6,Capacity!$DI$3:$DI$25)))</f>
        <v>4769.02322098992</v>
      </c>
      <c r="BI64" s="4" t="n">
        <f aca="false" t="array" ref="BI64:BI64">SUM(Capacity!CC$3:CC$25*Capacity!$DI7/(TRANSPOSE(Dists!$B6:$X6)*MMULT(1/Dists!$B6:$X6,Capacity!$DI$3:$DI$25)))</f>
        <v>9629.61174481598</v>
      </c>
      <c r="BJ64" s="0"/>
      <c r="BK64" s="4" t="n">
        <f aca="false" t="array" ref="BK64:BK64">SUM(Capacity!CE$3:CE$25*Capacity!$DI7/(TRANSPOSE(Dists!$B6:$X6)*MMULT(1/Dists!$B6:$X6,Capacity!$DI$3:$DI$25)))</f>
        <v>4814.80587240799</v>
      </c>
      <c r="BL64" s="0"/>
      <c r="BM64" s="0"/>
      <c r="BN64" s="4" t="n">
        <f aca="false" t="array" ref="BN64:BN64">SUM(Capacity!CH$3:CH$25*Capacity!$DH7/(TRANSPOSE(Dists!$B6:$X6)*MMULT(1/Dists!$B6:$X6,Capacity!$DH$3:$DH$25)))</f>
        <v>3879660.69075113</v>
      </c>
      <c r="BO64" s="4" t="n">
        <f aca="false" t="array" ref="BO64:BO64">SUM(Capacity!CI$3:CI$25*Capacity!$DH7/(TRANSPOSE(Dists!$B6:$X6)*MMULT(1/Dists!$B6:$X6,Capacity!$DH$3:$DH$25)))</f>
        <v>7759.32203125912</v>
      </c>
      <c r="BP64" s="4" t="n">
        <f aca="false" t="array" ref="BP64:BP64">SUM(Capacity!CJ$3:CJ$25*Capacity!$DH7/(TRANSPOSE(Dists!$B6:$X6)*MMULT(1/Dists!$B6:$X6,Capacity!$DH$3:$DH$25)))</f>
        <v>905254.16167441</v>
      </c>
      <c r="BQ64" s="4" t="n">
        <f aca="false" t="array" ref="BQ64:BQ64">SUM(Capacity!CK$3:CK$25*Capacity!$DH7/(TRANSPOSE(Dists!$B6:$X6)*MMULT(1/Dists!$B6:$X6,Capacity!$DH$3:$DH$25)))</f>
        <v>840593.150172742</v>
      </c>
      <c r="BR64" s="4" t="n">
        <f aca="false" t="array" ref="BR64:BR64">SUM(Capacity!CL$3:CL$25*Capacity!$DH7/(TRANSPOSE(Dists!$B6:$X6)*MMULT(1/Dists!$B6:$X6,Capacity!$DH$3:$DH$25)))</f>
        <v>2586.44111112569</v>
      </c>
      <c r="BS64" s="4" t="n">
        <f aca="false" t="array" ref="BS64:BS64">SUM(Capacity!CM$3:CM$25*Capacity!$DH7/(TRANSPOSE(Dists!$B6:$X6)*MMULT(1/Dists!$B6:$X6,Capacity!$DH$3:$DH$25)))</f>
        <v>1293.22088109233</v>
      </c>
      <c r="BT64" s="4" t="n">
        <f aca="false" t="array" ref="BT64:BT64">SUM(Capacity!CN$3:CN$25*Capacity!$DI7/(TRANSPOSE(Dists!$B6:$X6)*MMULT(1/Dists!$B6:$X6,Capacity!$DI$3:$DI$25)))</f>
        <v>355482.887552152</v>
      </c>
      <c r="BU64" s="4" t="n">
        <f aca="false" t="array" ref="BU64:BU64">SUM(Capacity!CO$3:CO$25*Capacity!$DI7/(TRANSPOSE(Dists!$B6:$X6)*MMULT(1/Dists!$B6:$X6,Capacity!$DI$3:$DI$25)))</f>
        <v>38779.9513693257</v>
      </c>
      <c r="BV64" s="4" t="n">
        <f aca="false" t="array" ref="BV64:BV64">SUM(Capacity!CP$3:CP$25*Capacity!$DI7/(TRANSPOSE(Dists!$B6:$X6)*MMULT(1/Dists!$B6:$X6,Capacity!$DI$3:$DI$25)))</f>
        <v>4524.32765975466</v>
      </c>
      <c r="BW64" s="0"/>
      <c r="BX64" s="0"/>
      <c r="BY64" s="0"/>
      <c r="BZ64" s="0"/>
      <c r="CA64" s="0"/>
      <c r="CB64" s="0"/>
      <c r="CC64" s="0"/>
      <c r="CE64" s="4" t="n">
        <f aca="false" t="array" ref="CE64:CE64">SUM(Capacity!CY$3:CY$25*Capacity!$DH7/(TRANSPOSE(Dists!$B6:$X6)*MMULT(1/Dists!$B6:$X6,Capacity!$DH$3:$DH$25)))</f>
        <v>224.260948494982</v>
      </c>
      <c r="CG64" s="0"/>
      <c r="CH64" s="0"/>
      <c r="CI64" s="0"/>
      <c r="CJ64" s="0"/>
      <c r="CK64" s="0"/>
    </row>
    <row r="65" customFormat="false" ht="12.8" hidden="false" customHeight="false" outlineLevel="0" collapsed="false">
      <c r="A65" s="4" t="s">
        <v>140</v>
      </c>
      <c r="B65" s="7" t="s">
        <v>39</v>
      </c>
      <c r="C65" s="4" t="n">
        <f aca="false" t="array" ref="C65:C65">SUM(Capacity!S$3:S$25*Capacity!$DH8/(TRANSPOSE(Dists!$B7:$X7)*MMULT(1/Dists!$B7:$X7,Capacity!$DH$3:$DH$25)))</f>
        <v>4037.78568701652</v>
      </c>
      <c r="D65" s="4" t="n">
        <f aca="false" t="array" ref="D65:D65">SUM(Capacity!V$3:V$25*Capacity!$DH8/(TRANSPOSE(Dists!$B7:$X7)*MMULT(1/Dists!$B7:$X7,Capacity!$DH$3:$DH$25)))</f>
        <v>4866.48040783473</v>
      </c>
      <c r="E65" s="4" t="n">
        <f aca="false" t="array" ref="E65:E65">SUM(Capacity!Y$3:Y$25*Capacity!$DH8/(TRANSPOSE(Dists!$B7:$X7)*MMULT(1/Dists!$B7:$X7,Capacity!$DH$3:$DH$25)))</f>
        <v>7052.87565684408</v>
      </c>
      <c r="F65" s="4" t="n">
        <f aca="false" t="array" ref="F65:F65">SUM(Capacity!Z$3:Z$25*Capacity!$DH8/(TRANSPOSE(Dists!$B7:$X7)*MMULT(1/Dists!$B7:$X7,Capacity!$DH$3:$DH$25)))</f>
        <v>2942.81271714796</v>
      </c>
      <c r="G65" s="4" t="n">
        <f aca="false" t="array" ref="G65:G65">SUM(Capacity!AA$3:AA$25*Capacity!$DH8/(TRANSPOSE(Dists!$B7:$X7)*MMULT(1/Dists!$B7:$X7,Capacity!$DH$3:$DH$25)))</f>
        <v>32453.0744138624</v>
      </c>
      <c r="H65" s="4" t="n">
        <f aca="false" t="array" ref="H65:H65">SUM(Capacity!AB$3:AB$25*Capacity!$DI8/(TRANSPOSE(Dists!$B7:$X7)*MMULT(1/Dists!$B7:$X7,Capacity!$DI$3:$DI$25)))</f>
        <v>1871.44524177019</v>
      </c>
      <c r="I65" s="0"/>
      <c r="J65" s="0"/>
      <c r="K65" s="0"/>
      <c r="L65" s="0"/>
      <c r="M65" s="0"/>
      <c r="N65" s="4" t="n">
        <f aca="false" t="array" ref="N65:N65">SUM(Capacity!AH$3:AH$25*Capacity!$DH8/(TRANSPOSE(Dists!$B7:$X7)*MMULT(1/Dists!$B7:$X7,Capacity!$DH$3:$DH$25)))</f>
        <v>43571.6619924672</v>
      </c>
      <c r="O65" s="0"/>
      <c r="U65" s="0"/>
      <c r="V65" s="0"/>
      <c r="W65" s="0"/>
      <c r="X65" s="0"/>
      <c r="Y65" s="4" t="n">
        <f aca="false" t="array" ref="Y65:Y65">SUM(Capacity!AS$3:AS$25*Capacity!$DI8/(TRANSPOSE(Dists!$B7:$X7)*MMULT(1/Dists!$B7:$X7,Capacity!$DI$3:$DI$25)))</f>
        <v>234.523696415104</v>
      </c>
      <c r="Z65" s="4" t="n">
        <f aca="false" t="array" ref="Z65:Z65">SUM(Capacity!AT$3:AT$25*Capacity!$DH8/(TRANSPOSE(Dists!$B7:$X7)*MMULT(1/Dists!$B7:$X7,Capacity!$DH$3:$DH$25)))</f>
        <v>229274.951587879</v>
      </c>
      <c r="AA65" s="4" t="n">
        <f aca="false" t="array" ref="AA65:AA65">SUM(Capacity!AU$3:AU$25*Capacity!$DI8/(TRANSPOSE(Dists!$B7:$X7)*MMULT(1/Dists!$B7:$X7,Capacity!$DI$3:$DI$25)))</f>
        <v>13278.4687954885</v>
      </c>
      <c r="AB65" s="4" t="n">
        <f aca="false" t="array" ref="AB65:AB65">SUM(Capacity!AV$3:AV$25*Capacity!$DI8/(TRANSPOSE(Dists!$B7:$X7)*MMULT(1/Dists!$B7:$X7,Capacity!$DI$3:$DI$25)))</f>
        <v>5532.69533145354</v>
      </c>
      <c r="AC65" s="4" t="n">
        <f aca="false" t="array" ref="AC65:AC65">SUM(Capacity!AW$3:AW$25*Capacity!$DH8/(TRANSPOSE(Dists!$B7:$X7)*MMULT(1/Dists!$B7:$X7,Capacity!$DH$3:$DH$25)))</f>
        <v>236.118950721677</v>
      </c>
      <c r="AD65" s="4" t="n">
        <f aca="false" t="array" ref="AD65:AD65">SUM(Capacity!AX$3:AX$25*Capacity!$DI8/(TRANSPOSE(Dists!$B7:$X7)*MMULT(1/Dists!$B7:$X7,Capacity!$DI$3:$DI$25)))</f>
        <v>91.2894729689835</v>
      </c>
      <c r="AE65" s="4" t="n">
        <f aca="false" t="array" ref="AE65:AE65">SUM(Capacity!AY$3:AY$25*Capacity!$DI8/(TRANSPOSE(Dists!$B7:$X7)*MMULT(1/Dists!$B7:$X7,Capacity!$DI$3:$DI$25)))</f>
        <v>63.7366502183448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4" t="n">
        <f aca="false" t="array" ref="AW65:AW65">SUM(Capacity!BQ$3:BQ$25*Capacity!$DH8/(TRANSPOSE(Dists!$B7:$X7)*MMULT(1/Dists!$B7:$X7,Capacity!$DH$3:$DH$25)))</f>
        <v>814.093621343425</v>
      </c>
      <c r="AX65" s="0"/>
      <c r="AY65" s="4" t="n">
        <f aca="false" t="array" ref="AY65:AY65">SUM(Capacity!BS$3:BS$25*Capacity!$DH8/(TRANSPOSE(Dists!$B7:$X7)*MMULT(1/Dists!$B7:$X7,Capacity!$DH$3:$DH$25)))</f>
        <v>16.7690779573299</v>
      </c>
      <c r="AZ65" s="4" t="n">
        <f aca="false" t="array" ref="AZ65:AZ65">SUM(Capacity!BT$3:BT$25*Capacity!$DH8/(TRANSPOSE(Dists!$B7:$X7)*MMULT(1/Dists!$B7:$X7,Capacity!$DH$3:$DH$25)))</f>
        <v>23.5815158774951</v>
      </c>
      <c r="BA65" s="0"/>
      <c r="BB65" s="4" t="n">
        <f aca="false" t="array" ref="BB65:BB65">SUM(Capacity!BV$3:BV$25*Capacity!$DI8/(TRANSPOSE(Dists!$B7:$X7)*MMULT(1/Dists!$B7:$X7,Capacity!$DI$3:$DI$25)))</f>
        <v>223.078275764207</v>
      </c>
      <c r="BC65" s="4" t="n">
        <f aca="false" t="array" ref="BC65:BC65">SUM(Capacity!BW$3:BW$25*Capacity!$DI8/(TRANSPOSE(Dists!$B7:$X7)*MMULT(1/Dists!$B7:$X7,Capacity!$DI$3:$DI$25)))</f>
        <v>191.209950655035</v>
      </c>
      <c r="BD65" s="4" t="n">
        <f aca="false" t="array" ref="BD65:BD65">SUM(Capacity!BX$3:BX$25*Capacity!$DI8/(TRANSPOSE(Dists!$B7:$X7)*MMULT(1/Dists!$B7:$X7,Capacity!$DI$3:$DI$25)))</f>
        <v>95.6049753275171</v>
      </c>
      <c r="BE65" s="4" t="n">
        <f aca="false" t="array" ref="BE65:BE65">SUM(Capacity!BY$3:BY$25*Capacity!$DI8/(TRANSPOSE(Dists!$B7:$X7)*MMULT(1/Dists!$B7:$X7,Capacity!$DI$3:$DI$25)))</f>
        <v>55.7695689410517</v>
      </c>
      <c r="BF65" s="4" t="n">
        <f aca="false" t="array" ref="BF65:BF65">SUM(Capacity!BZ$3:BZ$25*Capacity!$DH8/(TRANSPOSE(Dists!$B7:$X7)*MMULT(1/Dists!$B7:$X7,Capacity!$DH$3:$DH$25)))</f>
        <v>122114.043201514</v>
      </c>
      <c r="BG65" s="4" t="n">
        <f aca="false" t="array" ref="BG65:BG65">SUM(Capacity!CA$3:CA$25*Capacity!$DI8/(TRANSPOSE(Dists!$B7:$X7)*MMULT(1/Dists!$B7:$X7,Capacity!$DI$3:$DI$25)))</f>
        <v>4950.78863804756</v>
      </c>
      <c r="BH65" s="4" t="n">
        <f aca="false" t="array" ref="BH65:BH65">SUM(Capacity!CB$3:CB$25*Capacity!$DI8/(TRANSPOSE(Dists!$B7:$X7)*MMULT(1/Dists!$B7:$X7,Capacity!$DI$3:$DI$25)))</f>
        <v>6911.23640261341</v>
      </c>
      <c r="BI65" s="4" t="n">
        <f aca="false" t="array" ref="BI65:BI65">SUM(Capacity!CC$3:CC$25*Capacity!$DI8/(TRANSPOSE(Dists!$B7:$X7)*MMULT(1/Dists!$B7:$X7,Capacity!$DI$3:$DI$25)))</f>
        <v>13202.1030347935</v>
      </c>
      <c r="BJ65" s="0"/>
      <c r="BK65" s="4" t="n">
        <f aca="false" t="array" ref="BK65:BK65">SUM(Capacity!CE$3:CE$25*Capacity!$DI8/(TRANSPOSE(Dists!$B7:$X7)*MMULT(1/Dists!$B7:$X7,Capacity!$DI$3:$DI$25)))</f>
        <v>6601.05151739674</v>
      </c>
      <c r="BL65" s="0"/>
      <c r="BM65" s="0"/>
      <c r="BN65" s="4" t="n">
        <f aca="false" t="array" ref="BN65:BN65">SUM(Capacity!CH$3:CH$25*Capacity!$DH8/(TRANSPOSE(Dists!$B7:$X7)*MMULT(1/Dists!$B7:$X7,Capacity!$DH$3:$DH$25)))</f>
        <v>2451804.64138474</v>
      </c>
      <c r="BO65" s="4" t="n">
        <f aca="false" t="array" ref="BO65:BO65">SUM(Capacity!CI$3:CI$25*Capacity!$DH8/(TRANSPOSE(Dists!$B7:$X7)*MMULT(1/Dists!$B7:$X7,Capacity!$DH$3:$DH$25)))</f>
        <v>4903.60975875625</v>
      </c>
      <c r="BP65" s="4" t="n">
        <f aca="false" t="array" ref="BP65:BP65">SUM(Capacity!CJ$3:CJ$25*Capacity!$DH8/(TRANSPOSE(Dists!$B7:$X7)*MMULT(1/Dists!$B7:$X7,Capacity!$DH$3:$DH$25)))</f>
        <v>572087.750022094</v>
      </c>
      <c r="BQ65" s="4" t="n">
        <f aca="false" t="array" ref="BQ65:BQ65">SUM(Capacity!CK$3:CK$25*Capacity!$DH8/(TRANSPOSE(Dists!$B7:$X7)*MMULT(1/Dists!$B7:$X7,Capacity!$DH$3:$DH$25)))</f>
        <v>531224.339340297</v>
      </c>
      <c r="BR65" s="4" t="n">
        <f aca="false" t="array" ref="BR65:BR65">SUM(Capacity!CL$3:CL$25*Capacity!$DH8/(TRANSPOSE(Dists!$B7:$X7)*MMULT(1/Dists!$B7:$X7,Capacity!$DH$3:$DH$25)))</f>
        <v>1634.53690421251</v>
      </c>
      <c r="BS65" s="4" t="n">
        <f aca="false" t="array" ref="BS65:BS65">SUM(Capacity!CM$3:CM$25*Capacity!$DH8/(TRANSPOSE(Dists!$B7:$X7)*MMULT(1/Dists!$B7:$X7,Capacity!$DH$3:$DH$25)))</f>
        <v>817.26869057658</v>
      </c>
      <c r="BT65" s="4" t="n">
        <f aca="false" t="array" ref="BT65:BT65">SUM(Capacity!CN$3:CN$25*Capacity!$DI8/(TRANSPOSE(Dists!$B7:$X7)*MMULT(1/Dists!$B7:$X7,Capacity!$DI$3:$DI$25)))</f>
        <v>486877.189167912</v>
      </c>
      <c r="BU65" s="4" t="n">
        <f aca="false" t="array" ref="BU65:BU65">SUM(Capacity!CO$3:CO$25*Capacity!$DI8/(TRANSPOSE(Dists!$B7:$X7)*MMULT(1/Dists!$B7:$X7,Capacity!$DI$3:$DI$25)))</f>
        <v>53113.875181954</v>
      </c>
      <c r="BV65" s="4" t="n">
        <f aca="false" t="array" ref="BV65:BV65">SUM(Capacity!CP$3:CP$25*Capacity!$DI8/(TRANSPOSE(Dists!$B7:$X7)*MMULT(1/Dists!$B7:$X7,Capacity!$DI$3:$DI$25)))</f>
        <v>6196.61877122797</v>
      </c>
      <c r="BW65" s="0"/>
      <c r="BX65" s="0"/>
      <c r="BY65" s="0"/>
      <c r="BZ65" s="0"/>
      <c r="CA65" s="0"/>
      <c r="CB65" s="0"/>
      <c r="CC65" s="0"/>
      <c r="CE65" s="4" t="n">
        <f aca="false" t="array" ref="CE65:CE65">SUM(Capacity!CY$3:CY$25*Capacity!$DH8/(TRANSPOSE(Dists!$B7:$X7)*MMULT(1/Dists!$B7:$X7,Capacity!$DH$3:$DH$25)))</f>
        <v>152.642554001892</v>
      </c>
      <c r="CG65" s="0"/>
      <c r="CH65" s="0"/>
      <c r="CI65" s="0"/>
      <c r="CJ65" s="0"/>
      <c r="CK65" s="0"/>
    </row>
    <row r="66" customFormat="false" ht="12.8" hidden="false" customHeight="false" outlineLevel="0" collapsed="false">
      <c r="A66" s="4" t="s">
        <v>141</v>
      </c>
      <c r="B66" s="7" t="s">
        <v>39</v>
      </c>
      <c r="C66" s="4" t="n">
        <f aca="false" t="array" ref="C66:C66">SUM(Capacity!S$3:S$25*Capacity!$DH9/(TRANSPOSE(Dists!$B8:$X8)*MMULT(1/Dists!$B8:$X8,Capacity!$DH$3:$DH$25)))</f>
        <v>6363.98826805635</v>
      </c>
      <c r="D66" s="4" t="n">
        <f aca="false" t="array" ref="D66:D66">SUM(Capacity!V$3:V$25*Capacity!$DH9/(TRANSPOSE(Dists!$B8:$X8)*MMULT(1/Dists!$B8:$X8,Capacity!$DH$3:$DH$25)))</f>
        <v>8110.36964491932</v>
      </c>
      <c r="E66" s="4" t="n">
        <f aca="false" t="array" ref="E66:E66">SUM(Capacity!Y$3:Y$25*Capacity!$DH9/(TRANSPOSE(Dists!$B8:$X8)*MMULT(1/Dists!$B8:$X8,Capacity!$DH$3:$DH$25)))</f>
        <v>9921.61908814911</v>
      </c>
      <c r="F66" s="4" t="n">
        <f aca="false" t="array" ref="F66:F66">SUM(Capacity!Z$3:Z$25*Capacity!$DH9/(TRANSPOSE(Dists!$B8:$X8)*MMULT(1/Dists!$B8:$X8,Capacity!$DH$3:$DH$25)))</f>
        <v>3659.57564908795</v>
      </c>
      <c r="G66" s="4" t="n">
        <f aca="false" t="array" ref="G66:G66">SUM(Capacity!AA$3:AA$25*Capacity!$DH9/(TRANSPOSE(Dists!$B8:$X8)*MMULT(1/Dists!$B8:$X8,Capacity!$DH$3:$DH$25)))</f>
        <v>54758.1225688756</v>
      </c>
      <c r="H66" s="4" t="n">
        <f aca="false" t="array" ref="H66:H66">SUM(Capacity!AB$3:AB$25*Capacity!$DI9/(TRANSPOSE(Dists!$B8:$X8)*MMULT(1/Dists!$B8:$X8,Capacity!$DI$3:$DI$25)))</f>
        <v>2804.40856373001</v>
      </c>
      <c r="I66" s="0"/>
      <c r="J66" s="0"/>
      <c r="K66" s="0"/>
      <c r="L66" s="0"/>
      <c r="M66" s="0"/>
      <c r="N66" s="4" t="n">
        <f aca="false" t="array" ref="N66:N66">SUM(Capacity!AH$3:AH$25*Capacity!$DH9/(TRANSPOSE(Dists!$B8:$X8)*MMULT(1/Dists!$B8:$X8,Capacity!$DH$3:$DH$25)))</f>
        <v>72156.0944899626</v>
      </c>
      <c r="O66" s="0"/>
      <c r="U66" s="0"/>
      <c r="V66" s="0"/>
      <c r="W66" s="0"/>
      <c r="X66" s="0"/>
      <c r="Y66" s="4" t="n">
        <f aca="false" t="array" ref="Y66:Y66">SUM(Capacity!AS$3:AS$25*Capacity!$DI9/(TRANSPOSE(Dists!$B8:$X8)*MMULT(1/Dists!$B8:$X8,Capacity!$DI$3:$DI$25)))</f>
        <v>285.328175121363</v>
      </c>
      <c r="Z66" s="4" t="n">
        <f aca="false" t="array" ref="Z66:Z66">SUM(Capacity!AT$3:AT$25*Capacity!$DH9/(TRANSPOSE(Dists!$B8:$X8)*MMULT(1/Dists!$B8:$X8,Capacity!$DH$3:$DH$25)))</f>
        <v>415511.913844828</v>
      </c>
      <c r="AA66" s="4" t="n">
        <f aca="false" t="array" ref="AA66:AA66">SUM(Capacity!AU$3:AU$25*Capacity!$DI9/(TRANSPOSE(Dists!$B8:$X8)*MMULT(1/Dists!$B8:$X8,Capacity!$DI$3:$DI$25)))</f>
        <v>17927.8433266847</v>
      </c>
      <c r="AB66" s="4" t="n">
        <f aca="false" t="array" ref="AB66:AB66">SUM(Capacity!AV$3:AV$25*Capacity!$DI9/(TRANSPOSE(Dists!$B8:$X8)*MMULT(1/Dists!$B8:$X8,Capacity!$DI$3:$DI$25)))</f>
        <v>7469.93471945197</v>
      </c>
      <c r="AC66" s="4" t="n">
        <f aca="false" t="array" ref="AC66:AC66">SUM(Capacity!AW$3:AW$25*Capacity!$DH9/(TRANSPOSE(Dists!$B8:$X8)*MMULT(1/Dists!$B8:$X8,Capacity!$DH$3:$DH$25)))</f>
        <v>397.242137998203</v>
      </c>
      <c r="AD66" s="4" t="n">
        <f aca="false" t="array" ref="AD66:AD66">SUM(Capacity!AX$3:AX$25*Capacity!$DI9/(TRANSPOSE(Dists!$B8:$X8)*MMULT(1/Dists!$B8:$X8,Capacity!$DI$3:$DI$25)))</f>
        <v>123.253922870957</v>
      </c>
      <c r="AE66" s="4" t="n">
        <f aca="false" t="array" ref="AE66:AE66">SUM(Capacity!AY$3:AY$25*Capacity!$DI9/(TRANSPOSE(Dists!$B8:$X8)*MMULT(1/Dists!$B8:$X8,Capacity!$DI$3:$DI$25)))</f>
        <v>86.0536479680866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4" t="n">
        <f aca="false" t="array" ref="AW66:AW66">SUM(Capacity!BQ$3:BQ$25*Capacity!$DH9/(TRANSPOSE(Dists!$B8:$X8)*MMULT(1/Dists!$B8:$X8,Capacity!$DH$3:$DH$25)))</f>
        <v>1369.6159909433</v>
      </c>
      <c r="AX66" s="0"/>
      <c r="AY66" s="4" t="n">
        <f aca="false" t="array" ref="AY66:AY66">SUM(Capacity!BS$3:BS$25*Capacity!$DH9/(TRANSPOSE(Dists!$B8:$X8)*MMULT(1/Dists!$B8:$X8,Capacity!$DH$3:$DH$25)))</f>
        <v>28.0474915708418</v>
      </c>
      <c r="AZ66" s="4" t="n">
        <f aca="false" t="array" ref="AZ66:AZ66">SUM(Capacity!BT$3:BT$25*Capacity!$DH9/(TRANSPOSE(Dists!$B8:$X8)*MMULT(1/Dists!$B8:$X8,Capacity!$DH$3:$DH$25)))</f>
        <v>39.4417850214963</v>
      </c>
      <c r="BA66" s="0"/>
      <c r="BB66" s="4" t="n">
        <f aca="false" t="array" ref="BB66:BB66">SUM(Capacity!BV$3:BV$25*Capacity!$DI9/(TRANSPOSE(Dists!$B8:$X8)*MMULT(1/Dists!$B8:$X8,Capacity!$DI$3:$DI$25)))</f>
        <v>301.187767888303</v>
      </c>
      <c r="BC66" s="4" t="n">
        <f aca="false" t="array" ref="BC66:BC66">SUM(Capacity!BW$3:BW$25*Capacity!$DI9/(TRANSPOSE(Dists!$B8:$X8)*MMULT(1/Dists!$B8:$X8,Capacity!$DI$3:$DI$25)))</f>
        <v>258.16094390426</v>
      </c>
      <c r="BD66" s="4" t="n">
        <f aca="false" t="array" ref="BD66:BD66">SUM(Capacity!BX$3:BX$25*Capacity!$DI9/(TRANSPOSE(Dists!$B8:$X8)*MMULT(1/Dists!$B8:$X8,Capacity!$DI$3:$DI$25)))</f>
        <v>129.08047195213</v>
      </c>
      <c r="BE66" s="4" t="n">
        <f aca="false" t="array" ref="BE66:BE66">SUM(Capacity!BY$3:BY$25*Capacity!$DI9/(TRANSPOSE(Dists!$B8:$X8)*MMULT(1/Dists!$B8:$X8,Capacity!$DI$3:$DI$25)))</f>
        <v>75.2969419720758</v>
      </c>
      <c r="BF66" s="4" t="n">
        <f aca="false" t="array" ref="BF66:BF66">SUM(Capacity!BZ$3:BZ$25*Capacity!$DH9/(TRANSPOSE(Dists!$B8:$X8)*MMULT(1/Dists!$B8:$X8,Capacity!$DH$3:$DH$25)))</f>
        <v>205442.398641495</v>
      </c>
      <c r="BG66" s="4" t="n">
        <f aca="false" t="array" ref="BG66:BG66">SUM(Capacity!CA$3:CA$25*Capacity!$DI9/(TRANSPOSE(Dists!$B8:$X8)*MMULT(1/Dists!$B8:$X8,Capacity!$DI$3:$DI$25)))</f>
        <v>6723.47911261339</v>
      </c>
      <c r="BH66" s="4" t="n">
        <f aca="false" t="array" ref="BH66:BH66">SUM(Capacity!CB$3:CB$25*Capacity!$DI9/(TRANSPOSE(Dists!$B8:$X8)*MMULT(1/Dists!$B8:$X8,Capacity!$DI$3:$DI$25)))</f>
        <v>9993.68318647006</v>
      </c>
      <c r="BI66" s="4" t="n">
        <f aca="false" t="array" ref="BI66:BI66">SUM(Capacity!CC$3:CC$25*Capacity!$DI9/(TRANSPOSE(Dists!$B8:$X8)*MMULT(1/Dists!$B8:$X8,Capacity!$DI$3:$DI$25)))</f>
        <v>17929.2776336357</v>
      </c>
      <c r="BJ66" s="0"/>
      <c r="BK66" s="4" t="n">
        <f aca="false" t="array" ref="BK66:BK66">SUM(Capacity!CE$3:CE$25*Capacity!$DI9/(TRANSPOSE(Dists!$B8:$X8)*MMULT(1/Dists!$B8:$X8,Capacity!$DI$3:$DI$25)))</f>
        <v>8964.63881681785</v>
      </c>
      <c r="BL66" s="0"/>
      <c r="BM66" s="0"/>
      <c r="BN66" s="4" t="n">
        <f aca="false" t="array" ref="BN66:BN66">SUM(Capacity!CH$3:CH$25*Capacity!$DH9/(TRANSPOSE(Dists!$B8:$X8)*MMULT(1/Dists!$B8:$X8,Capacity!$DH$3:$DH$25)))</f>
        <v>1133896.45124743</v>
      </c>
      <c r="BO66" s="4" t="n">
        <f aca="false" t="array" ref="BO66:BO66">SUM(Capacity!CI$3:CI$25*Capacity!$DH9/(TRANSPOSE(Dists!$B8:$X8)*MMULT(1/Dists!$B8:$X8,Capacity!$DH$3:$DH$25)))</f>
        <v>2267.79370580181</v>
      </c>
      <c r="BP66" s="4" t="n">
        <f aca="false" t="array" ref="BP66:BP66">SUM(Capacity!CJ$3:CJ$25*Capacity!$DH9/(TRANSPOSE(Dists!$B8:$X8)*MMULT(1/Dists!$B8:$X8,Capacity!$DH$3:$DH$25)))</f>
        <v>264575.839241503</v>
      </c>
      <c r="BQ66" s="4" t="n">
        <f aca="false" t="array" ref="BQ66:BQ66">SUM(Capacity!CK$3:CK$25*Capacity!$DH9/(TRANSPOSE(Dists!$B8:$X8)*MMULT(1/Dists!$B8:$X8,Capacity!$DH$3:$DH$25)))</f>
        <v>245677.565067461</v>
      </c>
      <c r="BR66" s="4" t="n">
        <f aca="false" t="array" ref="BR66:BR66">SUM(Capacity!CL$3:CL$25*Capacity!$DH9/(TRANSPOSE(Dists!$B8:$X8)*MMULT(1/Dists!$B8:$X8,Capacity!$DH$3:$DH$25)))</f>
        <v>755.931771878464</v>
      </c>
      <c r="BS66" s="4" t="n">
        <f aca="false" t="array" ref="BS66:BS66">SUM(Capacity!CM$3:CM$25*Capacity!$DH9/(TRANSPOSE(Dists!$B8:$X8)*MMULT(1/Dists!$B8:$X8,Capacity!$DH$3:$DH$25)))</f>
        <v>377.966288397626</v>
      </c>
      <c r="BT66" s="4" t="n">
        <f aca="false" t="array" ref="BT66:BT66">SUM(Capacity!CN$3:CN$25*Capacity!$DI9/(TRANSPOSE(Dists!$B8:$X8)*MMULT(1/Dists!$B8:$X8,Capacity!$DI$3:$DI$25)))</f>
        <v>657354.255311773</v>
      </c>
      <c r="BU66" s="4" t="n">
        <f aca="false" t="array" ref="BU66:BU66">SUM(Capacity!CO$3:CO$25*Capacity!$DI9/(TRANSPOSE(Dists!$B8:$X8)*MMULT(1/Dists!$B8:$X8,Capacity!$DI$3:$DI$25)))</f>
        <v>71711.3733067389</v>
      </c>
      <c r="BV66" s="4" t="n">
        <f aca="false" t="array" ref="BV66:BV66">SUM(Capacity!CP$3:CP$25*Capacity!$DI9/(TRANSPOSE(Dists!$B8:$X8)*MMULT(1/Dists!$B8:$X8,Capacity!$DI$3:$DI$25)))</f>
        <v>8366.3268857862</v>
      </c>
      <c r="BW66" s="0"/>
      <c r="BX66" s="0"/>
      <c r="BY66" s="0"/>
      <c r="BZ66" s="0"/>
      <c r="CA66" s="0"/>
      <c r="CB66" s="0"/>
      <c r="CC66" s="0"/>
      <c r="CE66" s="4" t="n">
        <f aca="false" t="array" ref="CE66:CE66">SUM(Capacity!CY$3:CY$25*Capacity!$DH9/(TRANSPOSE(Dists!$B8:$X8)*MMULT(1/Dists!$B8:$X8,Capacity!$DH$3:$DH$25)))</f>
        <v>256.802998301868</v>
      </c>
      <c r="CG66" s="0"/>
      <c r="CH66" s="0"/>
      <c r="CI66" s="0"/>
      <c r="CJ66" s="0"/>
      <c r="CK66" s="0"/>
    </row>
    <row r="67" customFormat="false" ht="12.8" hidden="false" customHeight="false" outlineLevel="0" collapsed="false">
      <c r="A67" s="4" t="s">
        <v>142</v>
      </c>
      <c r="B67" s="7" t="s">
        <v>39</v>
      </c>
      <c r="C67" s="4" t="n">
        <f aca="false" t="array" ref="C67:C67">SUM(Capacity!S$3:S$25*Capacity!$DH10/(TRANSPOSE(Dists!$B9:$X9)*MMULT(1/Dists!$B9:$X9,Capacity!$DH$3:$DH$25)))</f>
        <v>7702.2402567443</v>
      </c>
      <c r="D67" s="4" t="n">
        <f aca="false" t="array" ref="D67:D67">SUM(Capacity!V$3:V$25*Capacity!$DH10/(TRANSPOSE(Dists!$B9:$X9)*MMULT(1/Dists!$B9:$X9,Capacity!$DH$3:$DH$25)))</f>
        <v>9518.49195887202</v>
      </c>
      <c r="E67" s="4" t="n">
        <f aca="false" t="array" ref="E67:E67">SUM(Capacity!Y$3:Y$25*Capacity!$DH10/(TRANSPOSE(Dists!$B9:$X9)*MMULT(1/Dists!$B9:$X9,Capacity!$DH$3:$DH$25)))</f>
        <v>12874.7236809685</v>
      </c>
      <c r="F67" s="4" t="n">
        <f aca="false" t="array" ref="F67:F67">SUM(Capacity!Z$3:Z$25*Capacity!$DH10/(TRANSPOSE(Dists!$B9:$X9)*MMULT(1/Dists!$B9:$X9,Capacity!$DH$3:$DH$25)))</f>
        <v>5139.22775180615</v>
      </c>
      <c r="G67" s="4" t="n">
        <f aca="false" t="array" ref="G67:G67">SUM(Capacity!AA$3:AA$25*Capacity!$DH10/(TRANSPOSE(Dists!$B9:$X9)*MMULT(1/Dists!$B9:$X9,Capacity!$DH$3:$DH$25)))</f>
        <v>63835.6127204984</v>
      </c>
      <c r="H67" s="4" t="n">
        <f aca="false" t="array" ref="H67:H67">SUM(Capacity!AB$3:AB$25*Capacity!$DI10/(TRANSPOSE(Dists!$B9:$X9)*MMULT(1/Dists!$B9:$X9,Capacity!$DI$3:$DI$25)))</f>
        <v>1758.99936850389</v>
      </c>
      <c r="I67" s="0"/>
      <c r="J67" s="0"/>
      <c r="K67" s="0"/>
      <c r="L67" s="0"/>
      <c r="M67" s="0"/>
      <c r="N67" s="4" t="n">
        <f aca="false" t="array" ref="N67:N67">SUM(Capacity!AH$3:AH$25*Capacity!$DH10/(TRANSPOSE(Dists!$B9:$X9)*MMULT(1/Dists!$B9:$X9,Capacity!$DH$3:$DH$25)))</f>
        <v>83320.4851596119</v>
      </c>
      <c r="O67" s="0"/>
      <c r="U67" s="0"/>
      <c r="V67" s="0"/>
      <c r="W67" s="0"/>
      <c r="X67" s="0"/>
      <c r="Y67" s="4" t="n">
        <f aca="false" t="array" ref="Y67:Y67">SUM(Capacity!AS$3:AS$25*Capacity!$DI10/(TRANSPOSE(Dists!$B9:$X9)*MMULT(1/Dists!$B9:$X9,Capacity!$DI$3:$DI$25)))</f>
        <v>215.0315841381</v>
      </c>
      <c r="Z67" s="4" t="n">
        <f aca="false" t="array" ref="Z67:Z67">SUM(Capacity!AT$3:AT$25*Capacity!$DH10/(TRANSPOSE(Dists!$B9:$X9)*MMULT(1/Dists!$B9:$X9,Capacity!$DH$3:$DH$25)))</f>
        <v>448437.521292667</v>
      </c>
      <c r="AA67" s="4" t="n">
        <f aca="false" t="array" ref="AA67:AA67">SUM(Capacity!AU$3:AU$25*Capacity!$DI10/(TRANSPOSE(Dists!$B9:$X9)*MMULT(1/Dists!$B9:$X9,Capacity!$DI$3:$DI$25)))</f>
        <v>14937.4429714996</v>
      </c>
      <c r="AB67" s="4" t="n">
        <f aca="false" t="array" ref="AB67:AB67">SUM(Capacity!AV$3:AV$25*Capacity!$DI10/(TRANSPOSE(Dists!$B9:$X9)*MMULT(1/Dists!$B9:$X9,Capacity!$DI$3:$DI$25)))</f>
        <v>6223.93457145818</v>
      </c>
      <c r="AC67" s="4" t="n">
        <f aca="false" t="array" ref="AC67:AC67">SUM(Capacity!AW$3:AW$25*Capacity!$DH10/(TRANSPOSE(Dists!$B9:$X9)*MMULT(1/Dists!$B9:$X9,Capacity!$DH$3:$DH$25)))</f>
        <v>473.867113070049</v>
      </c>
      <c r="AD67" s="4" t="n">
        <f aca="false" t="array" ref="AD67:AD67">SUM(Capacity!AX$3:AX$25*Capacity!$DI10/(TRANSPOSE(Dists!$B9:$X9)*MMULT(1/Dists!$B9:$X9,Capacity!$DI$3:$DI$25)))</f>
        <v>102.69492042906</v>
      </c>
      <c r="AE67" s="4" t="n">
        <f aca="false" t="array" ref="AE67:AE67">SUM(Capacity!AY$3:AY$25*Capacity!$DI10/(TRANSPOSE(Dists!$B9:$X9)*MMULT(1/Dists!$B9:$X9,Capacity!$DI$3:$DI$25)))</f>
        <v>71.6997262631982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4" t="n">
        <f aca="false" t="array" ref="AW67:AW67">SUM(Capacity!BQ$3:BQ$25*Capacity!$DH10/(TRANSPOSE(Dists!$B9:$X9)*MMULT(1/Dists!$B9:$X9,Capacity!$DH$3:$DH$25)))</f>
        <v>1633.80445718428</v>
      </c>
      <c r="AX67" s="0"/>
      <c r="AY67" s="4" t="n">
        <f aca="false" t="array" ref="AY67:AY67">SUM(Capacity!BS$3:BS$25*Capacity!$DH10/(TRANSPOSE(Dists!$B9:$X9)*MMULT(1/Dists!$B9:$X9,Capacity!$DH$3:$DH$25)))</f>
        <v>38.6168291791208</v>
      </c>
      <c r="AZ67" s="4" t="n">
        <f aca="false" t="array" ref="AZ67:AZ67">SUM(Capacity!BT$3:BT$25*Capacity!$DH10/(TRANSPOSE(Dists!$B9:$X9)*MMULT(1/Dists!$B9:$X9,Capacity!$DH$3:$DH$25)))</f>
        <v>54.3049160331386</v>
      </c>
      <c r="BA67" s="0"/>
      <c r="BB67" s="4" t="n">
        <f aca="false" t="array" ref="BB67:BB67">SUM(Capacity!BV$3:BV$25*Capacity!$DI10/(TRANSPOSE(Dists!$B9:$X9)*MMULT(1/Dists!$B9:$X9,Capacity!$DI$3:$DI$25)))</f>
        <v>250.949041921194</v>
      </c>
      <c r="BC67" s="4" t="n">
        <f aca="false" t="array" ref="BC67:BC67">SUM(Capacity!BW$3:BW$25*Capacity!$DI10/(TRANSPOSE(Dists!$B9:$X9)*MMULT(1/Dists!$B9:$X9,Capacity!$DI$3:$DI$25)))</f>
        <v>215.099178789595</v>
      </c>
      <c r="BD67" s="4" t="n">
        <f aca="false" t="array" ref="BD67:BD67">SUM(Capacity!BX$3:BX$25*Capacity!$DI10/(TRANSPOSE(Dists!$B9:$X9)*MMULT(1/Dists!$B9:$X9,Capacity!$DI$3:$DI$25)))</f>
        <v>107.549589394797</v>
      </c>
      <c r="BE67" s="4" t="n">
        <f aca="false" t="array" ref="BE67:BE67">SUM(Capacity!BY$3:BY$25*Capacity!$DI10/(TRANSPOSE(Dists!$B9:$X9)*MMULT(1/Dists!$B9:$X9,Capacity!$DI$3:$DI$25)))</f>
        <v>62.7372604802985</v>
      </c>
      <c r="BF67" s="4" t="n">
        <f aca="false" t="array" ref="BF67:BF67">SUM(Capacity!BZ$3:BZ$25*Capacity!$DH10/(TRANSPOSE(Dists!$B9:$X9)*MMULT(1/Dists!$B9:$X9,Capacity!$DH$3:$DH$25)))</f>
        <v>245070.668577642</v>
      </c>
      <c r="BG67" s="4" t="n">
        <f aca="false" t="array" ref="BG67:BG67">SUM(Capacity!CA$3:CA$25*Capacity!$DI10/(TRANSPOSE(Dists!$B9:$X9)*MMULT(1/Dists!$B9:$X9,Capacity!$DI$3:$DI$25)))</f>
        <v>4853.56606796883</v>
      </c>
      <c r="BH67" s="4" t="n">
        <f aca="false" t="array" ref="BH67:BH67">SUM(Capacity!CB$3:CB$25*Capacity!$DI10/(TRANSPOSE(Dists!$B9:$X9)*MMULT(1/Dists!$B9:$X9,Capacity!$DI$3:$DI$25)))</f>
        <v>6948.90879326398</v>
      </c>
      <c r="BI67" s="4" t="n">
        <f aca="false" t="array" ref="BI67:BI67">SUM(Capacity!CC$3:CC$25*Capacity!$DI10/(TRANSPOSE(Dists!$B9:$X9)*MMULT(1/Dists!$B9:$X9,Capacity!$DI$3:$DI$25)))</f>
        <v>12942.8428479169</v>
      </c>
      <c r="BJ67" s="0"/>
      <c r="BK67" s="4" t="n">
        <f aca="false" t="array" ref="BK67:BK67">SUM(Capacity!CE$3:CE$25*Capacity!$DI10/(TRANSPOSE(Dists!$B9:$X9)*MMULT(1/Dists!$B9:$X9,Capacity!$DI$3:$DI$25)))</f>
        <v>6471.42142395844</v>
      </c>
      <c r="BL67" s="0"/>
      <c r="BM67" s="0"/>
      <c r="BN67" s="4" t="n">
        <f aca="false" t="array" ref="BN67:BN67">SUM(Capacity!CH$3:CH$25*Capacity!$DH10/(TRANSPOSE(Dists!$B9:$X9)*MMULT(1/Dists!$B9:$X9,Capacity!$DH$3:$DH$25)))</f>
        <v>5226441.65710163</v>
      </c>
      <c r="BO67" s="4" t="n">
        <f aca="false" t="array" ref="BO67:BO67">SUM(Capacity!CI$3:CI$25*Capacity!$DH10/(TRANSPOSE(Dists!$B9:$X9)*MMULT(1/Dists!$B9:$X9,Capacity!$DH$3:$DH$25)))</f>
        <v>10452.8840844375</v>
      </c>
      <c r="BP67" s="4" t="n">
        <f aca="false" t="array" ref="BP67:BP67">SUM(Capacity!CJ$3:CJ$25*Capacity!$DH10/(TRANSPOSE(Dists!$B9:$X9)*MMULT(1/Dists!$B9:$X9,Capacity!$DH$3:$DH$25)))</f>
        <v>1219503.05391541</v>
      </c>
      <c r="BQ67" s="4" t="n">
        <f aca="false" t="array" ref="BQ67:BQ67">SUM(Capacity!CK$3:CK$25*Capacity!$DH10/(TRANSPOSE(Dists!$B9:$X9)*MMULT(1/Dists!$B9:$X9,Capacity!$DH$3:$DH$25)))</f>
        <v>1132395.69297658</v>
      </c>
      <c r="BR67" s="4" t="n">
        <f aca="false" t="array" ref="BR67:BR67">SUM(Capacity!CL$3:CL$25*Capacity!$DH10/(TRANSPOSE(Dists!$B9:$X9)*MMULT(1/Dists!$B9:$X9,Capacity!$DH$3:$DH$25)))</f>
        <v>3484.295209331</v>
      </c>
      <c r="BS67" s="4" t="n">
        <f aca="false" t="array" ref="BS67:BS67">SUM(Capacity!CM$3:CM$25*Capacity!$DH10/(TRANSPOSE(Dists!$B9:$X9)*MMULT(1/Dists!$B9:$X9,Capacity!$DH$3:$DH$25)))</f>
        <v>1742.14799055439</v>
      </c>
      <c r="BT67" s="4" t="n">
        <f aca="false" t="array" ref="BT67:BT67">SUM(Capacity!CN$3:CN$25*Capacity!$DI10/(TRANSPOSE(Dists!$B9:$X9)*MMULT(1/Dists!$B9:$X9,Capacity!$DI$3:$DI$25)))</f>
        <v>547706.24228832</v>
      </c>
      <c r="BU67" s="4" t="n">
        <f aca="false" t="array" ref="BU67:BU67">SUM(Capacity!CO$3:CO$25*Capacity!$DI10/(TRANSPOSE(Dists!$B9:$X9)*MMULT(1/Dists!$B9:$X9,Capacity!$DI$3:$DI$25)))</f>
        <v>59749.7718859986</v>
      </c>
      <c r="BV67" s="4" t="n">
        <f aca="false" t="array" ref="BV67:BV67">SUM(Capacity!CP$3:CP$25*Capacity!$DI10/(TRANSPOSE(Dists!$B9:$X9)*MMULT(1/Dists!$B9:$X9,Capacity!$DI$3:$DI$25)))</f>
        <v>6970.80672003317</v>
      </c>
      <c r="BW67" s="0"/>
      <c r="BX67" s="0"/>
      <c r="BY67" s="0"/>
      <c r="BZ67" s="0"/>
      <c r="CA67" s="0"/>
      <c r="CB67" s="0"/>
      <c r="CC67" s="0"/>
      <c r="CE67" s="4" t="n">
        <f aca="false" t="array" ref="CE67:CE67">SUM(Capacity!CY$3:CY$25*Capacity!$DH10/(TRANSPOSE(Dists!$B9:$X9)*MMULT(1/Dists!$B9:$X9,Capacity!$DH$3:$DH$25)))</f>
        <v>306.338335722052</v>
      </c>
      <c r="CG67" s="0"/>
      <c r="CH67" s="0"/>
      <c r="CI67" s="0"/>
      <c r="CJ67" s="0"/>
      <c r="CK67" s="0"/>
    </row>
    <row r="68" customFormat="false" ht="12.8" hidden="false" customHeight="false" outlineLevel="0" collapsed="false">
      <c r="A68" s="4" t="s">
        <v>143</v>
      </c>
      <c r="B68" s="7" t="s">
        <v>39</v>
      </c>
      <c r="C68" s="4" t="n">
        <f aca="false" t="array" ref="C68:C68">SUM(Capacity!S$3:S$25*Capacity!$DH11/(TRANSPOSE(Dists!$B10:$X10)*MMULT(1/Dists!$B10:$X10,Capacity!$DH$3:$DH$25)))</f>
        <v>6692.07149651663</v>
      </c>
      <c r="D68" s="4" t="n">
        <f aca="false" t="array" ref="D68:D68">SUM(Capacity!V$3:V$25*Capacity!$DH11/(TRANSPOSE(Dists!$B10:$X10)*MMULT(1/Dists!$B10:$X10,Capacity!$DH$3:$DH$25)))</f>
        <v>8494.04130798416</v>
      </c>
      <c r="E68" s="4" t="n">
        <f aca="false" t="array" ref="E68:E68">SUM(Capacity!Y$3:Y$25*Capacity!$DH11/(TRANSPOSE(Dists!$B10:$X10)*MMULT(1/Dists!$B10:$X10,Capacity!$DH$3:$DH$25)))</f>
        <v>10618.774475833</v>
      </c>
      <c r="F68" s="4" t="n">
        <f aca="false" t="array" ref="F68:F68">SUM(Capacity!Z$3:Z$25*Capacity!$DH11/(TRANSPOSE(Dists!$B10:$X10)*MMULT(1/Dists!$B10:$X10,Capacity!$DH$3:$DH$25)))</f>
        <v>4000.34705985152</v>
      </c>
      <c r="G68" s="4" t="n">
        <f aca="false" t="array" ref="G68:G68">SUM(Capacity!AA$3:AA$25*Capacity!$DH11/(TRANSPOSE(Dists!$B10:$X10)*MMULT(1/Dists!$B10:$X10,Capacity!$DH$3:$DH$25)))</f>
        <v>57298.7513297893</v>
      </c>
      <c r="H68" s="4" t="n">
        <f aca="false" t="array" ref="H68:H68">SUM(Capacity!AB$3:AB$25*Capacity!$DI11/(TRANSPOSE(Dists!$B10:$X10)*MMULT(1/Dists!$B10:$X10,Capacity!$DI$3:$DI$25)))</f>
        <v>3040.98187364796</v>
      </c>
      <c r="I68" s="0"/>
      <c r="J68" s="0"/>
      <c r="K68" s="0"/>
      <c r="L68" s="0"/>
      <c r="M68" s="0"/>
      <c r="N68" s="4" t="n">
        <f aca="false" t="array" ref="N68:N68">SUM(Capacity!AH$3:AH$25*Capacity!$DH11/(TRANSPOSE(Dists!$B10:$X10)*MMULT(1/Dists!$B10:$X10,Capacity!$DH$3:$DH$25)))</f>
        <v>74214.1432955622</v>
      </c>
      <c r="O68" s="0"/>
      <c r="U68" s="0"/>
      <c r="V68" s="0"/>
      <c r="W68" s="0"/>
      <c r="X68" s="0"/>
      <c r="Y68" s="4" t="n">
        <f aca="false" t="array" ref="Y68:Y68">SUM(Capacity!AS$3:AS$25*Capacity!$DI11/(TRANSPOSE(Dists!$B10:$X10)*MMULT(1/Dists!$B10:$X10,Capacity!$DI$3:$DI$25)))</f>
        <v>335.313943599175</v>
      </c>
      <c r="Z68" s="4" t="n">
        <f aca="false" t="array" ref="Z68:Z68">SUM(Capacity!AT$3:AT$25*Capacity!$DH11/(TRANSPOSE(Dists!$B10:$X10)*MMULT(1/Dists!$B10:$X10,Capacity!$DH$3:$DH$25)))</f>
        <v>402634.654021046</v>
      </c>
      <c r="AA68" s="4" t="n">
        <f aca="false" t="array" ref="AA68:AA68">SUM(Capacity!AU$3:AU$25*Capacity!$DI11/(TRANSPOSE(Dists!$B10:$X10)*MMULT(1/Dists!$B10:$X10,Capacity!$DI$3:$DI$25)))</f>
        <v>24769.1398045199</v>
      </c>
      <c r="AB68" s="4" t="n">
        <f aca="false" t="array" ref="AB68:AB68">SUM(Capacity!AV$3:AV$25*Capacity!$DI11/(TRANSPOSE(Dists!$B10:$X10)*MMULT(1/Dists!$B10:$X10,Capacity!$DI$3:$DI$25)))</f>
        <v>10320.4749185499</v>
      </c>
      <c r="AC68" s="4" t="n">
        <f aca="false" t="array" ref="AC68:AC68">SUM(Capacity!AW$3:AW$25*Capacity!$DH11/(TRANSPOSE(Dists!$B10:$X10)*MMULT(1/Dists!$B10:$X10,Capacity!$DH$3:$DH$25)))</f>
        <v>423.436406314279</v>
      </c>
      <c r="AD68" s="4" t="n">
        <f aca="false" t="array" ref="AD68:AD68">SUM(Capacity!AX$3:AX$25*Capacity!$DI11/(TRANSPOSE(Dists!$B10:$X10)*MMULT(1/Dists!$B10:$X10,Capacity!$DI$3:$DI$25)))</f>
        <v>170.287836156074</v>
      </c>
      <c r="AE68" s="4" t="n">
        <f aca="false" t="array" ref="AE68:AE68">SUM(Capacity!AY$3:AY$25*Capacity!$DI11/(TRANSPOSE(Dists!$B10:$X10)*MMULT(1/Dists!$B10:$X10,Capacity!$DI$3:$DI$25)))</f>
        <v>118.891871061695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4" t="n">
        <f aca="false" t="array" ref="AW68:AW68">SUM(Capacity!BQ$3:BQ$25*Capacity!$DH11/(TRANSPOSE(Dists!$B10:$X10)*MMULT(1/Dists!$B10:$X10,Capacity!$DH$3:$DH$25)))</f>
        <v>1459.92888911051</v>
      </c>
      <c r="AX68" s="0"/>
      <c r="AY68" s="4" t="n">
        <f aca="false" t="array" ref="AY68:AY68">SUM(Capacity!BS$3:BS$25*Capacity!$DH11/(TRANSPOSE(Dists!$B10:$X10)*MMULT(1/Dists!$B10:$X10,Capacity!$DH$3:$DH$25)))</f>
        <v>35.0034220675188</v>
      </c>
      <c r="AZ68" s="4" t="n">
        <f aca="false" t="array" ref="AZ68:AZ68">SUM(Capacity!BT$3:BT$25*Capacity!$DH11/(TRANSPOSE(Dists!$B10:$X10)*MMULT(1/Dists!$B10:$X10,Capacity!$DH$3:$DH$25)))</f>
        <v>49.2235622824484</v>
      </c>
      <c r="BA68" s="0"/>
      <c r="BB68" s="4" t="n">
        <f aca="false" t="array" ref="BB68:BB68">SUM(Capacity!BV$3:BV$25*Capacity!$DI11/(TRANSPOSE(Dists!$B10:$X10)*MMULT(1/Dists!$B10:$X10,Capacity!$DI$3:$DI$25)))</f>
        <v>416.121548715934</v>
      </c>
      <c r="BC68" s="4" t="n">
        <f aca="false" t="array" ref="BC68:BC68">SUM(Capacity!BW$3:BW$25*Capacity!$DI11/(TRANSPOSE(Dists!$B10:$X10)*MMULT(1/Dists!$B10:$X10,Capacity!$DI$3:$DI$25)))</f>
        <v>356.675613185086</v>
      </c>
      <c r="BD68" s="4" t="n">
        <f aca="false" t="array" ref="BD68:BD68">SUM(Capacity!BX$3:BX$25*Capacity!$DI11/(TRANSPOSE(Dists!$B10:$X10)*MMULT(1/Dists!$B10:$X10,Capacity!$DI$3:$DI$25)))</f>
        <v>178.337806592543</v>
      </c>
      <c r="BE68" s="4" t="n">
        <f aca="false" t="array" ref="BE68:BE68">SUM(Capacity!BY$3:BY$25*Capacity!$DI11/(TRANSPOSE(Dists!$B10:$X10)*MMULT(1/Dists!$B10:$X10,Capacity!$DI$3:$DI$25)))</f>
        <v>104.030387178983</v>
      </c>
      <c r="BF68" s="4" t="n">
        <f aca="false" t="array" ref="BF68:BF68">SUM(Capacity!BZ$3:BZ$25*Capacity!$DH11/(TRANSPOSE(Dists!$B10:$X10)*MMULT(1/Dists!$B10:$X10,Capacity!$DH$3:$DH$25)))</f>
        <v>218989.333366577</v>
      </c>
      <c r="BG68" s="4" t="n">
        <f aca="false" t="array" ref="BG68:BG68">SUM(Capacity!CA$3:CA$25*Capacity!$DI11/(TRANSPOSE(Dists!$B10:$X10)*MMULT(1/Dists!$B10:$X10,Capacity!$DI$3:$DI$25)))</f>
        <v>7934.02093811565</v>
      </c>
      <c r="BH68" s="4" t="n">
        <f aca="false" t="array" ref="BH68:BH68">SUM(Capacity!CB$3:CB$25*Capacity!$DI11/(TRANSPOSE(Dists!$B10:$X10)*MMULT(1/Dists!$B10:$X10,Capacity!$DI$3:$DI$25)))</f>
        <v>11647.7965001828</v>
      </c>
      <c r="BI68" s="4" t="n">
        <f aca="false" t="array" ref="BI68:BI68">SUM(Capacity!CC$3:CC$25*Capacity!$DI11/(TRANSPOSE(Dists!$B10:$X10)*MMULT(1/Dists!$B10:$X10,Capacity!$DI$3:$DI$25)))</f>
        <v>21157.3891683084</v>
      </c>
      <c r="BJ68" s="0"/>
      <c r="BK68" s="4" t="n">
        <f aca="false" t="array" ref="BK68:BK68">SUM(Capacity!CE$3:CE$25*Capacity!$DI11/(TRANSPOSE(Dists!$B10:$X10)*MMULT(1/Dists!$B10:$X10,Capacity!$DI$3:$DI$25)))</f>
        <v>10578.6945841542</v>
      </c>
      <c r="BL68" s="0"/>
      <c r="BM68" s="0"/>
      <c r="BN68" s="4" t="n">
        <f aca="false" t="array" ref="BN68:BN68">SUM(Capacity!CH$3:CH$25*Capacity!$DH11/(TRANSPOSE(Dists!$B10:$X10)*MMULT(1/Dists!$B10:$X10,Capacity!$DH$3:$DH$25)))</f>
        <v>2908292.13090707</v>
      </c>
      <c r="BO68" s="4" t="n">
        <f aca="false" t="array" ref="BO68:BO68">SUM(Capacity!CI$3:CI$25*Capacity!$DH11/(TRANSPOSE(Dists!$B10:$X10)*MMULT(1/Dists!$B10:$X10,Capacity!$DH$3:$DH$25)))</f>
        <v>5816.58495486354</v>
      </c>
      <c r="BP68" s="4" t="n">
        <f aca="false" t="array" ref="BP68:BP68">SUM(Capacity!CJ$3:CJ$25*Capacity!$DH11/(TRANSPOSE(Dists!$B10:$X10)*MMULT(1/Dists!$B10:$X10,Capacity!$DH$3:$DH$25)))</f>
        <v>678601.497744052</v>
      </c>
      <c r="BQ68" s="4" t="n">
        <f aca="false" t="array" ref="BQ68:BQ68">SUM(Capacity!CK$3:CK$25*Capacity!$DH11/(TRANSPOSE(Dists!$B10:$X10)*MMULT(1/Dists!$B10:$X10,Capacity!$DH$3:$DH$25)))</f>
        <v>630129.962240508</v>
      </c>
      <c r="BR68" s="4" t="n">
        <f aca="false" t="array" ref="BR68:BR68">SUM(Capacity!CL$3:CL$25*Capacity!$DH11/(TRANSPOSE(Dists!$B10:$X10)*MMULT(1/Dists!$B10:$X10,Capacity!$DH$3:$DH$25)))</f>
        <v>1938.86211458003</v>
      </c>
      <c r="BS68" s="4" t="n">
        <f aca="false" t="array" ref="BS68:BS68">SUM(Capacity!CM$3:CM$25*Capacity!$DH11/(TRANSPOSE(Dists!$B10:$X10)*MMULT(1/Dists!$B10:$X10,Capacity!$DH$3:$DH$25)))</f>
        <v>969.431404509153</v>
      </c>
      <c r="BT68" s="4" t="n">
        <f aca="false" t="array" ref="BT68:BT68">SUM(Capacity!CN$3:CN$25*Capacity!$DI11/(TRANSPOSE(Dists!$B10:$X10)*MMULT(1/Dists!$B10:$X10,Capacity!$DI$3:$DI$25)))</f>
        <v>908201.792832395</v>
      </c>
      <c r="BU68" s="4" t="n">
        <f aca="false" t="array" ref="BU68:BU68">SUM(Capacity!CO$3:CO$25*Capacity!$DI11/(TRANSPOSE(Dists!$B10:$X10)*MMULT(1/Dists!$B10:$X10,Capacity!$DI$3:$DI$25)))</f>
        <v>99076.5592180794</v>
      </c>
      <c r="BV68" s="4" t="n">
        <f aca="false" t="array" ref="BV68:BV68">SUM(Capacity!CP$3:CP$25*Capacity!$DI11/(TRANSPOSE(Dists!$B10:$X10)*MMULT(1/Dists!$B10:$X10,Capacity!$DI$3:$DI$25)))</f>
        <v>11558.9319087759</v>
      </c>
      <c r="BW68" s="0"/>
      <c r="BX68" s="0"/>
      <c r="BY68" s="0"/>
      <c r="BZ68" s="0"/>
      <c r="CA68" s="0"/>
      <c r="CB68" s="0"/>
      <c r="CC68" s="0"/>
      <c r="CE68" s="4" t="n">
        <f aca="false" t="array" ref="CE68:CE68">SUM(Capacity!CY$3:CY$25*Capacity!$DH11/(TRANSPOSE(Dists!$B10:$X10)*MMULT(1/Dists!$B10:$X10,Capacity!$DH$3:$DH$25)))</f>
        <v>273.736666708221</v>
      </c>
      <c r="CG68" s="0"/>
      <c r="CH68" s="0"/>
      <c r="CI68" s="0"/>
      <c r="CJ68" s="0"/>
      <c r="CK68" s="0"/>
    </row>
    <row r="69" customFormat="false" ht="12.8" hidden="false" customHeight="false" outlineLevel="0" collapsed="false">
      <c r="A69" s="4" t="s">
        <v>144</v>
      </c>
      <c r="B69" s="7" t="s">
        <v>39</v>
      </c>
      <c r="C69" s="4" t="n">
        <f aca="false" t="array" ref="C69:C69">SUM(Capacity!S$3:S$25*Capacity!$DH12/(TRANSPOSE(Dists!$B11:$X11)*MMULT(1/Dists!$B11:$X11,Capacity!$DH$3:$DH$25)))</f>
        <v>7742.44701652393</v>
      </c>
      <c r="D69" s="4" t="n">
        <f aca="false" t="array" ref="D69:D69">SUM(Capacity!V$3:V$25*Capacity!$DH12/(TRANSPOSE(Dists!$B11:$X11)*MMULT(1/Dists!$B11:$X11,Capacity!$DH$3:$DH$25)))</f>
        <v>9631.92577104256</v>
      </c>
      <c r="E69" s="4" t="n">
        <f aca="false" t="array" ref="E69:E69">SUM(Capacity!Y$3:Y$25*Capacity!$DH12/(TRANSPOSE(Dists!$B11:$X11)*MMULT(1/Dists!$B11:$X11,Capacity!$DH$3:$DH$25)))</f>
        <v>12974.6016329791</v>
      </c>
      <c r="F69" s="4" t="n">
        <f aca="false" t="array" ref="F69:F69">SUM(Capacity!Z$3:Z$25*Capacity!$DH12/(TRANSPOSE(Dists!$B11:$X11)*MMULT(1/Dists!$B11:$X11,Capacity!$DH$3:$DH$25)))</f>
        <v>5192.82023477652</v>
      </c>
      <c r="G69" s="4" t="n">
        <f aca="false" t="array" ref="G69:G69">SUM(Capacity!AA$3:AA$25*Capacity!$DH12/(TRANSPOSE(Dists!$B11:$X11)*MMULT(1/Dists!$B11:$X11,Capacity!$DH$3:$DH$25)))</f>
        <v>64691.3391928787</v>
      </c>
      <c r="H69" s="4" t="n">
        <f aca="false" t="array" ref="H69:H69">SUM(Capacity!AB$3:AB$25*Capacity!$DI12/(TRANSPOSE(Dists!$B11:$X11)*MMULT(1/Dists!$B11:$X11,Capacity!$DI$3:$DI$25)))</f>
        <v>1699.10294223128</v>
      </c>
      <c r="I69" s="0"/>
      <c r="J69" s="0"/>
      <c r="K69" s="0"/>
      <c r="L69" s="0"/>
      <c r="M69" s="0"/>
      <c r="N69" s="4" t="n">
        <f aca="false" t="array" ref="N69:N69">SUM(Capacity!AH$3:AH$25*Capacity!$DH12/(TRANSPOSE(Dists!$B11:$X11)*MMULT(1/Dists!$B11:$X11,Capacity!$DH$3:$DH$25)))</f>
        <v>82916.4963309</v>
      </c>
      <c r="O69" s="0"/>
      <c r="U69" s="0"/>
      <c r="V69" s="0"/>
      <c r="W69" s="0"/>
      <c r="X69" s="0"/>
      <c r="Y69" s="4" t="n">
        <f aca="false" t="array" ref="Y69:Y69">SUM(Capacity!AS$3:AS$25*Capacity!$DI12/(TRANSPOSE(Dists!$B11:$X11)*MMULT(1/Dists!$B11:$X11,Capacity!$DI$3:$DI$25)))</f>
        <v>216.545001906301</v>
      </c>
      <c r="Z69" s="4" t="n">
        <f aca="false" t="array" ref="Z69:Z69">SUM(Capacity!AT$3:AT$25*Capacity!$DH12/(TRANSPOSE(Dists!$B11:$X11)*MMULT(1/Dists!$B11:$X11,Capacity!$DH$3:$DH$25)))</f>
        <v>427940.871914253</v>
      </c>
      <c r="AA69" s="4" t="n">
        <f aca="false" t="array" ref="AA69:AA69">SUM(Capacity!AU$3:AU$25*Capacity!$DI12/(TRANSPOSE(Dists!$B11:$X11)*MMULT(1/Dists!$B11:$X11,Capacity!$DI$3:$DI$25)))</f>
        <v>15265.3339490064</v>
      </c>
      <c r="AB69" s="4" t="n">
        <f aca="false" t="array" ref="AB69:AB69">SUM(Capacity!AV$3:AV$25*Capacity!$DI12/(TRANSPOSE(Dists!$B11:$X11)*MMULT(1/Dists!$B11:$X11,Capacity!$DI$3:$DI$25)))</f>
        <v>6360.555812086</v>
      </c>
      <c r="AC69" s="4" t="n">
        <f aca="false" t="array" ref="AC69:AC69">SUM(Capacity!AW$3:AW$25*Capacity!$DH12/(TRANSPOSE(Dists!$B11:$X11)*MMULT(1/Dists!$B11:$X11,Capacity!$DH$3:$DH$25)))</f>
        <v>484.064719972954</v>
      </c>
      <c r="AD69" s="4" t="n">
        <f aca="false" t="array" ref="AD69:AD69">SUM(Capacity!AX$3:AX$25*Capacity!$DI12/(TRANSPOSE(Dists!$B11:$X11)*MMULT(1/Dists!$B11:$X11,Capacity!$DI$3:$DI$25)))</f>
        <v>104.949170899419</v>
      </c>
      <c r="AE69" s="4" t="n">
        <f aca="false" t="array" ref="AE69:AE69">SUM(Capacity!AY$3:AY$25*Capacity!$DI12/(TRANSPOSE(Dists!$B11:$X11)*MMULT(1/Dists!$B11:$X11,Capacity!$DI$3:$DI$25)))</f>
        <v>73.2736029552307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4" t="n">
        <f aca="false" t="array" ref="AW69:AW69">SUM(Capacity!BQ$3:BQ$25*Capacity!$DH12/(TRANSPOSE(Dists!$B11:$X11)*MMULT(1/Dists!$B11:$X11,Capacity!$DH$3:$DH$25)))</f>
        <v>1668.96388300439</v>
      </c>
      <c r="AX69" s="0"/>
      <c r="AY69" s="4" t="n">
        <f aca="false" t="array" ref="AY69:AY69">SUM(Capacity!BS$3:BS$25*Capacity!$DH12/(TRANSPOSE(Dists!$B11:$X11)*MMULT(1/Dists!$B11:$X11,Capacity!$DH$3:$DH$25)))</f>
        <v>39.6352497448068</v>
      </c>
      <c r="AZ69" s="4" t="n">
        <f aca="false" t="array" ref="AZ69:AZ69">SUM(Capacity!BT$3:BT$25*Capacity!$DH12/(TRANSPOSE(Dists!$B11:$X11)*MMULT(1/Dists!$B11:$X11,Capacity!$DH$3:$DH$25)))</f>
        <v>55.7370699536346</v>
      </c>
      <c r="BA69" s="0"/>
      <c r="BB69" s="4" t="n">
        <f aca="false" t="array" ref="BB69:BB69">SUM(Capacity!BV$3:BV$25*Capacity!$DI12/(TRANSPOSE(Dists!$B11:$X11)*MMULT(1/Dists!$B11:$X11,Capacity!$DI$3:$DI$25)))</f>
        <v>256.457610343308</v>
      </c>
      <c r="BC69" s="4" t="n">
        <f aca="false" t="array" ref="BC69:BC69">SUM(Capacity!BW$3:BW$25*Capacity!$DI12/(TRANSPOSE(Dists!$B11:$X11)*MMULT(1/Dists!$B11:$X11,Capacity!$DI$3:$DI$25)))</f>
        <v>219.820808865692</v>
      </c>
      <c r="BD69" s="4" t="n">
        <f aca="false" t="array" ref="BD69:BD69">SUM(Capacity!BX$3:BX$25*Capacity!$DI12/(TRANSPOSE(Dists!$B11:$X11)*MMULT(1/Dists!$B11:$X11,Capacity!$DI$3:$DI$25)))</f>
        <v>109.910404432846</v>
      </c>
      <c r="BE69" s="4" t="n">
        <f aca="false" t="array" ref="BE69:BE69">SUM(Capacity!BY$3:BY$25*Capacity!$DI12/(TRANSPOSE(Dists!$B11:$X11)*MMULT(1/Dists!$B11:$X11,Capacity!$DI$3:$DI$25)))</f>
        <v>64.1144025858269</v>
      </c>
      <c r="BF69" s="4" t="n">
        <f aca="false" t="array" ref="BF69:BF69">SUM(Capacity!BZ$3:BZ$25*Capacity!$DH12/(TRANSPOSE(Dists!$B11:$X11)*MMULT(1/Dists!$B11:$X11,Capacity!$DH$3:$DH$25)))</f>
        <v>250344.582450659</v>
      </c>
      <c r="BG69" s="4" t="n">
        <f aca="false" t="array" ref="BG69:BG69">SUM(Capacity!CA$3:CA$25*Capacity!$DI12/(TRANSPOSE(Dists!$B11:$X11)*MMULT(1/Dists!$B11:$X11,Capacity!$DI$3:$DI$25)))</f>
        <v>4936.65604015657</v>
      </c>
      <c r="BH69" s="4" t="n">
        <f aca="false" t="array" ref="BH69:BH69">SUM(Capacity!CB$3:CB$25*Capacity!$DI12/(TRANSPOSE(Dists!$B11:$X11)*MMULT(1/Dists!$B11:$X11,Capacity!$DI$3:$DI$25)))</f>
        <v>7281.97641707322</v>
      </c>
      <c r="BI69" s="4" t="n">
        <f aca="false" t="array" ref="BI69:BI69">SUM(Capacity!CC$3:CC$25*Capacity!$DI12/(TRANSPOSE(Dists!$B11:$X11)*MMULT(1/Dists!$B11:$X11,Capacity!$DI$3:$DI$25)))</f>
        <v>13164.4161070842</v>
      </c>
      <c r="BJ69" s="0"/>
      <c r="BK69" s="4" t="n">
        <f aca="false" t="array" ref="BK69:BK69">SUM(Capacity!CE$3:CE$25*Capacity!$DI12/(TRANSPOSE(Dists!$B11:$X11)*MMULT(1/Dists!$B11:$X11,Capacity!$DI$3:$DI$25)))</f>
        <v>6582.20805354209</v>
      </c>
      <c r="BL69" s="0"/>
      <c r="BM69" s="0"/>
      <c r="BN69" s="4" t="n">
        <f aca="false" t="array" ref="BN69:BN69">SUM(Capacity!CH$3:CH$25*Capacity!$DH12/(TRANSPOSE(Dists!$B11:$X11)*MMULT(1/Dists!$B11:$X11,Capacity!$DH$3:$DH$25)))</f>
        <v>4282107.0146135</v>
      </c>
      <c r="BO69" s="4" t="n">
        <f aca="false" t="array" ref="BO69:BO69">SUM(Capacity!CI$3:CI$25*Capacity!$DH12/(TRANSPOSE(Dists!$B11:$X11)*MMULT(1/Dists!$B11:$X11,Capacity!$DH$3:$DH$25)))</f>
        <v>8564.21488960686</v>
      </c>
      <c r="BP69" s="4" t="n">
        <f aca="false" t="array" ref="BP69:BP69">SUM(Capacity!CJ$3:CJ$25*Capacity!$DH12/(TRANSPOSE(Dists!$B11:$X11)*MMULT(1/Dists!$B11:$X11,Capacity!$DH$3:$DH$25)))</f>
        <v>999158.304070763</v>
      </c>
      <c r="BQ69" s="4" t="n">
        <f aca="false" t="array" ref="BQ69:BQ69">SUM(Capacity!CK$3:CK$25*Capacity!$DH12/(TRANSPOSE(Dists!$B11:$X11)*MMULT(1/Dists!$B11:$X11,Capacity!$DH$3:$DH$25)))</f>
        <v>927789.853841573</v>
      </c>
      <c r="BR69" s="4" t="n">
        <f aca="false" t="array" ref="BR69:BR69">SUM(Capacity!CL$3:CL$25*Capacity!$DH12/(TRANSPOSE(Dists!$B11:$X11)*MMULT(1/Dists!$B11:$X11,Capacity!$DH$3:$DH$25)))</f>
        <v>2854.73887127167</v>
      </c>
      <c r="BS69" s="4" t="n">
        <f aca="false" t="array" ref="BS69:BS69">SUM(Capacity!CM$3:CM$25*Capacity!$DH12/(TRANSPOSE(Dists!$B11:$X11)*MMULT(1/Dists!$B11:$X11,Capacity!$DH$3:$DH$25)))</f>
        <v>1427.36986668787</v>
      </c>
      <c r="BT69" s="4" t="n">
        <f aca="false" t="array" ref="BT69:BT69">SUM(Capacity!CN$3:CN$25*Capacity!$DI12/(TRANSPOSE(Dists!$B11:$X11)*MMULT(1/Dists!$B11:$X11,Capacity!$DI$3:$DI$25)))</f>
        <v>559728.911463568</v>
      </c>
      <c r="BU69" s="4" t="n">
        <f aca="false" t="array" ref="BU69:BU69">SUM(Capacity!CO$3:CO$25*Capacity!$DI12/(TRANSPOSE(Dists!$B11:$X11)*MMULT(1/Dists!$B11:$X11,Capacity!$DI$3:$DI$25)))</f>
        <v>61061.3357960256</v>
      </c>
      <c r="BV69" s="4" t="n">
        <f aca="false" t="array" ref="BV69:BV69">SUM(Capacity!CP$3:CP$25*Capacity!$DI12/(TRANSPOSE(Dists!$B11:$X11)*MMULT(1/Dists!$B11:$X11,Capacity!$DI$3:$DI$25)))</f>
        <v>7123.82250953632</v>
      </c>
      <c r="BW69" s="0"/>
      <c r="BX69" s="0"/>
      <c r="BY69" s="0"/>
      <c r="BZ69" s="0"/>
      <c r="CA69" s="0"/>
      <c r="CB69" s="0"/>
      <c r="CC69" s="0"/>
      <c r="CE69" s="4" t="n">
        <f aca="false" t="array" ref="CE69:CE69">SUM(Capacity!CY$3:CY$25*Capacity!$DH12/(TRANSPOSE(Dists!$B11:$X11)*MMULT(1/Dists!$B11:$X11,Capacity!$DH$3:$DH$25)))</f>
        <v>312.930728063324</v>
      </c>
      <c r="CG69" s="0"/>
      <c r="CH69" s="0"/>
      <c r="CI69" s="0"/>
      <c r="CJ69" s="0"/>
      <c r="CK69" s="0"/>
    </row>
    <row r="70" customFormat="false" ht="12.8" hidden="false" customHeight="false" outlineLevel="0" collapsed="false">
      <c r="A70" s="4" t="s">
        <v>145</v>
      </c>
      <c r="B70" s="7" t="s">
        <v>39</v>
      </c>
      <c r="C70" s="4" t="n">
        <f aca="false" t="array" ref="C70:C70">SUM(Capacity!S$3:S$25*Capacity!$DH13/(TRANSPOSE(Dists!$B12:$X12)*MMULT(1/Dists!$B12:$X12,Capacity!$DH$3:$DH$25)))</f>
        <v>4183.92297001103</v>
      </c>
      <c r="D70" s="4" t="n">
        <f aca="false" t="array" ref="D70:D70">SUM(Capacity!V$3:V$25*Capacity!$DH13/(TRANSPOSE(Dists!$B12:$X12)*MMULT(1/Dists!$B12:$X12,Capacity!$DH$3:$DH$25)))</f>
        <v>5085.52311112036</v>
      </c>
      <c r="E70" s="4" t="n">
        <f aca="false" t="array" ref="E70:E70">SUM(Capacity!Y$3:Y$25*Capacity!$DH13/(TRANSPOSE(Dists!$B12:$X12)*MMULT(1/Dists!$B12:$X12,Capacity!$DH$3:$DH$25)))</f>
        <v>7097.70692612744</v>
      </c>
      <c r="F70" s="4" t="n">
        <f aca="false" t="array" ref="F70:F70">SUM(Capacity!Z$3:Z$25*Capacity!$DH13/(TRANSPOSE(Dists!$B12:$X12)*MMULT(1/Dists!$B12:$X12,Capacity!$DH$3:$DH$25)))</f>
        <v>2876.91649305786</v>
      </c>
      <c r="G70" s="4" t="n">
        <f aca="false" t="array" ref="G70:G70">SUM(Capacity!AA$3:AA$25*Capacity!$DH13/(TRANSPOSE(Dists!$B12:$X12)*MMULT(1/Dists!$B12:$X12,Capacity!$DH$3:$DH$25)))</f>
        <v>33979.326768764</v>
      </c>
      <c r="H70" s="4" t="n">
        <f aca="false" t="array" ref="H70:H70">SUM(Capacity!AB$3:AB$25*Capacity!$DI13/(TRANSPOSE(Dists!$B12:$X12)*MMULT(1/Dists!$B12:$X12,Capacity!$DI$3:$DI$25)))</f>
        <v>1815.74814222131</v>
      </c>
      <c r="I70" s="0"/>
      <c r="J70" s="0"/>
      <c r="K70" s="0"/>
      <c r="L70" s="0"/>
      <c r="M70" s="0"/>
      <c r="N70" s="4" t="n">
        <f aca="false" t="array" ref="N70:N70">SUM(Capacity!AH$3:AH$25*Capacity!$DH13/(TRANSPOSE(Dists!$B12:$X12)*MMULT(1/Dists!$B12:$X12,Capacity!$DH$3:$DH$25)))</f>
        <v>44399.8959748719</v>
      </c>
      <c r="O70" s="0"/>
      <c r="U70" s="0"/>
      <c r="V70" s="0"/>
      <c r="W70" s="0"/>
      <c r="X70" s="0"/>
      <c r="Y70" s="4" t="n">
        <f aca="false" t="array" ref="Y70:Y70">SUM(Capacity!AS$3:AS$25*Capacity!$DI13/(TRANSPOSE(Dists!$B12:$X12)*MMULT(1/Dists!$B12:$X12,Capacity!$DI$3:$DI$25)))</f>
        <v>237.728337285884</v>
      </c>
      <c r="Z70" s="4" t="n">
        <f aca="false" t="array" ref="Z70:Z70">SUM(Capacity!AT$3:AT$25*Capacity!$DH13/(TRANSPOSE(Dists!$B12:$X12)*MMULT(1/Dists!$B12:$X12,Capacity!$DH$3:$DH$25)))</f>
        <v>247095.764330654</v>
      </c>
      <c r="AA70" s="4" t="n">
        <f aca="false" t="array" ref="AA70:AA70">SUM(Capacity!AU$3:AU$25*Capacity!$DI13/(TRANSPOSE(Dists!$B12:$X12)*MMULT(1/Dists!$B12:$X12,Capacity!$DI$3:$DI$25)))</f>
        <v>15286.2678869436</v>
      </c>
      <c r="AB70" s="4" t="n">
        <f aca="false" t="array" ref="AB70:AB70">SUM(Capacity!AV$3:AV$25*Capacity!$DI13/(TRANSPOSE(Dists!$B12:$X12)*MMULT(1/Dists!$B12:$X12,Capacity!$DI$3:$DI$25)))</f>
        <v>6369.27828622649</v>
      </c>
      <c r="AC70" s="4" t="n">
        <f aca="false" t="array" ref="AC70:AC70">SUM(Capacity!AW$3:AW$25*Capacity!$DH13/(TRANSPOSE(Dists!$B12:$X12)*MMULT(1/Dists!$B12:$X12,Capacity!$DH$3:$DH$25)))</f>
        <v>252.73644288244</v>
      </c>
      <c r="AD70" s="4" t="n">
        <f aca="false" t="array" ref="AD70:AD70">SUM(Capacity!AX$3:AX$25*Capacity!$DI13/(TRANSPOSE(Dists!$B12:$X12)*MMULT(1/Dists!$B12:$X12,Capacity!$DI$3:$DI$25)))</f>
        <v>105.093091722737</v>
      </c>
      <c r="AE70" s="4" t="n">
        <f aca="false" t="array" ref="AE70:AE70">SUM(Capacity!AY$3:AY$25*Capacity!$DI13/(TRANSPOSE(Dists!$B12:$X12)*MMULT(1/Dists!$B12:$X12,Capacity!$DI$3:$DI$25)))</f>
        <v>73.3740858573291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4" t="n">
        <f aca="false" t="array" ref="AW70:AW70">SUM(Capacity!BQ$3:BQ$25*Capacity!$DH13/(TRANSPOSE(Dists!$B12:$X12)*MMULT(1/Dists!$B12:$X12,Capacity!$DH$3:$DH$25)))</f>
        <v>871.38760104922</v>
      </c>
      <c r="AX70" s="0"/>
      <c r="AY70" s="4" t="n">
        <f aca="false" t="array" ref="AY70:AY70">SUM(Capacity!BS$3:BS$25*Capacity!$DH13/(TRANSPOSE(Dists!$B12:$X12)*MMULT(1/Dists!$B12:$X12,Capacity!$DH$3:$DH$25)))</f>
        <v>19.4179266851552</v>
      </c>
      <c r="AZ70" s="4" t="n">
        <f aca="false" t="array" ref="AZ70:AZ70">SUM(Capacity!BT$3:BT$25*Capacity!$DH13/(TRANSPOSE(Dists!$B12:$X12)*MMULT(1/Dists!$B12:$X12,Capacity!$DH$3:$DH$25)))</f>
        <v>27.3064594009995</v>
      </c>
      <c r="BA70" s="0"/>
      <c r="BB70" s="4" t="n">
        <f aca="false" t="array" ref="BB70:BB70">SUM(Capacity!BV$3:BV$25*Capacity!$DI13/(TRANSPOSE(Dists!$B12:$X12)*MMULT(1/Dists!$B12:$X12,Capacity!$DI$3:$DI$25)))</f>
        <v>256.809300500652</v>
      </c>
      <c r="BC70" s="4" t="n">
        <f aca="false" t="array" ref="BC70:BC70">SUM(Capacity!BW$3:BW$25*Capacity!$DI13/(TRANSPOSE(Dists!$B12:$X12)*MMULT(1/Dists!$B12:$X12,Capacity!$DI$3:$DI$25)))</f>
        <v>220.122257571987</v>
      </c>
      <c r="BD70" s="4" t="n">
        <f aca="false" t="array" ref="BD70:BD70">SUM(Capacity!BX$3:BX$25*Capacity!$DI13/(TRANSPOSE(Dists!$B12:$X12)*MMULT(1/Dists!$B12:$X12,Capacity!$DI$3:$DI$25)))</f>
        <v>110.061128785994</v>
      </c>
      <c r="BE70" s="4" t="n">
        <f aca="false" t="array" ref="BE70:BE70">SUM(Capacity!BY$3:BY$25*Capacity!$DI13/(TRANSPOSE(Dists!$B12:$X12)*MMULT(1/Dists!$B12:$X12,Capacity!$DI$3:$DI$25)))</f>
        <v>64.2023251251629</v>
      </c>
      <c r="BF70" s="4" t="n">
        <f aca="false" t="array" ref="BF70:BF70">SUM(Capacity!BZ$3:BZ$25*Capacity!$DH13/(TRANSPOSE(Dists!$B12:$X12)*MMULT(1/Dists!$B12:$X12,Capacity!$DH$3:$DH$25)))</f>
        <v>130708.140157383</v>
      </c>
      <c r="BG70" s="4" t="n">
        <f aca="false" t="array" ref="BG70:BG70">SUM(Capacity!CA$3:CA$25*Capacity!$DI13/(TRANSPOSE(Dists!$B12:$X12)*MMULT(1/Dists!$B12:$X12,Capacity!$DI$3:$DI$25)))</f>
        <v>5268.30858441972</v>
      </c>
      <c r="BH70" s="4" t="n">
        <f aca="false" t="array" ref="BH70:BH70">SUM(Capacity!CB$3:CB$25*Capacity!$DI13/(TRANSPOSE(Dists!$B12:$X12)*MMULT(1/Dists!$B12:$X12,Capacity!$DI$3:$DI$25)))</f>
        <v>7679.888291484</v>
      </c>
      <c r="BI70" s="4" t="n">
        <f aca="false" t="array" ref="BI70:BI70">SUM(Capacity!CC$3:CC$25*Capacity!$DI13/(TRANSPOSE(Dists!$B12:$X12)*MMULT(1/Dists!$B12:$X12,Capacity!$DI$3:$DI$25)))</f>
        <v>14048.8228917859</v>
      </c>
      <c r="BJ70" s="0"/>
      <c r="BK70" s="4" t="n">
        <f aca="false" t="array" ref="BK70:BK70">SUM(Capacity!CE$3:CE$25*Capacity!$DI13/(TRANSPOSE(Dists!$B12:$X12)*MMULT(1/Dists!$B12:$X12,Capacity!$DI$3:$DI$25)))</f>
        <v>7024.41144589296</v>
      </c>
      <c r="BL70" s="0"/>
      <c r="BM70" s="0"/>
      <c r="BN70" s="4" t="n">
        <f aca="false" t="array" ref="BN70:BN70">SUM(Capacity!CH$3:CH$25*Capacity!$DH13/(TRANSPOSE(Dists!$B12:$X12)*MMULT(1/Dists!$B12:$X12,Capacity!$DH$3:$DH$25)))</f>
        <v>2263641.52509947</v>
      </c>
      <c r="BO70" s="4" t="n">
        <f aca="false" t="array" ref="BO70:BO70">SUM(Capacity!CI$3:CI$25*Capacity!$DH13/(TRANSPOSE(Dists!$B12:$X12)*MMULT(1/Dists!$B12:$X12,Capacity!$DH$3:$DH$25)))</f>
        <v>4527.28355557416</v>
      </c>
      <c r="BP70" s="4" t="n">
        <f aca="false" t="array" ref="BP70:BP70">SUM(Capacity!CJ$3:CJ$25*Capacity!$DH13/(TRANSPOSE(Dists!$B12:$X12)*MMULT(1/Dists!$B12:$X12,Capacity!$DH$3:$DH$25)))</f>
        <v>528183.022911442</v>
      </c>
      <c r="BQ70" s="4" t="n">
        <f aca="false" t="array" ref="BQ70:BQ70">SUM(Capacity!CK$3:CK$25*Capacity!$DH13/(TRANSPOSE(Dists!$B12:$X12)*MMULT(1/Dists!$B12:$X12,Capacity!$DH$3:$DH$25)))</f>
        <v>490455.664168224</v>
      </c>
      <c r="BR70" s="4" t="n">
        <f aca="false" t="array" ref="BR70:BR70">SUM(Capacity!CL$3:CL$25*Capacity!$DH13/(TRANSPOSE(Dists!$B12:$X12)*MMULT(1/Dists!$B12:$X12,Capacity!$DH$3:$DH$25)))</f>
        <v>1509.09485611671</v>
      </c>
      <c r="BS70" s="4" t="n">
        <f aca="false" t="array" ref="BS70:BS70">SUM(Capacity!CM$3:CM$25*Capacity!$DH13/(TRANSPOSE(Dists!$B12:$X12)*MMULT(1/Dists!$B12:$X12,Capacity!$DH$3:$DH$25)))</f>
        <v>754.547681252343</v>
      </c>
      <c r="BT70" s="4" t="n">
        <f aca="false" t="array" ref="BT70:BT70">SUM(Capacity!CN$3:CN$25*Capacity!$DI13/(TRANSPOSE(Dists!$B12:$X12)*MMULT(1/Dists!$B12:$X12,Capacity!$DI$3:$DI$25)))</f>
        <v>560496.489187931</v>
      </c>
      <c r="BU70" s="4" t="n">
        <f aca="false" t="array" ref="BU70:BU70">SUM(Capacity!CO$3:CO$25*Capacity!$DI13/(TRANSPOSE(Dists!$B12:$X12)*MMULT(1/Dists!$B12:$X12,Capacity!$DI$3:$DI$25)))</f>
        <v>61145.0715477743</v>
      </c>
      <c r="BV70" s="4" t="n">
        <f aca="false" t="array" ref="BV70:BV70">SUM(Capacity!CP$3:CP$25*Capacity!$DI13/(TRANSPOSE(Dists!$B12:$X12)*MMULT(1/Dists!$B12:$X12,Capacity!$DI$3:$DI$25)))</f>
        <v>7133.59168057366</v>
      </c>
      <c r="BW70" s="0"/>
      <c r="BX70" s="0"/>
      <c r="BY70" s="0"/>
      <c r="BZ70" s="0"/>
      <c r="CA70" s="0"/>
      <c r="CB70" s="0"/>
      <c r="CC70" s="0"/>
      <c r="CE70" s="4" t="n">
        <f aca="false" t="array" ref="CE70:CE70">SUM(Capacity!CY$3:CY$25*Capacity!$DH13/(TRANSPOSE(Dists!$B12:$X12)*MMULT(1/Dists!$B12:$X12,Capacity!$DH$3:$DH$25)))</f>
        <v>163.385175196729</v>
      </c>
      <c r="CG70" s="0"/>
      <c r="CH70" s="0"/>
      <c r="CI70" s="0"/>
      <c r="CJ70" s="0"/>
      <c r="CK70" s="0"/>
    </row>
    <row r="71" customFormat="false" ht="12.8" hidden="false" customHeight="false" outlineLevel="0" collapsed="false">
      <c r="A71" s="4" t="s">
        <v>147</v>
      </c>
      <c r="B71" s="7" t="s">
        <v>39</v>
      </c>
      <c r="C71" s="4" t="n">
        <f aca="false" t="array" ref="C71:C71">SUM(Capacity!S$3:S$25*Capacity!$DH14/(TRANSPOSE(Dists!$B13:$X13)*MMULT(1/Dists!$B13:$X13,Capacity!$DH$3:$DH$25)))</f>
        <v>5090.71544113299</v>
      </c>
      <c r="D71" s="4" t="n">
        <f aca="false" t="array" ref="D71:D71">SUM(Capacity!V$3:V$25*Capacity!$DH14/(TRANSPOSE(Dists!$B13:$X13)*MMULT(1/Dists!$B13:$X13,Capacity!$DH$3:$DH$25)))</f>
        <v>6467.4150840867</v>
      </c>
      <c r="E71" s="4" t="n">
        <f aca="false" t="array" ref="E71:E71">SUM(Capacity!Y$3:Y$25*Capacity!$DH14/(TRANSPOSE(Dists!$B13:$X13)*MMULT(1/Dists!$B13:$X13,Capacity!$DH$3:$DH$25)))</f>
        <v>8029.66151089999</v>
      </c>
      <c r="F71" s="4" t="n">
        <f aca="false" t="array" ref="F71:F71">SUM(Capacity!Z$3:Z$25*Capacity!$DH14/(TRANSPOSE(Dists!$B13:$X13)*MMULT(1/Dists!$B13:$X13,Capacity!$DH$3:$DH$25)))</f>
        <v>3003.66640990724</v>
      </c>
      <c r="G71" s="4" t="n">
        <f aca="false" t="array" ref="G71:G71">SUM(Capacity!AA$3:AA$25*Capacity!$DH14/(TRANSPOSE(Dists!$B13:$X13)*MMULT(1/Dists!$B13:$X13,Capacity!$DH$3:$DH$25)))</f>
        <v>43636.2198085983</v>
      </c>
      <c r="H71" s="4" t="n">
        <f aca="false" t="array" ref="H71:H71">SUM(Capacity!AB$3:AB$25*Capacity!$DI14/(TRANSPOSE(Dists!$B13:$X13)*MMULT(1/Dists!$B13:$X13,Capacity!$DI$3:$DI$25)))</f>
        <v>2147.81254979521</v>
      </c>
      <c r="I71" s="0"/>
      <c r="J71" s="0"/>
      <c r="K71" s="0"/>
      <c r="L71" s="0"/>
      <c r="M71" s="0"/>
      <c r="N71" s="4" t="n">
        <f aca="false" t="array" ref="N71:N71">SUM(Capacity!AH$3:AH$25*Capacity!$DH14/(TRANSPOSE(Dists!$B13:$X13)*MMULT(1/Dists!$B13:$X13,Capacity!$DH$3:$DH$25)))</f>
        <v>56120.9314565474</v>
      </c>
      <c r="O71" s="0"/>
      <c r="U71" s="0"/>
      <c r="V71" s="0"/>
      <c r="W71" s="0"/>
      <c r="X71" s="0"/>
      <c r="Y71" s="4" t="n">
        <f aca="false" t="array" ref="Y71:Y71">SUM(Capacity!AS$3:AS$25*Capacity!$DI14/(TRANSPOSE(Dists!$B13:$X13)*MMULT(1/Dists!$B13:$X13,Capacity!$DI$3:$DI$25)))</f>
        <v>240.676634026604</v>
      </c>
      <c r="Z71" s="4" t="n">
        <f aca="false" t="array" ref="Z71:Z71">SUM(Capacity!AT$3:AT$25*Capacity!$DH14/(TRANSPOSE(Dists!$B13:$X13)*MMULT(1/Dists!$B13:$X13,Capacity!$DH$3:$DH$25)))</f>
        <v>340998.163222687</v>
      </c>
      <c r="AA71" s="4" t="n">
        <f aca="false" t="array" ref="AA71:AA71">SUM(Capacity!AU$3:AU$25*Capacity!$DI14/(TRANSPOSE(Dists!$B13:$X13)*MMULT(1/Dists!$B13:$X13,Capacity!$DI$3:$DI$25)))</f>
        <v>15862.0385763861</v>
      </c>
      <c r="AB71" s="4" t="n">
        <f aca="false" t="array" ref="AB71:AB71">SUM(Capacity!AV$3:AV$25*Capacity!$DI14/(TRANSPOSE(Dists!$B13:$X13)*MMULT(1/Dists!$B13:$X13,Capacity!$DI$3:$DI$25)))</f>
        <v>6609.18274016088</v>
      </c>
      <c r="AC71" s="4" t="n">
        <f aca="false" t="array" ref="AC71:AC71">SUM(Capacity!AW$3:AW$25*Capacity!$DH14/(TRANSPOSE(Dists!$B13:$X13)*MMULT(1/Dists!$B13:$X13,Capacity!$DH$3:$DH$25)))</f>
        <v>325.347914368124</v>
      </c>
      <c r="AD71" s="4" t="n">
        <f aca="false" t="array" ref="AD71:AD71">SUM(Capacity!AX$3:AX$25*Capacity!$DI14/(TRANSPOSE(Dists!$B13:$X13)*MMULT(1/Dists!$B13:$X13,Capacity!$DI$3:$DI$25)))</f>
        <v>109.051515212654</v>
      </c>
      <c r="AE71" s="4" t="n">
        <f aca="false" t="array" ref="AE71:AE71">SUM(Capacity!AY$3:AY$25*Capacity!$DI14/(TRANSPOSE(Dists!$B13:$X13)*MMULT(1/Dists!$B13:$X13,Capacity!$DI$3:$DI$25)))</f>
        <v>76.1377851666532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4" t="n">
        <f aca="false" t="array" ref="AW71:AW71">SUM(Capacity!BQ$3:BQ$25*Capacity!$DH14/(TRANSPOSE(Dists!$B13:$X13)*MMULT(1/Dists!$B13:$X13,Capacity!$DH$3:$DH$25)))</f>
        <v>1121.73826368</v>
      </c>
      <c r="AX71" s="0"/>
      <c r="AY71" s="4" t="n">
        <f aca="false" t="array" ref="AY71:AY71">SUM(Capacity!BS$3:BS$25*Capacity!$DH14/(TRANSPOSE(Dists!$B13:$X13)*MMULT(1/Dists!$B13:$X13,Capacity!$DH$3:$DH$25)))</f>
        <v>23.6734110341983</v>
      </c>
      <c r="AZ71" s="4" t="n">
        <f aca="false" t="array" ref="AZ71:AZ71">SUM(Capacity!BT$3:BT$25*Capacity!$DH14/(TRANSPOSE(Dists!$B13:$X13)*MMULT(1/Dists!$B13:$X13,Capacity!$DH$3:$DH$25)))</f>
        <v>33.2907342668413</v>
      </c>
      <c r="BA71" s="0"/>
      <c r="BB71" s="4" t="n">
        <f aca="false" t="array" ref="BB71:BB71">SUM(Capacity!BV$3:BV$25*Capacity!$DI14/(TRANSPOSE(Dists!$B13:$X13)*MMULT(1/Dists!$B13:$X13,Capacity!$DI$3:$DI$25)))</f>
        <v>266.482248083286</v>
      </c>
      <c r="BC71" s="4" t="n">
        <f aca="false" t="array" ref="BC71:BC71">SUM(Capacity!BW$3:BW$25*Capacity!$DI14/(TRANSPOSE(Dists!$B13:$X13)*MMULT(1/Dists!$B13:$X13,Capacity!$DI$3:$DI$25)))</f>
        <v>228.41335549996</v>
      </c>
      <c r="BD71" s="4" t="n">
        <f aca="false" t="array" ref="BD71:BD71">SUM(Capacity!BX$3:BX$25*Capacity!$DI14/(TRANSPOSE(Dists!$B13:$X13)*MMULT(1/Dists!$B13:$X13,Capacity!$DI$3:$DI$25)))</f>
        <v>114.20667774998</v>
      </c>
      <c r="BE71" s="4" t="n">
        <f aca="false" t="array" ref="BE71:BE71">SUM(Capacity!BY$3:BY$25*Capacity!$DI14/(TRANSPOSE(Dists!$B13:$X13)*MMULT(1/Dists!$B13:$X13,Capacity!$DI$3:$DI$25)))</f>
        <v>66.6205620208216</v>
      </c>
      <c r="BF71" s="4" t="n">
        <f aca="false" t="array" ref="BF71:BF71">SUM(Capacity!BZ$3:BZ$25*Capacity!$DH14/(TRANSPOSE(Dists!$B13:$X13)*MMULT(1/Dists!$B13:$X13,Capacity!$DH$3:$DH$25)))</f>
        <v>168260.739552</v>
      </c>
      <c r="BG71" s="4" t="n">
        <f aca="false" t="array" ref="BG71:BG71">SUM(Capacity!CA$3:CA$25*Capacity!$DI14/(TRANSPOSE(Dists!$B13:$X13)*MMULT(1/Dists!$B13:$X13,Capacity!$DI$3:$DI$25)))</f>
        <v>5772.32689010671</v>
      </c>
      <c r="BH71" s="4" t="n">
        <f aca="false" t="array" ref="BH71:BH71">SUM(Capacity!CB$3:CB$25*Capacity!$DI14/(TRANSPOSE(Dists!$B13:$X13)*MMULT(1/Dists!$B13:$X13,Capacity!$DI$3:$DI$25)))</f>
        <v>8848.85695463116</v>
      </c>
      <c r="BI71" s="4" t="n">
        <f aca="false" t="array" ref="BI71:BI71">SUM(Capacity!CC$3:CC$25*Capacity!$DI14/(TRANSPOSE(Dists!$B13:$X13)*MMULT(1/Dists!$B13:$X13,Capacity!$DI$3:$DI$25)))</f>
        <v>15392.8717069512</v>
      </c>
      <c r="BJ71" s="0"/>
      <c r="BK71" s="4" t="n">
        <f aca="false" t="array" ref="BK71:BK71">SUM(Capacity!CE$3:CE$25*Capacity!$DI14/(TRANSPOSE(Dists!$B13:$X13)*MMULT(1/Dists!$B13:$X13,Capacity!$DI$3:$DI$25)))</f>
        <v>7696.43585347562</v>
      </c>
      <c r="BL71" s="0"/>
      <c r="BM71" s="0"/>
      <c r="BN71" s="4" t="n">
        <f aca="false" t="array" ref="BN71:BN71">SUM(Capacity!CH$3:CH$25*Capacity!$DH14/(TRANSPOSE(Dists!$B13:$X13)*MMULT(1/Dists!$B13:$X13,Capacity!$DH$3:$DH$25)))</f>
        <v>1255378.75258591</v>
      </c>
      <c r="BO71" s="4" t="n">
        <f aca="false" t="array" ref="BO71:BO71">SUM(Capacity!CI$3:CI$25*Capacity!$DH14/(TRANSPOSE(Dists!$B13:$X13)*MMULT(1/Dists!$B13:$X13,Capacity!$DH$3:$DH$25)))</f>
        <v>2510.75820969744</v>
      </c>
      <c r="BP71" s="4" t="n">
        <f aca="false" t="array" ref="BP71:BP71">SUM(Capacity!CJ$3:CJ$25*Capacity!$DH14/(TRANSPOSE(Dists!$B13:$X13)*MMULT(1/Dists!$B13:$X13,Capacity!$DH$3:$DH$25)))</f>
        <v>292921.709477931</v>
      </c>
      <c r="BQ71" s="4" t="n">
        <f aca="false" t="array" ref="BQ71:BQ71">SUM(Capacity!CK$3:CK$25*Capacity!$DH14/(TRANSPOSE(Dists!$B13:$X13)*MMULT(1/Dists!$B13:$X13,Capacity!$DH$3:$DH$25)))</f>
        <v>271998.730279932</v>
      </c>
      <c r="BR71" s="4" t="n">
        <f aca="false" t="array" ref="BR71:BR71">SUM(Capacity!CL$3:CL$25*Capacity!$DH14/(TRANSPOSE(Dists!$B13:$X13)*MMULT(1/Dists!$B13:$X13,Capacity!$DH$3:$DH$25)))</f>
        <v>836.919873857472</v>
      </c>
      <c r="BS71" s="4" t="n">
        <f aca="false" t="array" ref="BS71:BS71">SUM(Capacity!CM$3:CM$25*Capacity!$DH14/(TRANSPOSE(Dists!$B13:$X13)*MMULT(1/Dists!$B13:$X13,Capacity!$DH$3:$DH$25)))</f>
        <v>418.46028989748</v>
      </c>
      <c r="BT71" s="4" t="n">
        <f aca="false" t="array" ref="BT71:BT71">SUM(Capacity!CN$3:CN$25*Capacity!$DI14/(TRANSPOSE(Dists!$B13:$X13)*MMULT(1/Dists!$B13:$X13,Capacity!$DI$3:$DI$25)))</f>
        <v>581608.081134157</v>
      </c>
      <c r="BU71" s="4" t="n">
        <f aca="false" t="array" ref="BU71:BU71">SUM(Capacity!CO$3:CO$25*Capacity!$DI14/(TRANSPOSE(Dists!$B13:$X13)*MMULT(1/Dists!$B13:$X13,Capacity!$DI$3:$DI$25)))</f>
        <v>63448.1543055444</v>
      </c>
      <c r="BV71" s="4" t="n">
        <f aca="false" t="array" ref="BV71:BV71">SUM(Capacity!CP$3:CP$25*Capacity!$DI14/(TRANSPOSE(Dists!$B13:$X13)*MMULT(1/Dists!$B13:$X13,Capacity!$DI$3:$DI$25)))</f>
        <v>7402.28466898018</v>
      </c>
      <c r="BW71" s="0"/>
      <c r="BX71" s="0"/>
      <c r="BY71" s="0"/>
      <c r="BZ71" s="0"/>
      <c r="CA71" s="0"/>
      <c r="CB71" s="0"/>
      <c r="CC71" s="0"/>
      <c r="CE71" s="4" t="n">
        <f aca="false" t="array" ref="CE71:CE71">SUM(Capacity!CY$3:CY$25*Capacity!$DH14/(TRANSPOSE(Dists!$B13:$X13)*MMULT(1/Dists!$B13:$X13,Capacity!$DH$3:$DH$25)))</f>
        <v>210.32592444</v>
      </c>
      <c r="CG71" s="0"/>
      <c r="CH71" s="0"/>
      <c r="CI71" s="0"/>
      <c r="CJ71" s="0"/>
      <c r="CK71" s="0"/>
    </row>
    <row r="72" customFormat="false" ht="12.8" hidden="false" customHeight="false" outlineLevel="0" collapsed="false">
      <c r="A72" s="4" t="s">
        <v>148</v>
      </c>
      <c r="B72" s="7" t="s">
        <v>39</v>
      </c>
      <c r="C72" s="4" t="n">
        <f aca="false" t="array" ref="C72:C72">SUM(Capacity!S$3:S$25*Capacity!$DH15/(TRANSPOSE(Dists!$B14:$X14)*MMULT(1/Dists!$B14:$X14,Capacity!$DH$3:$DH$25)))</f>
        <v>5522.04393135091</v>
      </c>
      <c r="D72" s="4" t="n">
        <f aca="false" t="array" ref="D72:D72">SUM(Capacity!V$3:V$25*Capacity!$DH15/(TRANSPOSE(Dists!$B14:$X14)*MMULT(1/Dists!$B14:$X14,Capacity!$DH$3:$DH$25)))</f>
        <v>7028.40048212066</v>
      </c>
      <c r="E72" s="4" t="n">
        <f aca="false" t="array" ref="E72:E72">SUM(Capacity!Y$3:Y$25*Capacity!$DH15/(TRANSPOSE(Dists!$B14:$X14)*MMULT(1/Dists!$B14:$X14,Capacity!$DH$3:$DH$25)))</f>
        <v>8927.11035291211</v>
      </c>
      <c r="F72" s="4" t="n">
        <f aca="false" t="array" ref="F72:F72">SUM(Capacity!Z$3:Z$25*Capacity!$DH15/(TRANSPOSE(Dists!$B14:$X14)*MMULT(1/Dists!$B14:$X14,Capacity!$DH$3:$DH$25)))</f>
        <v>3436.01811835132</v>
      </c>
      <c r="G72" s="4" t="n">
        <f aca="false" t="array" ref="G72:G72">SUM(Capacity!AA$3:AA$25*Capacity!$DH15/(TRANSPOSE(Dists!$B14:$X14)*MMULT(1/Dists!$B14:$X14,Capacity!$DH$3:$DH$25)))</f>
        <v>47440.1220770386</v>
      </c>
      <c r="H72" s="4" t="n">
        <f aca="false" t="array" ref="H72:H72">SUM(Capacity!AB$3:AB$25*Capacity!$DI15/(TRANSPOSE(Dists!$B14:$X14)*MMULT(1/Dists!$B14:$X14,Capacity!$DI$3:$DI$25)))</f>
        <v>2011.67792863879</v>
      </c>
      <c r="I72" s="0"/>
      <c r="J72" s="0"/>
      <c r="K72" s="0"/>
      <c r="L72" s="0"/>
      <c r="M72" s="0"/>
      <c r="N72" s="4" t="n">
        <f aca="false" t="array" ref="N72:N72">SUM(Capacity!AH$3:AH$25*Capacity!$DH15/(TRANSPOSE(Dists!$B14:$X14)*MMULT(1/Dists!$B14:$X14,Capacity!$DH$3:$DH$25)))</f>
        <v>58933.8428089775</v>
      </c>
      <c r="O72" s="0"/>
      <c r="U72" s="0"/>
      <c r="V72" s="0"/>
      <c r="W72" s="0"/>
      <c r="X72" s="0"/>
      <c r="Y72" s="4" t="n">
        <f aca="false" t="array" ref="Y72:Y72">SUM(Capacity!AS$3:AS$25*Capacity!$DI15/(TRANSPOSE(Dists!$B14:$X14)*MMULT(1/Dists!$B14:$X14,Capacity!$DI$3:$DI$25)))</f>
        <v>256.904720185861</v>
      </c>
      <c r="Z72" s="4" t="n">
        <f aca="false" t="array" ref="Z72:Z72">SUM(Capacity!AT$3:AT$25*Capacity!$DH15/(TRANSPOSE(Dists!$B14:$X14)*MMULT(1/Dists!$B14:$X14,Capacity!$DH$3:$DH$25)))</f>
        <v>288368.633284479</v>
      </c>
      <c r="AA72" s="4" t="n">
        <f aca="false" t="array" ref="AA72:AA72">SUM(Capacity!AU$3:AU$25*Capacity!$DI15/(TRANSPOSE(Dists!$B14:$X14)*MMULT(1/Dists!$B14:$X14,Capacity!$DI$3:$DI$25)))</f>
        <v>16363.6539628988</v>
      </c>
      <c r="AB72" s="4" t="n">
        <f aca="false" t="array" ref="AB72:AB72">SUM(Capacity!AV$3:AV$25*Capacity!$DI15/(TRANSPOSE(Dists!$B14:$X14)*MMULT(1/Dists!$B14:$X14,Capacity!$DI$3:$DI$25)))</f>
        <v>6818.18915120783</v>
      </c>
      <c r="AC72" s="4" t="n">
        <f aca="false" t="array" ref="AC72:AC72">SUM(Capacity!AW$3:AW$25*Capacity!$DH15/(TRANSPOSE(Dists!$B14:$X14)*MMULT(1/Dists!$B14:$X14,Capacity!$DH$3:$DH$25)))</f>
        <v>360.499801391299</v>
      </c>
      <c r="AD72" s="4" t="n">
        <f aca="false" t="array" ref="AD72:AD72">SUM(Capacity!AX$3:AX$25*Capacity!$DI15/(TRANSPOSE(Dists!$B14:$X14)*MMULT(1/Dists!$B14:$X14,Capacity!$DI$3:$DI$25)))</f>
        <v>112.500120994929</v>
      </c>
      <c r="AE72" s="4" t="n">
        <f aca="false" t="array" ref="AE72:AE72">SUM(Capacity!AY$3:AY$25*Capacity!$DI15/(TRANSPOSE(Dists!$B14:$X14)*MMULT(1/Dists!$B14:$X14,Capacity!$DI$3:$DI$25)))</f>
        <v>78.5455390219141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4" t="n">
        <f aca="false" t="array" ref="AW72:AW72">SUM(Capacity!BQ$3:BQ$25*Capacity!$DH15/(TRANSPOSE(Dists!$B14:$X14)*MMULT(1/Dists!$B14:$X14,Capacity!$DH$3:$DH$25)))</f>
        <v>1242.93534217067</v>
      </c>
      <c r="AX72" s="0"/>
      <c r="AY72" s="4" t="n">
        <f aca="false" t="array" ref="AY72:AY72">SUM(Capacity!BS$3:BS$25*Capacity!$DH15/(TRANSPOSE(Dists!$B14:$X14)*MMULT(1/Dists!$B14:$X14,Capacity!$DH$3:$DH$25)))</f>
        <v>25.2789772961012</v>
      </c>
      <c r="AZ72" s="4" t="n">
        <f aca="false" t="array" ref="AZ72:AZ72">SUM(Capacity!BT$3:BT$25*Capacity!$DH15/(TRANSPOSE(Dists!$B14:$X14)*MMULT(1/Dists!$B14:$X14,Capacity!$DH$3:$DH$25)))</f>
        <v>35.5485618226424</v>
      </c>
      <c r="BA72" s="0"/>
      <c r="BB72" s="4" t="n">
        <f aca="false" t="array" ref="BB72:BB72">SUM(Capacity!BV$3:BV$25*Capacity!$DI15/(TRANSPOSE(Dists!$B14:$X14)*MMULT(1/Dists!$B14:$X14,Capacity!$DI$3:$DI$25)))</f>
        <v>274.9093865767</v>
      </c>
      <c r="BC72" s="4" t="n">
        <f aca="false" t="array" ref="BC72:BC72">SUM(Capacity!BW$3:BW$25*Capacity!$DI15/(TRANSPOSE(Dists!$B14:$X14)*MMULT(1/Dists!$B14:$X14,Capacity!$DI$3:$DI$25)))</f>
        <v>235.636617065743</v>
      </c>
      <c r="BD72" s="4" t="n">
        <f aca="false" t="array" ref="BD72:BD72">SUM(Capacity!BX$3:BX$25*Capacity!$DI15/(TRANSPOSE(Dists!$B14:$X14)*MMULT(1/Dists!$B14:$X14,Capacity!$DI$3:$DI$25)))</f>
        <v>117.818308532871</v>
      </c>
      <c r="BE72" s="4" t="n">
        <f aca="false" t="array" ref="BE72:BE72">SUM(Capacity!BY$3:BY$25*Capacity!$DI15/(TRANSPOSE(Dists!$B14:$X14)*MMULT(1/Dists!$B14:$X14,Capacity!$DI$3:$DI$25)))</f>
        <v>68.7273466441749</v>
      </c>
      <c r="BF72" s="4" t="n">
        <f aca="false" t="array" ref="BF72:BF72">SUM(Capacity!BZ$3:BZ$25*Capacity!$DH15/(TRANSPOSE(Dists!$B14:$X14)*MMULT(1/Dists!$B14:$X14,Capacity!$DH$3:$DH$25)))</f>
        <v>186440.301325601</v>
      </c>
      <c r="BG72" s="4" t="n">
        <f aca="false" t="array" ref="BG72:BG72">SUM(Capacity!CA$3:CA$25*Capacity!$DI15/(TRANSPOSE(Dists!$B14:$X14)*MMULT(1/Dists!$B14:$X14,Capacity!$DI$3:$DI$25)))</f>
        <v>6179.17570171574</v>
      </c>
      <c r="BH72" s="4" t="n">
        <f aca="false" t="array" ref="BH72:BH72">SUM(Capacity!CB$3:CB$25*Capacity!$DI15/(TRANSPOSE(Dists!$B14:$X14)*MMULT(1/Dists!$B14:$X14,Capacity!$DI$3:$DI$25)))</f>
        <v>6409.27247342037</v>
      </c>
      <c r="BI72" s="4" t="n">
        <f aca="false" t="array" ref="BI72:BI72">SUM(Capacity!CC$3:CC$25*Capacity!$DI15/(TRANSPOSE(Dists!$B14:$X14)*MMULT(1/Dists!$B14:$X14,Capacity!$DI$3:$DI$25)))</f>
        <v>16477.801871242</v>
      </c>
      <c r="BJ72" s="0"/>
      <c r="BK72" s="4" t="n">
        <f aca="false" t="array" ref="BK72:BK72">SUM(Capacity!CE$3:CE$25*Capacity!$DI15/(TRANSPOSE(Dists!$B14:$X14)*MMULT(1/Dists!$B14:$X14,Capacity!$DI$3:$DI$25)))</f>
        <v>8238.90093562099</v>
      </c>
      <c r="BL72" s="0"/>
      <c r="BM72" s="0"/>
      <c r="BN72" s="4" t="n">
        <f aca="false" t="array" ref="BN72:BN72">SUM(Capacity!CH$3:CH$25*Capacity!$DH15/(TRANSPOSE(Dists!$B14:$X14)*MMULT(1/Dists!$B14:$X14,Capacity!$DH$3:$DH$25)))</f>
        <v>1501707.41369752</v>
      </c>
      <c r="BO72" s="4" t="n">
        <f aca="false" t="array" ref="BO72:BO72">SUM(Capacity!CI$3:CI$25*Capacity!$DH15/(TRANSPOSE(Dists!$B14:$X14)*MMULT(1/Dists!$B14:$X14,Capacity!$DH$3:$DH$25)))</f>
        <v>3003.41556779911</v>
      </c>
      <c r="BP72" s="4" t="n">
        <f aca="false" t="array" ref="BP72:BP72">SUM(Capacity!CJ$3:CJ$25*Capacity!$DH15/(TRANSPOSE(Dists!$B14:$X14)*MMULT(1/Dists!$B14:$X14,Capacity!$DH$3:$DH$25)))</f>
        <v>350398.397098202</v>
      </c>
      <c r="BQ72" s="4" t="n">
        <f aca="false" t="array" ref="BQ72:BQ72">SUM(Capacity!CK$3:CK$25*Capacity!$DH15/(TRANSPOSE(Dists!$B14:$X14)*MMULT(1/Dists!$B14:$X14,Capacity!$DH$3:$DH$25)))</f>
        <v>325369.940215608</v>
      </c>
      <c r="BR72" s="4" t="n">
        <f aca="false" t="array" ref="BR72:BR72">SUM(Capacity!CL$3:CL$25*Capacity!$DH15/(TRANSPOSE(Dists!$B14:$X14)*MMULT(1/Dists!$B14:$X14,Capacity!$DH$3:$DH$25)))</f>
        <v>1001.1390171916</v>
      </c>
      <c r="BS72" s="4" t="n">
        <f aca="false" t="array" ref="BS72:BS72">SUM(Capacity!CM$3:CM$25*Capacity!$DH15/(TRANSPOSE(Dists!$B14:$X14)*MMULT(1/Dists!$B14:$X14,Capacity!$DH$3:$DH$25)))</f>
        <v>500.569879539721</v>
      </c>
      <c r="BT72" s="4" t="n">
        <f aca="false" t="array" ref="BT72:BT72">SUM(Capacity!CN$3:CN$25*Capacity!$DI15/(TRANSPOSE(Dists!$B14:$X14)*MMULT(1/Dists!$B14:$X14,Capacity!$DI$3:$DI$25)))</f>
        <v>600000.645306289</v>
      </c>
      <c r="BU72" s="4" t="n">
        <f aca="false" t="array" ref="BU72:BU72">SUM(Capacity!CO$3:CO$25*Capacity!$DI15/(TRANSPOSE(Dists!$B14:$X14)*MMULT(1/Dists!$B14:$X14,Capacity!$DI$3:$DI$25)))</f>
        <v>65454.6158515952</v>
      </c>
      <c r="BV72" s="4" t="n">
        <f aca="false" t="array" ref="BV72:BV72">SUM(Capacity!CP$3:CP$25*Capacity!$DI15/(TRANSPOSE(Dists!$B14:$X14)*MMULT(1/Dists!$B14:$X14,Capacity!$DI$3:$DI$25)))</f>
        <v>7636.37184935277</v>
      </c>
      <c r="BW72" s="0"/>
      <c r="BX72" s="0"/>
      <c r="BY72" s="0"/>
      <c r="BZ72" s="0"/>
      <c r="CA72" s="0"/>
      <c r="CB72" s="0"/>
      <c r="CC72" s="0"/>
      <c r="CE72" s="4" t="n">
        <f aca="false" t="array" ref="CE72:CE72">SUM(Capacity!CY$3:CY$25*Capacity!$DH15/(TRANSPOSE(Dists!$B14:$X14)*MMULT(1/Dists!$B14:$X14,Capacity!$DH$3:$DH$25)))</f>
        <v>233.050376657001</v>
      </c>
      <c r="CG72" s="0"/>
      <c r="CH72" s="0"/>
      <c r="CI72" s="0"/>
      <c r="CJ72" s="0"/>
      <c r="CK72" s="0"/>
    </row>
    <row r="73" customFormat="false" ht="12.8" hidden="false" customHeight="false" outlineLevel="0" collapsed="false">
      <c r="A73" s="4" t="s">
        <v>150</v>
      </c>
      <c r="B73" s="7" t="s">
        <v>39</v>
      </c>
      <c r="C73" s="4" t="n">
        <f aca="false" t="array" ref="C73:C73">SUM(Capacity!S$3:S$25*Capacity!$DH16/(TRANSPOSE(Dists!$B15:$X15)*MMULT(1/Dists!$B15:$X15,Capacity!$DH$3:$DH$25)))</f>
        <v>5099.87596445557</v>
      </c>
      <c r="D73" s="4" t="n">
        <f aca="false" t="array" ref="D73:D73">SUM(Capacity!V$3:V$25*Capacity!$DH16/(TRANSPOSE(Dists!$B15:$X15)*MMULT(1/Dists!$B15:$X15,Capacity!$DH$3:$DH$25)))</f>
        <v>6552.4174563005</v>
      </c>
      <c r="E73" s="4" t="n">
        <f aca="false" t="array" ref="E73:E73">SUM(Capacity!Y$3:Y$25*Capacity!$DH16/(TRANSPOSE(Dists!$B15:$X15)*MMULT(1/Dists!$B15:$X15,Capacity!$DH$3:$DH$25)))</f>
        <v>8209.57644194813</v>
      </c>
      <c r="F73" s="4" t="n">
        <f aca="false" t="array" ref="F73:F73">SUM(Capacity!Z$3:Z$25*Capacity!$DH16/(TRANSPOSE(Dists!$B15:$X15)*MMULT(1/Dists!$B15:$X15,Capacity!$DH$3:$DH$25)))</f>
        <v>3144.63997954336</v>
      </c>
      <c r="G73" s="4" t="n">
        <f aca="false" t="array" ref="G73:G73">SUM(Capacity!AA$3:AA$25*Capacity!$DH16/(TRANSPOSE(Dists!$B15:$X15)*MMULT(1/Dists!$B15:$X15,Capacity!$DH$3:$DH$25)))</f>
        <v>44316.1044253976</v>
      </c>
      <c r="H73" s="4" t="n">
        <f aca="false" t="array" ref="H73:H73">SUM(Capacity!AB$3:AB$25*Capacity!$DI16/(TRANSPOSE(Dists!$B15:$X15)*MMULT(1/Dists!$B15:$X15,Capacity!$DI$3:$DI$25)))</f>
        <v>2549.55707256891</v>
      </c>
      <c r="I73" s="0"/>
      <c r="J73" s="0"/>
      <c r="K73" s="0"/>
      <c r="L73" s="0"/>
      <c r="M73" s="0"/>
      <c r="N73" s="4" t="n">
        <f aca="false" t="array" ref="N73:N73">SUM(Capacity!AH$3:AH$25*Capacity!$DH16/(TRANSPOSE(Dists!$B15:$X15)*MMULT(1/Dists!$B15:$X15,Capacity!$DH$3:$DH$25)))</f>
        <v>56780.8767467051</v>
      </c>
      <c r="O73" s="0"/>
      <c r="U73" s="0"/>
      <c r="V73" s="0"/>
      <c r="W73" s="0"/>
      <c r="X73" s="0"/>
      <c r="Y73" s="4" t="n">
        <f aca="false" t="array" ref="Y73:Y73">SUM(Capacity!AS$3:AS$25*Capacity!$DI16/(TRANSPOSE(Dists!$B15:$X15)*MMULT(1/Dists!$B15:$X15,Capacity!$DI$3:$DI$25)))</f>
        <v>282.627996684864</v>
      </c>
      <c r="Z73" s="4" t="n">
        <f aca="false" t="array" ref="Z73:Z73">SUM(Capacity!AT$3:AT$25*Capacity!$DH16/(TRANSPOSE(Dists!$B15:$X15)*MMULT(1/Dists!$B15:$X15,Capacity!$DH$3:$DH$25)))</f>
        <v>334471.410587836</v>
      </c>
      <c r="AA73" s="4" t="n">
        <f aca="false" t="array" ref="AA73:AA73">SUM(Capacity!AU$3:AU$25*Capacity!$DI16/(TRANSPOSE(Dists!$B15:$X15)*MMULT(1/Dists!$B15:$X15,Capacity!$DI$3:$DI$25)))</f>
        <v>21645.5882640163</v>
      </c>
      <c r="AB73" s="4" t="n">
        <f aca="false" t="array" ref="AB73:AB73">SUM(Capacity!AV$3:AV$25*Capacity!$DI16/(TRANSPOSE(Dists!$B15:$X15)*MMULT(1/Dists!$B15:$X15,Capacity!$DI$3:$DI$25)))</f>
        <v>9018.99511000681</v>
      </c>
      <c r="AC73" s="4" t="n">
        <f aca="false" t="array" ref="AC73:AC73">SUM(Capacity!AW$3:AW$25*Capacity!$DH16/(TRANSPOSE(Dists!$B15:$X15)*MMULT(1/Dists!$B15:$X15,Capacity!$DH$3:$DH$25)))</f>
        <v>326.808885166411</v>
      </c>
      <c r="AD73" s="4" t="n">
        <f aca="false" t="array" ref="AD73:AD73">SUM(Capacity!AX$3:AX$25*Capacity!$DI16/(TRANSPOSE(Dists!$B15:$X15)*MMULT(1/Dists!$B15:$X15,Capacity!$DI$3:$DI$25)))</f>
        <v>148.813419315112</v>
      </c>
      <c r="AE73" s="4" t="n">
        <f aca="false" t="array" ref="AE73:AE73">SUM(Capacity!AY$3:AY$25*Capacity!$DI16/(TRANSPOSE(Dists!$B15:$X15)*MMULT(1/Dists!$B15:$X15,Capacity!$DI$3:$DI$25)))</f>
        <v>103.898823667278</v>
      </c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4" t="n">
        <f aca="false" t="array" ref="AW73:AW73">SUM(Capacity!BQ$3:BQ$25*Capacity!$DH16/(TRANSPOSE(Dists!$B15:$X15)*MMULT(1/Dists!$B15:$X15,Capacity!$DH$3:$DH$25)))</f>
        <v>1126.77541552325</v>
      </c>
      <c r="AX73" s="0"/>
      <c r="AY73" s="4" t="n">
        <f aca="false" t="array" ref="AY73:AY73">SUM(Capacity!BS$3:BS$25*Capacity!$DH16/(TRANSPOSE(Dists!$B15:$X15)*MMULT(1/Dists!$B15:$X15,Capacity!$DH$3:$DH$25)))</f>
        <v>28.1663371474054</v>
      </c>
      <c r="AZ73" s="4" t="n">
        <f aca="false" t="array" ref="AZ73:AZ73">SUM(Capacity!BT$3:BT$25*Capacity!$DH16/(TRANSPOSE(Dists!$B15:$X15)*MMULT(1/Dists!$B15:$X15,Capacity!$DH$3:$DH$25)))</f>
        <v>39.6089116135389</v>
      </c>
      <c r="BA73" s="0"/>
      <c r="BB73" s="4" t="n">
        <f aca="false" t="array" ref="BB73:BB73">SUM(Capacity!BV$3:BV$25*Capacity!$DI16/(TRANSPOSE(Dists!$B15:$X15)*MMULT(1/Dists!$B15:$X15,Capacity!$DI$3:$DI$25)))</f>
        <v>363.645882835475</v>
      </c>
      <c r="BC73" s="4" t="n">
        <f aca="false" t="array" ref="BC73:BC73">SUM(Capacity!BW$3:BW$25*Capacity!$DI16/(TRANSPOSE(Dists!$B15:$X15)*MMULT(1/Dists!$B15:$X15,Capacity!$DI$3:$DI$25)))</f>
        <v>311.696471001836</v>
      </c>
      <c r="BD73" s="4" t="n">
        <f aca="false" t="array" ref="BD73:BD73">SUM(Capacity!BX$3:BX$25*Capacity!$DI16/(TRANSPOSE(Dists!$B15:$X15)*MMULT(1/Dists!$B15:$X15,Capacity!$DI$3:$DI$25)))</f>
        <v>155.848235500917</v>
      </c>
      <c r="BE73" s="4" t="n">
        <f aca="false" t="array" ref="BE73:BE73">SUM(Capacity!BY$3:BY$25*Capacity!$DI16/(TRANSPOSE(Dists!$B15:$X15)*MMULT(1/Dists!$B15:$X15,Capacity!$DI$3:$DI$25)))</f>
        <v>90.9114707088686</v>
      </c>
      <c r="BF73" s="4" t="n">
        <f aca="false" t="array" ref="BF73:BF73">SUM(Capacity!BZ$3:BZ$25*Capacity!$DH16/(TRANSPOSE(Dists!$B15:$X15)*MMULT(1/Dists!$B15:$X15,Capacity!$DH$3:$DH$25)))</f>
        <v>169016.312328487</v>
      </c>
      <c r="BG73" s="4" t="n">
        <f aca="false" t="array" ref="BG73:BG73">SUM(Capacity!CA$3:CA$25*Capacity!$DI16/(TRANSPOSE(Dists!$B15:$X15)*MMULT(1/Dists!$B15:$X15,Capacity!$DI$3:$DI$25)))</f>
        <v>6650.24434507892</v>
      </c>
      <c r="BH73" s="4" t="n">
        <f aca="false" t="array" ref="BH73:BH73">SUM(Capacity!CB$3:CB$25*Capacity!$DI16/(TRANSPOSE(Dists!$B15:$X15)*MMULT(1/Dists!$B15:$X15,Capacity!$DI$3:$DI$25)))</f>
        <v>10525.3371150495</v>
      </c>
      <c r="BI73" s="4" t="n">
        <f aca="false" t="array" ref="BI73:BI73">SUM(Capacity!CC$3:CC$25*Capacity!$DI16/(TRANSPOSE(Dists!$B15:$X15)*MMULT(1/Dists!$B15:$X15,Capacity!$DI$3:$DI$25)))</f>
        <v>17733.9849202104</v>
      </c>
      <c r="BJ73" s="0"/>
      <c r="BK73" s="4" t="n">
        <f aca="false" t="array" ref="BK73:BK73">SUM(Capacity!CE$3:CE$25*Capacity!$DI16/(TRANSPOSE(Dists!$B15:$X15)*MMULT(1/Dists!$B15:$X15,Capacity!$DI$3:$DI$25)))</f>
        <v>8866.99246010522</v>
      </c>
      <c r="BL73" s="0"/>
      <c r="BM73" s="0"/>
      <c r="BN73" s="4" t="n">
        <f aca="false" t="array" ref="BN73:BN73">SUM(Capacity!CH$3:CH$25*Capacity!$DH16/(TRANSPOSE(Dists!$B15:$X15)*MMULT(1/Dists!$B15:$X15,Capacity!$DH$3:$DH$25)))</f>
        <v>3278343.62372797</v>
      </c>
      <c r="BO73" s="4" t="n">
        <f aca="false" t="array" ref="BO73:BO73">SUM(Capacity!CI$3:CI$25*Capacity!$DH16/(TRANSPOSE(Dists!$B15:$X15)*MMULT(1/Dists!$B15:$X15,Capacity!$DH$3:$DH$25)))</f>
        <v>6556.68775306109</v>
      </c>
      <c r="BP73" s="4" t="n">
        <f aca="false" t="array" ref="BP73:BP73">SUM(Capacity!CJ$3:CJ$25*Capacity!$DH16/(TRANSPOSE(Dists!$B15:$X15)*MMULT(1/Dists!$B15:$X15,Capacity!$DH$3:$DH$25)))</f>
        <v>764946.845924933</v>
      </c>
      <c r="BQ73" s="4" t="n">
        <f aca="false" t="array" ref="BQ73:BQ73">SUM(Capacity!CK$3:CK$25*Capacity!$DH16/(TRANSPOSE(Dists!$B15:$X15)*MMULT(1/Dists!$B15:$X15,Capacity!$DH$3:$DH$25)))</f>
        <v>710307.785537911</v>
      </c>
      <c r="BR73" s="4" t="n">
        <f aca="false" t="array" ref="BR73:BR73">SUM(Capacity!CL$3:CL$25*Capacity!$DH16/(TRANSPOSE(Dists!$B15:$X15)*MMULT(1/Dists!$B15:$X15,Capacity!$DH$3:$DH$25)))</f>
        <v>2185.56292209929</v>
      </c>
      <c r="BS73" s="4" t="n">
        <f aca="false" t="array" ref="BS73:BS73">SUM(Capacity!CM$3:CM$25*Capacity!$DH16/(TRANSPOSE(Dists!$B15:$X15)*MMULT(1/Dists!$B15:$X15,Capacity!$DH$3:$DH$25)))</f>
        <v>1092.78171435884</v>
      </c>
      <c r="BT73" s="4" t="n">
        <f aca="false" t="array" ref="BT73:BT73">SUM(Capacity!CN$3:CN$25*Capacity!$DI16/(TRANSPOSE(Dists!$B15:$X15)*MMULT(1/Dists!$B15:$X15,Capacity!$DI$3:$DI$25)))</f>
        <v>793671.569680599</v>
      </c>
      <c r="BU73" s="4" t="n">
        <f aca="false" t="array" ref="BU73:BU73">SUM(Capacity!CO$3:CO$25*Capacity!$DI16/(TRANSPOSE(Dists!$B15:$X15)*MMULT(1/Dists!$B15:$X15,Capacity!$DI$3:$DI$25)))</f>
        <v>86582.3530560654</v>
      </c>
      <c r="BV73" s="4" t="n">
        <f aca="false" t="array" ref="BV73:BV73">SUM(Capacity!CP$3:CP$25*Capacity!$DI16/(TRANSPOSE(Dists!$B15:$X15)*MMULT(1/Dists!$B15:$X15,Capacity!$DI$3:$DI$25)))</f>
        <v>10101.2745232076</v>
      </c>
      <c r="BW73" s="0"/>
      <c r="BX73" s="0"/>
      <c r="BY73" s="0"/>
      <c r="BZ73" s="0"/>
      <c r="CA73" s="0"/>
      <c r="CB73" s="0"/>
      <c r="CC73" s="0"/>
      <c r="CE73" s="4" t="n">
        <f aca="false" t="array" ref="CE73:CE73">SUM(Capacity!CY$3:CY$25*Capacity!$DH16/(TRANSPOSE(Dists!$B15:$X15)*MMULT(1/Dists!$B15:$X15,Capacity!$DH$3:$DH$25)))</f>
        <v>211.270390410609</v>
      </c>
      <c r="CG73" s="0"/>
      <c r="CH73" s="0"/>
      <c r="CI73" s="0"/>
      <c r="CJ73" s="0"/>
      <c r="CK73" s="0"/>
    </row>
    <row r="74" customFormat="false" ht="12.8" hidden="false" customHeight="false" outlineLevel="0" collapsed="false">
      <c r="A74" s="4" t="s">
        <v>151</v>
      </c>
      <c r="B74" s="7" t="s">
        <v>39</v>
      </c>
      <c r="C74" s="4" t="n">
        <f aca="false" t="array" ref="C74:C74">SUM(Capacity!S$3:S$25*Capacity!$DH17/(TRANSPOSE(Dists!$B16:$X16)*MMULT(1/Dists!$B16:$X16,Capacity!$DH$3:$DH$25)))</f>
        <v>6354.72679106137</v>
      </c>
      <c r="D74" s="4" t="n">
        <f aca="false" t="array" ref="D74:D74">SUM(Capacity!V$3:V$25*Capacity!$DH17/(TRANSPOSE(Dists!$B16:$X16)*MMULT(1/Dists!$B16:$X16,Capacity!$DH$3:$DH$25)))</f>
        <v>8331.69740731619</v>
      </c>
      <c r="E74" s="4" t="n">
        <f aca="false" t="array" ref="E74:E74">SUM(Capacity!Y$3:Y$25*Capacity!$DH17/(TRANSPOSE(Dists!$B16:$X16)*MMULT(1/Dists!$B16:$X16,Capacity!$DH$3:$DH$25)))</f>
        <v>10107.3928985388</v>
      </c>
      <c r="F74" s="4" t="n">
        <f aca="false" t="array" ref="F74:F74">SUM(Capacity!Z$3:Z$25*Capacity!$DH17/(TRANSPOSE(Dists!$B16:$X16)*MMULT(1/Dists!$B16:$X16,Capacity!$DH$3:$DH$25)))</f>
        <v>3818.28941087273</v>
      </c>
      <c r="G74" s="4" t="n">
        <f aca="false" t="array" ref="G74:G74">SUM(Capacity!AA$3:AA$25*Capacity!$DH17/(TRANSPOSE(Dists!$B16:$X16)*MMULT(1/Dists!$B16:$X16,Capacity!$DH$3:$DH$25)))</f>
        <v>56589.3606683922</v>
      </c>
      <c r="H74" s="4" t="n">
        <f aca="false" t="array" ref="H74:H74">SUM(Capacity!AB$3:AB$25*Capacity!$DI17/(TRANSPOSE(Dists!$B16:$X16)*MMULT(1/Dists!$B16:$X16,Capacity!$DI$3:$DI$25)))</f>
        <v>2983.58882204714</v>
      </c>
      <c r="I74" s="0"/>
      <c r="J74" s="0"/>
      <c r="K74" s="0"/>
      <c r="L74" s="0"/>
      <c r="M74" s="0"/>
      <c r="N74" s="4" t="n">
        <f aca="false" t="array" ref="N74:N74">SUM(Capacity!AH$3:AH$25*Capacity!$DH17/(TRANSPOSE(Dists!$B16:$X16)*MMULT(1/Dists!$B16:$X16,Capacity!$DH$3:$DH$25)))</f>
        <v>71689.767761249</v>
      </c>
      <c r="O74" s="0"/>
      <c r="U74" s="0"/>
      <c r="V74" s="0"/>
      <c r="W74" s="0"/>
      <c r="X74" s="0"/>
      <c r="Y74" s="4" t="n">
        <f aca="false" t="array" ref="Y74:Y74">SUM(Capacity!AS$3:AS$25*Capacity!$DI17/(TRANSPOSE(Dists!$B16:$X16)*MMULT(1/Dists!$B16:$X16,Capacity!$DI$3:$DI$25)))</f>
        <v>318.817974767567</v>
      </c>
      <c r="Z74" s="4" t="n">
        <f aca="false" t="array" ref="Z74:Z74">SUM(Capacity!AT$3:AT$25*Capacity!$DH17/(TRANSPOSE(Dists!$B16:$X16)*MMULT(1/Dists!$B16:$X16,Capacity!$DH$3:$DH$25)))</f>
        <v>441130.018674134</v>
      </c>
      <c r="AA74" s="4" t="n">
        <f aca="false" t="array" ref="AA74:AA74">SUM(Capacity!AU$3:AU$25*Capacity!$DI17/(TRANSPOSE(Dists!$B16:$X16)*MMULT(1/Dists!$B16:$X16,Capacity!$DI$3:$DI$25)))</f>
        <v>22896.7160495845</v>
      </c>
      <c r="AB74" s="4" t="n">
        <f aca="false" t="array" ref="AB74:AB74">SUM(Capacity!AV$3:AV$25*Capacity!$DI17/(TRANSPOSE(Dists!$B16:$X16)*MMULT(1/Dists!$B16:$X16,Capacity!$DI$3:$DI$25)))</f>
        <v>9540.29835399354</v>
      </c>
      <c r="AC74" s="4" t="n">
        <f aca="false" t="array" ref="AC74:AC74">SUM(Capacity!AW$3:AW$25*Capacity!$DH17/(TRANSPOSE(Dists!$B16:$X16)*MMULT(1/Dists!$B16:$X16,Capacity!$DH$3:$DH$25)))</f>
        <v>406.21924574981</v>
      </c>
      <c r="AD74" s="4" t="n">
        <f aca="false" t="array" ref="AD74:AD74">SUM(Capacity!AX$3:AX$25*Capacity!$DI17/(TRANSPOSE(Dists!$B16:$X16)*MMULT(1/Dists!$B16:$X16,Capacity!$DI$3:$DI$25)))</f>
        <v>157.414922840893</v>
      </c>
      <c r="AE74" s="4" t="n">
        <f aca="false" t="array" ref="AE74:AE74">SUM(Capacity!AY$3:AY$25*Capacity!$DI17/(TRANSPOSE(Dists!$B16:$X16)*MMULT(1/Dists!$B16:$X16,Capacity!$DI$3:$DI$25)))</f>
        <v>109.904237038006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4" t="n">
        <f aca="false" t="array" ref="AW74:AW74">SUM(Capacity!BQ$3:BQ$25*Capacity!$DH17/(TRANSPOSE(Dists!$B16:$X16)*MMULT(1/Dists!$B16:$X16,Capacity!$DH$3:$DH$25)))</f>
        <v>1400.56736581753</v>
      </c>
      <c r="AX74" s="0"/>
      <c r="AY74" s="4" t="n">
        <f aca="false" t="array" ref="AY74:AY74">SUM(Capacity!BS$3:BS$25*Capacity!$DH17/(TRANSPOSE(Dists!$B16:$X16)*MMULT(1/Dists!$B16:$X16,Capacity!$DH$3:$DH$25)))</f>
        <v>33.0934769801814</v>
      </c>
      <c r="AZ74" s="4" t="n">
        <f aca="false" t="array" ref="AZ74:AZ74">SUM(Capacity!BT$3:BT$25*Capacity!$DH17/(TRANSPOSE(Dists!$B16:$X16)*MMULT(1/Dists!$B16:$X16,Capacity!$DH$3:$DH$25)))</f>
        <v>46.5377020033802</v>
      </c>
      <c r="BA74" s="0"/>
      <c r="BB74" s="4" t="n">
        <f aca="false" t="array" ref="BB74:BB74">SUM(Capacity!BV$3:BV$25*Capacity!$DI17/(TRANSPOSE(Dists!$B16:$X16)*MMULT(1/Dists!$B16:$X16,Capacity!$DI$3:$DI$25)))</f>
        <v>384.664829633019</v>
      </c>
      <c r="BC74" s="4" t="n">
        <f aca="false" t="array" ref="BC74:BC74">SUM(Capacity!BW$3:BW$25*Capacity!$DI17/(TRANSPOSE(Dists!$B16:$X16)*MMULT(1/Dists!$B16:$X16,Capacity!$DI$3:$DI$25)))</f>
        <v>329.712711114017</v>
      </c>
      <c r="BD74" s="4" t="n">
        <f aca="false" t="array" ref="BD74:BD74">SUM(Capacity!BX$3:BX$25*Capacity!$DI17/(TRANSPOSE(Dists!$B16:$X16)*MMULT(1/Dists!$B16:$X16,Capacity!$DI$3:$DI$25)))</f>
        <v>164.856355557008</v>
      </c>
      <c r="BE74" s="4" t="n">
        <f aca="false" t="array" ref="BE74:BE74">SUM(Capacity!BY$3:BY$25*Capacity!$DI17/(TRANSPOSE(Dists!$B16:$X16)*MMULT(1/Dists!$B16:$X16,Capacity!$DI$3:$DI$25)))</f>
        <v>96.1662074082549</v>
      </c>
      <c r="BF74" s="4" t="n">
        <f aca="false" t="array" ref="BF74:BF74">SUM(Capacity!BZ$3:BZ$25*Capacity!$DH17/(TRANSPOSE(Dists!$B16:$X16)*MMULT(1/Dists!$B16:$X16,Capacity!$DH$3:$DH$25)))</f>
        <v>210085.104872629</v>
      </c>
      <c r="BG74" s="4" t="n">
        <f aca="false" t="array" ref="BG74:BG74">SUM(Capacity!CA$3:CA$25*Capacity!$DI17/(TRANSPOSE(Dists!$B16:$X16)*MMULT(1/Dists!$B16:$X16,Capacity!$DI$3:$DI$25)))</f>
        <v>7442.10892570458</v>
      </c>
      <c r="BH74" s="4" t="n">
        <f aca="false" t="array" ref="BH74:BH74">SUM(Capacity!CB$3:CB$25*Capacity!$DI17/(TRANSPOSE(Dists!$B16:$X16)*MMULT(1/Dists!$B16:$X16,Capacity!$DI$3:$DI$25)))</f>
        <v>12622.5754170988</v>
      </c>
      <c r="BI74" s="4" t="n">
        <f aca="false" t="array" ref="BI74:BI74">SUM(Capacity!CC$3:CC$25*Capacity!$DI17/(TRANSPOSE(Dists!$B16:$X16)*MMULT(1/Dists!$B16:$X16,Capacity!$DI$3:$DI$25)))</f>
        <v>19845.6238018789</v>
      </c>
      <c r="BJ74" s="0"/>
      <c r="BK74" s="4" t="n">
        <f aca="false" t="array" ref="BK74:BK74">SUM(Capacity!CE$3:CE$25*Capacity!$DI17/(TRANSPOSE(Dists!$B16:$X16)*MMULT(1/Dists!$B16:$X16,Capacity!$DI$3:$DI$25)))</f>
        <v>9922.81190093944</v>
      </c>
      <c r="BL74" s="0"/>
      <c r="BM74" s="0"/>
      <c r="BN74" s="4" t="n">
        <f aca="false" t="array" ref="BN74:BN74">SUM(Capacity!CH$3:CH$25*Capacity!$DH17/(TRANSPOSE(Dists!$B16:$X16)*MMULT(1/Dists!$B16:$X16,Capacity!$DH$3:$DH$25)))</f>
        <v>2129223.90793637</v>
      </c>
      <c r="BO74" s="4" t="n">
        <f aca="false" t="array" ref="BO74:BO74">SUM(Capacity!CI$3:CI$25*Capacity!$DH17/(TRANSPOSE(Dists!$B16:$X16)*MMULT(1/Dists!$B16:$X16,Capacity!$DH$3:$DH$25)))</f>
        <v>4258.44859056991</v>
      </c>
      <c r="BP74" s="4" t="n">
        <f aca="false" t="array" ref="BP74:BP74">SUM(Capacity!CJ$3:CJ$25*Capacity!$DH17/(TRANSPOSE(Dists!$B16:$X16)*MMULT(1/Dists!$B16:$X16,Capacity!$DH$3:$DH$25)))</f>
        <v>496818.912446943</v>
      </c>
      <c r="BQ74" s="4" t="n">
        <f aca="false" t="array" ref="BQ74:BQ74">SUM(Capacity!CK$3:CK$25*Capacity!$DH17/(TRANSPOSE(Dists!$B16:$X16)*MMULT(1/Dists!$B16:$X16,Capacity!$DH$3:$DH$25)))</f>
        <v>461331.847327608</v>
      </c>
      <c r="BR74" s="4" t="n">
        <f aca="false" t="array" ref="BR74:BR74">SUM(Capacity!CL$3:CL$25*Capacity!$DH17/(TRANSPOSE(Dists!$B16:$X16)*MMULT(1/Dists!$B16:$X16,Capacity!$DH$3:$DH$25)))</f>
        <v>1419.48338102309</v>
      </c>
      <c r="BS74" s="4" t="n">
        <f aca="false" t="array" ref="BS74:BS74">SUM(Capacity!CM$3:CM$25*Capacity!$DH17/(TRANSPOSE(Dists!$B16:$X16)*MMULT(1/Dists!$B16:$X16,Capacity!$DH$3:$DH$25)))</f>
        <v>709.742078636386</v>
      </c>
      <c r="BT74" s="4" t="n">
        <f aca="false" t="array" ref="BT74:BT74">SUM(Capacity!CN$3:CN$25*Capacity!$DI17/(TRANSPOSE(Dists!$B16:$X16)*MMULT(1/Dists!$B16:$X16,Capacity!$DI$3:$DI$25)))</f>
        <v>839546.255151432</v>
      </c>
      <c r="BU74" s="4" t="n">
        <f aca="false" t="array" ref="BU74:BU74">SUM(Capacity!CO$3:CO$25*Capacity!$DI17/(TRANSPOSE(Dists!$B16:$X16)*MMULT(1/Dists!$B16:$X16,Capacity!$DI$3:$DI$25)))</f>
        <v>91586.864198338</v>
      </c>
      <c r="BV74" s="4" t="n">
        <f aca="false" t="array" ref="BV74:BV74">SUM(Capacity!CP$3:CP$25*Capacity!$DI17/(TRANSPOSE(Dists!$B16:$X16)*MMULT(1/Dists!$B16:$X16,Capacity!$DI$3:$DI$25)))</f>
        <v>10685.1341564728</v>
      </c>
      <c r="BW74" s="0"/>
      <c r="BX74" s="0"/>
      <c r="BY74" s="0"/>
      <c r="BZ74" s="0"/>
      <c r="CA74" s="0"/>
      <c r="CB74" s="0"/>
      <c r="CC74" s="0"/>
      <c r="CE74" s="4" t="n">
        <f aca="false" t="array" ref="CE74:CE74">SUM(Capacity!CY$3:CY$25*Capacity!$DH17/(TRANSPOSE(Dists!$B16:$X16)*MMULT(1/Dists!$B16:$X16,Capacity!$DH$3:$DH$25)))</f>
        <v>262.606381090786</v>
      </c>
      <c r="CG74" s="0"/>
      <c r="CH74" s="0"/>
      <c r="CI74" s="0"/>
      <c r="CJ74" s="0"/>
      <c r="CK74" s="0"/>
    </row>
    <row r="75" customFormat="false" ht="12.8" hidden="false" customHeight="false" outlineLevel="0" collapsed="false">
      <c r="A75" s="4" t="s">
        <v>152</v>
      </c>
      <c r="B75" s="7" t="s">
        <v>39</v>
      </c>
      <c r="C75" s="4" t="n">
        <f aca="false" t="array" ref="C75:C75">SUM(Capacity!S$3:S$25*Capacity!$DH18/(TRANSPOSE(Dists!$B17:$X17)*MMULT(1/Dists!$B17:$X17,Capacity!$DH$3:$DH$25)))</f>
        <v>10130.9016315465</v>
      </c>
      <c r="D75" s="4" t="n">
        <f aca="false" t="array" ref="D75:D75">SUM(Capacity!V$3:V$25*Capacity!$DH18/(TRANSPOSE(Dists!$B17:$X17)*MMULT(1/Dists!$B17:$X17,Capacity!$DH$3:$DH$25)))</f>
        <v>13147.6745918381</v>
      </c>
      <c r="E75" s="4" t="n">
        <f aca="false" t="array" ref="E75:E75">SUM(Capacity!Y$3:Y$25*Capacity!$DH18/(TRANSPOSE(Dists!$B17:$X17)*MMULT(1/Dists!$B17:$X17,Capacity!$DH$3:$DH$25)))</f>
        <v>16268.6606838177</v>
      </c>
      <c r="F75" s="4" t="n">
        <f aca="false" t="array" ref="F75:F75">SUM(Capacity!Z$3:Z$25*Capacity!$DH18/(TRANSPOSE(Dists!$B17:$X17)*MMULT(1/Dists!$B17:$X17,Capacity!$DH$3:$DH$25)))</f>
        <v>6214.3341951168</v>
      </c>
      <c r="G75" s="4" t="n">
        <f aca="false" t="array" ref="G75:G75">SUM(Capacity!AA$3:AA$25*Capacity!$DH18/(TRANSPOSE(Dists!$B17:$X17)*MMULT(1/Dists!$B17:$X17,Capacity!$DH$3:$DH$25)))</f>
        <v>89110.1202542457</v>
      </c>
      <c r="H75" s="4" t="n">
        <f aca="false" t="array" ref="H75:H75">SUM(Capacity!AB$3:AB$25*Capacity!$DI18/(TRANSPOSE(Dists!$B17:$X17)*MMULT(1/Dists!$B17:$X17,Capacity!$DI$3:$DI$25)))</f>
        <v>2833.74946857093</v>
      </c>
      <c r="I75" s="0"/>
      <c r="J75" s="0"/>
      <c r="K75" s="0"/>
      <c r="L75" s="0"/>
      <c r="M75" s="0"/>
      <c r="N75" s="4" t="n">
        <f aca="false" t="array" ref="N75:N75">SUM(Capacity!AH$3:AH$25*Capacity!$DH18/(TRANSPOSE(Dists!$B17:$X17)*MMULT(1/Dists!$B17:$X17,Capacity!$DH$3:$DH$25)))</f>
        <v>112209.348730957</v>
      </c>
      <c r="O75" s="0"/>
      <c r="U75" s="0"/>
      <c r="V75" s="0"/>
      <c r="W75" s="0"/>
      <c r="X75" s="0"/>
      <c r="Y75" s="4" t="n">
        <f aca="false" t="array" ref="Y75:Y75">SUM(Capacity!AS$3:AS$25*Capacity!$DI18/(TRANSPOSE(Dists!$B17:$X17)*MMULT(1/Dists!$B17:$X17,Capacity!$DI$3:$DI$25)))</f>
        <v>321.173778040992</v>
      </c>
      <c r="Z75" s="4" t="n">
        <f aca="false" t="array" ref="Z75:Z75">SUM(Capacity!AT$3:AT$25*Capacity!$DH18/(TRANSPOSE(Dists!$B17:$X17)*MMULT(1/Dists!$B17:$X17,Capacity!$DH$3:$DH$25)))</f>
        <v>664261.551459787</v>
      </c>
      <c r="AA75" s="4" t="n">
        <f aca="false" t="array" ref="AA75:AA75">SUM(Capacity!AU$3:AU$25*Capacity!$DI18/(TRANSPOSE(Dists!$B17:$X17)*MMULT(1/Dists!$B17:$X17,Capacity!$DI$3:$DI$25)))</f>
        <v>25504.1896251889</v>
      </c>
      <c r="AB75" s="4" t="n">
        <f aca="false" t="array" ref="AB75:AB75">SUM(Capacity!AV$3:AV$25*Capacity!$DI18/(TRANSPOSE(Dists!$B17:$X17)*MMULT(1/Dists!$B17:$X17,Capacity!$DI$3:$DI$25)))</f>
        <v>10626.745677162</v>
      </c>
      <c r="AC75" s="4" t="n">
        <f aca="false" t="array" ref="AC75:AC75">SUM(Capacity!AW$3:AW$25*Capacity!$DH18/(TRANSPOSE(Dists!$B17:$X17)*MMULT(1/Dists!$B17:$X17,Capacity!$DH$3:$DH$25)))</f>
        <v>664.083990783351</v>
      </c>
      <c r="AD75" s="4" t="n">
        <f aca="false" t="array" ref="AD75:AD75">SUM(Capacity!AX$3:AX$25*Capacity!$DI18/(TRANSPOSE(Dists!$B17:$X17)*MMULT(1/Dists!$B17:$X17,Capacity!$DI$3:$DI$25)))</f>
        <v>175.341303673174</v>
      </c>
      <c r="AE75" s="4" t="n">
        <f aca="false" t="array" ref="AE75:AE75">SUM(Capacity!AY$3:AY$25*Capacity!$DI18/(TRANSPOSE(Dists!$B17:$X17)*MMULT(1/Dists!$B17:$X17,Capacity!$DI$3:$DI$25)))</f>
        <v>122.420110200907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4" t="n">
        <f aca="false" t="array" ref="AW75:AW75">SUM(Capacity!BQ$3:BQ$25*Capacity!$DH18/(TRANSPOSE(Dists!$B17:$X17)*MMULT(1/Dists!$B17:$X17,Capacity!$DH$3:$DH$25)))</f>
        <v>2289.63638573115</v>
      </c>
      <c r="AX75" s="0"/>
      <c r="AY75" s="4" t="n">
        <f aca="false" t="array" ref="AY75:AY75">SUM(Capacity!BS$3:BS$25*Capacity!$DH18/(TRANSPOSE(Dists!$B17:$X17)*MMULT(1/Dists!$B17:$X17,Capacity!$DH$3:$DH$25)))</f>
        <v>58.3120156319793</v>
      </c>
      <c r="AZ75" s="4" t="n">
        <f aca="false" t="array" ref="AZ75:AZ75">SUM(Capacity!BT$3:BT$25*Capacity!$DH18/(TRANSPOSE(Dists!$B17:$X17)*MMULT(1/Dists!$B17:$X17,Capacity!$DH$3:$DH$25)))</f>
        <v>82.001271982471</v>
      </c>
      <c r="BA75" s="0"/>
      <c r="BB75" s="4" t="n">
        <f aca="false" t="array" ref="BB75:BB75">SUM(Capacity!BV$3:BV$25*Capacity!$DI18/(TRANSPOSE(Dists!$B17:$X17)*MMULT(1/Dists!$B17:$X17,Capacity!$DI$3:$DI$25)))</f>
        <v>428.470385703173</v>
      </c>
      <c r="BC75" s="4" t="n">
        <f aca="false" t="array" ref="BC75:BC75">SUM(Capacity!BW$3:BW$25*Capacity!$DI18/(TRANSPOSE(Dists!$B17:$X17)*MMULT(1/Dists!$B17:$X17,Capacity!$DI$3:$DI$25)))</f>
        <v>367.26033060272</v>
      </c>
      <c r="BD75" s="4" t="n">
        <f aca="false" t="array" ref="BD75:BD75">SUM(Capacity!BX$3:BX$25*Capacity!$DI18/(TRANSPOSE(Dists!$B17:$X17)*MMULT(1/Dists!$B17:$X17,Capacity!$DI$3:$DI$25)))</f>
        <v>183.63016530136</v>
      </c>
      <c r="BE75" s="4" t="n">
        <f aca="false" t="array" ref="BE75:BE75">SUM(Capacity!BY$3:BY$25*Capacity!$DI18/(TRANSPOSE(Dists!$B17:$X17)*MMULT(1/Dists!$B17:$X17,Capacity!$DI$3:$DI$25)))</f>
        <v>107.117596425793</v>
      </c>
      <c r="BF75" s="4" t="n">
        <f aca="false" t="array" ref="BF75:BF75">SUM(Capacity!BZ$3:BZ$25*Capacity!$DH18/(TRANSPOSE(Dists!$B17:$X17)*MMULT(1/Dists!$B17:$X17,Capacity!$DH$3:$DH$25)))</f>
        <v>343445.457859672</v>
      </c>
      <c r="BG75" s="4" t="n">
        <f aca="false" t="array" ref="BG75:BG75">SUM(Capacity!CA$3:CA$25*Capacity!$DI18/(TRANSPOSE(Dists!$B17:$X17)*MMULT(1/Dists!$B17:$X17,Capacity!$DI$3:$DI$25)))</f>
        <v>7690.9716976408</v>
      </c>
      <c r="BH75" s="4" t="n">
        <f aca="false" t="array" ref="BH75:BH75">SUM(Capacity!CB$3:CB$25*Capacity!$DI18/(TRANSPOSE(Dists!$B17:$X17)*MMULT(1/Dists!$B17:$X17,Capacity!$DI$3:$DI$25)))</f>
        <v>12575.5157137114</v>
      </c>
      <c r="BI75" s="4" t="n">
        <f aca="false" t="array" ref="BI75:BI75">SUM(Capacity!CC$3:CC$25*Capacity!$DI18/(TRANSPOSE(Dists!$B17:$X17)*MMULT(1/Dists!$B17:$X17,Capacity!$DI$3:$DI$25)))</f>
        <v>20509.2578603755</v>
      </c>
      <c r="BJ75" s="0"/>
      <c r="BK75" s="4" t="n">
        <f aca="false" t="array" ref="BK75:BK75">SUM(Capacity!CE$3:CE$25*Capacity!$DI18/(TRANSPOSE(Dists!$B17:$X17)*MMULT(1/Dists!$B17:$X17,Capacity!$DI$3:$DI$25)))</f>
        <v>10254.6289301877</v>
      </c>
      <c r="BL75" s="0"/>
      <c r="BM75" s="0"/>
      <c r="BN75" s="4" t="n">
        <f aca="false" t="array" ref="BN75:BN75">SUM(Capacity!CH$3:CH$25*Capacity!$DH18/(TRANSPOSE(Dists!$B17:$X17)*MMULT(1/Dists!$B17:$X17,Capacity!$DH$3:$DH$25)))</f>
        <v>6703334.11027195</v>
      </c>
      <c r="BO75" s="4" t="n">
        <f aca="false" t="array" ref="BO75:BO75">SUM(Capacity!CI$3:CI$25*Capacity!$DH18/(TRANSPOSE(Dists!$B17:$X17)*MMULT(1/Dists!$B17:$X17,Capacity!$DH$3:$DH$25)))</f>
        <v>13406.669257184</v>
      </c>
      <c r="BP75" s="4" t="n">
        <f aca="false" t="array" ref="BP75:BP75">SUM(Capacity!CJ$3:CJ$25*Capacity!$DH18/(TRANSPOSE(Dists!$B17:$X17)*MMULT(1/Dists!$B17:$X17,Capacity!$DH$3:$DH$25)))</f>
        <v>1564111.29319314</v>
      </c>
      <c r="BQ75" s="4" t="n">
        <f aca="false" t="array" ref="BQ75:BQ75">SUM(Capacity!CK$3:CK$25*Capacity!$DH18/(TRANSPOSE(Dists!$B17:$X17)*MMULT(1/Dists!$B17:$X17,Capacity!$DH$3:$DH$25)))</f>
        <v>1452389.05803925</v>
      </c>
      <c r="BR75" s="4" t="n">
        <f aca="false" t="array" ref="BR75:BR75">SUM(Capacity!CL$3:CL$25*Capacity!$DH18/(TRANSPOSE(Dists!$B17:$X17)*MMULT(1/Dists!$B17:$X17,Capacity!$DH$3:$DH$25)))</f>
        <v>4468.89044487305</v>
      </c>
      <c r="BS75" s="4" t="n">
        <f aca="false" t="array" ref="BS75:BS75">SUM(Capacity!CM$3:CM$25*Capacity!$DH18/(TRANSPOSE(Dists!$B17:$X17)*MMULT(1/Dists!$B17:$X17,Capacity!$DH$3:$DH$25)))</f>
        <v>2234.4457417953</v>
      </c>
      <c r="BT75" s="4" t="n">
        <f aca="false" t="array" ref="BT75:BT75">SUM(Capacity!CN$3:CN$25*Capacity!$DI18/(TRANSPOSE(Dists!$B17:$X17)*MMULT(1/Dists!$B17:$X17,Capacity!$DI$3:$DI$25)))</f>
        <v>935153.619590259</v>
      </c>
      <c r="BU75" s="4" t="n">
        <f aca="false" t="array" ref="BU75:BU75">SUM(Capacity!CO$3:CO$25*Capacity!$DI18/(TRANSPOSE(Dists!$B17:$X17)*MMULT(1/Dists!$B17:$X17,Capacity!$DI$3:$DI$25)))</f>
        <v>102016.758500756</v>
      </c>
      <c r="BV75" s="4" t="n">
        <f aca="false" t="array" ref="BV75:BV75">SUM(Capacity!CP$3:CP$25*Capacity!$DI18/(TRANSPOSE(Dists!$B17:$X17)*MMULT(1/Dists!$B17:$X17,Capacity!$DI$3:$DI$25)))</f>
        <v>11901.9551584215</v>
      </c>
      <c r="BW75" s="0"/>
      <c r="BX75" s="0"/>
      <c r="BY75" s="0"/>
      <c r="BZ75" s="0"/>
      <c r="CA75" s="0"/>
      <c r="CB75" s="0"/>
      <c r="CC75" s="0"/>
      <c r="CE75" s="4" t="n">
        <f aca="false" t="array" ref="CE75:CE75">SUM(Capacity!CY$3:CY$25*Capacity!$DH18/(TRANSPOSE(Dists!$B17:$X17)*MMULT(1/Dists!$B17:$X17,Capacity!$DH$3:$DH$25)))</f>
        <v>429.306822324591</v>
      </c>
      <c r="CG75" s="0"/>
      <c r="CH75" s="0"/>
      <c r="CI75" s="0"/>
      <c r="CJ75" s="0"/>
      <c r="CK75" s="0"/>
    </row>
    <row r="76" customFormat="false" ht="12.8" hidden="false" customHeight="false" outlineLevel="0" collapsed="false">
      <c r="A76" s="4" t="s">
        <v>153</v>
      </c>
      <c r="B76" s="7" t="s">
        <v>39</v>
      </c>
      <c r="C76" s="4" t="n">
        <f aca="false" t="array" ref="C76:C76">SUM(Capacity!S$3:S$25*Capacity!$DH19/(TRANSPOSE(Dists!$B18:$X18)*MMULT(1/Dists!$B18:$X18,Capacity!$DH$3:$DH$25)))</f>
        <v>5060.665926769</v>
      </c>
      <c r="D76" s="4" t="n">
        <f aca="false" t="array" ref="D76:D76">SUM(Capacity!V$3:V$25*Capacity!$DH19/(TRANSPOSE(Dists!$B18:$X18)*MMULT(1/Dists!$B18:$X18,Capacity!$DH$3:$DH$25)))</f>
        <v>6515.16743087409</v>
      </c>
      <c r="E76" s="4" t="n">
        <f aca="false" t="array" ref="E76:E76">SUM(Capacity!Y$3:Y$25*Capacity!$DH19/(TRANSPOSE(Dists!$B18:$X18)*MMULT(1/Dists!$B18:$X18,Capacity!$DH$3:$DH$25)))</f>
        <v>8242.59221675984</v>
      </c>
      <c r="F76" s="4" t="n">
        <f aca="false" t="array" ref="F76:F76">SUM(Capacity!Z$3:Z$25*Capacity!$DH19/(TRANSPOSE(Dists!$B18:$X18)*MMULT(1/Dists!$B18:$X18,Capacity!$DH$3:$DH$25)))</f>
        <v>3199.22189254843</v>
      </c>
      <c r="G76" s="4" t="n">
        <f aca="false" t="array" ref="G76:G76">SUM(Capacity!AA$3:AA$25*Capacity!$DH19/(TRANSPOSE(Dists!$B18:$X18)*MMULT(1/Dists!$B18:$X18,Capacity!$DH$3:$DH$25)))</f>
        <v>44082.9839657994</v>
      </c>
      <c r="H76" s="4" t="n">
        <f aca="false" t="array" ref="H76:H76">SUM(Capacity!AB$3:AB$25*Capacity!$DI19/(TRANSPOSE(Dists!$B18:$X18)*MMULT(1/Dists!$B18:$X18,Capacity!$DI$3:$DI$25)))</f>
        <v>2421.29680173193</v>
      </c>
      <c r="I76" s="0"/>
      <c r="J76" s="0"/>
      <c r="K76" s="0"/>
      <c r="L76" s="0"/>
      <c r="M76" s="0"/>
      <c r="N76" s="4" t="n">
        <f aca="false" t="array" ref="N76:N76">SUM(Capacity!AH$3:AH$25*Capacity!$DH19/(TRANSPOSE(Dists!$B18:$X18)*MMULT(1/Dists!$B18:$X18,Capacity!$DH$3:$DH$25)))</f>
        <v>55392.7955231663</v>
      </c>
      <c r="O76" s="0"/>
      <c r="U76" s="0"/>
      <c r="V76" s="0"/>
      <c r="W76" s="0"/>
      <c r="X76" s="0"/>
      <c r="Y76" s="4" t="n">
        <f aca="false" t="array" ref="Y76:Y76">SUM(Capacity!AS$3:AS$25*Capacity!$DI19/(TRANSPOSE(Dists!$B18:$X18)*MMULT(1/Dists!$B18:$X18,Capacity!$DI$3:$DI$25)))</f>
        <v>286.737562357545</v>
      </c>
      <c r="Z76" s="4" t="n">
        <f aca="false" t="array" ref="Z76:Z76">SUM(Capacity!AT$3:AT$25*Capacity!$DH19/(TRANSPOSE(Dists!$B18:$X18)*MMULT(1/Dists!$B18:$X18,Capacity!$DH$3:$DH$25)))</f>
        <v>301745.731103004</v>
      </c>
      <c r="AA76" s="4" t="n">
        <f aca="false" t="array" ref="AA76:AA76">SUM(Capacity!AU$3:AU$25*Capacity!$DI19/(TRANSPOSE(Dists!$B18:$X18)*MMULT(1/Dists!$B18:$X18,Capacity!$DI$3:$DI$25)))</f>
        <v>22383.0327445024</v>
      </c>
      <c r="AB76" s="4" t="n">
        <f aca="false" t="array" ref="AB76:AB76">SUM(Capacity!AV$3:AV$25*Capacity!$DI19/(TRANSPOSE(Dists!$B18:$X18)*MMULT(1/Dists!$B18:$X18,Capacity!$DI$3:$DI$25)))</f>
        <v>9326.26364354267</v>
      </c>
      <c r="AC76" s="4" t="n">
        <f aca="false" t="array" ref="AC76:AC76">SUM(Capacity!AW$3:AW$25*Capacity!$DH19/(TRANSPOSE(Dists!$B18:$X18)*MMULT(1/Dists!$B18:$X18,Capacity!$DH$3:$DH$25)))</f>
        <v>330.799733611041</v>
      </c>
      <c r="AD76" s="4" t="n">
        <f aca="false" t="array" ref="AD76:AD76">SUM(Capacity!AX$3:AX$25*Capacity!$DI19/(TRANSPOSE(Dists!$B18:$X18)*MMULT(1/Dists!$B18:$X18,Capacity!$DI$3:$DI$25)))</f>
        <v>153.883350118454</v>
      </c>
      <c r="AE76" s="4" t="n">
        <f aca="false" t="array" ref="AE76:AE76">SUM(Capacity!AY$3:AY$25*Capacity!$DI19/(TRANSPOSE(Dists!$B18:$X18)*MMULT(1/Dists!$B18:$X18,Capacity!$DI$3:$DI$25)))</f>
        <v>107.438557173612</v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4" t="n">
        <f aca="false" t="array" ref="AW76:AW76">SUM(Capacity!BQ$3:BQ$25*Capacity!$DH19/(TRANSPOSE(Dists!$B18:$X18)*MMULT(1/Dists!$B18:$X18,Capacity!$DH$3:$DH$25)))</f>
        <v>1140.53510847712</v>
      </c>
      <c r="AX76" s="0"/>
      <c r="AY76" s="4" t="n">
        <f aca="false" t="array" ref="AY76:AY76">SUM(Capacity!BS$3:BS$25*Capacity!$DH19/(TRANSPOSE(Dists!$B18:$X18)*MMULT(1/Dists!$B18:$X18,Capacity!$DH$3:$DH$25)))</f>
        <v>28.7598117081669</v>
      </c>
      <c r="AZ76" s="4" t="n">
        <f aca="false" t="array" ref="AZ76:AZ76">SUM(Capacity!BT$3:BT$25*Capacity!$DH19/(TRANSPOSE(Dists!$B18:$X18)*MMULT(1/Dists!$B18:$X18,Capacity!$DH$3:$DH$25)))</f>
        <v>40.4434852146097</v>
      </c>
      <c r="BA76" s="0"/>
      <c r="BB76" s="4" t="n">
        <f aca="false" t="array" ref="BB76:BB76">SUM(Capacity!BV$3:BV$25*Capacity!$DI19/(TRANSPOSE(Dists!$B18:$X18)*MMULT(1/Dists!$B18:$X18,Capacity!$DI$3:$DI$25)))</f>
        <v>376.034950107641</v>
      </c>
      <c r="BC76" s="4" t="n">
        <f aca="false" t="array" ref="BC76:BC76">SUM(Capacity!BW$3:BW$25*Capacity!$DI19/(TRANSPOSE(Dists!$B18:$X18)*MMULT(1/Dists!$B18:$X18,Capacity!$DI$3:$DI$25)))</f>
        <v>322.315671520835</v>
      </c>
      <c r="BD76" s="4" t="n">
        <f aca="false" t="array" ref="BD76:BD76">SUM(Capacity!BX$3:BX$25*Capacity!$DI19/(TRANSPOSE(Dists!$B18:$X18)*MMULT(1/Dists!$B18:$X18,Capacity!$DI$3:$DI$25)))</f>
        <v>161.157835760417</v>
      </c>
      <c r="BE76" s="4" t="n">
        <f aca="false" t="array" ref="BE76:BE76">SUM(Capacity!BY$3:BY$25*Capacity!$DI19/(TRANSPOSE(Dists!$B18:$X18)*MMULT(1/Dists!$B18:$X18,Capacity!$DI$3:$DI$25)))</f>
        <v>94.0087375269101</v>
      </c>
      <c r="BF76" s="4" t="n">
        <f aca="false" t="array" ref="BF76:BF76">SUM(Capacity!BZ$3:BZ$25*Capacity!$DH19/(TRANSPOSE(Dists!$B18:$X18)*MMULT(1/Dists!$B18:$X18,Capacity!$DH$3:$DH$25)))</f>
        <v>171080.266271569</v>
      </c>
      <c r="BG76" s="4" t="n">
        <f aca="false" t="array" ref="BG76:BG76">SUM(Capacity!CA$3:CA$25*Capacity!$DI19/(TRANSPOSE(Dists!$B18:$X18)*MMULT(1/Dists!$B18:$X18,Capacity!$DI$3:$DI$25)))</f>
        <v>6817.14874653837</v>
      </c>
      <c r="BH76" s="4" t="n">
        <f aca="false" t="array" ref="BH76:BH76">SUM(Capacity!CB$3:CB$25*Capacity!$DI19/(TRANSPOSE(Dists!$B18:$X18)*MMULT(1/Dists!$B18:$X18,Capacity!$DI$3:$DI$25)))</f>
        <v>10723.5721886129</v>
      </c>
      <c r="BI76" s="4" t="n">
        <f aca="false" t="array" ref="BI76:BI76">SUM(Capacity!CC$3:CC$25*Capacity!$DI19/(TRANSPOSE(Dists!$B18:$X18)*MMULT(1/Dists!$B18:$X18,Capacity!$DI$3:$DI$25)))</f>
        <v>18179.0633241023</v>
      </c>
      <c r="BJ76" s="0"/>
      <c r="BK76" s="4" t="n">
        <f aca="false" t="array" ref="BK76:BK76">SUM(Capacity!CE$3:CE$25*Capacity!$DI19/(TRANSPOSE(Dists!$B18:$X18)*MMULT(1/Dists!$B18:$X18,Capacity!$DI$3:$DI$25)))</f>
        <v>9089.53166205116</v>
      </c>
      <c r="BL76" s="0"/>
      <c r="BM76" s="0"/>
      <c r="BN76" s="4" t="n">
        <f aca="false" t="array" ref="BN76:BN76">SUM(Capacity!CH$3:CH$25*Capacity!$DH19/(TRANSPOSE(Dists!$B18:$X18)*MMULT(1/Dists!$B18:$X18,Capacity!$DH$3:$DH$25)))</f>
        <v>2707993.92414868</v>
      </c>
      <c r="BO76" s="4" t="n">
        <f aca="false" t="array" ref="BO76:BO76">SUM(Capacity!CI$3:CI$25*Capacity!$DH19/(TRANSPOSE(Dists!$B18:$X18)*MMULT(1/Dists!$B18:$X18,Capacity!$DH$3:$DH$25)))</f>
        <v>5415.98840229733</v>
      </c>
      <c r="BP76" s="4" t="n">
        <f aca="false" t="array" ref="BP76:BP76">SUM(Capacity!CJ$3:CJ$25*Capacity!$DH19/(TRANSPOSE(Dists!$B18:$X18)*MMULT(1/Dists!$B18:$X18,Capacity!$DH$3:$DH$25)))</f>
        <v>631865.24939361</v>
      </c>
      <c r="BQ76" s="4" t="n">
        <f aca="false" t="array" ref="BQ76:BQ76">SUM(Capacity!CK$3:CK$25*Capacity!$DH19/(TRANSPOSE(Dists!$B18:$X18)*MMULT(1/Dists!$B18:$X18,Capacity!$DH$3:$DH$25)))</f>
        <v>586732.017333717</v>
      </c>
      <c r="BR76" s="4" t="n">
        <f aca="false" t="array" ref="BR76:BR76">SUM(Capacity!CL$3:CL$25*Capacity!$DH19/(TRANSPOSE(Dists!$B18:$X18)*MMULT(1/Dists!$B18:$X18,Capacity!$DH$3:$DH$25)))</f>
        <v>1805.32983750591</v>
      </c>
      <c r="BS76" s="4" t="n">
        <f aca="false" t="array" ref="BS76:BS76">SUM(Capacity!CM$3:CM$25*Capacity!$DH19/(TRANSPOSE(Dists!$B18:$X18)*MMULT(1/Dists!$B18:$X18,Capacity!$DH$3:$DH$25)))</f>
        <v>902.665196308051</v>
      </c>
      <c r="BT76" s="4" t="n">
        <f aca="false" t="array" ref="BT76:BT76">SUM(Capacity!CN$3:CN$25*Capacity!$DI19/(TRANSPOSE(Dists!$B18:$X18)*MMULT(1/Dists!$B18:$X18,Capacity!$DI$3:$DI$25)))</f>
        <v>820711.200631756</v>
      </c>
      <c r="BU76" s="4" t="n">
        <f aca="false" t="array" ref="BU76:BU76">SUM(Capacity!CO$3:CO$25*Capacity!$DI19/(TRANSPOSE(Dists!$B18:$X18)*MMULT(1/Dists!$B18:$X18,Capacity!$DI$3:$DI$25)))</f>
        <v>89532.1309780097</v>
      </c>
      <c r="BV76" s="4" t="n">
        <f aca="false" t="array" ref="BV76:BV76">SUM(Capacity!CP$3:CP$25*Capacity!$DI19/(TRANSPOSE(Dists!$B18:$X18)*MMULT(1/Dists!$B18:$X18,Capacity!$DI$3:$DI$25)))</f>
        <v>10445.4152807678</v>
      </c>
      <c r="BW76" s="0"/>
      <c r="BX76" s="0"/>
      <c r="BY76" s="0"/>
      <c r="BZ76" s="0"/>
      <c r="CA76" s="0"/>
      <c r="CB76" s="0"/>
      <c r="CC76" s="0"/>
      <c r="CE76" s="4" t="n">
        <f aca="false" t="array" ref="CE76:CE76">SUM(Capacity!CY$3:CY$25*Capacity!$DH19/(TRANSPOSE(Dists!$B18:$X18)*MMULT(1/Dists!$B18:$X18,Capacity!$DH$3:$DH$25)))</f>
        <v>213.850332839461</v>
      </c>
      <c r="CG76" s="0"/>
      <c r="CH76" s="0"/>
      <c r="CI76" s="0"/>
      <c r="CJ76" s="0"/>
      <c r="CK76" s="0"/>
    </row>
    <row r="77" customFormat="false" ht="12.8" hidden="false" customHeight="false" outlineLevel="0" collapsed="false">
      <c r="A77" s="4" t="s">
        <v>155</v>
      </c>
      <c r="B77" s="7" t="s">
        <v>39</v>
      </c>
      <c r="C77" s="4" t="n">
        <f aca="false" t="array" ref="C77:C77">SUM(Capacity!S$3:S$25*Capacity!$DH20/(TRANSPOSE(Dists!$B19:$X19)*MMULT(1/Dists!$B19:$X19,Capacity!$DH$3:$DH$25)))</f>
        <v>4432.03843188095</v>
      </c>
      <c r="D77" s="4" t="n">
        <f aca="false" t="array" ref="D77:D77">SUM(Capacity!V$3:V$25*Capacity!$DH20/(TRANSPOSE(Dists!$B19:$X19)*MMULT(1/Dists!$B19:$X19,Capacity!$DH$3:$DH$25)))</f>
        <v>5432.85167584272</v>
      </c>
      <c r="E77" s="4" t="n">
        <f aca="false" t="array" ref="E77:E77">SUM(Capacity!Y$3:Y$25*Capacity!$DH20/(TRANSPOSE(Dists!$B19:$X19)*MMULT(1/Dists!$B19:$X19,Capacity!$DH$3:$DH$25)))</f>
        <v>7613.13992490849</v>
      </c>
      <c r="F77" s="4" t="n">
        <f aca="false" t="array" ref="F77:F77">SUM(Capacity!Z$3:Z$25*Capacity!$DH20/(TRANSPOSE(Dists!$B19:$X19)*MMULT(1/Dists!$B19:$X19,Capacity!$DH$3:$DH$25)))</f>
        <v>3124.96240009336</v>
      </c>
      <c r="G77" s="4" t="n">
        <f aca="false" t="array" ref="G77:G77">SUM(Capacity!AA$3:AA$25*Capacity!$DH20/(TRANSPOSE(Dists!$B19:$X19)*MMULT(1/Dists!$B19:$X19,Capacity!$DH$3:$DH$25)))</f>
        <v>36369.350529784</v>
      </c>
      <c r="H77" s="4" t="n">
        <f aca="false" t="array" ref="H77:H77">SUM(Capacity!AB$3:AB$25*Capacity!$DI20/(TRANSPOSE(Dists!$B19:$X19)*MMULT(1/Dists!$B19:$X19,Capacity!$DI$3:$DI$25)))</f>
        <v>959.368193724432</v>
      </c>
      <c r="I77" s="0"/>
      <c r="J77" s="0"/>
      <c r="K77" s="0"/>
      <c r="L77" s="0"/>
      <c r="M77" s="0"/>
      <c r="N77" s="4" t="n">
        <f aca="false" t="array" ref="N77:N77">SUM(Capacity!AH$3:AH$25*Capacity!$DH20/(TRANSPOSE(Dists!$B19:$X19)*MMULT(1/Dists!$B19:$X19,Capacity!$DH$3:$DH$25)))</f>
        <v>47038.4607695051</v>
      </c>
      <c r="O77" s="0"/>
      <c r="U77" s="0"/>
      <c r="V77" s="0"/>
      <c r="W77" s="0"/>
      <c r="X77" s="0"/>
      <c r="Y77" s="4" t="n">
        <f aca="false" t="array" ref="Y77:Y77">SUM(Capacity!AS$3:AS$25*Capacity!$DI20/(TRANSPOSE(Dists!$B19:$X19)*MMULT(1/Dists!$B19:$X19,Capacity!$DI$3:$DI$25)))</f>
        <v>127.385329247172</v>
      </c>
      <c r="Z77" s="4" t="n">
        <f aca="false" t="array" ref="Z77:Z77">SUM(Capacity!AT$3:AT$25*Capacity!$DH20/(TRANSPOSE(Dists!$B19:$X19)*MMULT(1/Dists!$B19:$X19,Capacity!$DH$3:$DH$25)))</f>
        <v>223102.811441564</v>
      </c>
      <c r="AA77" s="4" t="n">
        <f aca="false" t="array" ref="AA77:AA77">SUM(Capacity!AU$3:AU$25*Capacity!$DI20/(TRANSPOSE(Dists!$B19:$X19)*MMULT(1/Dists!$B19:$X19,Capacity!$DI$3:$DI$25)))</f>
        <v>8312.79534192775</v>
      </c>
      <c r="AB77" s="4" t="n">
        <f aca="false" t="array" ref="AB77:AB77">SUM(Capacity!AV$3:AV$25*Capacity!$DI20/(TRANSPOSE(Dists!$B19:$X19)*MMULT(1/Dists!$B19:$X19,Capacity!$DI$3:$DI$25)))</f>
        <v>3463.66472580323</v>
      </c>
      <c r="AC77" s="4" t="n">
        <f aca="false" t="array" ref="AC77:AC77">SUM(Capacity!AW$3:AW$25*Capacity!$DH20/(TRANSPOSE(Dists!$B19:$X19)*MMULT(1/Dists!$B19:$X19,Capacity!$DH$3:$DH$25)))</f>
        <v>269.860635049004</v>
      </c>
      <c r="AD77" s="4" t="n">
        <f aca="false" t="array" ref="AD77:AD77">SUM(Capacity!AX$3:AX$25*Capacity!$DI20/(TRANSPOSE(Dists!$B19:$X19)*MMULT(1/Dists!$B19:$X19,Capacity!$DI$3:$DI$25)))</f>
        <v>57.1504679757533</v>
      </c>
      <c r="AE77" s="4" t="n">
        <f aca="false" t="array" ref="AE77:AE77">SUM(Capacity!AY$3:AY$25*Capacity!$DI20/(TRANSPOSE(Dists!$B19:$X19)*MMULT(1/Dists!$B19:$X19,Capacity!$DI$3:$DI$25)))</f>
        <v>39.9014176412532</v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4" t="n">
        <f aca="false" t="array" ref="AW77:AW77">SUM(Capacity!BQ$3:BQ$25*Capacity!$DH20/(TRANSPOSE(Dists!$B19:$X19)*MMULT(1/Dists!$B19:$X19,Capacity!$DH$3:$DH$25)))</f>
        <v>930.428586835624</v>
      </c>
      <c r="AX77" s="0"/>
      <c r="AY77" s="4" t="n">
        <f aca="false" t="array" ref="AY77:AY77">SUM(Capacity!BS$3:BS$25*Capacity!$DH20/(TRANSPOSE(Dists!$B19:$X19)*MMULT(1/Dists!$B19:$X19,Capacity!$DH$3:$DH$25)))</f>
        <v>21.1800369749939</v>
      </c>
      <c r="AZ77" s="4" t="n">
        <f aca="false" t="array" ref="AZ77:AZ77">SUM(Capacity!BT$3:BT$25*Capacity!$DH20/(TRANSPOSE(Dists!$B19:$X19)*MMULT(1/Dists!$B19:$X19,Capacity!$DH$3:$DH$25)))</f>
        <v>29.7844269960851</v>
      </c>
      <c r="BA77" s="0"/>
      <c r="BB77" s="4" t="n">
        <f aca="false" t="array" ref="BB77:BB77">SUM(Capacity!BV$3:BV$25*Capacity!$DI20/(TRANSPOSE(Dists!$B19:$X19)*MMULT(1/Dists!$B19:$X19,Capacity!$DI$3:$DI$25)))</f>
        <v>139.654961744386</v>
      </c>
      <c r="BC77" s="4" t="n">
        <f aca="false" t="array" ref="BC77:BC77">SUM(Capacity!BW$3:BW$25*Capacity!$DI20/(TRANSPOSE(Dists!$B19:$X19)*MMULT(1/Dists!$B19:$X19,Capacity!$DI$3:$DI$25)))</f>
        <v>119.70425292376</v>
      </c>
      <c r="BD77" s="4" t="n">
        <f aca="false" t="array" ref="BD77:BD77">SUM(Capacity!BX$3:BX$25*Capacity!$DI20/(TRANSPOSE(Dists!$B19:$X19)*MMULT(1/Dists!$B19:$X19,Capacity!$DI$3:$DI$25)))</f>
        <v>59.8521264618797</v>
      </c>
      <c r="BE77" s="4" t="n">
        <f aca="false" t="array" ref="BE77:BE77">SUM(Capacity!BY$3:BY$25*Capacity!$DI20/(TRANSPOSE(Dists!$B19:$X19)*MMULT(1/Dists!$B19:$X19,Capacity!$DI$3:$DI$25)))</f>
        <v>34.9137404360965</v>
      </c>
      <c r="BF77" s="4" t="n">
        <f aca="false" t="array" ref="BF77:BF77">SUM(Capacity!BZ$3:BZ$25*Capacity!$DH20/(TRANSPOSE(Dists!$B19:$X19)*MMULT(1/Dists!$B19:$X19,Capacity!$DH$3:$DH$25)))</f>
        <v>139564.288025344</v>
      </c>
      <c r="BG77" s="4" t="n">
        <f aca="false" t="array" ref="BG77:BG77">SUM(Capacity!CA$3:CA$25*Capacity!$DI20/(TRANSPOSE(Dists!$B19:$X19)*MMULT(1/Dists!$B19:$X19,Capacity!$DI$3:$DI$25)))</f>
        <v>2804.55938183838</v>
      </c>
      <c r="BH77" s="4" t="n">
        <f aca="false" t="array" ref="BH77:BH77">SUM(Capacity!CB$3:CB$25*Capacity!$DI20/(TRANSPOSE(Dists!$B19:$X19)*MMULT(1/Dists!$B19:$X19,Capacity!$DI$3:$DI$25)))</f>
        <v>3980.40274043205</v>
      </c>
      <c r="BI77" s="4" t="n">
        <f aca="false" t="array" ref="BI77:BI77">SUM(Capacity!CC$3:CC$25*Capacity!$DI20/(TRANSPOSE(Dists!$B19:$X19)*MMULT(1/Dists!$B19:$X19,Capacity!$DI$3:$DI$25)))</f>
        <v>7478.82501823567</v>
      </c>
      <c r="BJ77" s="0"/>
      <c r="BK77" s="4" t="n">
        <f aca="false" t="array" ref="BK77:BK77">SUM(Capacity!CE$3:CE$25*Capacity!$DI20/(TRANSPOSE(Dists!$B19:$X19)*MMULT(1/Dists!$B19:$X19,Capacity!$DI$3:$DI$25)))</f>
        <v>3739.41250911784</v>
      </c>
      <c r="BL77" s="0"/>
      <c r="BM77" s="0"/>
      <c r="BN77" s="4" t="n">
        <f aca="false" t="array" ref="BN77:BN77">SUM(Capacity!CH$3:CH$25*Capacity!$DH20/(TRANSPOSE(Dists!$B19:$X19)*MMULT(1/Dists!$B19:$X19,Capacity!$DH$3:$DH$25)))</f>
        <v>2848457.90094667</v>
      </c>
      <c r="BO77" s="4" t="n">
        <f aca="false" t="array" ref="BO77:BO77">SUM(Capacity!CI$3:CI$25*Capacity!$DH20/(TRANSPOSE(Dists!$B19:$X19)*MMULT(1/Dists!$B19:$X19,Capacity!$DH$3:$DH$25)))</f>
        <v>5696.91623343101</v>
      </c>
      <c r="BP77" s="4" t="n">
        <f aca="false" t="array" ref="BP77:BP77">SUM(Capacity!CJ$3:CJ$25*Capacity!$DH20/(TRANSPOSE(Dists!$B19:$X19)*MMULT(1/Dists!$B19:$X19,Capacity!$DH$3:$DH$25)))</f>
        <v>664640.177219065</v>
      </c>
      <c r="BQ77" s="4" t="n">
        <f aca="false" t="array" ref="BQ77:BQ77">SUM(Capacity!CK$3:CK$25*Capacity!$DH20/(TRANSPOSE(Dists!$B19:$X19)*MMULT(1/Dists!$B19:$X19,Capacity!$DH$3:$DH$25)))</f>
        <v>617165.878877161</v>
      </c>
      <c r="BR77" s="4" t="n">
        <f aca="false" t="array" ref="BR77:BR77">SUM(Capacity!CL$3:CL$25*Capacity!$DH20/(TRANSPOSE(Dists!$B19:$X19)*MMULT(1/Dists!$B19:$X19,Capacity!$DH$3:$DH$25)))</f>
        <v>1898.97236607866</v>
      </c>
      <c r="BS77" s="4" t="n">
        <f aca="false" t="array" ref="BS77:BS77">SUM(Capacity!CM$3:CM$25*Capacity!$DH20/(TRANSPOSE(Dists!$B19:$X19)*MMULT(1/Dists!$B19:$X19,Capacity!$DH$3:$DH$25)))</f>
        <v>949.486399240566</v>
      </c>
      <c r="BT77" s="4" t="n">
        <f aca="false" t="array" ref="BT77:BT77">SUM(Capacity!CN$3:CN$25*Capacity!$DI20/(TRANSPOSE(Dists!$B19:$X19)*MMULT(1/Dists!$B19:$X19,Capacity!$DI$3:$DI$25)))</f>
        <v>304802.495870684</v>
      </c>
      <c r="BU77" s="4" t="n">
        <f aca="false" t="array" ref="BU77:BU77">SUM(Capacity!CO$3:CO$25*Capacity!$DI20/(TRANSPOSE(Dists!$B19:$X19)*MMULT(1/Dists!$B19:$X19,Capacity!$DI$3:$DI$25)))</f>
        <v>33251.181367711</v>
      </c>
      <c r="BV77" s="4" t="n">
        <f aca="false" t="array" ref="BV77:BV77">SUM(Capacity!CP$3:CP$25*Capacity!$DI20/(TRANSPOSE(Dists!$B19:$X19)*MMULT(1/Dists!$B19:$X19,Capacity!$DI$3:$DI$25)))</f>
        <v>3879.30449289962</v>
      </c>
      <c r="BW77" s="0"/>
      <c r="BX77" s="0"/>
      <c r="BY77" s="0"/>
      <c r="BZ77" s="0"/>
      <c r="CA77" s="0"/>
      <c r="CB77" s="0"/>
      <c r="CC77" s="0"/>
      <c r="CE77" s="4" t="n">
        <f aca="false" t="array" ref="CE77:CE77">SUM(Capacity!CY$3:CY$25*Capacity!$DH20/(TRANSPOSE(Dists!$B19:$X19)*MMULT(1/Dists!$B19:$X19,Capacity!$DH$3:$DH$25)))</f>
        <v>174.45536003168</v>
      </c>
      <c r="CG77" s="0"/>
      <c r="CH77" s="0"/>
      <c r="CI77" s="0"/>
      <c r="CJ77" s="0"/>
      <c r="CK77" s="0"/>
    </row>
    <row r="78" customFormat="false" ht="12.8" hidden="false" customHeight="false" outlineLevel="0" collapsed="false">
      <c r="A78" s="4" t="s">
        <v>156</v>
      </c>
      <c r="B78" s="7" t="s">
        <v>39</v>
      </c>
      <c r="C78" s="4" t="n">
        <f aca="false" t="array" ref="C78:C78">SUM(Capacity!S$3:S$25*Capacity!$DH21/(TRANSPOSE(Dists!$B20:$X20)*MMULT(1/Dists!$B20:$X20,Capacity!$DH$3:$DH$25)))</f>
        <v>6080.62518938609</v>
      </c>
      <c r="D78" s="4" t="n">
        <f aca="false" t="array" ref="D78:D78">SUM(Capacity!V$3:V$25*Capacity!$DH21/(TRANSPOSE(Dists!$B20:$X20)*MMULT(1/Dists!$B20:$X20,Capacity!$DH$3:$DH$25)))</f>
        <v>7983.62217776574</v>
      </c>
      <c r="E78" s="4" t="n">
        <f aca="false" t="array" ref="E78:E78">SUM(Capacity!Y$3:Y$25*Capacity!$DH21/(TRANSPOSE(Dists!$B20:$X20)*MMULT(1/Dists!$B20:$X20,Capacity!$DH$3:$DH$25)))</f>
        <v>9778.32039743342</v>
      </c>
      <c r="F78" s="4" t="n">
        <f aca="false" t="array" ref="F78:F78">SUM(Capacity!Z$3:Z$25*Capacity!$DH21/(TRANSPOSE(Dists!$B20:$X20)*MMULT(1/Dists!$B20:$X20,Capacity!$DH$3:$DH$25)))</f>
        <v>3741.1593568972</v>
      </c>
      <c r="G78" s="4" t="n">
        <f aca="false" t="array" ref="G78:G78">SUM(Capacity!AA$3:AA$25*Capacity!$DH21/(TRANSPOSE(Dists!$B20:$X20)*MMULT(1/Dists!$B20:$X20,Capacity!$DH$3:$DH$25)))</f>
        <v>54241.0446744021</v>
      </c>
      <c r="H78" s="4" t="n">
        <f aca="false" t="array" ref="H78:H78">SUM(Capacity!AB$3:AB$25*Capacity!$DI21/(TRANSPOSE(Dists!$B20:$X20)*MMULT(1/Dists!$B20:$X20,Capacity!$DI$3:$DI$25)))</f>
        <v>2769.53497754254</v>
      </c>
      <c r="I78" s="0"/>
      <c r="J78" s="0"/>
      <c r="K78" s="0"/>
      <c r="L78" s="0"/>
      <c r="M78" s="0"/>
      <c r="N78" s="4" t="n">
        <f aca="false" t="array" ref="N78:N78">SUM(Capacity!AH$3:AH$25*Capacity!$DH21/(TRANSPOSE(Dists!$B20:$X20)*MMULT(1/Dists!$B20:$X20,Capacity!$DH$3:$DH$25)))</f>
        <v>66115.5363673795</v>
      </c>
      <c r="O78" s="0"/>
      <c r="U78" s="0"/>
      <c r="V78" s="0"/>
      <c r="W78" s="0"/>
      <c r="X78" s="0"/>
      <c r="Y78" s="4" t="n">
        <f aca="false" t="array" ref="Y78:Y78">SUM(Capacity!AS$3:AS$25*Capacity!$DI21/(TRANSPOSE(Dists!$B20:$X20)*MMULT(1/Dists!$B20:$X20,Capacity!$DI$3:$DI$25)))</f>
        <v>337.023152887564</v>
      </c>
      <c r="Z78" s="4" t="n">
        <f aca="false" t="array" ref="Z78:Z78">SUM(Capacity!AT$3:AT$25*Capacity!$DH21/(TRANSPOSE(Dists!$B20:$X20)*MMULT(1/Dists!$B20:$X20,Capacity!$DH$3:$DH$25)))</f>
        <v>359678.399878052</v>
      </c>
      <c r="AA78" s="4" t="n">
        <f aca="false" t="array" ref="AA78:AA78">SUM(Capacity!AU$3:AU$25*Capacity!$DI21/(TRANSPOSE(Dists!$B20:$X20)*MMULT(1/Dists!$B20:$X20,Capacity!$DI$3:$DI$25)))</f>
        <v>27217.3554829149</v>
      </c>
      <c r="AB78" s="4" t="n">
        <f aca="false" t="array" ref="AB78:AB78">SUM(Capacity!AV$3:AV$25*Capacity!$DI21/(TRANSPOSE(Dists!$B20:$X20)*MMULT(1/Dists!$B20:$X20,Capacity!$DI$3:$DI$25)))</f>
        <v>11340.5647845479</v>
      </c>
      <c r="AC78" s="4" t="n">
        <f aca="false" t="array" ref="AC78:AC78">SUM(Capacity!AW$3:AW$25*Capacity!$DH21/(TRANSPOSE(Dists!$B20:$X20)*MMULT(1/Dists!$B20:$X20,Capacity!$DH$3:$DH$25)))</f>
        <v>411.312957378203</v>
      </c>
      <c r="AD78" s="4" t="n">
        <f aca="false" t="array" ref="AD78:AD78">SUM(Capacity!AX$3:AX$25*Capacity!$DI21/(TRANSPOSE(Dists!$B20:$X20)*MMULT(1/Dists!$B20:$X20,Capacity!$DI$3:$DI$25)))</f>
        <v>187.11931894504</v>
      </c>
      <c r="AE78" s="4" t="n">
        <f aca="false" t="array" ref="AE78:AE78">SUM(Capacity!AY$3:AY$25*Capacity!$DI21/(TRANSPOSE(Dists!$B20:$X20)*MMULT(1/Dists!$B20:$X20,Capacity!$DI$3:$DI$25)))</f>
        <v>130.643306317991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4" t="n">
        <f aca="false" t="array" ref="AW78:AW78">SUM(Capacity!BQ$3:BQ$25*Capacity!$DH21/(TRANSPOSE(Dists!$B20:$X20)*MMULT(1/Dists!$B20:$X20,Capacity!$DH$3:$DH$25)))</f>
        <v>1418.12952308175</v>
      </c>
      <c r="AX78" s="0"/>
      <c r="AY78" s="4" t="n">
        <f aca="false" t="array" ref="AY78:AY78">SUM(Capacity!BS$3:BS$25*Capacity!$DH21/(TRANSPOSE(Dists!$B20:$X20)*MMULT(1/Dists!$B20:$X20,Capacity!$DH$3:$DH$25)))</f>
        <v>35.9109703444746</v>
      </c>
      <c r="AZ78" s="4" t="n">
        <f aca="false" t="array" ref="AZ78:AZ78">SUM(Capacity!BT$3:BT$25*Capacity!$DH21/(TRANSPOSE(Dists!$B20:$X20)*MMULT(1/Dists!$B20:$X20,Capacity!$DH$3:$DH$25)))</f>
        <v>50.4998020469175</v>
      </c>
      <c r="BA78" s="0"/>
      <c r="BB78" s="4" t="n">
        <f aca="false" t="array" ref="BB78:BB78">SUM(Capacity!BV$3:BV$25*Capacity!$DI21/(TRANSPOSE(Dists!$B20:$X20)*MMULT(1/Dists!$B20:$X20,Capacity!$DI$3:$DI$25)))</f>
        <v>457.25157211297</v>
      </c>
      <c r="BC78" s="4" t="n">
        <f aca="false" t="array" ref="BC78:BC78">SUM(Capacity!BW$3:BW$25*Capacity!$DI21/(TRANSPOSE(Dists!$B20:$X20)*MMULT(1/Dists!$B20:$X20,Capacity!$DI$3:$DI$25)))</f>
        <v>391.929918953974</v>
      </c>
      <c r="BD78" s="4" t="n">
        <f aca="false" t="array" ref="BD78:BD78">SUM(Capacity!BX$3:BX$25*Capacity!$DI21/(TRANSPOSE(Dists!$B20:$X20)*MMULT(1/Dists!$B20:$X20,Capacity!$DI$3:$DI$25)))</f>
        <v>195.964959476987</v>
      </c>
      <c r="BE78" s="4" t="n">
        <f aca="false" t="array" ref="BE78:BE78">SUM(Capacity!BY$3:BY$25*Capacity!$DI21/(TRANSPOSE(Dists!$B20:$X20)*MMULT(1/Dists!$B20:$X20,Capacity!$DI$3:$DI$25)))</f>
        <v>114.312893028242</v>
      </c>
      <c r="BF78" s="4" t="n">
        <f aca="false" t="array" ref="BF78:BF78">SUM(Capacity!BZ$3:BZ$25*Capacity!$DH21/(TRANSPOSE(Dists!$B20:$X20)*MMULT(1/Dists!$B20:$X20,Capacity!$DH$3:$DH$25)))</f>
        <v>212719.428462262</v>
      </c>
      <c r="BG78" s="4" t="n">
        <f aca="false" t="array" ref="BG78:BG78">SUM(Capacity!CA$3:CA$25*Capacity!$DI21/(TRANSPOSE(Dists!$B20:$X20)*MMULT(1/Dists!$B20:$X20,Capacity!$DI$3:$DI$25)))</f>
        <v>8254.59754076791</v>
      </c>
      <c r="BH78" s="4" t="n">
        <f aca="false" t="array" ref="BH78:BH78">SUM(Capacity!CB$3:CB$25*Capacity!$DI21/(TRANSPOSE(Dists!$B20:$X20)*MMULT(1/Dists!$B20:$X20,Capacity!$DI$3:$DI$25)))</f>
        <v>13977.2777786209</v>
      </c>
      <c r="BI78" s="4" t="n">
        <f aca="false" t="array" ref="BI78:BI78">SUM(Capacity!CC$3:CC$25*Capacity!$DI21/(TRANSPOSE(Dists!$B20:$X20)*MMULT(1/Dists!$B20:$X20,Capacity!$DI$3:$DI$25)))</f>
        <v>22012.2601087144</v>
      </c>
      <c r="BJ78" s="0"/>
      <c r="BK78" s="4" t="n">
        <f aca="false" t="array" ref="BK78:BK78">SUM(Capacity!CE$3:CE$25*Capacity!$DI21/(TRANSPOSE(Dists!$B20:$X20)*MMULT(1/Dists!$B20:$X20,Capacity!$DI$3:$DI$25)))</f>
        <v>11006.1300543572</v>
      </c>
      <c r="BL78" s="0"/>
      <c r="BM78" s="0"/>
      <c r="BN78" s="4" t="n">
        <f aca="false" t="array" ref="BN78:BN78">SUM(Capacity!CH$3:CH$25*Capacity!$DH21/(TRANSPOSE(Dists!$B20:$X20)*MMULT(1/Dists!$B20:$X20,Capacity!$DH$3:$DH$25)))</f>
        <v>3002441.05185809</v>
      </c>
      <c r="BO78" s="4" t="n">
        <f aca="false" t="array" ref="BO78:BO78">SUM(Capacity!CI$3:CI$25*Capacity!$DH21/(TRANSPOSE(Dists!$B20:$X20)*MMULT(1/Dists!$B20:$X20,Capacity!$DH$3:$DH$25)))</f>
        <v>6004.88277099286</v>
      </c>
      <c r="BP78" s="4" t="n">
        <f aca="false" t="array" ref="BP78:BP78">SUM(Capacity!CJ$3:CJ$25*Capacity!$DH21/(TRANSPOSE(Dists!$B20:$X20)*MMULT(1/Dists!$B20:$X20,Capacity!$DH$3:$DH$25)))</f>
        <v>700569.579279491</v>
      </c>
      <c r="BQ78" s="4" t="n">
        <f aca="false" t="array" ref="BQ78:BQ78">SUM(Capacity!CK$3:CK$25*Capacity!$DH21/(TRANSPOSE(Dists!$B20:$X20)*MMULT(1/Dists!$B20:$X20,Capacity!$DH$3:$DH$25)))</f>
        <v>650528.895093</v>
      </c>
      <c r="BR78" s="4" t="n">
        <f aca="false" t="array" ref="BR78:BR78">SUM(Capacity!CL$3:CL$25*Capacity!$DH21/(TRANSPOSE(Dists!$B20:$X20)*MMULT(1/Dists!$B20:$X20,Capacity!$DH$3:$DH$25)))</f>
        <v>2001.62803607356</v>
      </c>
      <c r="BS78" s="4" t="n">
        <f aca="false" t="array" ref="BS78:BS78">SUM(Capacity!CM$3:CM$25*Capacity!$DH21/(TRANSPOSE(Dists!$B20:$X20)*MMULT(1/Dists!$B20:$X20,Capacity!$DH$3:$DH$25)))</f>
        <v>1000.81435234374</v>
      </c>
      <c r="BT78" s="4" t="n">
        <f aca="false" t="array" ref="BT78:BT78">SUM(Capacity!CN$3:CN$25*Capacity!$DI21/(TRANSPOSE(Dists!$B20:$X20)*MMULT(1/Dists!$B20:$X20,Capacity!$DI$3:$DI$25)))</f>
        <v>997969.701040212</v>
      </c>
      <c r="BU78" s="4" t="n">
        <f aca="false" t="array" ref="BU78:BU78">SUM(Capacity!CO$3:CO$25*Capacity!$DI21/(TRANSPOSE(Dists!$B20:$X20)*MMULT(1/Dists!$B20:$X20,Capacity!$DI$3:$DI$25)))</f>
        <v>108869.421931659</v>
      </c>
      <c r="BV78" s="4" t="n">
        <f aca="false" t="array" ref="BV78:BV78">SUM(Capacity!CP$3:CP$25*Capacity!$DI21/(TRANSPOSE(Dists!$B20:$X20)*MMULT(1/Dists!$B20:$X20,Capacity!$DI$3:$DI$25)))</f>
        <v>12701.4325586936</v>
      </c>
      <c r="BW78" s="0"/>
      <c r="BX78" s="0"/>
      <c r="BY78" s="0"/>
      <c r="BZ78" s="0"/>
      <c r="CA78" s="0"/>
      <c r="CB78" s="0"/>
      <c r="CC78" s="0"/>
      <c r="CE78" s="4" t="n">
        <f aca="false" t="array" ref="CE78:CE78">SUM(Capacity!CY$3:CY$25*Capacity!$DH21/(TRANSPOSE(Dists!$B20:$X20)*MMULT(1/Dists!$B20:$X20,Capacity!$DH$3:$DH$25)))</f>
        <v>265.899285577828</v>
      </c>
      <c r="CG78" s="0"/>
      <c r="CH78" s="0"/>
      <c r="CI78" s="0"/>
      <c r="CJ78" s="0"/>
      <c r="CK78" s="0"/>
    </row>
    <row r="79" customFormat="false" ht="12.8" hidden="false" customHeight="false" outlineLevel="0" collapsed="false">
      <c r="A79" s="4" t="s">
        <v>157</v>
      </c>
      <c r="B79" s="7" t="s">
        <v>39</v>
      </c>
      <c r="C79" s="4" t="n">
        <f aca="false" t="array" ref="C79:C79">SUM(Capacity!S$3:S$25*Capacity!$DH22/(TRANSPOSE(Dists!$B21:$X21)*MMULT(1/Dists!$B21:$X21,Capacity!$DH$3:$DH$25)))</f>
        <v>6636.65344750951</v>
      </c>
      <c r="D79" s="4" t="n">
        <f aca="false" t="array" ref="D79:D79">SUM(Capacity!V$3:V$25*Capacity!$DH22/(TRANSPOSE(Dists!$B21:$X21)*MMULT(1/Dists!$B21:$X21,Capacity!$DH$3:$DH$25)))</f>
        <v>8093.16639723617</v>
      </c>
      <c r="E79" s="4" t="n">
        <f aca="false" t="array" ref="E79:E79">SUM(Capacity!Y$3:Y$25*Capacity!$DH22/(TRANSPOSE(Dists!$B21:$X21)*MMULT(1/Dists!$B21:$X21,Capacity!$DH$3:$DH$25)))</f>
        <v>11445.8480844652</v>
      </c>
      <c r="F79" s="4" t="n">
        <f aca="false" t="array" ref="F79:F79">SUM(Capacity!Z$3:Z$25*Capacity!$DH22/(TRANSPOSE(Dists!$B21:$X21)*MMULT(1/Dists!$B21:$X21,Capacity!$DH$3:$DH$25)))</f>
        <v>4716.86775905082</v>
      </c>
      <c r="G79" s="4" t="n">
        <f aca="false" t="array" ref="G79:G79">SUM(Capacity!AA$3:AA$25*Capacity!$DH22/(TRANSPOSE(Dists!$B21:$X21)*MMULT(1/Dists!$B21:$X21,Capacity!$DH$3:$DH$25)))</f>
        <v>54115.1042594226</v>
      </c>
      <c r="H79" s="4" t="n">
        <f aca="false" t="array" ref="H79:H79">SUM(Capacity!AB$3:AB$25*Capacity!$DI22/(TRANSPOSE(Dists!$B21:$X21)*MMULT(1/Dists!$B21:$X21,Capacity!$DI$3:$DI$25)))</f>
        <v>1382.76611364414</v>
      </c>
      <c r="I79" s="0"/>
      <c r="J79" s="0"/>
      <c r="K79" s="0"/>
      <c r="L79" s="0"/>
      <c r="M79" s="0"/>
      <c r="N79" s="4" t="n">
        <f aca="false" t="array" ref="N79:N79">SUM(Capacity!AH$3:AH$25*Capacity!$DH22/(TRANSPOSE(Dists!$B21:$X21)*MMULT(1/Dists!$B21:$X21,Capacity!$DH$3:$DH$25)))</f>
        <v>69694.7482018602</v>
      </c>
      <c r="O79" s="0"/>
      <c r="U79" s="0"/>
      <c r="V79" s="0"/>
      <c r="W79" s="0"/>
      <c r="X79" s="0"/>
      <c r="Y79" s="4" t="n">
        <f aca="false" t="array" ref="Y79:Y79">SUM(Capacity!AS$3:AS$25*Capacity!$DI22/(TRANSPOSE(Dists!$B21:$X21)*MMULT(1/Dists!$B21:$X21,Capacity!$DI$3:$DI$25)))</f>
        <v>190.897685454287</v>
      </c>
      <c r="Z79" s="4" t="n">
        <f aca="false" t="array" ref="Z79:Z79">SUM(Capacity!AT$3:AT$25*Capacity!$DH22/(TRANSPOSE(Dists!$B21:$X21)*MMULT(1/Dists!$B21:$X21,Capacity!$DH$3:$DH$25)))</f>
        <v>355006.687128575</v>
      </c>
      <c r="AA79" s="4" t="n">
        <f aca="false" t="array" ref="AA79:AA79">SUM(Capacity!AU$3:AU$25*Capacity!$DI22/(TRANSPOSE(Dists!$B21:$X21)*MMULT(1/Dists!$B21:$X21,Capacity!$DI$3:$DI$25)))</f>
        <v>12549.7029041423</v>
      </c>
      <c r="AB79" s="4" t="n">
        <f aca="false" t="array" ref="AB79:AB79">SUM(Capacity!AV$3:AV$25*Capacity!$DI22/(TRANSPOSE(Dists!$B21:$X21)*MMULT(1/Dists!$B21:$X21,Capacity!$DI$3:$DI$25)))</f>
        <v>5229.04287672596</v>
      </c>
      <c r="AC79" s="4" t="n">
        <f aca="false" t="array" ref="AC79:AC79">SUM(Capacity!AW$3:AW$25*Capacity!$DH22/(TRANSPOSE(Dists!$B21:$X21)*MMULT(1/Dists!$B21:$X21,Capacity!$DH$3:$DH$25)))</f>
        <v>406.027323184058</v>
      </c>
      <c r="AD79" s="4" t="n">
        <f aca="false" t="array" ref="AD79:AD79">SUM(Capacity!AX$3:AX$25*Capacity!$DI22/(TRANSPOSE(Dists!$B21:$X21)*MMULT(1/Dists!$B21:$X21,Capacity!$DI$3:$DI$25)))</f>
        <v>86.2792074659783</v>
      </c>
      <c r="AE79" s="4" t="n">
        <f aca="false" t="array" ref="AE79:AE79">SUM(Capacity!AY$3:AY$25*Capacity!$DI22/(TRANSPOSE(Dists!$B21:$X21)*MMULT(1/Dists!$B21:$X21,Capacity!$DI$3:$DI$25)))</f>
        <v>60.238573939883</v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4" t="n">
        <f aca="false" t="array" ref="AW79:AW79">SUM(Capacity!BQ$3:BQ$25*Capacity!$DH22/(TRANSPOSE(Dists!$B21:$X21)*MMULT(1/Dists!$B21:$X21,Capacity!$DH$3:$DH$25)))</f>
        <v>1399.90565299823</v>
      </c>
      <c r="AX79" s="0"/>
      <c r="AY79" s="4" t="n">
        <f aca="false" t="array" ref="AY79:AY79">SUM(Capacity!BS$3:BS$25*Capacity!$DH22/(TRANSPOSE(Dists!$B21:$X21)*MMULT(1/Dists!$B21:$X21,Capacity!$DH$3:$DH$25)))</f>
        <v>31.9388490673425</v>
      </c>
      <c r="AZ79" s="4" t="n">
        <f aca="false" t="array" ref="AZ79:AZ79">SUM(Capacity!BT$3:BT$25*Capacity!$DH22/(TRANSPOSE(Dists!$B21:$X21)*MMULT(1/Dists!$B21:$X21,Capacity!$DH$3:$DH$25)))</f>
        <v>44.9140065009504</v>
      </c>
      <c r="BA79" s="0"/>
      <c r="BB79" s="4" t="n">
        <f aca="false" t="array" ref="BB79:BB79">SUM(Capacity!BV$3:BV$25*Capacity!$DI22/(TRANSPOSE(Dists!$B21:$X21)*MMULT(1/Dists!$B21:$X21,Capacity!$DI$3:$DI$25)))</f>
        <v>210.835008789591</v>
      </c>
      <c r="BC79" s="4" t="n">
        <f aca="false" t="array" ref="BC79:BC79">SUM(Capacity!BW$3:BW$25*Capacity!$DI22/(TRANSPOSE(Dists!$B21:$X21)*MMULT(1/Dists!$B21:$X21,Capacity!$DI$3:$DI$25)))</f>
        <v>180.715721819649</v>
      </c>
      <c r="BD79" s="4" t="n">
        <f aca="false" t="array" ref="BD79:BD79">SUM(Capacity!BX$3:BX$25*Capacity!$DI22/(TRANSPOSE(Dists!$B21:$X21)*MMULT(1/Dists!$B21:$X21,Capacity!$DI$3:$DI$25)))</f>
        <v>90.3578609098244</v>
      </c>
      <c r="BE79" s="4" t="n">
        <f aca="false" t="array" ref="BE79:BE79">SUM(Capacity!BY$3:BY$25*Capacity!$DI22/(TRANSPOSE(Dists!$B21:$X21)*MMULT(1/Dists!$B21:$X21,Capacity!$DI$3:$DI$25)))</f>
        <v>52.7087521973977</v>
      </c>
      <c r="BF79" s="4" t="n">
        <f aca="false" t="array" ref="BF79:BF79">SUM(Capacity!BZ$3:BZ$25*Capacity!$DH22/(TRANSPOSE(Dists!$B21:$X21)*MMULT(1/Dists!$B21:$X21,Capacity!$DH$3:$DH$25)))</f>
        <v>209985.847949735</v>
      </c>
      <c r="BG79" s="4" t="n">
        <f aca="false" t="array" ref="BG79:BG79">SUM(Capacity!CA$3:CA$25*Capacity!$DI22/(TRANSPOSE(Dists!$B21:$X21)*MMULT(1/Dists!$B21:$X21,Capacity!$DI$3:$DI$25)))</f>
        <v>4224.48886666841</v>
      </c>
      <c r="BH79" s="4" t="n">
        <f aca="false" t="array" ref="BH79:BH79">SUM(Capacity!CB$3:CB$25*Capacity!$DI22/(TRANSPOSE(Dists!$B21:$X21)*MMULT(1/Dists!$B21:$X21,Capacity!$DI$3:$DI$25)))</f>
        <v>6192.34368649384</v>
      </c>
      <c r="BI79" s="4" t="n">
        <f aca="false" t="array" ref="BI79:BI79">SUM(Capacity!CC$3:CC$25*Capacity!$DI22/(TRANSPOSE(Dists!$B21:$X21)*MMULT(1/Dists!$B21:$X21,Capacity!$DI$3:$DI$25)))</f>
        <v>11265.3036444491</v>
      </c>
      <c r="BJ79" s="0"/>
      <c r="BK79" s="4" t="n">
        <f aca="false" t="array" ref="BK79:BK79">SUM(Capacity!CE$3:CE$25*Capacity!$DI22/(TRANSPOSE(Dists!$B21:$X21)*MMULT(1/Dists!$B21:$X21,Capacity!$DI$3:$DI$25)))</f>
        <v>5632.65182222454</v>
      </c>
      <c r="BL79" s="0"/>
      <c r="BM79" s="0"/>
      <c r="BN79" s="4" t="n">
        <f aca="false" t="array" ref="BN79:BN79">SUM(Capacity!CH$3:CH$25*Capacity!$DH22/(TRANSPOSE(Dists!$B21:$X21)*MMULT(1/Dists!$B21:$X21,Capacity!$DH$3:$DH$25)))</f>
        <v>4168403.47304697</v>
      </c>
      <c r="BO79" s="4" t="n">
        <f aca="false" t="array" ref="BO79:BO79">SUM(Capacity!CI$3:CI$25*Capacity!$DH22/(TRANSPOSE(Dists!$B21:$X21)*MMULT(1/Dists!$B21:$X21,Capacity!$DH$3:$DH$25)))</f>
        <v>8336.80765923179</v>
      </c>
      <c r="BP79" s="4" t="n">
        <f aca="false" t="array" ref="BP79:BP79">SUM(Capacity!CJ$3:CJ$25*Capacity!$DH22/(TRANSPOSE(Dists!$B21:$X21)*MMULT(1/Dists!$B21:$X21,Capacity!$DH$3:$DH$25)))</f>
        <v>972627.477592128</v>
      </c>
      <c r="BQ79" s="4" t="n">
        <f aca="false" t="array" ref="BQ79:BQ79">SUM(Capacity!CK$3:CK$25*Capacity!$DH22/(TRANSPOSE(Dists!$B21:$X21)*MMULT(1/Dists!$B21:$X21,Capacity!$DH$3:$DH$25)))</f>
        <v>903154.086386588</v>
      </c>
      <c r="BR79" s="4" t="n">
        <f aca="false" t="array" ref="BR79:BR79">SUM(Capacity!CL$3:CL$25*Capacity!$DH22/(TRANSPOSE(Dists!$B21:$X21)*MMULT(1/Dists!$B21:$X21,Capacity!$DH$3:$DH$25)))</f>
        <v>2778.93636278858</v>
      </c>
      <c r="BS79" s="4" t="n">
        <f aca="false" t="array" ref="BS79:BS79">SUM(Capacity!CM$3:CM$25*Capacity!$DH22/(TRANSPOSE(Dists!$B21:$X21)*MMULT(1/Dists!$B21:$X21,Capacity!$DH$3:$DH$25)))</f>
        <v>1389.46853867778</v>
      </c>
      <c r="BT79" s="4" t="n">
        <f aca="false" t="array" ref="BT79:BT79">SUM(Capacity!CN$3:CN$25*Capacity!$DI22/(TRANSPOSE(Dists!$B21:$X21)*MMULT(1/Dists!$B21:$X21,Capacity!$DI$3:$DI$25)))</f>
        <v>460155.773151884</v>
      </c>
      <c r="BU79" s="4" t="n">
        <f aca="false" t="array" ref="BU79:BU79">SUM(Capacity!CO$3:CO$25*Capacity!$DI22/(TRANSPOSE(Dists!$B21:$X21)*MMULT(1/Dists!$B21:$X21,Capacity!$DI$3:$DI$25)))</f>
        <v>50198.8116165692</v>
      </c>
      <c r="BV79" s="4" t="n">
        <f aca="false" t="array" ref="BV79:BV79">SUM(Capacity!CP$3:CP$25*Capacity!$DI22/(TRANSPOSE(Dists!$B21:$X21)*MMULT(1/Dists!$B21:$X21,Capacity!$DI$3:$DI$25)))</f>
        <v>5856.52802193307</v>
      </c>
      <c r="BW79" s="0"/>
      <c r="BX79" s="0"/>
      <c r="BY79" s="0"/>
      <c r="BZ79" s="0"/>
      <c r="CA79" s="0"/>
      <c r="CB79" s="0"/>
      <c r="CC79" s="0"/>
      <c r="CE79" s="4" t="n">
        <f aca="false" t="array" ref="CE79:CE79">SUM(Capacity!CY$3:CY$25*Capacity!$DH22/(TRANSPOSE(Dists!$B21:$X21)*MMULT(1/Dists!$B21:$X21,Capacity!$DH$3:$DH$25)))</f>
        <v>262.482309937169</v>
      </c>
      <c r="CG79" s="0"/>
      <c r="CH79" s="0"/>
      <c r="CI79" s="0"/>
      <c r="CJ79" s="0"/>
      <c r="CK79" s="0"/>
    </row>
    <row r="80" customFormat="false" ht="12.8" hidden="false" customHeight="false" outlineLevel="0" collapsed="false">
      <c r="A80" s="4" t="s">
        <v>158</v>
      </c>
      <c r="B80" s="7" t="s">
        <v>39</v>
      </c>
      <c r="C80" s="4" t="n">
        <f aca="false" t="array" ref="C80:C80">SUM(Capacity!S$3:S$25*Capacity!$DH23/(TRANSPOSE(Dists!$B22:$X22)*MMULT(1/Dists!$B22:$X22,Capacity!$DH$3:$DH$25)))</f>
        <v>6258.63185522994</v>
      </c>
      <c r="D80" s="4" t="n">
        <f aca="false" t="array" ref="D80:D80">SUM(Capacity!V$3:V$25*Capacity!$DH23/(TRANSPOSE(Dists!$B22:$X22)*MMULT(1/Dists!$B22:$X22,Capacity!$DH$3:$DH$25)))</f>
        <v>8289.02133308801</v>
      </c>
      <c r="E80" s="4" t="n">
        <f aca="false" t="array" ref="E80:E80">SUM(Capacity!Y$3:Y$25*Capacity!$DH23/(TRANSPOSE(Dists!$B22:$X22)*MMULT(1/Dists!$B22:$X22,Capacity!$DH$3:$DH$25)))</f>
        <v>9984.46536703747</v>
      </c>
      <c r="F80" s="4" t="n">
        <f aca="false" t="array" ref="F80:F80">SUM(Capacity!Z$3:Z$25*Capacity!$DH23/(TRANSPOSE(Dists!$B22:$X22)*MMULT(1/Dists!$B22:$X22,Capacity!$DH$3:$DH$25)))</f>
        <v>3785.044582674</v>
      </c>
      <c r="G80" s="4" t="n">
        <f aca="false" t="array" ref="G80:G80">SUM(Capacity!AA$3:AA$25*Capacity!$DH23/(TRANSPOSE(Dists!$B22:$X22)*MMULT(1/Dists!$B22:$X22,Capacity!$DH$3:$DH$25)))</f>
        <v>56416.4666854467</v>
      </c>
      <c r="H80" s="4" t="n">
        <f aca="false" t="array" ref="H80:H80">SUM(Capacity!AB$3:AB$25*Capacity!$DI23/(TRANSPOSE(Dists!$B22:$X22)*MMULT(1/Dists!$B22:$X22,Capacity!$DI$3:$DI$25)))</f>
        <v>2563.35805339806</v>
      </c>
      <c r="I80" s="0"/>
      <c r="J80" s="0"/>
      <c r="K80" s="0"/>
      <c r="L80" s="0"/>
      <c r="M80" s="0"/>
      <c r="N80" s="4" t="n">
        <f aca="false" t="array" ref="N80:N80">SUM(Capacity!AH$3:AH$25*Capacity!$DH23/(TRANSPOSE(Dists!$B22:$X22)*MMULT(1/Dists!$B22:$X22,Capacity!$DH$3:$DH$25)))</f>
        <v>67959.0245791332</v>
      </c>
      <c r="O80" s="0"/>
      <c r="U80" s="0"/>
      <c r="V80" s="0"/>
      <c r="W80" s="0"/>
      <c r="X80" s="0"/>
      <c r="Y80" s="4" t="n">
        <f aca="false" t="array" ref="Y80:Y80">SUM(Capacity!AS$3:AS$25*Capacity!$DI23/(TRANSPOSE(Dists!$B22:$X22)*MMULT(1/Dists!$B22:$X22,Capacity!$DI$3:$DI$25)))</f>
        <v>313.548911186408</v>
      </c>
      <c r="Z80" s="4" t="n">
        <f aca="false" t="array" ref="Z80:Z80">SUM(Capacity!AT$3:AT$25*Capacity!$DH23/(TRANSPOSE(Dists!$B22:$X22)*MMULT(1/Dists!$B22:$X22,Capacity!$DH$3:$DH$25)))</f>
        <v>362287.834872871</v>
      </c>
      <c r="AA80" s="4" t="n">
        <f aca="false" t="array" ref="AA80:AA80">SUM(Capacity!AU$3:AU$25*Capacity!$DI23/(TRANSPOSE(Dists!$B22:$X22)*MMULT(1/Dists!$B22:$X22,Capacity!$DI$3:$DI$25)))</f>
        <v>25678.4301327982</v>
      </c>
      <c r="AB80" s="4" t="n">
        <f aca="false" t="array" ref="AB80:AB80">SUM(Capacity!AV$3:AV$25*Capacity!$DI23/(TRANSPOSE(Dists!$B22:$X22)*MMULT(1/Dists!$B22:$X22,Capacity!$DI$3:$DI$25)))</f>
        <v>10699.3458886659</v>
      </c>
      <c r="AC80" s="4" t="n">
        <f aca="false" t="array" ref="AC80:AC80">SUM(Capacity!AW$3:AW$25*Capacity!$DH23/(TRANSPOSE(Dists!$B22:$X22)*MMULT(1/Dists!$B22:$X22,Capacity!$DH$3:$DH$25)))</f>
        <v>429.909820080743</v>
      </c>
      <c r="AD80" s="4" t="n">
        <f aca="false" t="array" ref="AD80:AD80">SUM(Capacity!AX$3:AX$25*Capacity!$DI23/(TRANSPOSE(Dists!$B22:$X22)*MMULT(1/Dists!$B22:$X22,Capacity!$DI$3:$DI$25)))</f>
        <v>176.539207162988</v>
      </c>
      <c r="AE80" s="4" t="n">
        <f aca="false" t="array" ref="AE80:AE80">SUM(Capacity!AY$3:AY$25*Capacity!$DI23/(TRANSPOSE(Dists!$B22:$X22)*MMULT(1/Dists!$B22:$X22,Capacity!$DI$3:$DI$25)))</f>
        <v>123.256464637431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4" t="n">
        <f aca="false" t="array" ref="AW80:AW80">SUM(Capacity!BQ$3:BQ$25*Capacity!$DH23/(TRANSPOSE(Dists!$B22:$X22)*MMULT(1/Dists!$B22:$X22,Capacity!$DH$3:$DH$25)))</f>
        <v>1482.24799920094</v>
      </c>
      <c r="AX80" s="0"/>
      <c r="AY80" s="4" t="n">
        <f aca="false" t="array" ref="AY80:AY80">SUM(Capacity!BS$3:BS$25*Capacity!$DH23/(TRANSPOSE(Dists!$B22:$X22)*MMULT(1/Dists!$B22:$X22,Capacity!$DH$3:$DH$25)))</f>
        <v>37.501868555227</v>
      </c>
      <c r="AZ80" s="4" t="n">
        <f aca="false" t="array" ref="AZ80:AZ80">SUM(Capacity!BT$3:BT$25*Capacity!$DH23/(TRANSPOSE(Dists!$B22:$X22)*MMULT(1/Dists!$B22:$X22,Capacity!$DH$3:$DH$25)))</f>
        <v>52.737002655788</v>
      </c>
      <c r="BA80" s="0"/>
      <c r="BB80" s="4" t="n">
        <f aca="false" t="array" ref="BB80:BB80">SUM(Capacity!BV$3:BV$25*Capacity!$DI23/(TRANSPOSE(Dists!$B22:$X22)*MMULT(1/Dists!$B22:$X22,Capacity!$DI$3:$DI$25)))</f>
        <v>431.397626231009</v>
      </c>
      <c r="BC80" s="4" t="n">
        <f aca="false" t="array" ref="BC80:BC80">SUM(Capacity!BW$3:BW$25*Capacity!$DI23/(TRANSPOSE(Dists!$B22:$X22)*MMULT(1/Dists!$B22:$X22,Capacity!$DI$3:$DI$25)))</f>
        <v>369.769393912294</v>
      </c>
      <c r="BD80" s="4" t="n">
        <f aca="false" t="array" ref="BD80:BD80">SUM(Capacity!BX$3:BX$25*Capacity!$DI23/(TRANSPOSE(Dists!$B22:$X22)*MMULT(1/Dists!$B22:$X22,Capacity!$DI$3:$DI$25)))</f>
        <v>184.884696956147</v>
      </c>
      <c r="BE80" s="4" t="n">
        <f aca="false" t="array" ref="BE80:BE80">SUM(Capacity!BY$3:BY$25*Capacity!$DI23/(TRANSPOSE(Dists!$B22:$X22)*MMULT(1/Dists!$B22:$X22,Capacity!$DI$3:$DI$25)))</f>
        <v>107.849406557752</v>
      </c>
      <c r="BF80" s="4" t="n">
        <f aca="false" t="array" ref="BF80:BF80">SUM(Capacity!BZ$3:BZ$25*Capacity!$DH23/(TRANSPOSE(Dists!$B22:$X22)*MMULT(1/Dists!$B22:$X22,Capacity!$DH$3:$DH$25)))</f>
        <v>222337.199880142</v>
      </c>
      <c r="BG80" s="4" t="n">
        <f aca="false" t="array" ref="BG80:BG80">SUM(Capacity!CA$3:CA$25*Capacity!$DI23/(TRANSPOSE(Dists!$B22:$X22)*MMULT(1/Dists!$B22:$X22,Capacity!$DI$3:$DI$25)))</f>
        <v>7794.66859165662</v>
      </c>
      <c r="BH80" s="4" t="n">
        <f aca="false" t="array" ref="BH80:BH80">SUM(Capacity!CB$3:CB$25*Capacity!$DI23/(TRANSPOSE(Dists!$B22:$X22)*MMULT(1/Dists!$B22:$X22,Capacity!$DI$3:$DI$25)))</f>
        <v>13449.1450864947</v>
      </c>
      <c r="BI80" s="4" t="n">
        <f aca="false" t="array" ref="BI80:BI80">SUM(Capacity!CC$3:CC$25*Capacity!$DI23/(TRANSPOSE(Dists!$B22:$X22)*MMULT(1/Dists!$B22:$X22,Capacity!$DI$3:$DI$25)))</f>
        <v>20785.7829110843</v>
      </c>
      <c r="BJ80" s="0"/>
      <c r="BK80" s="4" t="n">
        <f aca="false" t="array" ref="BK80:BK80">SUM(Capacity!CE$3:CE$25*Capacity!$DI23/(TRANSPOSE(Dists!$B22:$X22)*MMULT(1/Dists!$B22:$X22,Capacity!$DI$3:$DI$25)))</f>
        <v>10392.8914555422</v>
      </c>
      <c r="BL80" s="0"/>
      <c r="BM80" s="0"/>
      <c r="BN80" s="4" t="n">
        <f aca="false" t="array" ref="BN80:BN80">SUM(Capacity!CH$3:CH$25*Capacity!$DH23/(TRANSPOSE(Dists!$B22:$X22)*MMULT(1/Dists!$B22:$X22,Capacity!$DH$3:$DH$25)))</f>
        <v>2430171.87141224</v>
      </c>
      <c r="BO80" s="4" t="n">
        <f aca="false" t="array" ref="BO80:BO80">SUM(Capacity!CI$3:CI$25*Capacity!$DH23/(TRANSPOSE(Dists!$B22:$X22)*MMULT(1/Dists!$B22:$X22,Capacity!$DH$3:$DH$25)))</f>
        <v>4860.34444789943</v>
      </c>
      <c r="BP80" s="4" t="n">
        <f aca="false" t="array" ref="BP80:BP80">SUM(Capacity!CJ$3:CJ$25*Capacity!$DH23/(TRANSPOSE(Dists!$B22:$X22)*MMULT(1/Dists!$B22:$X22,Capacity!$DH$3:$DH$25)))</f>
        <v>567040.103871162</v>
      </c>
      <c r="BQ80" s="4" t="n">
        <f aca="false" t="array" ref="BQ80:BQ80">SUM(Capacity!CK$3:CK$25*Capacity!$DH23/(TRANSPOSE(Dists!$B22:$X22)*MMULT(1/Dists!$B22:$X22,Capacity!$DH$3:$DH$25)))</f>
        <v>526537.2393594</v>
      </c>
      <c r="BR80" s="4" t="n">
        <f aca="false" t="array" ref="BR80:BR80">SUM(Capacity!CL$3:CL$25*Capacity!$DH23/(TRANSPOSE(Dists!$B22:$X22)*MMULT(1/Dists!$B22:$X22,Capacity!$DH$3:$DH$25)))</f>
        <v>1620.11528695844</v>
      </c>
      <c r="BS80" s="4" t="n">
        <f aca="false" t="array" ref="BS80:BS80">SUM(Capacity!CM$3:CM$25*Capacity!$DH23/(TRANSPOSE(Dists!$B22:$X22)*MMULT(1/Dists!$B22:$X22,Capacity!$DH$3:$DH$25)))</f>
        <v>810.057996723189</v>
      </c>
      <c r="BT80" s="4" t="n">
        <f aca="false" t="array" ref="BT80:BT80">SUM(Capacity!CN$3:CN$25*Capacity!$DI23/(TRANSPOSE(Dists!$B22:$X22)*MMULT(1/Dists!$B22:$X22,Capacity!$DI$3:$DI$25)))</f>
        <v>941542.4382026</v>
      </c>
      <c r="BU80" s="4" t="n">
        <f aca="false" t="array" ref="BU80:BU80">SUM(Capacity!CO$3:CO$25*Capacity!$DI23/(TRANSPOSE(Dists!$B22:$X22)*MMULT(1/Dists!$B22:$X22,Capacity!$DI$3:$DI$25)))</f>
        <v>102713.720531193</v>
      </c>
      <c r="BV80" s="4" t="n">
        <f aca="false" t="array" ref="BV80:BV80">SUM(Capacity!CP$3:CP$25*Capacity!$DI23/(TRANSPOSE(Dists!$B22:$X22)*MMULT(1/Dists!$B22:$X22,Capacity!$DI$3:$DI$25)))</f>
        <v>11983.2673953058</v>
      </c>
      <c r="BW80" s="0"/>
      <c r="BX80" s="0"/>
      <c r="BY80" s="0"/>
      <c r="BZ80" s="0"/>
      <c r="CA80" s="0"/>
      <c r="CB80" s="0"/>
      <c r="CC80" s="0"/>
      <c r="CE80" s="4" t="n">
        <f aca="false" t="array" ref="CE80:CE80">SUM(Capacity!CY$3:CY$25*Capacity!$DH23/(TRANSPOSE(Dists!$B22:$X22)*MMULT(1/Dists!$B22:$X22,Capacity!$DH$3:$DH$25)))</f>
        <v>277.921499850177</v>
      </c>
      <c r="CG80" s="0"/>
      <c r="CH80" s="0"/>
      <c r="CI80" s="0"/>
      <c r="CJ80" s="0"/>
      <c r="CK80" s="0"/>
    </row>
    <row r="81" customFormat="false" ht="12.8" hidden="false" customHeight="false" outlineLevel="0" collapsed="false">
      <c r="A81" s="4" t="s">
        <v>159</v>
      </c>
      <c r="B81" s="7" t="s">
        <v>39</v>
      </c>
      <c r="C81" s="4" t="n">
        <f aca="false" t="array" ref="C81:C81">SUM(Capacity!S$3:S$25*Capacity!$DH24/(TRANSPOSE(Dists!$B23:$X23)*MMULT(1/Dists!$B23:$X23,Capacity!$DH$3:$DH$25)))</f>
        <v>4200.45074943342</v>
      </c>
      <c r="D81" s="4" t="n">
        <f aca="false" t="array" ref="D81:D81">SUM(Capacity!V$3:V$25*Capacity!$DH24/(TRANSPOSE(Dists!$B23:$X23)*MMULT(1/Dists!$B23:$X23,Capacity!$DH$3:$DH$25)))</f>
        <v>5345.25693958133</v>
      </c>
      <c r="E81" s="4" t="n">
        <f aca="false" t="array" ref="E81:E81">SUM(Capacity!Y$3:Y$25*Capacity!$DH24/(TRANSPOSE(Dists!$B23:$X23)*MMULT(1/Dists!$B23:$X23,Capacity!$DH$3:$DH$25)))</f>
        <v>6704.05893146762</v>
      </c>
      <c r="F81" s="4" t="n">
        <f aca="false" t="array" ref="F81:F81">SUM(Capacity!Z$3:Z$25*Capacity!$DH24/(TRANSPOSE(Dists!$B23:$X23)*MMULT(1/Dists!$B23:$X23,Capacity!$DH$3:$DH$25)))</f>
        <v>2542.79871457182</v>
      </c>
      <c r="G81" s="4" t="n">
        <f aca="false" t="array" ref="G81:G81">SUM(Capacity!AA$3:AA$25*Capacity!$DH24/(TRANSPOSE(Dists!$B23:$X23)*MMULT(1/Dists!$B23:$X23,Capacity!$DH$3:$DH$25)))</f>
        <v>36077.806567227</v>
      </c>
      <c r="H81" s="4" t="n">
        <f aca="false" t="array" ref="H81:H81">SUM(Capacity!AB$3:AB$25*Capacity!$DI24/(TRANSPOSE(Dists!$B23:$X23)*MMULT(1/Dists!$B23:$X23,Capacity!$DI$3:$DI$25)))</f>
        <v>1602.41496959558</v>
      </c>
      <c r="I81" s="0"/>
      <c r="J81" s="0"/>
      <c r="K81" s="0"/>
      <c r="L81" s="0"/>
      <c r="M81" s="0"/>
      <c r="N81" s="4" t="n">
        <f aca="false" t="array" ref="N81:N81">SUM(Capacity!AH$3:AH$25*Capacity!$DH24/(TRANSPOSE(Dists!$B23:$X23)*MMULT(1/Dists!$B23:$X23,Capacity!$DH$3:$DH$25)))</f>
        <v>45805.8205525214</v>
      </c>
      <c r="O81" s="0"/>
      <c r="U81" s="0"/>
      <c r="V81" s="0"/>
      <c r="W81" s="0"/>
      <c r="X81" s="0"/>
      <c r="Y81" s="4" t="n">
        <f aca="false" t="array" ref="Y81:Y81">SUM(Capacity!AS$3:AS$25*Capacity!$DI24/(TRANSPOSE(Dists!$B23:$X23)*MMULT(1/Dists!$B23:$X23,Capacity!$DI$3:$DI$25)))</f>
        <v>188.014812615045</v>
      </c>
      <c r="Z81" s="4" t="n">
        <f aca="false" t="array" ref="Z81:Z81">SUM(Capacity!AT$3:AT$25*Capacity!$DH24/(TRANSPOSE(Dists!$B23:$X23)*MMULT(1/Dists!$B23:$X23,Capacity!$DH$3:$DH$25)))</f>
        <v>220873.364324803</v>
      </c>
      <c r="AA81" s="4" t="n">
        <f aca="false" t="array" ref="AA81:AA81">SUM(Capacity!AU$3:AU$25*Capacity!$DI24/(TRANSPOSE(Dists!$B23:$X23)*MMULT(1/Dists!$B23:$X23,Capacity!$DI$3:$DI$25)))</f>
        <v>12545.8000485973</v>
      </c>
      <c r="AB81" s="4" t="n">
        <f aca="false" t="array" ref="AB81:AB81">SUM(Capacity!AV$3:AV$25*Capacity!$DI24/(TRANSPOSE(Dists!$B23:$X23)*MMULT(1/Dists!$B23:$X23,Capacity!$DI$3:$DI$25)))</f>
        <v>5227.41668691555</v>
      </c>
      <c r="AC81" s="4" t="n">
        <f aca="false" t="array" ref="AC81:AC81">SUM(Capacity!AW$3:AW$25*Capacity!$DH24/(TRANSPOSE(Dists!$B23:$X23)*MMULT(1/Dists!$B23:$X23,Capacity!$DH$3:$DH$25)))</f>
        <v>249.484369732684</v>
      </c>
      <c r="AD81" s="4" t="n">
        <f aca="false" t="array" ref="AD81:AD81">SUM(Capacity!AX$3:AX$25*Capacity!$DI24/(TRANSPOSE(Dists!$B23:$X23)*MMULT(1/Dists!$B23:$X23,Capacity!$DI$3:$DI$25)))</f>
        <v>86.2523753341065</v>
      </c>
      <c r="AE81" s="4" t="n">
        <f aca="false" t="array" ref="AE81:AE81">SUM(Capacity!AY$3:AY$25*Capacity!$DI24/(TRANSPOSE(Dists!$B23:$X23)*MMULT(1/Dists!$B23:$X23,Capacity!$DI$3:$DI$25)))</f>
        <v>60.219840233267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4" t="n">
        <f aca="false" t="array" ref="AW81:AW81">SUM(Capacity!BQ$3:BQ$25*Capacity!$DH24/(TRANSPOSE(Dists!$B23:$X23)*MMULT(1/Dists!$B23:$X23,Capacity!$DH$3:$DH$25)))</f>
        <v>860.175066014371</v>
      </c>
      <c r="AX81" s="0"/>
      <c r="AY81" s="4" t="n">
        <f aca="false" t="array" ref="AY81:AY81">SUM(Capacity!BS$3:BS$25*Capacity!$DH24/(TRANSPOSE(Dists!$B23:$X23)*MMULT(1/Dists!$B23:$X23,Capacity!$DH$3:$DH$25)))</f>
        <v>19.9623862286414</v>
      </c>
      <c r="AZ81" s="4" t="n">
        <f aca="false" t="array" ref="AZ81:AZ81">SUM(Capacity!BT$3:BT$25*Capacity!$DH24/(TRANSPOSE(Dists!$B23:$X23)*MMULT(1/Dists!$B23:$X23,Capacity!$DH$3:$DH$25)))</f>
        <v>28.072105634027</v>
      </c>
      <c r="BA81" s="0"/>
      <c r="BB81" s="4" t="n">
        <f aca="false" t="array" ref="BB81:BB81">SUM(Capacity!BV$3:BV$25*Capacity!$DI24/(TRANSPOSE(Dists!$B23:$X23)*MMULT(1/Dists!$B23:$X23,Capacity!$DI$3:$DI$25)))</f>
        <v>210.769440816435</v>
      </c>
      <c r="BC81" s="4" t="n">
        <f aca="false" t="array" ref="BC81:BC81">SUM(Capacity!BW$3:BW$25*Capacity!$DI24/(TRANSPOSE(Dists!$B23:$X23)*MMULT(1/Dists!$B23:$X23,Capacity!$DI$3:$DI$25)))</f>
        <v>180.659520699801</v>
      </c>
      <c r="BD81" s="4" t="n">
        <f aca="false" t="array" ref="BD81:BD81">SUM(Capacity!BX$3:BX$25*Capacity!$DI24/(TRANSPOSE(Dists!$B23:$X23)*MMULT(1/Dists!$B23:$X23,Capacity!$DI$3:$DI$25)))</f>
        <v>90.3297603499005</v>
      </c>
      <c r="BE81" s="4" t="n">
        <f aca="false" t="array" ref="BE81:BE81">SUM(Capacity!BY$3:BY$25*Capacity!$DI24/(TRANSPOSE(Dists!$B23:$X23)*MMULT(1/Dists!$B23:$X23,Capacity!$DI$3:$DI$25)))</f>
        <v>52.6923602041087</v>
      </c>
      <c r="BF81" s="4" t="n">
        <f aca="false" t="array" ref="BF81:BF81">SUM(Capacity!BZ$3:BZ$25*Capacity!$DH24/(TRANSPOSE(Dists!$B23:$X23)*MMULT(1/Dists!$B23:$X23,Capacity!$DH$3:$DH$25)))</f>
        <v>129026.259902156</v>
      </c>
      <c r="BG81" s="4" t="n">
        <f aca="false" t="array" ref="BG81:BG81">SUM(Capacity!CA$3:CA$25*Capacity!$DI24/(TRANSPOSE(Dists!$B23:$X23)*MMULT(1/Dists!$B23:$X23,Capacity!$DI$3:$DI$25)))</f>
        <v>4151.7766026352</v>
      </c>
      <c r="BH81" s="4" t="n">
        <f aca="false" t="array" ref="BH81:BH81">SUM(Capacity!CB$3:CB$25*Capacity!$DI24/(TRANSPOSE(Dists!$B23:$X23)*MMULT(1/Dists!$B23:$X23,Capacity!$DI$3:$DI$25)))</f>
        <v>6615.5243723081</v>
      </c>
      <c r="BI81" s="4" t="n">
        <f aca="false" t="array" ref="BI81:BI81">SUM(Capacity!CC$3:CC$25*Capacity!$DI24/(TRANSPOSE(Dists!$B23:$X23)*MMULT(1/Dists!$B23:$X23,Capacity!$DI$3:$DI$25)))</f>
        <v>11071.4042736939</v>
      </c>
      <c r="BJ81" s="0"/>
      <c r="BK81" s="4" t="n">
        <f aca="false" t="array" ref="BK81:BK81">SUM(Capacity!CE$3:CE$25*Capacity!$DI24/(TRANSPOSE(Dists!$B23:$X23)*MMULT(1/Dists!$B23:$X23,Capacity!$DI$3:$DI$25)))</f>
        <v>5535.70213684694</v>
      </c>
      <c r="BL81" s="0"/>
      <c r="BM81" s="0"/>
      <c r="BN81" s="4" t="n">
        <f aca="false" t="array" ref="BN81:BN81">SUM(Capacity!CH$3:CH$25*Capacity!$DH24/(TRANSPOSE(Dists!$B23:$X23)*MMULT(1/Dists!$B23:$X23,Capacity!$DH$3:$DH$25)))</f>
        <v>1583468.29994555</v>
      </c>
      <c r="BO81" s="4" t="n">
        <f aca="false" t="array" ref="BO81:BO81">SUM(Capacity!CI$3:CI$25*Capacity!$DH24/(TRANSPOSE(Dists!$B23:$X23)*MMULT(1/Dists!$B23:$X23,Capacity!$DH$3:$DH$25)))</f>
        <v>3166.93719199779</v>
      </c>
      <c r="BP81" s="4" t="n">
        <f aca="false" t="array" ref="BP81:BP81">SUM(Capacity!CJ$3:CJ$25*Capacity!$DH24/(TRANSPOSE(Dists!$B23:$X23)*MMULT(1/Dists!$B23:$X23,Capacity!$DH$3:$DH$25)))</f>
        <v>369475.93710882</v>
      </c>
      <c r="BQ81" s="4" t="n">
        <f aca="false" t="array" ref="BQ81:BQ81">SUM(Capacity!CK$3:CK$25*Capacity!$DH24/(TRANSPOSE(Dists!$B23:$X23)*MMULT(1/Dists!$B23:$X23,Capacity!$DH$3:$DH$25)))</f>
        <v>343084.798786282</v>
      </c>
      <c r="BR81" s="4" t="n">
        <f aca="false" t="array" ref="BR81:BR81">SUM(Capacity!CL$3:CL$25*Capacity!$DH24/(TRANSPOSE(Dists!$B23:$X23)*MMULT(1/Dists!$B23:$X23,Capacity!$DH$3:$DH$25)))</f>
        <v>1055.64612619479</v>
      </c>
      <c r="BS81" s="4" t="n">
        <f aca="false" t="array" ref="BS81:BS81">SUM(Capacity!CM$3:CM$25*Capacity!$DH24/(TRANSPOSE(Dists!$B23:$X23)*MMULT(1/Dists!$B23:$X23,Capacity!$DH$3:$DH$25)))</f>
        <v>527.823359744035</v>
      </c>
      <c r="BT81" s="4" t="n">
        <f aca="false" t="array" ref="BT81:BT81">SUM(Capacity!CN$3:CN$25*Capacity!$DI24/(TRANSPOSE(Dists!$B23:$X23)*MMULT(1/Dists!$B23:$X23,Capacity!$DI$3:$DI$25)))</f>
        <v>460012.668448568</v>
      </c>
      <c r="BU81" s="4" t="n">
        <f aca="false" t="array" ref="BU81:BU81">SUM(Capacity!CO$3:CO$25*Capacity!$DI24/(TRANSPOSE(Dists!$B23:$X23)*MMULT(1/Dists!$B23:$X23,Capacity!$DI$3:$DI$25)))</f>
        <v>50183.2001943892</v>
      </c>
      <c r="BV81" s="4" t="n">
        <f aca="false" t="array" ref="BV81:BV81">SUM(Capacity!CP$3:CP$25*Capacity!$DI24/(TRANSPOSE(Dists!$B23:$X23)*MMULT(1/Dists!$B23:$X23,Capacity!$DI$3:$DI$25)))</f>
        <v>5854.70668934541</v>
      </c>
      <c r="BW81" s="0"/>
      <c r="BX81" s="0"/>
      <c r="BY81" s="0"/>
      <c r="BZ81" s="0"/>
      <c r="CA81" s="0"/>
      <c r="CB81" s="0"/>
      <c r="CC81" s="0"/>
      <c r="CE81" s="4" t="n">
        <f aca="false" t="array" ref="CE81:CE81">SUM(Capacity!CY$3:CY$25*Capacity!$DH24/(TRANSPOSE(Dists!$B23:$X23)*MMULT(1/Dists!$B23:$X23,Capacity!$DH$3:$DH$25)))</f>
        <v>161.282824877694</v>
      </c>
      <c r="CG81" s="0"/>
      <c r="CH81" s="0"/>
      <c r="CI81" s="0"/>
      <c r="CJ81" s="0"/>
      <c r="CK81" s="0"/>
    </row>
    <row r="82" customFormat="false" ht="12.8" hidden="false" customHeight="false" outlineLevel="0" collapsed="false">
      <c r="A82" s="4" t="s">
        <v>160</v>
      </c>
      <c r="B82" s="7" t="s">
        <v>39</v>
      </c>
      <c r="C82" s="4" t="n">
        <f aca="false" t="array" ref="C82:C82">SUM(Capacity!S$3:S$25*Capacity!$DH25/(TRANSPOSE(Dists!$B24:$X24)*MMULT(1/Dists!$B24:$X24,Capacity!$DH$3:$DH$25)))</f>
        <v>4495.04541425199</v>
      </c>
      <c r="D82" s="4" t="n">
        <f aca="false" t="array" ref="D82:D82">SUM(Capacity!V$3:V$25*Capacity!$DH25/(TRANSPOSE(Dists!$B24:$X24)*MMULT(1/Dists!$B24:$X24,Capacity!$DH$3:$DH$25)))</f>
        <v>5668.94447290974</v>
      </c>
      <c r="E82" s="4" t="n">
        <f aca="false" t="array" ref="E82:E82">SUM(Capacity!Y$3:Y$25*Capacity!$DH25/(TRANSPOSE(Dists!$B24:$X24)*MMULT(1/Dists!$B24:$X24,Capacity!$DH$3:$DH$25)))</f>
        <v>7266.40042899909</v>
      </c>
      <c r="F82" s="4" t="n">
        <f aca="false" t="array" ref="F82:F82">SUM(Capacity!Z$3:Z$25*Capacity!$DH25/(TRANSPOSE(Dists!$B24:$X24)*MMULT(1/Dists!$B24:$X24,Capacity!$DH$3:$DH$25)))</f>
        <v>2796.64603738084</v>
      </c>
      <c r="G82" s="4" t="n">
        <f aca="false" t="array" ref="G82:G82">SUM(Capacity!AA$3:AA$25*Capacity!$DH25/(TRANSPOSE(Dists!$B24:$X24)*MMULT(1/Dists!$B24:$X24,Capacity!$DH$3:$DH$25)))</f>
        <v>38188.472687959</v>
      </c>
      <c r="H82" s="4" t="n">
        <f aca="false" t="array" ref="H82:H82">SUM(Capacity!AB$3:AB$25*Capacity!$DI25/(TRANSPOSE(Dists!$B24:$X24)*MMULT(1/Dists!$B24:$X24,Capacity!$DI$3:$DI$25)))</f>
        <v>1837.87733625097</v>
      </c>
      <c r="I82" s="0"/>
      <c r="J82" s="0"/>
      <c r="K82" s="0"/>
      <c r="L82" s="0"/>
      <c r="M82" s="0"/>
      <c r="N82" s="4" t="n">
        <f aca="false" t="array" ref="N82:N82">SUM(Capacity!AH$3:AH$25*Capacity!$DH25/(TRANSPOSE(Dists!$B24:$X24)*MMULT(1/Dists!$B24:$X24,Capacity!$DH$3:$DH$25)))</f>
        <v>49544.9245370875</v>
      </c>
      <c r="O82" s="0"/>
      <c r="U82" s="0"/>
      <c r="V82" s="0"/>
      <c r="W82" s="0"/>
      <c r="X82" s="0"/>
      <c r="Y82" s="4" t="n">
        <f aca="false" t="array" ref="Y82:Y82">SUM(Capacity!AS$3:AS$25*Capacity!$DI25/(TRANSPOSE(Dists!$B24:$X24)*MMULT(1/Dists!$B24:$X24,Capacity!$DI$3:$DI$25)))</f>
        <v>208.605514930118</v>
      </c>
      <c r="Z82" s="4" t="n">
        <f aca="false" t="array" ref="Z82:Z82">SUM(Capacity!AT$3:AT$25*Capacity!$DH25/(TRANSPOSE(Dists!$B24:$X24)*MMULT(1/Dists!$B24:$X24,Capacity!$DH$3:$DH$25)))</f>
        <v>268949.998104063</v>
      </c>
      <c r="AA82" s="4" t="n">
        <f aca="false" t="array" ref="AA82:AA82">SUM(Capacity!AU$3:AU$25*Capacity!$DI25/(TRANSPOSE(Dists!$B24:$X24)*MMULT(1/Dists!$B24:$X24,Capacity!$DI$3:$DI$25)))</f>
        <v>13028.1916294059</v>
      </c>
      <c r="AB82" s="4" t="n">
        <f aca="false" t="array" ref="AB82:AB82">SUM(Capacity!AV$3:AV$25*Capacity!$DI25/(TRANSPOSE(Dists!$B24:$X24)*MMULT(1/Dists!$B24:$X24,Capacity!$DI$3:$DI$25)))</f>
        <v>5428.41317891911</v>
      </c>
      <c r="AC82" s="4" t="n">
        <f aca="false" t="array" ref="AC82:AC82">SUM(Capacity!AW$3:AW$25*Capacity!$DH25/(TRANSPOSE(Dists!$B24:$X24)*MMULT(1/Dists!$B24:$X24,Capacity!$DH$3:$DH$25)))</f>
        <v>259.421275223346</v>
      </c>
      <c r="AD82" s="4" t="n">
        <f aca="false" t="array" ref="AD82:AD82">SUM(Capacity!AX$3:AX$25*Capacity!$DI25/(TRANSPOSE(Dists!$B24:$X24)*MMULT(1/Dists!$B24:$X24,Capacity!$DI$3:$DI$25)))</f>
        <v>89.5688174521654</v>
      </c>
      <c r="AE82" s="4" t="n">
        <f aca="false" t="array" ref="AE82:AE82">SUM(Capacity!AY$3:AY$25*Capacity!$DI25/(TRANSPOSE(Dists!$B24:$X24)*MMULT(1/Dists!$B24:$X24,Capacity!$DI$3:$DI$25)))</f>
        <v>62.5353198211482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4" t="n">
        <f aca="false" t="array" ref="AW82:AW82">SUM(Capacity!BQ$3:BQ$25*Capacity!$DH25/(TRANSPOSE(Dists!$B24:$X24)*MMULT(1/Dists!$B24:$X24,Capacity!$DH$3:$DH$25)))</f>
        <v>894.435642520896</v>
      </c>
      <c r="AX82" s="0"/>
      <c r="AY82" s="4" t="n">
        <f aca="false" t="array" ref="AY82:AY82">SUM(Capacity!BS$3:BS$25*Capacity!$DH25/(TRANSPOSE(Dists!$B24:$X24)*MMULT(1/Dists!$B24:$X24,Capacity!$DH$3:$DH$25)))</f>
        <v>20.0517278700366</v>
      </c>
      <c r="AZ82" s="4" t="n">
        <f aca="false" t="array" ref="AZ82:AZ82">SUM(Capacity!BT$3:BT$25*Capacity!$DH25/(TRANSPOSE(Dists!$B24:$X24)*MMULT(1/Dists!$B24:$X24,Capacity!$DH$3:$DH$25)))</f>
        <v>28.197742317239</v>
      </c>
      <c r="BA82" s="0"/>
      <c r="BB82" s="4" t="n">
        <f aca="false" t="array" ref="BB82:BB82">SUM(Capacity!BV$3:BV$25*Capacity!$DI25/(TRANSPOSE(Dists!$B24:$X24)*MMULT(1/Dists!$B24:$X24,Capacity!$DI$3:$DI$25)))</f>
        <v>218.873619374019</v>
      </c>
      <c r="BC82" s="4" t="n">
        <f aca="false" t="array" ref="BC82:BC82">SUM(Capacity!BW$3:BW$25*Capacity!$DI25/(TRANSPOSE(Dists!$B24:$X24)*MMULT(1/Dists!$B24:$X24,Capacity!$DI$3:$DI$25)))</f>
        <v>187.605959463445</v>
      </c>
      <c r="BD82" s="4" t="n">
        <f aca="false" t="array" ref="BD82:BD82">SUM(Capacity!BX$3:BX$25*Capacity!$DI25/(TRANSPOSE(Dists!$B24:$X24)*MMULT(1/Dists!$B24:$X24,Capacity!$DI$3:$DI$25)))</f>
        <v>93.8029797317222</v>
      </c>
      <c r="BE82" s="4" t="n">
        <f aca="false" t="array" ref="BE82:BE82">SUM(Capacity!BY$3:BY$25*Capacity!$DI25/(TRANSPOSE(Dists!$B24:$X24)*MMULT(1/Dists!$B24:$X24,Capacity!$DI$3:$DI$25)))</f>
        <v>54.7184048435047</v>
      </c>
      <c r="BF82" s="4" t="n">
        <f aca="false" t="array" ref="BF82:BF82">SUM(Capacity!BZ$3:BZ$25*Capacity!$DH25/(TRANSPOSE(Dists!$B24:$X24)*MMULT(1/Dists!$B24:$X24,Capacity!$DH$3:$DH$25)))</f>
        <v>134165.346378134</v>
      </c>
      <c r="BG82" s="4" t="n">
        <f aca="false" t="array" ref="BG82:BG82">SUM(Capacity!CA$3:CA$25*Capacity!$DI25/(TRANSPOSE(Dists!$B24:$X24)*MMULT(1/Dists!$B24:$X24,Capacity!$DI$3:$DI$25)))</f>
        <v>4463.16202390204</v>
      </c>
      <c r="BH82" s="4" t="n">
        <f aca="false" t="array" ref="BH82:BH82">SUM(Capacity!CB$3:CB$25*Capacity!$DI25/(TRANSPOSE(Dists!$B24:$X24)*MMULT(1/Dists!$B24:$X24,Capacity!$DI$3:$DI$25)))</f>
        <v>7014.30865503199</v>
      </c>
      <c r="BI82" s="4" t="n">
        <f aca="false" t="array" ref="BI82:BI82">SUM(Capacity!CC$3:CC$25*Capacity!$DI25/(TRANSPOSE(Dists!$B24:$X24)*MMULT(1/Dists!$B24:$X24,Capacity!$DI$3:$DI$25)))</f>
        <v>11901.7653970721</v>
      </c>
      <c r="BJ82" s="0"/>
      <c r="BK82" s="4" t="n">
        <f aca="false" t="array" ref="BK82:BK82">SUM(Capacity!CE$3:CE$25*Capacity!$DI25/(TRANSPOSE(Dists!$B24:$X24)*MMULT(1/Dists!$B24:$X24,Capacity!$DI$3:$DI$25)))</f>
        <v>5950.88269853605</v>
      </c>
      <c r="BL82" s="0"/>
      <c r="BM82" s="0"/>
      <c r="BN82" s="4" t="n">
        <f aca="false" t="array" ref="BN82:BN82">SUM(Capacity!CH$3:CH$25*Capacity!$DH25/(TRANSPOSE(Dists!$B24:$X24)*MMULT(1/Dists!$B24:$X24,Capacity!$DH$3:$DH$25)))</f>
        <v>1607938.88341789</v>
      </c>
      <c r="BO82" s="4" t="n">
        <f aca="false" t="array" ref="BO82:BO82">SUM(Capacity!CI$3:CI$25*Capacity!$DH25/(TRANSPOSE(Dists!$B24:$X24)*MMULT(1/Dists!$B24:$X24,Capacity!$DH$3:$DH$25)))</f>
        <v>3215.8783639593</v>
      </c>
      <c r="BP82" s="4" t="n">
        <f aca="false" t="array" ref="BP82:BP82">SUM(Capacity!CJ$3:CJ$25*Capacity!$DH25/(TRANSPOSE(Dists!$B24:$X24)*MMULT(1/Dists!$B24:$X24,Capacity!$DH$3:$DH$25)))</f>
        <v>375185.739922886</v>
      </c>
      <c r="BQ82" s="4" t="n">
        <f aca="false" t="array" ref="BQ82:BQ82">SUM(Capacity!CK$3:CK$25*Capacity!$DH25/(TRANSPOSE(Dists!$B24:$X24)*MMULT(1/Dists!$B24:$X24,Capacity!$DH$3:$DH$25)))</f>
        <v>348386.75854256</v>
      </c>
      <c r="BR82" s="4" t="n">
        <f aca="false" t="array" ref="BR82:BR82">SUM(Capacity!CL$3:CL$25*Capacity!$DH25/(TRANSPOSE(Dists!$B24:$X24)*MMULT(1/Dists!$B24:$X24,Capacity!$DH$3:$DH$25)))</f>
        <v>1071.95985353321</v>
      </c>
      <c r="BS82" s="4" t="n">
        <f aca="false" t="array" ref="BS82:BS82">SUM(Capacity!CM$3:CM$25*Capacity!$DH25/(TRANSPOSE(Dists!$B24:$X24)*MMULT(1/Dists!$B24:$X24,Capacity!$DH$3:$DH$25)))</f>
        <v>535.980225926685</v>
      </c>
      <c r="BT82" s="4" t="n">
        <f aca="false" t="array" ref="BT82:BT82">SUM(Capacity!CN$3:CN$25*Capacity!$DI25/(TRANSPOSE(Dists!$B24:$X24)*MMULT(1/Dists!$B24:$X24,Capacity!$DI$3:$DI$25)))</f>
        <v>477700.359744882</v>
      </c>
      <c r="BU82" s="4" t="n">
        <f aca="false" t="array" ref="BU82:BU82">SUM(Capacity!CO$3:CO$25*Capacity!$DI25/(TRANSPOSE(Dists!$B24:$X24)*MMULT(1/Dists!$B24:$X24,Capacity!$DI$3:$DI$25)))</f>
        <v>52112.7665176235</v>
      </c>
      <c r="BV82" s="4" t="n">
        <f aca="false" t="array" ref="BV82:BV82">SUM(Capacity!CP$3:CP$25*Capacity!$DI25/(TRANSPOSE(Dists!$B24:$X24)*MMULT(1/Dists!$B24:$X24,Capacity!$DI$3:$DI$25)))</f>
        <v>6079.82276038941</v>
      </c>
      <c r="BW82" s="0"/>
      <c r="BX82" s="0"/>
      <c r="BY82" s="0"/>
      <c r="BZ82" s="0"/>
      <c r="CA82" s="0"/>
      <c r="CB82" s="0"/>
      <c r="CC82" s="0"/>
      <c r="CE82" s="4" t="n">
        <f aca="false" t="array" ref="CE82:CE82">SUM(Capacity!CY$3:CY$25*Capacity!$DH25/(TRANSPOSE(Dists!$B24:$X24)*MMULT(1/Dists!$B24:$X24,Capacity!$DH$3:$DH$25)))</f>
        <v>167.706682972668</v>
      </c>
      <c r="CG82" s="0"/>
      <c r="CH82" s="0"/>
      <c r="CI82" s="0"/>
      <c r="CJ82" s="0"/>
      <c r="CK82" s="0"/>
    </row>
    <row r="83" customFormat="false" ht="12.8" hidden="false" customHeight="false" outlineLevel="0" collapsed="false">
      <c r="B83" s="7"/>
    </row>
    <row r="84" customFormat="false" ht="12.8" hidden="false" customHeight="false" outlineLevel="0" collapsed="false">
      <c r="B84" s="7"/>
    </row>
    <row r="85" customFormat="false" ht="12.8" hidden="false" customHeight="false" outlineLevel="0" collapsed="false">
      <c r="B85" s="7"/>
    </row>
    <row r="86" customFormat="false" ht="12.8" hidden="false" customHeight="false" outlineLevel="0" collapsed="false">
      <c r="B86" s="7"/>
    </row>
    <row r="87" customFormat="false" ht="12.8" hidden="false" customHeight="false" outlineLevel="0" collapsed="false">
      <c r="B87" s="7"/>
    </row>
    <row r="88" customFormat="false" ht="12.8" hidden="false" customHeight="false" outlineLevel="0" collapsed="false">
      <c r="B88" s="7"/>
    </row>
    <row r="89" customFormat="false" ht="12.8" hidden="false" customHeight="false" outlineLevel="0" collapsed="false">
      <c r="A89" s="0"/>
      <c r="B89" s="7"/>
      <c r="C89" s="0"/>
      <c r="D89" s="0"/>
    </row>
    <row r="90" customFormat="false" ht="12.8" hidden="false" customHeight="false" outlineLevel="0" collapsed="false">
      <c r="B90" s="7"/>
    </row>
    <row r="91" customFormat="false" ht="12.8" hidden="false" customHeight="false" outlineLevel="0" collapsed="false">
      <c r="B91" s="7"/>
    </row>
    <row r="92" customFormat="false" ht="12.8" hidden="false" customHeight="false" outlineLevel="0" collapsed="false">
      <c r="B92" s="7"/>
    </row>
    <row r="93" customFormat="false" ht="12.8" hidden="false" customHeight="false" outlineLevel="0" collapsed="false">
      <c r="B93" s="7"/>
    </row>
    <row r="94" customFormat="false" ht="12.8" hidden="false" customHeight="false" outlineLevel="0" collapsed="false">
      <c r="B94" s="7"/>
    </row>
    <row r="95" customFormat="false" ht="12.8" hidden="false" customHeight="false" outlineLevel="0" collapsed="false">
      <c r="B95" s="7"/>
    </row>
    <row r="96" customFormat="false" ht="12.8" hidden="false" customHeight="false" outlineLevel="0" collapsed="false">
      <c r="B96" s="7"/>
    </row>
    <row r="97" customFormat="false" ht="12.8" hidden="false" customHeight="false" outlineLevel="0" collapsed="false">
      <c r="B97" s="7"/>
    </row>
    <row r="98" customFormat="false" ht="12.8" hidden="false" customHeight="false" outlineLevel="0" collapsed="false">
      <c r="B98" s="7"/>
    </row>
    <row r="99" customFormat="false" ht="12.8" hidden="false" customHeight="false" outlineLevel="0" collapsed="false">
      <c r="B99" s="7"/>
    </row>
    <row r="100" customFormat="false" ht="12.8" hidden="false" customHeight="false" outlineLevel="0" collapsed="false">
      <c r="B100" s="7"/>
    </row>
    <row r="101" customFormat="false" ht="12.8" hidden="false" customHeight="false" outlineLevel="0" collapsed="false">
      <c r="B101" s="7"/>
    </row>
    <row r="102" customFormat="false" ht="12.8" hidden="false" customHeight="false" outlineLevel="0" collapsed="false">
      <c r="B102" s="7"/>
    </row>
    <row r="103" customFormat="false" ht="12.8" hidden="false" customHeight="false" outlineLevel="0" collapsed="false">
      <c r="B103" s="7"/>
    </row>
    <row r="104" customFormat="false" ht="12.8" hidden="false" customHeight="false" outlineLevel="0" collapsed="false">
      <c r="B104" s="7"/>
    </row>
    <row r="105" customFormat="false" ht="12.8" hidden="false" customHeight="false" outlineLevel="0" collapsed="false">
      <c r="B105" s="7"/>
    </row>
    <row r="106" customFormat="false" ht="12.8" hidden="false" customHeight="false" outlineLevel="0" collapsed="false">
      <c r="B106" s="7"/>
    </row>
    <row r="107" customFormat="false" ht="12.8" hidden="false" customHeight="false" outlineLevel="0" collapsed="false">
      <c r="B107" s="7"/>
    </row>
    <row r="108" customFormat="false" ht="12.8" hidden="false" customHeight="false" outlineLevel="0" collapsed="false">
      <c r="B108" s="7"/>
    </row>
    <row r="109" customFormat="false" ht="12.8" hidden="false" customHeight="false" outlineLevel="0" collapsed="false">
      <c r="B109" s="7"/>
    </row>
    <row r="110" customFormat="false" ht="12.8" hidden="false" customHeight="false" outlineLevel="0" collapsed="false">
      <c r="B110" s="7"/>
    </row>
    <row r="111" customFormat="false" ht="12.8" hidden="false" customHeight="false" outlineLevel="0" collapsed="false">
      <c r="B111" s="7"/>
    </row>
    <row r="112" customFormat="false" ht="12.8" hidden="false" customHeight="false" outlineLevel="0" collapsed="false">
      <c r="B112" s="7"/>
    </row>
    <row r="113" customFormat="false" ht="12.8" hidden="false" customHeight="false" outlineLevel="0" collapsed="false">
      <c r="A113" s="0"/>
      <c r="B113" s="7"/>
    </row>
    <row r="114" customFormat="false" ht="12.8" hidden="false" customHeight="false" outlineLevel="0" collapsed="false">
      <c r="B114" s="7"/>
    </row>
    <row r="115" customFormat="false" ht="12.8" hidden="false" customHeight="false" outlineLevel="0" collapsed="false">
      <c r="B115" s="7"/>
    </row>
    <row r="116" customFormat="false" ht="12.8" hidden="false" customHeight="false" outlineLevel="0" collapsed="false">
      <c r="B116" s="7"/>
    </row>
    <row r="117" customFormat="false" ht="12.8" hidden="false" customHeight="false" outlineLevel="0" collapsed="false">
      <c r="B117" s="7"/>
    </row>
    <row r="118" customFormat="false" ht="12.8" hidden="false" customHeight="false" outlineLevel="0" collapsed="false">
      <c r="B118" s="7"/>
    </row>
    <row r="119" customFormat="false" ht="12.8" hidden="false" customHeight="false" outlineLevel="0" collapsed="false">
      <c r="B119" s="7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</row>
    <row r="143" customFormat="false" ht="12.8" hidden="false" customHeight="false" outlineLevel="0" collapsed="false">
      <c r="B143" s="7"/>
    </row>
    <row r="144" customFormat="false" ht="12.8" hidden="false" customHeight="false" outlineLevel="0" collapsed="false">
      <c r="B144" s="7"/>
    </row>
    <row r="145" customFormat="false" ht="12.8" hidden="false" customHeight="false" outlineLevel="0" collapsed="false">
      <c r="B145" s="7"/>
    </row>
    <row r="146" customFormat="false" ht="12.8" hidden="false" customHeight="false" outlineLevel="0" collapsed="false">
      <c r="B146" s="7"/>
    </row>
    <row r="147" customFormat="false" ht="12.8" hidden="false" customHeight="false" outlineLevel="0" collapsed="false">
      <c r="B147" s="7"/>
    </row>
    <row r="148" customFormat="false" ht="12.8" hidden="false" customHeight="false" outlineLevel="0" collapsed="false">
      <c r="B148" s="7"/>
    </row>
    <row r="149" customFormat="false" ht="12.8" hidden="false" customHeight="false" outlineLevel="0" collapsed="false">
      <c r="B149" s="7"/>
    </row>
    <row r="150" customFormat="false" ht="12.8" hidden="false" customHeight="false" outlineLevel="0" collapsed="false">
      <c r="B150" s="7"/>
    </row>
    <row r="151" customFormat="false" ht="12.8" hidden="false" customHeight="false" outlineLevel="0" collapsed="false">
      <c r="B151" s="7"/>
    </row>
    <row r="152" customFormat="false" ht="12.8" hidden="false" customHeight="false" outlineLevel="0" collapsed="false">
      <c r="B152" s="7"/>
    </row>
    <row r="153" customFormat="false" ht="12.8" hidden="false" customHeight="false" outlineLevel="0" collapsed="false">
      <c r="B153" s="7"/>
    </row>
    <row r="154" customFormat="false" ht="12.8" hidden="false" customHeight="false" outlineLevel="0" collapsed="false">
      <c r="B154" s="7"/>
    </row>
    <row r="155" customFormat="false" ht="12.8" hidden="false" customHeight="false" outlineLevel="0" collapsed="false">
      <c r="B155" s="7"/>
    </row>
    <row r="156" customFormat="false" ht="12.8" hidden="false" customHeight="false" outlineLevel="0" collapsed="false">
      <c r="B156" s="7"/>
    </row>
    <row r="157" customFormat="false" ht="12.8" hidden="false" customHeight="false" outlineLevel="0" collapsed="false">
      <c r="B157" s="7"/>
    </row>
    <row r="158" customFormat="false" ht="12.8" hidden="false" customHeight="false" outlineLevel="0" collapsed="false">
      <c r="B158" s="7"/>
    </row>
    <row r="159" customFormat="false" ht="12.8" hidden="false" customHeight="false" outlineLevel="0" collapsed="false">
      <c r="B159" s="7"/>
    </row>
    <row r="160" customFormat="false" ht="12.8" hidden="false" customHeight="false" outlineLevel="0" collapsed="false">
      <c r="B160" s="7"/>
    </row>
    <row r="161" customFormat="false" ht="12.8" hidden="false" customHeight="false" outlineLevel="0" collapsed="false">
      <c r="B161" s="7"/>
    </row>
    <row r="162" customFormat="false" ht="12.8" hidden="false" customHeight="false" outlineLevel="0" collapsed="false">
      <c r="B162" s="7"/>
    </row>
    <row r="163" customFormat="false" ht="12.8" hidden="false" customHeight="false" outlineLevel="0" collapsed="false">
      <c r="B163" s="7"/>
    </row>
    <row r="164" customFormat="false" ht="12.8" hidden="false" customHeight="false" outlineLevel="0" collapsed="false">
      <c r="B164" s="7"/>
    </row>
    <row r="165" customFormat="false" ht="12.8" hidden="false" customHeight="false" outlineLevel="0" collapsed="false">
      <c r="B165" s="7"/>
    </row>
    <row r="166" customFormat="false" ht="12.8" hidden="false" customHeight="false" outlineLevel="0" collapsed="false">
      <c r="B166" s="7"/>
    </row>
    <row r="167" customFormat="false" ht="12.8" hidden="false" customHeight="false" outlineLevel="0" collapsed="false">
      <c r="B167" s="7"/>
    </row>
    <row r="168" customFormat="false" ht="12.8" hidden="false" customHeight="false" outlineLevel="0" collapsed="false">
      <c r="B168" s="7"/>
    </row>
    <row r="169" customFormat="false" ht="12.8" hidden="false" customHeight="false" outlineLevel="0" collapsed="false">
      <c r="B169" s="7"/>
    </row>
    <row r="170" customFormat="false" ht="12.8" hidden="false" customHeight="false" outlineLevel="0" collapsed="false">
      <c r="B170" s="7"/>
    </row>
    <row r="171" customFormat="false" ht="12.8" hidden="false" customHeight="false" outlineLevel="0" collapsed="false">
      <c r="B171" s="7"/>
    </row>
    <row r="172" customFormat="false" ht="12.8" hidden="false" customHeight="false" outlineLevel="0" collapsed="false">
      <c r="B172" s="7"/>
    </row>
    <row r="173" customFormat="false" ht="12.8" hidden="false" customHeight="false" outlineLevel="0" collapsed="false">
      <c r="B173" s="7"/>
    </row>
    <row r="174" customFormat="false" ht="12.8" hidden="false" customHeight="false" outlineLevel="0" collapsed="false">
      <c r="B174" s="7"/>
    </row>
    <row r="175" customFormat="false" ht="12.8" hidden="false" customHeight="false" outlineLevel="0" collapsed="false">
      <c r="B175" s="7"/>
    </row>
    <row r="176" customFormat="false" ht="12.8" hidden="false" customHeight="false" outlineLevel="0" collapsed="false">
      <c r="B176" s="7"/>
    </row>
    <row r="177" customFormat="false" ht="12.8" hidden="false" customHeight="false" outlineLevel="0" collapsed="false">
      <c r="B177" s="7"/>
    </row>
    <row r="178" customFormat="false" ht="12.8" hidden="false" customHeight="false" outlineLevel="0" collapsed="false">
      <c r="B178" s="7"/>
    </row>
    <row r="179" customFormat="false" ht="12.8" hidden="false" customHeight="false" outlineLevel="0" collapsed="false">
      <c r="B179" s="7"/>
    </row>
    <row r="180" customFormat="false" ht="12.8" hidden="false" customHeight="false" outlineLevel="0" collapsed="false">
      <c r="B180" s="7"/>
    </row>
    <row r="181" customFormat="false" ht="12.8" hidden="false" customHeight="false" outlineLevel="0" collapsed="false">
      <c r="B181" s="7"/>
    </row>
    <row r="182" customFormat="false" ht="12.8" hidden="false" customHeight="false" outlineLevel="0" collapsed="false">
      <c r="B182" s="7"/>
    </row>
    <row r="183" customFormat="false" ht="12.8" hidden="false" customHeight="false" outlineLevel="0" collapsed="false">
      <c r="B183" s="7"/>
    </row>
    <row r="184" customFormat="false" ht="12.8" hidden="false" customHeight="false" outlineLevel="0" collapsed="false">
      <c r="B184" s="7"/>
    </row>
    <row r="185" customFormat="false" ht="12.8" hidden="false" customHeight="false" outlineLevel="0" collapsed="false">
      <c r="B185" s="7"/>
    </row>
    <row r="186" customFormat="false" ht="12.8" hidden="false" customHeight="false" outlineLevel="0" collapsed="false">
      <c r="B186" s="7"/>
    </row>
    <row r="187" customFormat="false" ht="12.8" hidden="false" customHeight="false" outlineLevel="0" collapsed="false">
      <c r="B187" s="7"/>
    </row>
    <row r="188" customFormat="false" ht="12.8" hidden="false" customHeight="false" outlineLevel="0" collapsed="false">
      <c r="B188" s="7"/>
    </row>
    <row r="189" customFormat="false" ht="12.8" hidden="false" customHeight="false" outlineLevel="0" collapsed="false">
      <c r="B189" s="7"/>
    </row>
    <row r="190" customFormat="false" ht="12.8" hidden="false" customHeight="false" outlineLevel="0" collapsed="false">
      <c r="B190" s="7"/>
    </row>
    <row r="191" customFormat="false" ht="12.8" hidden="false" customHeight="false" outlineLevel="0" collapsed="false">
      <c r="B191" s="7"/>
    </row>
    <row r="192" customFormat="false" ht="12.8" hidden="false" customHeight="false" outlineLevel="0" collapsed="false">
      <c r="B192" s="7"/>
    </row>
    <row r="193" customFormat="false" ht="12.8" hidden="false" customHeight="false" outlineLevel="0" collapsed="false">
      <c r="B193" s="7"/>
    </row>
    <row r="194" customFormat="false" ht="12.8" hidden="false" customHeight="false" outlineLevel="0" collapsed="false">
      <c r="B194" s="7"/>
    </row>
    <row r="195" customFormat="false" ht="12.8" hidden="false" customHeight="false" outlineLevel="0" collapsed="false">
      <c r="B195" s="7"/>
    </row>
    <row r="196" customFormat="false" ht="12.8" hidden="false" customHeight="false" outlineLevel="0" collapsed="false">
      <c r="B196" s="7"/>
    </row>
    <row r="197" customFormat="false" ht="12.8" hidden="false" customHeight="false" outlineLevel="0" collapsed="false">
      <c r="B197" s="7"/>
    </row>
    <row r="198" customFormat="false" ht="12.8" hidden="false" customHeight="false" outlineLevel="0" collapsed="false">
      <c r="B198" s="7"/>
    </row>
    <row r="199" customFormat="false" ht="12.8" hidden="false" customHeight="false" outlineLevel="0" collapsed="false">
      <c r="B199" s="7"/>
    </row>
    <row r="200" customFormat="false" ht="12.8" hidden="false" customHeight="false" outlineLevel="0" collapsed="false">
      <c r="B200" s="7"/>
    </row>
    <row r="201" customFormat="false" ht="12.8" hidden="false" customHeight="false" outlineLevel="0" collapsed="false">
      <c r="B201" s="7"/>
    </row>
    <row r="202" customFormat="false" ht="12.8" hidden="false" customHeight="false" outlineLevel="0" collapsed="false">
      <c r="B202" s="7"/>
    </row>
    <row r="203" customFormat="false" ht="12.8" hidden="false" customHeight="false" outlineLevel="0" collapsed="false">
      <c r="B203" s="7"/>
    </row>
    <row r="204" customFormat="false" ht="12.8" hidden="false" customHeight="false" outlineLevel="0" collapsed="false">
      <c r="B204" s="7"/>
    </row>
    <row r="205" customFormat="false" ht="12.8" hidden="false" customHeight="false" outlineLevel="0" collapsed="false">
      <c r="B205" s="7"/>
    </row>
    <row r="206" customFormat="false" ht="12.8" hidden="false" customHeight="false" outlineLevel="0" collapsed="false">
      <c r="B206" s="7"/>
    </row>
    <row r="207" customFormat="false" ht="12.8" hidden="false" customHeight="false" outlineLevel="0" collapsed="false">
      <c r="B207" s="7"/>
    </row>
    <row r="208" customFormat="false" ht="12.8" hidden="false" customHeight="false" outlineLevel="0" collapsed="false">
      <c r="B208" s="7"/>
    </row>
    <row r="209" customFormat="false" ht="12.8" hidden="false" customHeight="false" outlineLevel="0" collapsed="false">
      <c r="B209" s="7"/>
    </row>
    <row r="210" customFormat="false" ht="12.8" hidden="false" customHeight="false" outlineLevel="0" collapsed="false">
      <c r="B210" s="7"/>
    </row>
    <row r="211" customFormat="false" ht="12.8" hidden="false" customHeight="false" outlineLevel="0" collapsed="false">
      <c r="B211" s="7"/>
    </row>
    <row r="212" customFormat="false" ht="12.8" hidden="false" customHeight="false" outlineLevel="0" collapsed="false">
      <c r="B212" s="7"/>
    </row>
    <row r="213" customFormat="false" ht="12.8" hidden="false" customHeight="false" outlineLevel="0" collapsed="false">
      <c r="B213" s="7"/>
    </row>
    <row r="214" customFormat="false" ht="12.8" hidden="false" customHeight="false" outlineLevel="0" collapsed="false">
      <c r="B214" s="7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7"/>
    </row>
    <row r="217" customFormat="false" ht="12.8" hidden="false" customHeight="false" outlineLevel="0" collapsed="false">
      <c r="B217" s="7"/>
    </row>
    <row r="218" customFormat="false" ht="12.8" hidden="false" customHeight="false" outlineLevel="0" collapsed="false">
      <c r="B218" s="7"/>
    </row>
    <row r="219" customFormat="false" ht="12.8" hidden="false" customHeight="false" outlineLevel="0" collapsed="false">
      <c r="B219" s="7"/>
    </row>
    <row r="220" customFormat="false" ht="12.8" hidden="false" customHeight="false" outlineLevel="0" collapsed="false">
      <c r="B220" s="7"/>
    </row>
    <row r="221" customFormat="false" ht="12.8" hidden="false" customHeight="false" outlineLevel="0" collapsed="false">
      <c r="B221" s="7"/>
    </row>
    <row r="222" customFormat="false" ht="12.8" hidden="false" customHeight="false" outlineLevel="0" collapsed="false">
      <c r="B222" s="7"/>
    </row>
    <row r="223" customFormat="false" ht="12.8" hidden="false" customHeight="false" outlineLevel="0" collapsed="false">
      <c r="B223" s="7"/>
    </row>
    <row r="224" customFormat="false" ht="12.8" hidden="false" customHeight="false" outlineLevel="0" collapsed="false">
      <c r="B224" s="7"/>
    </row>
    <row r="225" customFormat="false" ht="12.8" hidden="false" customHeight="false" outlineLevel="0" collapsed="false">
      <c r="B225" s="7"/>
    </row>
    <row r="226" customFormat="false" ht="12.8" hidden="false" customHeight="false" outlineLevel="0" collapsed="false">
      <c r="B226" s="7"/>
    </row>
    <row r="227" customFormat="false" ht="12.8" hidden="false" customHeight="false" outlineLevel="0" collapsed="false">
      <c r="B227" s="7"/>
    </row>
    <row r="228" customFormat="false" ht="12.8" hidden="false" customHeight="false" outlineLevel="0" collapsed="false">
      <c r="B228" s="7"/>
    </row>
    <row r="229" customFormat="false" ht="12.8" hidden="false" customHeight="false" outlineLevel="0" collapsed="false">
      <c r="B229" s="7"/>
    </row>
    <row r="230" customFormat="false" ht="12.8" hidden="false" customHeight="false" outlineLevel="0" collapsed="false">
      <c r="B230" s="7"/>
    </row>
    <row r="231" customFormat="false" ht="12.8" hidden="false" customHeight="false" outlineLevel="0" collapsed="false">
      <c r="B231" s="7"/>
    </row>
    <row r="232" customFormat="false" ht="12.8" hidden="false" customHeight="false" outlineLevel="0" collapsed="false">
      <c r="B232" s="7"/>
    </row>
    <row r="233" customFormat="false" ht="12.8" hidden="false" customHeight="false" outlineLevel="0" collapsed="false">
      <c r="B233" s="7"/>
    </row>
    <row r="234" customFormat="false" ht="12.8" hidden="false" customHeight="false" outlineLevel="0" collapsed="false">
      <c r="B234" s="7"/>
    </row>
    <row r="235" customFormat="false" ht="12.8" hidden="false" customHeight="false" outlineLevel="0" collapsed="false">
      <c r="B235" s="7"/>
    </row>
    <row r="236" customFormat="false" ht="12.8" hidden="false" customHeight="false" outlineLevel="0" collapsed="false">
      <c r="B236" s="7"/>
    </row>
    <row r="237" customFormat="false" ht="12.8" hidden="false" customHeight="false" outlineLevel="0" collapsed="false">
      <c r="B237" s="7"/>
    </row>
    <row r="238" customFormat="false" ht="12.8" hidden="false" customHeight="false" outlineLevel="0" collapsed="false">
      <c r="B238" s="7"/>
    </row>
    <row r="239" customFormat="false" ht="12.8" hidden="false" customHeight="false" outlineLevel="0" collapsed="false">
      <c r="B239" s="7"/>
    </row>
    <row r="240" customFormat="false" ht="12.8" hidden="false" customHeight="false" outlineLevel="0" collapsed="false">
      <c r="B240" s="7"/>
    </row>
    <row r="241" customFormat="false" ht="12.8" hidden="false" customHeight="false" outlineLevel="0" collapsed="false">
      <c r="B241" s="7"/>
    </row>
    <row r="242" customFormat="false" ht="12.8" hidden="false" customHeight="false" outlineLevel="0" collapsed="false">
      <c r="B242" s="7"/>
    </row>
    <row r="243" customFormat="false" ht="12.8" hidden="false" customHeight="false" outlineLevel="0" collapsed="false">
      <c r="B243" s="7"/>
    </row>
    <row r="244" customFormat="false" ht="12.8" hidden="false" customHeight="false" outlineLevel="0" collapsed="false">
      <c r="B244" s="7"/>
    </row>
    <row r="245" customFormat="false" ht="12.8" hidden="false" customHeight="false" outlineLevel="0" collapsed="false">
      <c r="B245" s="7"/>
    </row>
    <row r="246" customFormat="false" ht="12.8" hidden="false" customHeight="false" outlineLevel="0" collapsed="false">
      <c r="B246" s="7"/>
    </row>
    <row r="247" customFormat="false" ht="12.8" hidden="false" customHeight="false" outlineLevel="0" collapsed="false">
      <c r="B247" s="7"/>
    </row>
    <row r="248" customFormat="false" ht="12.8" hidden="false" customHeight="false" outlineLevel="0" collapsed="false">
      <c r="B248" s="7"/>
    </row>
    <row r="249" customFormat="false" ht="12.8" hidden="false" customHeight="false" outlineLevel="0" collapsed="false">
      <c r="B249" s="7"/>
    </row>
    <row r="250" customFormat="false" ht="12.8" hidden="false" customHeight="false" outlineLevel="0" collapsed="false">
      <c r="B250" s="7"/>
    </row>
    <row r="251" customFormat="false" ht="12.8" hidden="false" customHeight="false" outlineLevel="0" collapsed="false">
      <c r="B251" s="7"/>
    </row>
    <row r="252" customFormat="false" ht="12.8" hidden="false" customHeight="false" outlineLevel="0" collapsed="false">
      <c r="B252" s="7"/>
    </row>
    <row r="253" customFormat="false" ht="12.8" hidden="false" customHeight="false" outlineLevel="0" collapsed="false">
      <c r="B253" s="7"/>
    </row>
    <row r="254" customFormat="false" ht="12.8" hidden="false" customHeight="false" outlineLevel="0" collapsed="false">
      <c r="B254" s="7"/>
    </row>
    <row r="255" customFormat="false" ht="12.8" hidden="false" customHeight="false" outlineLevel="0" collapsed="false">
      <c r="B255" s="7"/>
    </row>
    <row r="256" customFormat="false" ht="12.8" hidden="false" customHeight="false" outlineLevel="0" collapsed="false">
      <c r="B256" s="7"/>
    </row>
    <row r="257" customFormat="false" ht="12.8" hidden="false" customHeight="false" outlineLevel="0" collapsed="false">
      <c r="B257" s="7"/>
    </row>
    <row r="258" customFormat="false" ht="12.8" hidden="false" customHeight="false" outlineLevel="0" collapsed="false">
      <c r="B258" s="7"/>
    </row>
    <row r="259" customFormat="false" ht="12.8" hidden="false" customHeight="false" outlineLevel="0" collapsed="false">
      <c r="B259" s="7"/>
    </row>
    <row r="260" customFormat="false" ht="12.8" hidden="false" customHeight="false" outlineLevel="0" collapsed="false">
      <c r="B260" s="7"/>
    </row>
    <row r="261" customFormat="false" ht="12.8" hidden="false" customHeight="false" outlineLevel="0" collapsed="false">
      <c r="B261" s="7"/>
    </row>
    <row r="262" customFormat="false" ht="12.8" hidden="false" customHeight="false" outlineLevel="0" collapsed="false">
      <c r="B262" s="7"/>
    </row>
    <row r="263" customFormat="false" ht="12.8" hidden="false" customHeight="false" outlineLevel="0" collapsed="false">
      <c r="B263" s="7"/>
    </row>
    <row r="264" customFormat="false" ht="12.8" hidden="false" customHeight="false" outlineLevel="0" collapsed="false">
      <c r="B264" s="7"/>
    </row>
    <row r="265" customFormat="false" ht="12.8" hidden="false" customHeight="false" outlineLevel="0" collapsed="false">
      <c r="B265" s="7"/>
    </row>
    <row r="266" customFormat="false" ht="12.8" hidden="false" customHeight="false" outlineLevel="0" collapsed="false">
      <c r="B266" s="7"/>
    </row>
    <row r="267" customFormat="false" ht="12.8" hidden="false" customHeight="false" outlineLevel="0" collapsed="false">
      <c r="B267" s="7"/>
    </row>
    <row r="268" customFormat="false" ht="12.8" hidden="false" customHeight="false" outlineLevel="0" collapsed="false">
      <c r="B268" s="7"/>
    </row>
    <row r="269" customFormat="false" ht="12.8" hidden="false" customHeight="false" outlineLevel="0" collapsed="false">
      <c r="B269" s="7"/>
    </row>
    <row r="270" customFormat="false" ht="12.8" hidden="false" customHeight="false" outlineLevel="0" collapsed="false">
      <c r="B270" s="7"/>
    </row>
    <row r="271" customFormat="false" ht="12.8" hidden="false" customHeight="false" outlineLevel="0" collapsed="false">
      <c r="B271" s="7"/>
    </row>
    <row r="272" customFormat="false" ht="12.8" hidden="false" customHeight="false" outlineLevel="0" collapsed="false">
      <c r="B272" s="7"/>
    </row>
    <row r="273" customFormat="false" ht="12.8" hidden="false" customHeight="false" outlineLevel="0" collapsed="false">
      <c r="B273" s="7"/>
    </row>
    <row r="274" customFormat="false" ht="12.8" hidden="false" customHeight="false" outlineLevel="0" collapsed="false">
      <c r="B274" s="7"/>
    </row>
    <row r="275" customFormat="false" ht="12.8" hidden="false" customHeight="false" outlineLevel="0" collapsed="false">
      <c r="B275" s="7"/>
    </row>
    <row r="276" customFormat="false" ht="12.8" hidden="false" customHeight="false" outlineLevel="0" collapsed="false">
      <c r="B276" s="7"/>
    </row>
    <row r="277" customFormat="false" ht="12.8" hidden="false" customHeight="false" outlineLevel="0" collapsed="false">
      <c r="B277" s="7"/>
    </row>
    <row r="278" customFormat="false" ht="12.8" hidden="false" customHeight="false" outlineLevel="0" collapsed="false">
      <c r="B278" s="7"/>
    </row>
    <row r="279" customFormat="false" ht="12.8" hidden="false" customHeight="false" outlineLevel="0" collapsed="false">
      <c r="B279" s="7"/>
    </row>
    <row r="280" customFormat="false" ht="12.8" hidden="false" customHeight="false" outlineLevel="0" collapsed="false">
      <c r="B280" s="7"/>
    </row>
    <row r="281" customFormat="false" ht="12.8" hidden="false" customHeight="false" outlineLevel="0" collapsed="false">
      <c r="B281" s="7"/>
    </row>
    <row r="282" customFormat="false" ht="12.8" hidden="false" customHeight="false" outlineLevel="0" collapsed="false">
      <c r="B282" s="7"/>
    </row>
    <row r="283" customFormat="false" ht="12.8" hidden="false" customHeight="false" outlineLevel="0" collapsed="false">
      <c r="B283" s="7"/>
    </row>
    <row r="284" customFormat="false" ht="12.8" hidden="false" customHeight="false" outlineLevel="0" collapsed="false">
      <c r="B284" s="7"/>
    </row>
    <row r="285" customFormat="false" ht="12.8" hidden="false" customHeight="false" outlineLevel="0" collapsed="false">
      <c r="B285" s="7"/>
    </row>
    <row r="286" customFormat="false" ht="12.8" hidden="false" customHeight="false" outlineLevel="0" collapsed="false">
      <c r="B286" s="7"/>
    </row>
    <row r="287" customFormat="false" ht="12.8" hidden="false" customHeight="false" outlineLevel="0" collapsed="false">
      <c r="B287" s="7"/>
    </row>
    <row r="288" customFormat="false" ht="12.8" hidden="false" customHeight="false" outlineLevel="0" collapsed="false">
      <c r="B288" s="7"/>
    </row>
    <row r="289" customFormat="false" ht="12.8" hidden="false" customHeight="false" outlineLevel="0" collapsed="false">
      <c r="B289" s="7"/>
    </row>
    <row r="290" customFormat="false" ht="12.8" hidden="false" customHeight="false" outlineLevel="0" collapsed="false">
      <c r="B290" s="7"/>
    </row>
    <row r="291" customFormat="false" ht="12.8" hidden="false" customHeight="false" outlineLevel="0" collapsed="false">
      <c r="B291" s="7"/>
    </row>
    <row r="292" customFormat="false" ht="12.8" hidden="false" customHeight="false" outlineLevel="0" collapsed="false">
      <c r="B292" s="7"/>
    </row>
    <row r="293" customFormat="false" ht="12.8" hidden="false" customHeight="false" outlineLevel="0" collapsed="false">
      <c r="B293" s="7"/>
    </row>
    <row r="294" customFormat="false" ht="12.8" hidden="false" customHeight="false" outlineLevel="0" collapsed="false">
      <c r="B294" s="7"/>
    </row>
    <row r="295" customFormat="false" ht="12.8" hidden="false" customHeight="false" outlineLevel="0" collapsed="false">
      <c r="B295" s="7"/>
    </row>
    <row r="296" customFormat="false" ht="12.8" hidden="false" customHeight="false" outlineLevel="0" collapsed="false">
      <c r="B296" s="7"/>
    </row>
    <row r="297" customFormat="false" ht="12.8" hidden="false" customHeight="false" outlineLevel="0" collapsed="false">
      <c r="B297" s="7"/>
    </row>
    <row r="298" customFormat="false" ht="12.8" hidden="false" customHeight="false" outlineLevel="0" collapsed="false">
      <c r="B298" s="7"/>
    </row>
    <row r="299" customFormat="false" ht="12.8" hidden="false" customHeight="false" outlineLevel="0" collapsed="false">
      <c r="B299" s="7"/>
    </row>
    <row r="300" customFormat="false" ht="12.8" hidden="false" customHeight="false" outlineLevel="0" collapsed="false">
      <c r="B300" s="7"/>
    </row>
    <row r="301" customFormat="false" ht="12.8" hidden="false" customHeight="false" outlineLevel="0" collapsed="false">
      <c r="B301" s="7"/>
    </row>
    <row r="302" customFormat="false" ht="12.8" hidden="false" customHeight="false" outlineLevel="0" collapsed="false">
      <c r="B302" s="7"/>
    </row>
    <row r="303" customFormat="false" ht="12.8" hidden="false" customHeight="false" outlineLevel="0" collapsed="false">
      <c r="B303" s="7"/>
    </row>
    <row r="304" customFormat="false" ht="12.8" hidden="false" customHeight="false" outlineLevel="0" collapsed="false">
      <c r="B304" s="7"/>
    </row>
    <row r="305" customFormat="false" ht="12.8" hidden="false" customHeight="false" outlineLevel="0" collapsed="false">
      <c r="B305" s="7"/>
    </row>
    <row r="306" customFormat="false" ht="12.8" hidden="false" customHeight="false" outlineLevel="0" collapsed="false">
      <c r="B306" s="7"/>
    </row>
    <row r="307" customFormat="false" ht="12.8" hidden="false" customHeight="false" outlineLevel="0" collapsed="false">
      <c r="B307" s="7"/>
    </row>
    <row r="308" customFormat="false" ht="12.8" hidden="false" customHeight="false" outlineLevel="0" collapsed="false">
      <c r="B308" s="7"/>
    </row>
    <row r="309" customFormat="false" ht="12.8" hidden="false" customHeight="false" outlineLevel="0" collapsed="false">
      <c r="B309" s="7"/>
    </row>
    <row r="310" customFormat="false" ht="12.8" hidden="false" customHeight="false" outlineLevel="0" collapsed="false">
      <c r="B310" s="7"/>
    </row>
    <row r="311" customFormat="false" ht="12.8" hidden="false" customHeight="false" outlineLevel="0" collapsed="false">
      <c r="B311" s="7"/>
    </row>
    <row r="312" customFormat="false" ht="12.8" hidden="false" customHeight="false" outlineLevel="0" collapsed="false">
      <c r="B312" s="7"/>
    </row>
    <row r="313" customFormat="false" ht="12.8" hidden="false" customHeight="false" outlineLevel="0" collapsed="false">
      <c r="B313" s="7"/>
    </row>
    <row r="314" customFormat="false" ht="12.8" hidden="false" customHeight="false" outlineLevel="0" collapsed="false">
      <c r="B314" s="7"/>
    </row>
    <row r="315" customFormat="false" ht="12.8" hidden="false" customHeight="false" outlineLevel="0" collapsed="false">
      <c r="B315" s="7"/>
    </row>
    <row r="316" customFormat="false" ht="12.8" hidden="false" customHeight="false" outlineLevel="0" collapsed="false">
      <c r="B316" s="7"/>
    </row>
    <row r="317" customFormat="false" ht="12.8" hidden="false" customHeight="false" outlineLevel="0" collapsed="false">
      <c r="B317" s="7"/>
    </row>
    <row r="318" customFormat="false" ht="12.8" hidden="false" customHeight="false" outlineLevel="0" collapsed="false">
      <c r="B318" s="7"/>
    </row>
    <row r="319" customFormat="false" ht="12.8" hidden="false" customHeight="false" outlineLevel="0" collapsed="false">
      <c r="B319" s="7"/>
    </row>
    <row r="320" customFormat="false" ht="12.8" hidden="false" customHeight="false" outlineLevel="0" collapsed="false">
      <c r="B320" s="7"/>
    </row>
    <row r="321" customFormat="false" ht="12.8" hidden="false" customHeight="false" outlineLevel="0" collapsed="false">
      <c r="B321" s="7"/>
    </row>
    <row r="322" customFormat="false" ht="12.8" hidden="false" customHeight="false" outlineLevel="0" collapsed="false">
      <c r="B322" s="7"/>
    </row>
    <row r="323" customFormat="false" ht="12.8" hidden="false" customHeight="false" outlineLevel="0" collapsed="false">
      <c r="B323" s="7"/>
    </row>
    <row r="324" customFormat="false" ht="12.8" hidden="false" customHeight="false" outlineLevel="0" collapsed="false">
      <c r="B324" s="7"/>
    </row>
    <row r="325" customFormat="false" ht="12.8" hidden="false" customHeight="false" outlineLevel="0" collapsed="false">
      <c r="B325" s="7"/>
    </row>
    <row r="326" customFormat="false" ht="12.8" hidden="false" customHeight="false" outlineLevel="0" collapsed="false">
      <c r="B326" s="7"/>
    </row>
    <row r="327" customFormat="false" ht="12.8" hidden="false" customHeight="false" outlineLevel="0" collapsed="false">
      <c r="B327" s="7"/>
    </row>
    <row r="328" customFormat="false" ht="12.8" hidden="false" customHeight="false" outlineLevel="0" collapsed="false">
      <c r="B328" s="7"/>
    </row>
    <row r="329" customFormat="false" ht="12.8" hidden="false" customHeight="false" outlineLevel="0" collapsed="false">
      <c r="B329" s="7"/>
    </row>
    <row r="330" customFormat="false" ht="12.8" hidden="false" customHeight="false" outlineLevel="0" collapsed="false">
      <c r="B330" s="7"/>
    </row>
    <row r="331" customFormat="false" ht="12.8" hidden="false" customHeight="false" outlineLevel="0" collapsed="false">
      <c r="B331" s="7"/>
    </row>
    <row r="332" customFormat="false" ht="12.8" hidden="false" customHeight="false" outlineLevel="0" collapsed="false">
      <c r="B332" s="7"/>
    </row>
    <row r="333" customFormat="false" ht="12.8" hidden="false" customHeight="false" outlineLevel="0" collapsed="false">
      <c r="B333" s="7"/>
    </row>
    <row r="334" customFormat="false" ht="12.8" hidden="false" customHeight="false" outlineLevel="0" collapsed="false">
      <c r="B334" s="7"/>
    </row>
    <row r="335" customFormat="false" ht="12.8" hidden="false" customHeight="false" outlineLevel="0" collapsed="false">
      <c r="B335" s="7"/>
    </row>
    <row r="336" customFormat="false" ht="12.8" hidden="false" customHeight="false" outlineLevel="0" collapsed="false">
      <c r="B336" s="7"/>
    </row>
    <row r="337" customFormat="false" ht="12.8" hidden="false" customHeight="false" outlineLevel="0" collapsed="false">
      <c r="B337" s="7"/>
    </row>
    <row r="338" customFormat="false" ht="12.8" hidden="false" customHeight="false" outlineLevel="0" collapsed="false">
      <c r="B338" s="7"/>
    </row>
    <row r="339" customFormat="false" ht="12.8" hidden="false" customHeight="false" outlineLevel="0" collapsed="false">
      <c r="B339" s="7"/>
    </row>
    <row r="340" customFormat="false" ht="12.8" hidden="false" customHeight="false" outlineLevel="0" collapsed="false">
      <c r="B340" s="7"/>
    </row>
    <row r="341" customFormat="false" ht="12.8" hidden="false" customHeight="false" outlineLevel="0" collapsed="false">
      <c r="B341" s="7"/>
    </row>
    <row r="342" customFormat="false" ht="12.8" hidden="false" customHeight="false" outlineLevel="0" collapsed="false">
      <c r="B342" s="7"/>
    </row>
    <row r="343" customFormat="false" ht="12.8" hidden="false" customHeight="false" outlineLevel="0" collapsed="false">
      <c r="B343" s="7"/>
    </row>
    <row r="344" customFormat="false" ht="12.8" hidden="false" customHeight="false" outlineLevel="0" collapsed="false">
      <c r="B344" s="7"/>
    </row>
    <row r="345" customFormat="false" ht="12.8" hidden="false" customHeight="false" outlineLevel="0" collapsed="false">
      <c r="B345" s="7"/>
    </row>
    <row r="346" customFormat="false" ht="12.8" hidden="false" customHeight="false" outlineLevel="0" collapsed="false">
      <c r="B346" s="7"/>
    </row>
    <row r="347" customFormat="false" ht="12.8" hidden="false" customHeight="false" outlineLevel="0" collapsed="false">
      <c r="B347" s="7"/>
    </row>
    <row r="348" customFormat="false" ht="12.8" hidden="false" customHeight="false" outlineLevel="0" collapsed="false">
      <c r="B348" s="7"/>
      <c r="BW348" s="4" t="n">
        <v>0</v>
      </c>
    </row>
    <row r="349" customFormat="false" ht="12.8" hidden="false" customHeight="false" outlineLevel="0" collapsed="false">
      <c r="B349" s="7"/>
      <c r="BW349" s="4" t="n">
        <v>0</v>
      </c>
    </row>
    <row r="350" customFormat="false" ht="12.8" hidden="false" customHeight="false" outlineLevel="0" collapsed="false">
      <c r="B350" s="7"/>
      <c r="BW350" s="4" t="n">
        <v>0</v>
      </c>
    </row>
    <row r="351" customFormat="false" ht="12.8" hidden="false" customHeight="false" outlineLevel="0" collapsed="false">
      <c r="B351" s="7"/>
      <c r="BW351" s="4" t="n">
        <v>0</v>
      </c>
    </row>
    <row r="352" customFormat="false" ht="12.8" hidden="false" customHeight="false" outlineLevel="0" collapsed="false">
      <c r="B352" s="7"/>
      <c r="BW352" s="4" t="n">
        <v>0</v>
      </c>
    </row>
    <row r="353" customFormat="false" ht="12.8" hidden="false" customHeight="false" outlineLevel="0" collapsed="false">
      <c r="B353" s="7"/>
      <c r="BW353" s="4" t="n">
        <v>0</v>
      </c>
    </row>
    <row r="354" customFormat="false" ht="12.8" hidden="false" customHeight="false" outlineLevel="0" collapsed="false">
      <c r="B354" s="7"/>
      <c r="BW354" s="4" t="n">
        <v>0</v>
      </c>
    </row>
    <row r="355" customFormat="false" ht="12.8" hidden="false" customHeight="false" outlineLevel="0" collapsed="false">
      <c r="B355" s="7"/>
      <c r="BW355" s="4" t="n">
        <v>0</v>
      </c>
    </row>
    <row r="356" customFormat="false" ht="12.8" hidden="false" customHeight="false" outlineLevel="0" collapsed="false">
      <c r="B356" s="7"/>
      <c r="BW356" s="4" t="n">
        <v>0</v>
      </c>
    </row>
    <row r="357" customFormat="false" ht="12.8" hidden="false" customHeight="false" outlineLevel="0" collapsed="false">
      <c r="B357" s="7"/>
      <c r="BW357" s="4" t="n">
        <v>0</v>
      </c>
    </row>
    <row r="358" customFormat="false" ht="12.8" hidden="false" customHeight="false" outlineLevel="0" collapsed="false">
      <c r="B358" s="7"/>
      <c r="BW358" s="4" t="n">
        <v>0</v>
      </c>
    </row>
    <row r="359" customFormat="false" ht="12.8" hidden="false" customHeight="false" outlineLevel="0" collapsed="false">
      <c r="B359" s="7"/>
      <c r="BW359" s="4" t="n">
        <v>0</v>
      </c>
    </row>
    <row r="360" customFormat="false" ht="12.8" hidden="false" customHeight="false" outlineLevel="0" collapsed="false">
      <c r="B360" s="7"/>
      <c r="BW360" s="4" t="n">
        <v>0</v>
      </c>
    </row>
    <row r="361" customFormat="false" ht="12.8" hidden="false" customHeight="false" outlineLevel="0" collapsed="false">
      <c r="B361" s="7"/>
      <c r="BW361" s="4" t="n">
        <v>0</v>
      </c>
    </row>
    <row r="362" customFormat="false" ht="12.8" hidden="false" customHeight="false" outlineLevel="0" collapsed="false">
      <c r="B362" s="7"/>
      <c r="BW362" s="4" t="n">
        <v>0</v>
      </c>
    </row>
    <row r="363" customFormat="false" ht="12.8" hidden="false" customHeight="false" outlineLevel="0" collapsed="false">
      <c r="B363" s="7"/>
      <c r="BW363" s="4" t="e">
        <f aca="false">SUM(#REF!)*1.3528</f>
        <v>#REF!</v>
      </c>
    </row>
    <row r="364" customFormat="false" ht="12.8" hidden="false" customHeight="false" outlineLevel="0" collapsed="false">
      <c r="B364" s="7"/>
      <c r="BW364" s="4" t="n">
        <v>0</v>
      </c>
    </row>
    <row r="365" customFormat="false" ht="12.8" hidden="false" customHeight="false" outlineLevel="0" collapsed="false">
      <c r="B365" s="7"/>
      <c r="BW365" s="4" t="n">
        <v>0</v>
      </c>
    </row>
    <row r="366" customFormat="false" ht="12.8" hidden="false" customHeight="false" outlineLevel="0" collapsed="false">
      <c r="B366" s="7"/>
      <c r="BW366" s="4" t="n">
        <v>0</v>
      </c>
    </row>
    <row r="367" customFormat="false" ht="12.8" hidden="false" customHeight="false" outlineLevel="0" collapsed="false">
      <c r="B367" s="7"/>
      <c r="BW367" s="4" t="n">
        <v>0</v>
      </c>
    </row>
    <row r="368" customFormat="false" ht="12.8" hidden="false" customHeight="false" outlineLevel="0" collapsed="false">
      <c r="B368" s="7"/>
      <c r="BW368" s="4" t="n">
        <v>0</v>
      </c>
    </row>
    <row r="369" customFormat="false" ht="12.8" hidden="false" customHeight="false" outlineLevel="0" collapsed="false">
      <c r="B369" s="7"/>
      <c r="BW369" s="4" t="n">
        <v>0</v>
      </c>
    </row>
    <row r="370" customFormat="false" ht="12.8" hidden="false" customHeight="false" outlineLevel="0" collapsed="false">
      <c r="B370" s="7"/>
      <c r="BW370" s="4" t="n">
        <v>0</v>
      </c>
    </row>
    <row r="371" customFormat="false" ht="12.8" hidden="false" customHeight="false" outlineLevel="0" collapsed="false">
      <c r="B371" s="7"/>
    </row>
    <row r="372" customFormat="false" ht="12.8" hidden="false" customHeight="false" outlineLevel="0" collapsed="false">
      <c r="B372" s="7"/>
    </row>
    <row r="373" customFormat="false" ht="12.8" hidden="false" customHeight="false" outlineLevel="0" collapsed="false">
      <c r="B373" s="7"/>
    </row>
    <row r="374" customFormat="false" ht="12.8" hidden="false" customHeight="false" outlineLevel="0" collapsed="false">
      <c r="B374" s="7"/>
    </row>
    <row r="375" customFormat="false" ht="12.8" hidden="false" customHeight="false" outlineLevel="0" collapsed="false">
      <c r="B375" s="7"/>
    </row>
    <row r="376" customFormat="false" ht="12.8" hidden="false" customHeight="false" outlineLevel="0" collapsed="false">
      <c r="B376" s="7"/>
    </row>
    <row r="377" customFormat="false" ht="12.8" hidden="false" customHeight="false" outlineLevel="0" collapsed="false">
      <c r="B377" s="7"/>
    </row>
    <row r="378" customFormat="false" ht="12.8" hidden="false" customHeight="false" outlineLevel="0" collapsed="false">
      <c r="B378" s="7"/>
    </row>
    <row r="379" customFormat="false" ht="12.8" hidden="false" customHeight="false" outlineLevel="0" collapsed="false">
      <c r="B379" s="7"/>
    </row>
    <row r="380" customFormat="false" ht="12.8" hidden="false" customHeight="false" outlineLevel="0" collapsed="false">
      <c r="B380" s="7"/>
    </row>
    <row r="381" customFormat="false" ht="12.8" hidden="false" customHeight="false" outlineLevel="0" collapsed="false">
      <c r="B381" s="7"/>
    </row>
    <row r="382" customFormat="false" ht="12.8" hidden="false" customHeight="false" outlineLevel="0" collapsed="false">
      <c r="B382" s="7"/>
    </row>
    <row r="383" customFormat="false" ht="12.8" hidden="false" customHeight="false" outlineLevel="0" collapsed="false">
      <c r="B383" s="7"/>
    </row>
    <row r="384" customFormat="false" ht="12.8" hidden="false" customHeight="false" outlineLevel="0" collapsed="false">
      <c r="B384" s="7"/>
    </row>
    <row r="385" customFormat="false" ht="12.8" hidden="false" customHeight="false" outlineLevel="0" collapsed="false">
      <c r="B385" s="7"/>
    </row>
    <row r="386" customFormat="false" ht="12.8" hidden="false" customHeight="false" outlineLevel="0" collapsed="false">
      <c r="B386" s="7"/>
    </row>
    <row r="387" customFormat="false" ht="12.8" hidden="false" customHeight="false" outlineLevel="0" collapsed="false">
      <c r="B387" s="7"/>
    </row>
    <row r="388" customFormat="false" ht="12.8" hidden="false" customHeight="false" outlineLevel="0" collapsed="false">
      <c r="B388" s="7"/>
    </row>
    <row r="389" customFormat="false" ht="12.8" hidden="false" customHeight="false" outlineLevel="0" collapsed="false">
      <c r="B389" s="7"/>
    </row>
    <row r="390" customFormat="false" ht="12.8" hidden="false" customHeight="false" outlineLevel="0" collapsed="false">
      <c r="B390" s="7"/>
    </row>
    <row r="391" customFormat="false" ht="12.8" hidden="false" customHeight="false" outlineLevel="0" collapsed="false">
      <c r="B391" s="7"/>
    </row>
    <row r="392" customFormat="false" ht="12.8" hidden="false" customHeight="false" outlineLevel="0" collapsed="false">
      <c r="B392" s="7"/>
    </row>
    <row r="393" customFormat="false" ht="12.8" hidden="false" customHeight="false" outlineLevel="0" collapsed="false">
      <c r="B393" s="7"/>
    </row>
    <row r="394" customFormat="false" ht="12.8" hidden="false" customHeight="false" outlineLevel="0" collapsed="false">
      <c r="B394" s="7"/>
    </row>
    <row r="395" customFormat="false" ht="12.8" hidden="false" customHeight="false" outlineLevel="0" collapsed="false">
      <c r="B395" s="7"/>
    </row>
    <row r="396" customFormat="false" ht="12.8" hidden="false" customHeight="false" outlineLevel="0" collapsed="false">
      <c r="B396" s="7"/>
    </row>
    <row r="397" customFormat="false" ht="12.8" hidden="false" customHeight="false" outlineLevel="0" collapsed="false">
      <c r="B397" s="7"/>
    </row>
    <row r="398" customFormat="false" ht="12.8" hidden="false" customHeight="false" outlineLevel="0" collapsed="false">
      <c r="B398" s="7"/>
    </row>
    <row r="399" customFormat="false" ht="12.8" hidden="false" customHeight="false" outlineLevel="0" collapsed="false">
      <c r="B399" s="7"/>
    </row>
    <row r="400" customFormat="false" ht="12.8" hidden="false" customHeight="false" outlineLevel="0" collapsed="false">
      <c r="B400" s="7"/>
    </row>
    <row r="401" customFormat="false" ht="12.8" hidden="false" customHeight="false" outlineLevel="0" collapsed="false">
      <c r="B401" s="7"/>
    </row>
    <row r="402" customFormat="false" ht="12.8" hidden="false" customHeight="false" outlineLevel="0" collapsed="false">
      <c r="B402" s="7"/>
    </row>
    <row r="403" customFormat="false" ht="12.8" hidden="false" customHeight="false" outlineLevel="0" collapsed="false">
      <c r="B403" s="7"/>
    </row>
    <row r="404" customFormat="false" ht="12.8" hidden="false" customHeight="false" outlineLevel="0" collapsed="false">
      <c r="B404" s="7"/>
    </row>
    <row r="405" customFormat="false" ht="12.8" hidden="false" customHeight="false" outlineLevel="0" collapsed="false">
      <c r="B405" s="7"/>
    </row>
    <row r="406" customFormat="false" ht="12.8" hidden="false" customHeight="false" outlineLevel="0" collapsed="false">
      <c r="B406" s="7"/>
    </row>
    <row r="407" customFormat="false" ht="12.8" hidden="false" customHeight="false" outlineLevel="0" collapsed="false">
      <c r="B407" s="7"/>
    </row>
    <row r="408" customFormat="false" ht="12.8" hidden="false" customHeight="false" outlineLevel="0" collapsed="false">
      <c r="B408" s="7"/>
    </row>
    <row r="409" customFormat="false" ht="12.8" hidden="false" customHeight="false" outlineLevel="0" collapsed="false">
      <c r="B409" s="7"/>
    </row>
    <row r="410" customFormat="false" ht="12.8" hidden="false" customHeight="false" outlineLevel="0" collapsed="false">
      <c r="B410" s="7"/>
    </row>
    <row r="411" customFormat="false" ht="12.8" hidden="false" customHeight="false" outlineLevel="0" collapsed="false">
      <c r="B411" s="7"/>
    </row>
    <row r="412" customFormat="false" ht="12.8" hidden="false" customHeight="false" outlineLevel="0" collapsed="false">
      <c r="B412" s="7"/>
    </row>
    <row r="413" customFormat="false" ht="12.8" hidden="false" customHeight="false" outlineLevel="0" collapsed="false">
      <c r="B413" s="7"/>
    </row>
    <row r="414" customFormat="false" ht="12.8" hidden="false" customHeight="false" outlineLevel="0" collapsed="false">
      <c r="B414" s="7"/>
    </row>
    <row r="415" customFormat="false" ht="12.8" hidden="false" customHeight="false" outlineLevel="0" collapsed="false">
      <c r="B415" s="7"/>
    </row>
    <row r="416" customFormat="false" ht="12.8" hidden="false" customHeight="false" outlineLevel="0" collapsed="false">
      <c r="B416" s="7"/>
    </row>
    <row r="417" customFormat="false" ht="12.8" hidden="false" customHeight="false" outlineLevel="0" collapsed="false">
      <c r="B417" s="7"/>
    </row>
    <row r="418" customFormat="false" ht="12.8" hidden="false" customHeight="false" outlineLevel="0" collapsed="false">
      <c r="B418" s="7"/>
    </row>
    <row r="419" customFormat="false" ht="12.8" hidden="false" customHeight="false" outlineLevel="0" collapsed="false">
      <c r="B419" s="7"/>
    </row>
    <row r="420" customFormat="false" ht="12.8" hidden="false" customHeight="false" outlineLevel="0" collapsed="false">
      <c r="B420" s="7"/>
    </row>
    <row r="421" customFormat="false" ht="12.8" hidden="false" customHeight="false" outlineLevel="0" collapsed="false">
      <c r="B421" s="7"/>
    </row>
    <row r="422" customFormat="false" ht="12.8" hidden="false" customHeight="false" outlineLevel="0" collapsed="false">
      <c r="B422" s="7"/>
    </row>
    <row r="423" customFormat="false" ht="12.8" hidden="false" customHeight="false" outlineLevel="0" collapsed="false">
      <c r="B423" s="7"/>
    </row>
    <row r="424" customFormat="false" ht="12.8" hidden="false" customHeight="false" outlineLevel="0" collapsed="false">
      <c r="B424" s="7"/>
    </row>
    <row r="425" customFormat="false" ht="12.8" hidden="false" customHeight="false" outlineLevel="0" collapsed="false">
      <c r="B425" s="7"/>
    </row>
    <row r="426" customFormat="false" ht="12.8" hidden="false" customHeight="false" outlineLevel="0" collapsed="false">
      <c r="B426" s="7"/>
    </row>
    <row r="427" customFormat="false" ht="12.8" hidden="false" customHeight="false" outlineLevel="0" collapsed="false">
      <c r="B427" s="7"/>
    </row>
    <row r="428" customFormat="false" ht="12.8" hidden="false" customHeight="false" outlineLevel="0" collapsed="false">
      <c r="B428" s="7"/>
    </row>
    <row r="429" customFormat="false" ht="12.8" hidden="false" customHeight="false" outlineLevel="0" collapsed="false">
      <c r="B429" s="7"/>
    </row>
    <row r="430" customFormat="false" ht="12.8" hidden="false" customHeight="false" outlineLevel="0" collapsed="false">
      <c r="B430" s="7"/>
    </row>
    <row r="431" customFormat="false" ht="12.8" hidden="false" customHeight="false" outlineLevel="0" collapsed="false">
      <c r="B431" s="7"/>
    </row>
    <row r="432" customFormat="false" ht="12.8" hidden="false" customHeight="false" outlineLevel="0" collapsed="false">
      <c r="B432" s="7"/>
    </row>
    <row r="433" customFormat="false" ht="12.8" hidden="false" customHeight="false" outlineLevel="0" collapsed="false">
      <c r="B433" s="7"/>
    </row>
    <row r="434" customFormat="false" ht="12.8" hidden="false" customHeight="false" outlineLevel="0" collapsed="false">
      <c r="B434" s="7"/>
    </row>
    <row r="435" customFormat="false" ht="12.8" hidden="false" customHeight="false" outlineLevel="0" collapsed="false">
      <c r="B435" s="7"/>
    </row>
    <row r="436" customFormat="false" ht="12.8" hidden="false" customHeight="false" outlineLevel="0" collapsed="false">
      <c r="B436" s="7"/>
    </row>
    <row r="437" customFormat="false" ht="12.8" hidden="false" customHeight="false" outlineLevel="0" collapsed="false">
      <c r="B437" s="7"/>
    </row>
    <row r="438" customFormat="false" ht="12.8" hidden="false" customHeight="false" outlineLevel="0" collapsed="false">
      <c r="B438" s="7"/>
    </row>
    <row r="439" customFormat="false" ht="12.8" hidden="false" customHeight="false" outlineLevel="0" collapsed="false">
      <c r="B439" s="7"/>
    </row>
    <row r="440" customFormat="false" ht="12.8" hidden="false" customHeight="false" outlineLevel="0" collapsed="false">
      <c r="B440" s="7"/>
    </row>
    <row r="441" customFormat="false" ht="12.8" hidden="false" customHeight="false" outlineLevel="0" collapsed="false">
      <c r="B441" s="7"/>
    </row>
    <row r="442" customFormat="false" ht="12.8" hidden="false" customHeight="false" outlineLevel="0" collapsed="false">
      <c r="B442" s="7"/>
    </row>
    <row r="443" customFormat="false" ht="12.8" hidden="false" customHeight="false" outlineLevel="0" collapsed="false">
      <c r="B443" s="7"/>
    </row>
    <row r="444" customFormat="false" ht="12.8" hidden="false" customHeight="false" outlineLevel="0" collapsed="false">
      <c r="B444" s="7"/>
    </row>
    <row r="445" customFormat="false" ht="12.8" hidden="false" customHeight="false" outlineLevel="0" collapsed="false">
      <c r="B445" s="7"/>
    </row>
    <row r="446" customFormat="false" ht="12.8" hidden="false" customHeight="false" outlineLevel="0" collapsed="false">
      <c r="B446" s="7"/>
    </row>
    <row r="447" customFormat="false" ht="12.8" hidden="false" customHeight="false" outlineLevel="0" collapsed="false">
      <c r="B447" s="7"/>
    </row>
    <row r="448" customFormat="false" ht="12.8" hidden="false" customHeight="false" outlineLevel="0" collapsed="false">
      <c r="B448" s="7"/>
    </row>
    <row r="449" customFormat="false" ht="12.8" hidden="false" customHeight="false" outlineLevel="0" collapsed="false">
      <c r="B449" s="7"/>
    </row>
    <row r="450" customFormat="false" ht="12.8" hidden="false" customHeight="false" outlineLevel="0" collapsed="false">
      <c r="B450" s="7"/>
    </row>
    <row r="451" customFormat="false" ht="12.8" hidden="false" customHeight="false" outlineLevel="0" collapsed="false">
      <c r="B451" s="7"/>
    </row>
    <row r="452" customFormat="false" ht="12.8" hidden="false" customHeight="false" outlineLevel="0" collapsed="false">
      <c r="B452" s="7"/>
    </row>
    <row r="453" customFormat="false" ht="12.8" hidden="false" customHeight="false" outlineLevel="0" collapsed="false">
      <c r="B453" s="7"/>
    </row>
    <row r="454" customFormat="false" ht="12.8" hidden="false" customHeight="false" outlineLevel="0" collapsed="false">
      <c r="B454" s="7"/>
    </row>
    <row r="455" customFormat="false" ht="12.8" hidden="false" customHeight="false" outlineLevel="0" collapsed="false">
      <c r="B455" s="7"/>
    </row>
    <row r="456" customFormat="false" ht="12.8" hidden="false" customHeight="false" outlineLevel="0" collapsed="false">
      <c r="B456" s="7"/>
    </row>
    <row r="457" customFormat="false" ht="12.8" hidden="false" customHeight="false" outlineLevel="0" collapsed="false">
      <c r="B457" s="7"/>
    </row>
    <row r="458" customFormat="false" ht="12.8" hidden="false" customHeight="false" outlineLevel="0" collapsed="false">
      <c r="B458" s="7"/>
    </row>
    <row r="459" customFormat="false" ht="12.8" hidden="false" customHeight="false" outlineLevel="0" collapsed="false">
      <c r="B459" s="7"/>
    </row>
    <row r="460" customFormat="false" ht="12.8" hidden="false" customHeight="false" outlineLevel="0" collapsed="false">
      <c r="B460" s="7"/>
    </row>
    <row r="461" customFormat="false" ht="12.8" hidden="false" customHeight="false" outlineLevel="0" collapsed="false">
      <c r="B461" s="7"/>
    </row>
    <row r="462" customFormat="false" ht="12.8" hidden="false" customHeight="false" outlineLevel="0" collapsed="false">
      <c r="B462" s="7"/>
    </row>
    <row r="463" customFormat="false" ht="12.8" hidden="false" customHeight="false" outlineLevel="0" collapsed="false">
      <c r="B463" s="7"/>
    </row>
    <row r="464" customFormat="false" ht="12.8" hidden="false" customHeight="false" outlineLevel="0" collapsed="false">
      <c r="B464" s="7"/>
    </row>
    <row r="465" customFormat="false" ht="12.8" hidden="false" customHeight="false" outlineLevel="0" collapsed="false">
      <c r="B465" s="7"/>
    </row>
    <row r="466" customFormat="false" ht="12.8" hidden="false" customHeight="false" outlineLevel="0" collapsed="false">
      <c r="B466" s="7"/>
    </row>
    <row r="467" customFormat="false" ht="12.8" hidden="false" customHeight="false" outlineLevel="0" collapsed="false">
      <c r="B467" s="7"/>
    </row>
    <row r="468" customFormat="false" ht="12.8" hidden="false" customHeight="false" outlineLevel="0" collapsed="false">
      <c r="B468" s="7"/>
    </row>
    <row r="469" customFormat="false" ht="12.8" hidden="false" customHeight="false" outlineLevel="0" collapsed="false">
      <c r="B469" s="7"/>
    </row>
    <row r="470" customFormat="false" ht="12.8" hidden="false" customHeight="false" outlineLevel="0" collapsed="false">
      <c r="B470" s="7"/>
    </row>
    <row r="471" customFormat="false" ht="12.8" hidden="false" customHeight="false" outlineLevel="0" collapsed="false">
      <c r="B471" s="7"/>
    </row>
    <row r="472" customFormat="false" ht="12.8" hidden="false" customHeight="false" outlineLevel="0" collapsed="false">
      <c r="B472" s="7"/>
    </row>
    <row r="473" customFormat="false" ht="12.8" hidden="false" customHeight="false" outlineLevel="0" collapsed="false">
      <c r="B473" s="7"/>
    </row>
    <row r="474" customFormat="false" ht="12.8" hidden="false" customHeight="false" outlineLevel="0" collapsed="false">
      <c r="B474" s="7"/>
    </row>
    <row r="475" customFormat="false" ht="12.8" hidden="false" customHeight="false" outlineLevel="0" collapsed="false">
      <c r="B475" s="7"/>
    </row>
    <row r="476" customFormat="false" ht="12.8" hidden="false" customHeight="false" outlineLevel="0" collapsed="false">
      <c r="B476" s="7"/>
    </row>
    <row r="477" customFormat="false" ht="12.8" hidden="false" customHeight="false" outlineLevel="0" collapsed="false">
      <c r="B477" s="7"/>
    </row>
    <row r="478" customFormat="false" ht="12.8" hidden="false" customHeight="false" outlineLevel="0" collapsed="false">
      <c r="B478" s="7"/>
    </row>
    <row r="479" customFormat="false" ht="12.8" hidden="false" customHeight="false" outlineLevel="0" collapsed="false">
      <c r="B479" s="7"/>
    </row>
    <row r="480" customFormat="false" ht="12.8" hidden="false" customHeight="false" outlineLevel="0" collapsed="false">
      <c r="B480" s="7"/>
    </row>
    <row r="481" customFormat="false" ht="12.8" hidden="false" customHeight="false" outlineLevel="0" collapsed="false">
      <c r="B481" s="7"/>
    </row>
    <row r="482" customFormat="false" ht="12.8" hidden="false" customHeight="false" outlineLevel="0" collapsed="false">
      <c r="B482" s="7"/>
    </row>
    <row r="483" customFormat="false" ht="12.8" hidden="false" customHeight="false" outlineLevel="0" collapsed="false">
      <c r="B483" s="7"/>
    </row>
    <row r="484" customFormat="false" ht="12.8" hidden="false" customHeight="false" outlineLevel="0" collapsed="false">
      <c r="B484" s="7"/>
    </row>
    <row r="485" customFormat="false" ht="12.8" hidden="false" customHeight="false" outlineLevel="0" collapsed="false">
      <c r="B485" s="7"/>
    </row>
    <row r="486" customFormat="false" ht="12.8" hidden="false" customHeight="false" outlineLevel="0" collapsed="false">
      <c r="B486" s="7"/>
    </row>
    <row r="487" customFormat="false" ht="12.8" hidden="false" customHeight="false" outlineLevel="0" collapsed="false">
      <c r="B487" s="7"/>
    </row>
    <row r="488" customFormat="false" ht="12.8" hidden="false" customHeight="false" outlineLevel="0" collapsed="false">
      <c r="B488" s="7"/>
    </row>
    <row r="489" customFormat="false" ht="12.8" hidden="false" customHeight="false" outlineLevel="0" collapsed="false">
      <c r="B489" s="7"/>
    </row>
    <row r="490" customFormat="false" ht="12.8" hidden="false" customHeight="false" outlineLevel="0" collapsed="false">
      <c r="B490" s="7"/>
    </row>
    <row r="491" customFormat="false" ht="12.8" hidden="false" customHeight="false" outlineLevel="0" collapsed="false">
      <c r="B491" s="7"/>
    </row>
    <row r="492" customFormat="false" ht="12.8" hidden="false" customHeight="false" outlineLevel="0" collapsed="false">
      <c r="B492" s="7"/>
    </row>
    <row r="493" customFormat="false" ht="12.8" hidden="false" customHeight="false" outlineLevel="0" collapsed="false">
      <c r="B493" s="7"/>
    </row>
    <row r="494" customFormat="false" ht="12.8" hidden="false" customHeight="false" outlineLevel="0" collapsed="false">
      <c r="B494" s="7"/>
    </row>
    <row r="495" customFormat="false" ht="12.8" hidden="false" customHeight="false" outlineLevel="0" collapsed="false">
      <c r="B495" s="7"/>
    </row>
    <row r="496" customFormat="false" ht="12.8" hidden="false" customHeight="false" outlineLevel="0" collapsed="false">
      <c r="B496" s="7"/>
    </row>
    <row r="497" customFormat="false" ht="12.8" hidden="false" customHeight="false" outlineLevel="0" collapsed="false">
      <c r="B497" s="7"/>
    </row>
    <row r="498" customFormat="false" ht="12.8" hidden="false" customHeight="false" outlineLevel="0" collapsed="false">
      <c r="B498" s="7"/>
    </row>
    <row r="499" customFormat="false" ht="12.8" hidden="false" customHeight="false" outlineLevel="0" collapsed="false">
      <c r="B499" s="7"/>
    </row>
    <row r="500" customFormat="false" ht="12.8" hidden="false" customHeight="false" outlineLevel="0" collapsed="false">
      <c r="B500" s="7"/>
    </row>
    <row r="501" customFormat="false" ht="12.8" hidden="false" customHeight="false" outlineLevel="0" collapsed="false">
      <c r="B501" s="7"/>
    </row>
    <row r="502" customFormat="false" ht="12.8" hidden="false" customHeight="false" outlineLevel="0" collapsed="false">
      <c r="B502" s="7"/>
    </row>
    <row r="503" customFormat="false" ht="12.8" hidden="false" customHeight="false" outlineLevel="0" collapsed="false">
      <c r="B503" s="7"/>
    </row>
    <row r="504" customFormat="false" ht="12.8" hidden="false" customHeight="false" outlineLevel="0" collapsed="false">
      <c r="B504" s="7"/>
    </row>
    <row r="505" customFormat="false" ht="12.8" hidden="false" customHeight="false" outlineLevel="0" collapsed="false">
      <c r="B505" s="7"/>
    </row>
    <row r="506" customFormat="false" ht="12.8" hidden="false" customHeight="false" outlineLevel="0" collapsed="false">
      <c r="B506" s="7"/>
    </row>
    <row r="507" customFormat="false" ht="12.8" hidden="false" customHeight="false" outlineLevel="0" collapsed="false">
      <c r="B507" s="7"/>
    </row>
    <row r="508" customFormat="false" ht="12.8" hidden="false" customHeight="false" outlineLevel="0" collapsed="false">
      <c r="B508" s="7"/>
    </row>
    <row r="509" customFormat="false" ht="12.8" hidden="false" customHeight="false" outlineLevel="0" collapsed="false">
      <c r="B509" s="7"/>
    </row>
    <row r="510" customFormat="false" ht="12.8" hidden="false" customHeight="false" outlineLevel="0" collapsed="false">
      <c r="B510" s="7"/>
    </row>
    <row r="511" customFormat="false" ht="12.8" hidden="false" customHeight="false" outlineLevel="0" collapsed="false">
      <c r="B511" s="7"/>
    </row>
    <row r="512" customFormat="false" ht="12.8" hidden="false" customHeight="false" outlineLevel="0" collapsed="false">
      <c r="B512" s="7"/>
    </row>
    <row r="513" customFormat="false" ht="12.8" hidden="false" customHeight="false" outlineLevel="0" collapsed="false">
      <c r="B513" s="7"/>
    </row>
    <row r="514" customFormat="false" ht="12.8" hidden="false" customHeight="false" outlineLevel="0" collapsed="false">
      <c r="B514" s="7"/>
    </row>
    <row r="515" customFormat="false" ht="12.8" hidden="false" customHeight="false" outlineLevel="0" collapsed="false">
      <c r="B515" s="7"/>
    </row>
    <row r="516" customFormat="false" ht="12.8" hidden="false" customHeight="false" outlineLevel="0" collapsed="false">
      <c r="B516" s="7"/>
    </row>
    <row r="517" customFormat="false" ht="12.8" hidden="false" customHeight="false" outlineLevel="0" collapsed="false">
      <c r="B517" s="7"/>
    </row>
    <row r="518" customFormat="false" ht="12.8" hidden="false" customHeight="false" outlineLevel="0" collapsed="false">
      <c r="B518" s="7"/>
    </row>
    <row r="519" customFormat="false" ht="12.8" hidden="false" customHeight="false" outlineLevel="0" collapsed="false">
      <c r="B519" s="7"/>
    </row>
    <row r="520" customFormat="false" ht="12.8" hidden="false" customHeight="false" outlineLevel="0" collapsed="false">
      <c r="B520" s="7"/>
    </row>
    <row r="521" customFormat="false" ht="12.8" hidden="false" customHeight="false" outlineLevel="0" collapsed="false">
      <c r="B521" s="7"/>
    </row>
    <row r="522" customFormat="false" ht="12.8" hidden="false" customHeight="false" outlineLevel="0" collapsed="false">
      <c r="B522" s="7"/>
    </row>
    <row r="523" customFormat="false" ht="12.8" hidden="false" customHeight="false" outlineLevel="0" collapsed="false">
      <c r="B523" s="7"/>
    </row>
    <row r="524" customFormat="false" ht="12.8" hidden="false" customHeight="false" outlineLevel="0" collapsed="false">
      <c r="B524" s="7"/>
    </row>
    <row r="525" customFormat="false" ht="12.8" hidden="false" customHeight="false" outlineLevel="0" collapsed="false">
      <c r="B525" s="7"/>
    </row>
    <row r="526" customFormat="false" ht="12.8" hidden="false" customHeight="false" outlineLevel="0" collapsed="false">
      <c r="B526" s="7"/>
    </row>
    <row r="527" customFormat="false" ht="12.8" hidden="false" customHeight="false" outlineLevel="0" collapsed="false">
      <c r="B527" s="7"/>
    </row>
    <row r="528" customFormat="false" ht="12.8" hidden="false" customHeight="false" outlineLevel="0" collapsed="false">
      <c r="B528" s="7"/>
    </row>
    <row r="529" customFormat="false" ht="12.8" hidden="false" customHeight="false" outlineLevel="0" collapsed="false">
      <c r="B529" s="7"/>
    </row>
    <row r="530" customFormat="false" ht="12.8" hidden="false" customHeight="false" outlineLevel="0" collapsed="false">
      <c r="B530" s="7"/>
    </row>
    <row r="531" customFormat="false" ht="12.8" hidden="false" customHeight="false" outlineLevel="0" collapsed="false">
      <c r="B531" s="7"/>
    </row>
    <row r="532" customFormat="false" ht="12.8" hidden="false" customHeight="false" outlineLevel="0" collapsed="false">
      <c r="B532" s="7"/>
    </row>
    <row r="533" customFormat="false" ht="12.8" hidden="false" customHeight="false" outlineLevel="0" collapsed="false">
      <c r="B533" s="7"/>
    </row>
    <row r="534" customFormat="false" ht="12.8" hidden="false" customHeight="false" outlineLevel="0" collapsed="false">
      <c r="B534" s="7"/>
    </row>
    <row r="535" customFormat="false" ht="12.8" hidden="false" customHeight="false" outlineLevel="0" collapsed="false">
      <c r="B535" s="7"/>
    </row>
    <row r="536" customFormat="false" ht="12.8" hidden="false" customHeight="false" outlineLevel="0" collapsed="false">
      <c r="B536" s="7"/>
    </row>
    <row r="537" customFormat="false" ht="12.8" hidden="false" customHeight="false" outlineLevel="0" collapsed="false">
      <c r="B537" s="7"/>
    </row>
    <row r="538" customFormat="false" ht="12.8" hidden="false" customHeight="false" outlineLevel="0" collapsed="false">
      <c r="B538" s="7"/>
    </row>
    <row r="539" customFormat="false" ht="12.8" hidden="false" customHeight="false" outlineLevel="0" collapsed="false">
      <c r="B539" s="7"/>
    </row>
    <row r="540" customFormat="false" ht="12.8" hidden="false" customHeight="false" outlineLevel="0" collapsed="false">
      <c r="B540" s="7"/>
    </row>
    <row r="541" customFormat="false" ht="12.8" hidden="false" customHeight="false" outlineLevel="0" collapsed="false">
      <c r="B541" s="7"/>
    </row>
    <row r="542" customFormat="false" ht="12.8" hidden="false" customHeight="false" outlineLevel="0" collapsed="false">
      <c r="B542" s="7"/>
    </row>
    <row r="543" customFormat="false" ht="12.8" hidden="false" customHeight="false" outlineLevel="0" collapsed="false">
      <c r="B543" s="7"/>
    </row>
    <row r="544" customFormat="false" ht="12.8" hidden="false" customHeight="false" outlineLevel="0" collapsed="false">
      <c r="B544" s="7"/>
    </row>
    <row r="545" customFormat="false" ht="12.8" hidden="false" customHeight="false" outlineLevel="0" collapsed="false">
      <c r="B54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7" t="s">
        <v>286</v>
      </c>
    </row>
    <row r="3" customFormat="false" ht="12.8" hidden="false" customHeight="false" outlineLevel="0" collapsed="false">
      <c r="A3" s="0" t="s">
        <v>287</v>
      </c>
    </row>
    <row r="4" customFormat="false" ht="12.8" hidden="false" customHeight="false" outlineLevel="0" collapsed="false">
      <c r="A4" s="0" t="n">
        <f aca="false">12*32</f>
        <v>384</v>
      </c>
      <c r="B4" s="0" t="s">
        <v>288</v>
      </c>
    </row>
    <row r="6" customFormat="false" ht="12.8" hidden="false" customHeight="false" outlineLevel="0" collapsed="false">
      <c r="A6" s="0" t="s">
        <v>289</v>
      </c>
    </row>
    <row r="7" customFormat="false" ht="12.8" hidden="false" customHeight="false" outlineLevel="0" collapsed="false">
      <c r="A7" s="0" t="n">
        <f aca="false">SQRT(A4*2/(SQRT(3)*3))</f>
        <v>12.1573709704255</v>
      </c>
      <c r="B7" s="0" t="s">
        <v>290</v>
      </c>
    </row>
    <row r="9" customFormat="false" ht="12.8" hidden="false" customHeight="false" outlineLevel="0" collapsed="false">
      <c r="A9" s="0" t="n">
        <v>6</v>
      </c>
      <c r="B9" s="0" t="s">
        <v>291</v>
      </c>
    </row>
    <row r="10" customFormat="false" ht="12.8" hidden="false" customHeight="false" outlineLevel="0" collapsed="false">
      <c r="A10" s="0" t="n">
        <f aca="false">A7*6</f>
        <v>72.9442258225529</v>
      </c>
      <c r="B10" s="0" t="s">
        <v>292</v>
      </c>
    </row>
    <row r="11" customFormat="false" ht="12.8" hidden="false" customHeight="false" outlineLevel="0" collapsed="false">
      <c r="A11" s="0" t="n">
        <f aca="false">(A7/2)*SQRT(2)*2*6</f>
        <v>103.15871345506</v>
      </c>
      <c r="B11" s="0" t="s">
        <v>293</v>
      </c>
    </row>
    <row r="12" customFormat="false" ht="12.8" hidden="false" customHeight="false" outlineLevel="0" collapsed="false">
      <c r="A12" s="0" t="n">
        <f aca="false">A7*2*2</f>
        <v>48.6294838817019</v>
      </c>
      <c r="B12" s="0" t="s">
        <v>294</v>
      </c>
    </row>
    <row r="13" customFormat="false" ht="12.8" hidden="false" customHeight="false" outlineLevel="0" collapsed="false">
      <c r="A13" s="0" t="n">
        <f aca="false">2*4*A7*SQRT(3)/2</f>
        <v>84.2287368289595</v>
      </c>
      <c r="B13" s="0" t="s">
        <v>295</v>
      </c>
    </row>
    <row r="15" customFormat="false" ht="12.8" hidden="false" customHeight="false" outlineLevel="0" collapsed="false">
      <c r="A15" s="0" t="n">
        <f aca="false">SUM(A9:A13)</f>
        <v>314.961159988274</v>
      </c>
      <c r="B15" s="0" t="s">
        <v>296</v>
      </c>
    </row>
    <row r="16" customFormat="false" ht="12.8" hidden="false" customHeight="false" outlineLevel="0" collapsed="false">
      <c r="A16" s="0" t="n">
        <f aca="false">A15/1000</f>
        <v>0.314961159988274</v>
      </c>
      <c r="B16" s="0" t="s">
        <v>297</v>
      </c>
    </row>
    <row r="17" customFormat="false" ht="12.8" hidden="false" customHeight="false" outlineLevel="0" collapsed="false">
      <c r="A17" s="0" t="n">
        <f aca="false">A16*Capacity!AT36</f>
        <v>0.000590552174978014</v>
      </c>
      <c r="B17" s="0" t="s">
        <v>298</v>
      </c>
    </row>
    <row r="18" customFormat="false" ht="12.8" hidden="false" customHeight="false" outlineLevel="0" collapsed="false">
      <c r="A18" s="0" t="n">
        <v>10</v>
      </c>
      <c r="B18" s="0" t="s">
        <v>299</v>
      </c>
    </row>
    <row r="19" customFormat="false" ht="12.8" hidden="false" customHeight="false" outlineLevel="0" collapsed="false">
      <c r="A19" s="0" t="n">
        <v>6</v>
      </c>
      <c r="B19" s="0" t="s">
        <v>300</v>
      </c>
    </row>
    <row r="20" customFormat="false" ht="12.8" hidden="false" customHeight="false" outlineLevel="0" collapsed="false">
      <c r="A20" s="18" t="n">
        <f aca="false">A17/(A18*A19)</f>
        <v>9.84253624963357E-006</v>
      </c>
      <c r="B20" s="0" t="s">
        <v>301</v>
      </c>
      <c r="C20" s="0" t="s">
        <v>302</v>
      </c>
    </row>
    <row r="22" customFormat="false" ht="12.8" hidden="false" customHeight="false" outlineLevel="0" collapsed="false">
      <c r="A22" s="0" t="n">
        <v>0.25</v>
      </c>
      <c r="B22" s="0" t="s">
        <v>303</v>
      </c>
    </row>
    <row r="23" customFormat="false" ht="12.8" hidden="false" customHeight="false" outlineLevel="0" collapsed="false">
      <c r="A23" s="0" t="n">
        <v>100</v>
      </c>
      <c r="B23" s="0" t="s">
        <v>299</v>
      </c>
    </row>
    <row r="24" customFormat="false" ht="12.8" hidden="false" customHeight="false" outlineLevel="0" collapsed="false">
      <c r="A24" s="0" t="n">
        <v>6</v>
      </c>
      <c r="B24" s="0" t="s">
        <v>300</v>
      </c>
    </row>
    <row r="25" customFormat="false" ht="12.8" hidden="false" customHeight="false" outlineLevel="0" collapsed="false">
      <c r="A25" s="18" t="n">
        <f aca="false">Capacity!$AW$30*A22/(A23*A24)</f>
        <v>1.611328125E-006</v>
      </c>
      <c r="B25" s="0" t="s">
        <v>301</v>
      </c>
    </row>
    <row r="27" customFormat="false" ht="12.8" hidden="false" customHeight="false" outlineLevel="0" collapsed="false">
      <c r="A27" s="17" t="s">
        <v>304</v>
      </c>
    </row>
    <row r="28" customFormat="false" ht="12.8" hidden="false" customHeight="false" outlineLevel="0" collapsed="false">
      <c r="A28" s="0" t="n">
        <v>0.75</v>
      </c>
      <c r="B28" s="0" t="s">
        <v>305</v>
      </c>
    </row>
    <row r="29" customFormat="false" ht="12.8" hidden="false" customHeight="false" outlineLevel="0" collapsed="false">
      <c r="A29" s="0" t="n">
        <v>0.8</v>
      </c>
      <c r="B29" s="0" t="s">
        <v>306</v>
      </c>
    </row>
    <row r="30" customFormat="false" ht="12.8" hidden="false" customHeight="false" outlineLevel="0" collapsed="false">
      <c r="A30" s="0" t="n">
        <v>0.8</v>
      </c>
      <c r="B30" s="0" t="s">
        <v>307</v>
      </c>
    </row>
    <row r="31" customFormat="false" ht="12.8" hidden="false" customHeight="false" outlineLevel="0" collapsed="false">
      <c r="A31" s="0" t="n">
        <v>365</v>
      </c>
      <c r="B31" s="0" t="s">
        <v>308</v>
      </c>
    </row>
    <row r="32" customFormat="false" ht="12.8" hidden="false" customHeight="false" outlineLevel="0" collapsed="false">
      <c r="A32" s="18" t="n">
        <f aca="false">A28*A31/(A29*A30*1000*2000)</f>
        <v>0.0002138671875</v>
      </c>
      <c r="B32" s="0" t="s">
        <v>301</v>
      </c>
    </row>
    <row r="34" customFormat="false" ht="12.8" hidden="false" customHeight="false" outlineLevel="0" collapsed="false">
      <c r="A34" s="0" t="s">
        <v>309</v>
      </c>
    </row>
    <row r="35" customFormat="false" ht="12.8" hidden="false" customHeight="false" outlineLevel="0" collapsed="false">
      <c r="A35" s="0" t="n">
        <v>0.4</v>
      </c>
      <c r="B35" s="0" t="s">
        <v>310</v>
      </c>
    </row>
    <row r="36" customFormat="false" ht="12.8" hidden="false" customHeight="false" outlineLevel="0" collapsed="false">
      <c r="A36" s="0" t="n">
        <f aca="false">12.33/2</f>
        <v>6.165</v>
      </c>
      <c r="B36" s="0" t="s">
        <v>311</v>
      </c>
    </row>
    <row r="37" customFormat="false" ht="12.8" hidden="false" customHeight="false" outlineLevel="0" collapsed="false">
      <c r="A37" s="0" t="n">
        <v>365</v>
      </c>
      <c r="B37" s="0" t="s">
        <v>308</v>
      </c>
    </row>
    <row r="38" customFormat="false" ht="12.8" hidden="false" customHeight="false" outlineLevel="0" collapsed="false">
      <c r="A38" s="0" t="n">
        <v>0.8</v>
      </c>
      <c r="B38" s="0" t="s">
        <v>312</v>
      </c>
    </row>
    <row r="39" customFormat="false" ht="12.8" hidden="false" customHeight="false" outlineLevel="0" collapsed="false">
      <c r="A39" s="0" t="n">
        <v>4</v>
      </c>
      <c r="B39" s="0" t="s">
        <v>313</v>
      </c>
    </row>
    <row r="40" customFormat="false" ht="12.8" hidden="false" customHeight="false" outlineLevel="0" collapsed="false">
      <c r="A40" s="18" t="n">
        <f aca="false">A35*A36*A37/(1000*2000*A38*A39)</f>
        <v>0.0001406390625</v>
      </c>
      <c r="B40" s="0" t="s">
        <v>301</v>
      </c>
    </row>
    <row r="41" customFormat="false" ht="12.8" hidden="false" customHeight="false" outlineLevel="0" collapsed="false">
      <c r="A41" s="0" t="n">
        <f aca="false">1/A40</f>
        <v>7110.400071104</v>
      </c>
    </row>
    <row r="43" customFormat="false" ht="12.8" hidden="false" customHeight="false" outlineLevel="0" collapsed="false">
      <c r="A43" s="17" t="s">
        <v>314</v>
      </c>
    </row>
    <row r="44" customFormat="false" ht="12.8" hidden="false" customHeight="false" outlineLevel="0" collapsed="false">
      <c r="A44" s="0" t="n">
        <v>10</v>
      </c>
      <c r="B44" s="0" t="s">
        <v>315</v>
      </c>
    </row>
    <row r="45" customFormat="false" ht="12.8" hidden="false" customHeight="false" outlineLevel="0" collapsed="false">
      <c r="A45" s="18" t="n">
        <f aca="false">A32/A44</f>
        <v>2.138671875E-005</v>
      </c>
      <c r="B45" s="0" t="s">
        <v>301</v>
      </c>
    </row>
    <row r="46" customFormat="false" ht="12.8" hidden="false" customHeight="false" outlineLevel="0" collapsed="false">
      <c r="A46" s="0" t="n">
        <f aca="false">1/A45</f>
        <v>46757.9908675799</v>
      </c>
    </row>
    <row r="48" customFormat="false" ht="12.8" hidden="false" customHeight="false" outlineLevel="0" collapsed="false">
      <c r="A48" s="17" t="s">
        <v>316</v>
      </c>
    </row>
    <row r="49" customFormat="false" ht="12.8" hidden="false" customHeight="false" outlineLevel="0" collapsed="false">
      <c r="A49" s="0" t="n">
        <v>3.5</v>
      </c>
      <c r="B49" s="0" t="s">
        <v>317</v>
      </c>
    </row>
    <row r="50" customFormat="false" ht="12.8" hidden="false" customHeight="false" outlineLevel="0" collapsed="false">
      <c r="A50" s="0" t="n">
        <v>2.5</v>
      </c>
      <c r="B50" s="0" t="s">
        <v>318</v>
      </c>
    </row>
    <row r="51" customFormat="false" ht="12.8" hidden="false" customHeight="false" outlineLevel="0" collapsed="false">
      <c r="A51" s="0" t="n">
        <f aca="false">20/9</f>
        <v>2.22222222222222</v>
      </c>
      <c r="B51" s="0" t="s">
        <v>251</v>
      </c>
    </row>
    <row r="52" customFormat="false" ht="12.8" hidden="false" customHeight="false" outlineLevel="0" collapsed="false">
      <c r="A52" s="0" t="n">
        <v>5</v>
      </c>
      <c r="B52" s="0" t="s">
        <v>299</v>
      </c>
    </row>
    <row r="53" customFormat="false" ht="12.8" hidden="false" customHeight="false" outlineLevel="0" collapsed="false">
      <c r="A53" s="0" t="n">
        <v>2</v>
      </c>
      <c r="B53" s="0" t="s">
        <v>319</v>
      </c>
    </row>
    <row r="54" customFormat="false" ht="12.8" hidden="false" customHeight="false" outlineLevel="0" collapsed="false">
      <c r="A54" s="18" t="n">
        <f aca="false">SUM(A49:A50)*A51/(A52*A53*1000*2000)</f>
        <v>6.66666666666667E-007</v>
      </c>
      <c r="B54" s="0" t="s">
        <v>301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1" activePane="bottomLeft" state="frozen"/>
      <selection pane="topLeft" activeCell="A1" activeCellId="0" sqref="A1"/>
      <selection pane="bottomLeft" activeCell="AB76" activeCellId="0" sqref="AB76"/>
    </sheetView>
  </sheetViews>
  <sheetFormatPr defaultRowHeight="12.8" zeroHeight="false" outlineLevelRow="0" outlineLevelCol="0"/>
  <cols>
    <col collapsed="false" customWidth="true" hidden="false" outlineLevel="0" max="1" min="1" style="4" width="13.71"/>
    <col collapsed="false" customWidth="true" hidden="false" outlineLevel="0" max="2" min="2" style="4" width="3.9"/>
    <col collapsed="false" customWidth="true" hidden="false" outlineLevel="0" max="3" min="3" style="4" width="11.12"/>
    <col collapsed="false" customWidth="true" hidden="false" outlineLevel="0" max="5" min="4" style="4" width="10.84"/>
    <col collapsed="false" customWidth="true" hidden="false" outlineLevel="0" max="6" min="6" style="4" width="10.69"/>
    <col collapsed="false" customWidth="true" hidden="false" outlineLevel="0" max="7" min="7" style="4" width="12.99"/>
    <col collapsed="false" customWidth="true" hidden="false" outlineLevel="0" max="8" min="8" style="4" width="8.81"/>
    <col collapsed="false" customWidth="true" hidden="false" outlineLevel="0" max="9" min="9" style="4" width="11.41"/>
    <col collapsed="false" customWidth="true" hidden="false" outlineLevel="0" max="10" min="10" style="4" width="9.53"/>
    <col collapsed="false" customWidth="true" hidden="false" outlineLevel="0" max="11" min="11" style="4" width="16.17"/>
    <col collapsed="false" customWidth="true" hidden="false" outlineLevel="0" max="13" min="12" style="4" width="13.43"/>
    <col collapsed="false" customWidth="true" hidden="false" outlineLevel="0" max="14" min="14" style="4" width="11.27"/>
    <col collapsed="false" customWidth="true" hidden="false" outlineLevel="0" max="15" min="15" style="4" width="10.84"/>
    <col collapsed="false" customWidth="true" hidden="false" outlineLevel="0" max="16" min="16" style="4" width="10.98"/>
    <col collapsed="false" customWidth="true" hidden="false" outlineLevel="0" max="18" min="17" style="4" width="12.28"/>
    <col collapsed="false" customWidth="true" hidden="false" outlineLevel="0" max="19" min="19" style="4" width="15.16"/>
    <col collapsed="false" customWidth="true" hidden="false" outlineLevel="0" max="20" min="20" style="4" width="14.59"/>
    <col collapsed="false" customWidth="true" hidden="false" outlineLevel="0" max="21" min="21" style="4" width="10.39"/>
    <col collapsed="false" customWidth="true" hidden="false" outlineLevel="0" max="22" min="22" style="4" width="10.54"/>
    <col collapsed="false" customWidth="true" hidden="false" outlineLevel="0" max="23" min="23" style="4" width="11.27"/>
    <col collapsed="false" customWidth="true" hidden="false" outlineLevel="0" max="24" min="24" style="4" width="11.99"/>
    <col collapsed="false" customWidth="true" hidden="false" outlineLevel="0" max="25" min="25" style="4" width="10.39"/>
    <col collapsed="false" customWidth="true" hidden="false" outlineLevel="0" max="26" min="26" style="4" width="12.71"/>
    <col collapsed="false" customWidth="true" hidden="false" outlineLevel="0" max="27" min="27" style="4" width="12.13"/>
    <col collapsed="false" customWidth="true" hidden="false" outlineLevel="0" max="28" min="28" style="4" width="14.44"/>
    <col collapsed="false" customWidth="true" hidden="false" outlineLevel="0" max="29" min="29" style="4" width="11.41"/>
    <col collapsed="false" customWidth="true" hidden="false" outlineLevel="0" max="30" min="30" style="4" width="11.7"/>
    <col collapsed="false" customWidth="true" hidden="false" outlineLevel="0" max="31" min="31" style="4" width="14.44"/>
    <col collapsed="false" customWidth="true" hidden="false" outlineLevel="0" max="32" min="32" style="4" width="16.6"/>
    <col collapsed="false" customWidth="true" hidden="false" outlineLevel="0" max="33" min="33" style="4" width="9.24"/>
    <col collapsed="false" customWidth="true" hidden="false" outlineLevel="0" max="34" min="34" style="4" width="12.42"/>
    <col collapsed="false" customWidth="true" hidden="false" outlineLevel="0" max="35" min="35" style="4" width="11.12"/>
    <col collapsed="false" customWidth="true" hidden="false" outlineLevel="0" max="36" min="36" style="4" width="13.57"/>
    <col collapsed="false" customWidth="true" hidden="false" outlineLevel="0" max="37" min="37" style="4" width="12.42"/>
    <col collapsed="false" customWidth="true" hidden="false" outlineLevel="0" max="38" min="38" style="4" width="14.3"/>
    <col collapsed="false" customWidth="true" hidden="false" outlineLevel="0" max="39" min="39" style="4" width="11.27"/>
    <col collapsed="false" customWidth="true" hidden="false" outlineLevel="0" max="40" min="40" style="4" width="9.1"/>
    <col collapsed="false" customWidth="true" hidden="false" outlineLevel="0" max="41" min="41" style="4" width="14.88"/>
    <col collapsed="false" customWidth="true" hidden="false" outlineLevel="0" max="42" min="42" style="4" width="14.16"/>
    <col collapsed="false" customWidth="true" hidden="false" outlineLevel="0" max="43" min="43" style="4" width="16.17"/>
    <col collapsed="false" customWidth="true" hidden="false" outlineLevel="0" max="44" min="44" style="4" width="15.88"/>
    <col collapsed="false" customWidth="true" hidden="false" outlineLevel="0" max="45" min="45" style="4" width="12.13"/>
    <col collapsed="false" customWidth="true" hidden="false" outlineLevel="0" max="46" min="46" style="4" width="9.82"/>
    <col collapsed="false" customWidth="true" hidden="false" outlineLevel="0" max="47" min="47" style="4" width="10.98"/>
    <col collapsed="false" customWidth="true" hidden="false" outlineLevel="0" max="48" min="48" style="4" width="13.87"/>
    <col collapsed="false" customWidth="true" hidden="false" outlineLevel="0" max="49" min="49" style="4" width="11.99"/>
    <col collapsed="false" customWidth="true" hidden="false" outlineLevel="0" max="50" min="50" style="4" width="12.85"/>
    <col collapsed="false" customWidth="true" hidden="false" outlineLevel="0" max="51" min="51" style="4" width="14.59"/>
    <col collapsed="false" customWidth="true" hidden="false" outlineLevel="0" max="52" min="52" style="4" width="10.54"/>
    <col collapsed="false" customWidth="true" hidden="false" outlineLevel="0" max="53" min="53" style="4" width="12.42"/>
    <col collapsed="false" customWidth="true" hidden="false" outlineLevel="0" max="54" min="54" style="4" width="11.12"/>
    <col collapsed="false" customWidth="true" hidden="false" outlineLevel="0" max="55" min="55" style="4" width="10.54"/>
    <col collapsed="false" customWidth="true" hidden="false" outlineLevel="0" max="56" min="56" style="4" width="10.84"/>
    <col collapsed="false" customWidth="true" hidden="false" outlineLevel="0" max="57" min="57" style="4" width="9.82"/>
    <col collapsed="false" customWidth="true" hidden="false" outlineLevel="0" max="58" min="58" style="4" width="9.24"/>
    <col collapsed="false" customWidth="true" hidden="false" outlineLevel="0" max="60" min="59" style="4" width="15.88"/>
    <col collapsed="false" customWidth="true" hidden="false" outlineLevel="0" max="61" min="61" style="4" width="13.43"/>
    <col collapsed="false" customWidth="true" hidden="false" outlineLevel="0" max="62" min="62" style="4" width="12.28"/>
    <col collapsed="false" customWidth="true" hidden="false" outlineLevel="0" max="63" min="63" style="4" width="18.92"/>
    <col collapsed="false" customWidth="true" hidden="false" outlineLevel="0" max="64" min="64" style="4" width="15.74"/>
    <col collapsed="false" customWidth="true" hidden="false" outlineLevel="0" max="65" min="65" style="4" width="12.13"/>
    <col collapsed="false" customWidth="true" hidden="false" outlineLevel="0" max="66" min="66" style="4" width="10.84"/>
    <col collapsed="false" customWidth="true" hidden="false" outlineLevel="0" max="67" min="67" style="4" width="8.23"/>
    <col collapsed="false" customWidth="true" hidden="false" outlineLevel="0" max="68" min="68" style="4" width="9.39"/>
    <col collapsed="false" customWidth="true" hidden="false" outlineLevel="0" max="69" min="69" style="4" width="10.84"/>
    <col collapsed="false" customWidth="true" hidden="false" outlineLevel="0" max="71" min="70" style="4" width="8.23"/>
    <col collapsed="false" customWidth="true" hidden="false" outlineLevel="0" max="74" min="72" style="4" width="12.99"/>
    <col collapsed="false" customWidth="true" hidden="false" outlineLevel="0" max="75" min="75" style="4" width="10.84"/>
    <col collapsed="false" customWidth="true" hidden="false" outlineLevel="0" max="76" min="76" style="4" width="10.39"/>
    <col collapsed="false" customWidth="true" hidden="false" outlineLevel="0" max="77" min="77" style="4" width="14.88"/>
    <col collapsed="false" customWidth="true" hidden="false" outlineLevel="0" max="78" min="78" style="4" width="14.44"/>
    <col collapsed="false" customWidth="true" hidden="false" outlineLevel="0" max="79" min="79" style="4" width="15.6"/>
    <col collapsed="false" customWidth="true" hidden="false" outlineLevel="0" max="80" min="80" style="4" width="12.56"/>
    <col collapsed="false" customWidth="true" hidden="false" outlineLevel="0" max="81" min="81" style="4" width="10.84"/>
    <col collapsed="false" customWidth="true" hidden="false" outlineLevel="0" max="82" min="82" style="4" width="15.74"/>
    <col collapsed="false" customWidth="true" hidden="false" outlineLevel="0" max="83" min="83" style="4" width="18.2"/>
    <col collapsed="false" customWidth="true" hidden="false" outlineLevel="0" max="84" min="84" style="4" width="16.32"/>
    <col collapsed="false" customWidth="true" hidden="false" outlineLevel="0" max="85" min="85" style="4" width="14.88"/>
    <col collapsed="false" customWidth="true" hidden="false" outlineLevel="0" max="86" min="86" style="4" width="10.98"/>
    <col collapsed="false" customWidth="true" hidden="false" outlineLevel="0" max="87" min="87" style="4" width="12.13"/>
    <col collapsed="false" customWidth="true" hidden="false" outlineLevel="0" max="88" min="88" style="4" width="15.31"/>
    <col collapsed="false" customWidth="true" hidden="false" outlineLevel="0" max="89" min="89" style="4" width="12.99"/>
    <col collapsed="false" customWidth="true" hidden="false" outlineLevel="0" max="90" min="90" style="4" width="4.48"/>
    <col collapsed="false" customWidth="false" hidden="false" outlineLevel="0" max="1023" min="91" style="4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9" t="s">
        <v>269</v>
      </c>
      <c r="B1" s="7" t="s">
        <v>39</v>
      </c>
      <c r="C1" s="7" t="s">
        <v>40</v>
      </c>
      <c r="D1" s="7" t="s">
        <v>41</v>
      </c>
      <c r="E1" s="7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2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3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7" t="s">
        <v>320</v>
      </c>
    </row>
    <row r="2" s="20" customFormat="true" ht="12.8" hidden="false" customHeight="false" outlineLevel="0" collapsed="false">
      <c r="A2" s="19" t="s">
        <v>321</v>
      </c>
      <c r="B2" s="19" t="s">
        <v>39</v>
      </c>
      <c r="C2" s="19" t="n">
        <v>1</v>
      </c>
      <c r="D2" s="19" t="n">
        <v>2</v>
      </c>
      <c r="E2" s="19" t="n">
        <v>3</v>
      </c>
      <c r="F2" s="19" t="n">
        <v>4</v>
      </c>
      <c r="G2" s="19" t="n">
        <v>5</v>
      </c>
      <c r="H2" s="19" t="n">
        <v>6</v>
      </c>
      <c r="I2" s="19" t="n">
        <v>7</v>
      </c>
      <c r="J2" s="19" t="n">
        <v>8</v>
      </c>
      <c r="K2" s="19" t="n">
        <v>9</v>
      </c>
      <c r="L2" s="19" t="n">
        <v>10</v>
      </c>
      <c r="M2" s="19" t="n">
        <v>11</v>
      </c>
      <c r="N2" s="19" t="n">
        <v>12</v>
      </c>
      <c r="O2" s="19" t="n">
        <v>13</v>
      </c>
      <c r="P2" s="19" t="n">
        <v>14</v>
      </c>
      <c r="Q2" s="19" t="n">
        <v>15</v>
      </c>
      <c r="R2" s="19" t="n">
        <v>16</v>
      </c>
      <c r="S2" s="19" t="n">
        <v>17</v>
      </c>
      <c r="T2" s="19" t="n">
        <v>18</v>
      </c>
      <c r="U2" s="19" t="n">
        <v>19</v>
      </c>
      <c r="V2" s="19" t="n">
        <v>20</v>
      </c>
      <c r="W2" s="19" t="n">
        <v>21</v>
      </c>
      <c r="X2" s="19" t="n">
        <v>22</v>
      </c>
      <c r="Y2" s="19" t="n">
        <v>23</v>
      </c>
      <c r="Z2" s="19" t="n">
        <v>24</v>
      </c>
      <c r="AA2" s="19" t="n">
        <v>25</v>
      </c>
      <c r="AB2" s="19" t="n">
        <v>26</v>
      </c>
      <c r="AC2" s="19" t="n">
        <v>27</v>
      </c>
      <c r="AD2" s="19" t="n">
        <v>28</v>
      </c>
      <c r="AE2" s="19" t="n">
        <v>29</v>
      </c>
      <c r="AF2" s="19" t="n">
        <v>30</v>
      </c>
      <c r="AG2" s="19" t="n">
        <v>31</v>
      </c>
      <c r="AH2" s="19" t="n">
        <v>32</v>
      </c>
      <c r="AI2" s="19" t="n">
        <v>33</v>
      </c>
      <c r="AJ2" s="19" t="n">
        <v>34</v>
      </c>
      <c r="AK2" s="19" t="n">
        <v>35</v>
      </c>
      <c r="AL2" s="19" t="n">
        <v>36</v>
      </c>
      <c r="AM2" s="19" t="n">
        <v>37</v>
      </c>
      <c r="AN2" s="19" t="n">
        <v>38</v>
      </c>
      <c r="AO2" s="19" t="n">
        <v>39</v>
      </c>
      <c r="AP2" s="19" t="n">
        <v>40</v>
      </c>
      <c r="AQ2" s="19" t="n">
        <v>41</v>
      </c>
      <c r="AR2" s="19" t="n">
        <v>42</v>
      </c>
      <c r="AS2" s="19" t="n">
        <v>43</v>
      </c>
      <c r="AT2" s="19" t="n">
        <v>44</v>
      </c>
      <c r="AU2" s="19" t="n">
        <v>45</v>
      </c>
      <c r="AV2" s="19" t="n">
        <v>46</v>
      </c>
      <c r="AW2" s="19" t="n">
        <v>47</v>
      </c>
      <c r="AX2" s="19" t="n">
        <v>48</v>
      </c>
      <c r="AY2" s="19" t="n">
        <v>49</v>
      </c>
      <c r="AZ2" s="19" t="n">
        <v>50</v>
      </c>
      <c r="BA2" s="19" t="n">
        <v>51</v>
      </c>
      <c r="BB2" s="19" t="n">
        <v>52</v>
      </c>
      <c r="BC2" s="19" t="n">
        <v>53</v>
      </c>
      <c r="BD2" s="19" t="n">
        <v>54</v>
      </c>
      <c r="BE2" s="19" t="n">
        <v>55</v>
      </c>
      <c r="BF2" s="19" t="n">
        <v>56</v>
      </c>
      <c r="BG2" s="19" t="n">
        <v>57</v>
      </c>
      <c r="BH2" s="19" t="n">
        <v>58</v>
      </c>
      <c r="BI2" s="19" t="n">
        <v>59</v>
      </c>
      <c r="BJ2" s="19" t="n">
        <v>60</v>
      </c>
      <c r="BK2" s="19" t="n">
        <v>61</v>
      </c>
      <c r="BL2" s="19" t="n">
        <v>62</v>
      </c>
      <c r="BM2" s="19" t="n">
        <v>63</v>
      </c>
      <c r="BN2" s="19" t="n">
        <v>64</v>
      </c>
      <c r="BO2" s="19" t="n">
        <v>65</v>
      </c>
      <c r="BP2" s="19" t="n">
        <v>66</v>
      </c>
      <c r="BQ2" s="19" t="n">
        <v>67</v>
      </c>
      <c r="BR2" s="19" t="n">
        <v>68</v>
      </c>
      <c r="BS2" s="19" t="n">
        <v>69</v>
      </c>
      <c r="BT2" s="19" t="n">
        <v>70</v>
      </c>
      <c r="BU2" s="19" t="n">
        <v>71</v>
      </c>
      <c r="BV2" s="19" t="n">
        <v>72</v>
      </c>
      <c r="BW2" s="19" t="n">
        <v>73</v>
      </c>
      <c r="BX2" s="19" t="n">
        <v>74</v>
      </c>
      <c r="BY2" s="19" t="n">
        <v>75</v>
      </c>
      <c r="BZ2" s="19" t="n">
        <v>76</v>
      </c>
      <c r="CA2" s="19" t="n">
        <v>77</v>
      </c>
      <c r="CB2" s="19" t="n">
        <v>78</v>
      </c>
      <c r="CC2" s="19" t="n">
        <v>79</v>
      </c>
      <c r="CD2" s="19" t="n">
        <v>80</v>
      </c>
      <c r="CE2" s="19" t="n">
        <v>81</v>
      </c>
      <c r="CF2" s="19" t="n">
        <v>82</v>
      </c>
      <c r="CG2" s="19" t="n">
        <v>83</v>
      </c>
      <c r="CH2" s="19" t="n">
        <v>84</v>
      </c>
      <c r="CI2" s="19" t="n">
        <v>85</v>
      </c>
      <c r="CJ2" s="19" t="n">
        <v>86</v>
      </c>
      <c r="CK2" s="19" t="n">
        <v>87</v>
      </c>
      <c r="CL2" s="7" t="s">
        <v>320</v>
      </c>
    </row>
    <row r="3" customFormat="false" ht="12.8" hidden="false" customHeight="false" outlineLevel="0" collapsed="false">
      <c r="A3" s="4" t="s">
        <v>131</v>
      </c>
      <c r="B3" s="7" t="s">
        <v>39</v>
      </c>
      <c r="C3" s="4" t="n">
        <f aca="false" t="array" ref="C3:C3">SUM(Capacity!S3*Demand!C3*Capacity!$DH$3:$DH$25/(TRANSPOSE(Dists!$B2:$X2)*SUM(Capacity!$DH$3:$DH$25/TRANSPOSE(Dists!$B2:$X2))))</f>
        <v>0.00490586675184976</v>
      </c>
      <c r="D3" s="4" t="n">
        <f aca="false" t="array" ref="D3:D3">SUM(Capacity!V3*Demand!D3*Capacity!$DH$3:$DH$25/(TRANSPOSE(Dists!$B2:$X2)*SUM(Capacity!$DH$3:$DH$25/TRANSPOSE(Dists!$B2:$X2))))</f>
        <v>325.812967442582</v>
      </c>
      <c r="E3" s="4" t="n">
        <f aca="false" t="array" ref="E3:E3">SUM(Capacity!Y3*Demand!E3*Capacity!$DH$3:$DH$25/(TRANSPOSE(Dists!$B2:$X2)*SUM(Capacity!$DH$3:$DH$25/TRANSPOSE(Dists!$B2:$X2))))</f>
        <v>97.3925810190245</v>
      </c>
      <c r="F3" s="4" t="n">
        <f aca="false">$E3*Capacity!$M3/(2*(1-Capacity!$H$28)*Capacity!$H3)</f>
        <v>31.703314133797</v>
      </c>
      <c r="G3" s="4" t="n">
        <f aca="false" t="array" ref="G3:G3">SUM(Capacity!AA3*Demand!G3*Capacity!$DH$3:$DH$25/(TRANSPOSE(Dists!$B2:$X2)*SUM(Capacity!$DH$3:$DH$25/TRANSPOSE(Dists!$B2:$X2))))</f>
        <v>1.18838264842278</v>
      </c>
      <c r="H3" s="4" t="n">
        <f aca="false" t="array" ref="H3:H3">SUM(Capacity!AB3*Demand!H3*Capacity!$DH$3:$DH$25/(TRANSPOSE(Dists!$B2:$X2)*SUM(Capacity!$DH$3:$DH$25/TRANSPOSE(Dists!$B2:$X2))))</f>
        <v>0.177213750730329</v>
      </c>
      <c r="I3" s="4" t="n">
        <f aca="false" t="array" ref="I3:I3">SUM(Capacity!AC3*Demand!I$3:I$25*Capacity!$DG$3:$DG$25/(TRANSPOSE(Dists!$B2:$X2)*SUM(Capacity!$DG$3:$DG$25/TRANSPOSE(Dists!$B2:$X2))))</f>
        <v>2.3483507673971</v>
      </c>
      <c r="J3" s="4" t="n">
        <f aca="false" t="array" ref="J3:J3">SUM(Capacity!AD3*Demand!J$3:J$25*Capacity!$DG$3:$DG$25/(TRANSPOSE(Dists!$B2:$X2)*SUM(Capacity!$DG$3:$DG$25/TRANSPOSE(Dists!$B2:$X2))))</f>
        <v>2.0333202026029</v>
      </c>
      <c r="K3" s="4" t="n">
        <f aca="false">5479.45205479452*$R3</f>
        <v>342906.896477852</v>
      </c>
      <c r="L3" s="4" t="n">
        <f aca="false">17142.8571428571*$S3</f>
        <v>38137.3531113157</v>
      </c>
      <c r="M3" s="4" t="n">
        <f aca="false">IF(50420.1680672269*$T3&gt;($K3/20),50420.1680672269*$T3-($K3/20),0)</f>
        <v>45546.1945371744</v>
      </c>
      <c r="N3" s="4" t="n">
        <f aca="false" t="array" ref="N3:N3">SUM(Capacity!AH3*Demand!N3*Capacity!$DH$3:$DH$25/(TRANSPOSE(Dists!$B2:$X2)*SUM(Capacity!$DH$3:$DH$25/TRANSPOSE(Dists!$B2:$X2))))</f>
        <v>107.26049338873</v>
      </c>
      <c r="O3" s="4" t="n">
        <f aca="false">D31/0.8</f>
        <v>534.131590641067</v>
      </c>
      <c r="P3" s="4" t="n">
        <f aca="false">O3/0.8</f>
        <v>667.664488301333</v>
      </c>
      <c r="Q3" s="4" t="n">
        <f aca="false" t="array" ref="Q3:Q3">SUM(Capacity!AK3*Demand!Q3*Capacity!$DI$3:$DI$25/(TRANSPOSE(Dists!$B2:$X2)*SUM(Capacity!$DI$3:$DI$25/TRANSPOSE(Dists!$B2:$X2))))</f>
        <v>0.0390179189682173</v>
      </c>
      <c r="R3" s="4" t="n">
        <f aca="false" t="array" ref="R3:R3">SUM(Capacity!AL3*Demand!R3*Capacity!$DH$3:$DH$25/(TRANSPOSE(Dists!$B2:$X2)*SUM(Capacity!$DH$3:$DH$25/TRANSPOSE(Dists!$B2:$X2))))</f>
        <v>62.580508607208</v>
      </c>
      <c r="S3" s="4" t="n">
        <f aca="false">SUM($BG31,$BI31,$BK31)*Capacity!AM3/SUM(Capacity!$AM3:$AN3,Capacity!$CX3)</f>
        <v>2.22467893149342</v>
      </c>
      <c r="T3" s="4" t="n">
        <f aca="false">SUM($BG31,$BI31,$BK31)*Capacity!AN3/SUM(Capacity!$AM3:$AN3,Capacity!$CX3)</f>
        <v>1.24338219732783</v>
      </c>
      <c r="U3" s="4" t="n">
        <f aca="false">$M3*120*2/(16*1000*2000)</f>
        <v>0.341596459028808</v>
      </c>
      <c r="V3" s="4" t="n">
        <f aca="false" t="array" ref="V3:V3">SUM(Capacity!AP3*Demand!V$3:V$25*Capacity!$DH$3:$DH$25/(TRANSPOSE(Dists!$B2:$X2)*SUM(Capacity!$DH$3:$DH$25/TRANSPOSE(Dists!$B2:$X2))))</f>
        <v>25.0427037703717</v>
      </c>
      <c r="W3" s="4" t="n">
        <f aca="false" t="array" ref="W3:W3">SUM(Capacity!AQ3*Demand!W$3:W$25*Capacity!$DH$3:$DH$25/(TRANSPOSE(Dists!$B2:$X2)*SUM(Capacity!$DH$3:$DH$25/TRANSPOSE(Dists!$B2:$X2))))</f>
        <v>113.880273964915</v>
      </c>
      <c r="X3" s="4" t="n">
        <f aca="false" t="array" ref="X3:X3">SUM(Capacity!AR3*Demand!X$3:X$25*Capacity!$DH$3:$DH$25/(TRANSPOSE(Dists!$B2:$X2)*SUM(Capacity!$DH$3:$DH$25/TRANSPOSE(Dists!$B2:$X2))))</f>
        <v>694.909224108769</v>
      </c>
      <c r="Y3" s="4" t="n">
        <f aca="false">$L3*600*6/(90*1000*2000)</f>
        <v>0.762747062226315</v>
      </c>
      <c r="Z3" s="4" t="n">
        <f aca="false" t="array" ref="Z3:Z3">SUM(Capacity!AT3*Demand!Z$3:Z$25*Capacity!$DI$3:$DI$25/(TRANSPOSE(Dists!$B2:$X2)*SUM(Capacity!$DI$3:$DI$25/TRANSPOSE(Dists!$B2:$X2))))</f>
        <v>10.7977803438429</v>
      </c>
      <c r="AA3" s="4" t="n">
        <f aca="false" t="array" ref="AA3:AA3">SUM(Capacity!AU3*Demand!AA$3:AA$25*Capacity!$DI$3:$DI$25/(TRANSPOSE(Dists!$B2:$X2)*SUM(Capacity!$DI$3:$DI$25/TRANSPOSE(Dists!$B2:$X2))))</f>
        <v>6.03460884459612</v>
      </c>
      <c r="AB3" s="4" t="n">
        <f aca="false" t="array" ref="AB3:AB3">SUM(Capacity!AV3*Demand!AB$3:AB$25*Capacity!$DI$3:$DI$25/(TRANSPOSE(Dists!$B2:$X2)*SUM(Capacity!$DI$3:$DI$25/TRANSPOSE(Dists!$B2:$X2))))</f>
        <v>6.48043229659495</v>
      </c>
      <c r="AC3" s="4" t="n">
        <f aca="false" t="array" ref="AC3:AC3">SUM(Capacity!AW3*Demand!AC$3:AC$25*Capacity!$DI$3:$DI$25/(TRANSPOSE(Dists!$B2:$X2)*SUM(Capacity!$DI$3:$DI$25/TRANSPOSE(Dists!$B2:$X2))))</f>
        <v>1.81323893053605</v>
      </c>
      <c r="AD3" s="4" t="n">
        <f aca="false" t="array" ref="AD3:AD3">SUM(Capacity!AX3*Demand!AD$3:AD$25*Capacity!$DI$3:$DI$25/(TRANSPOSE(Dists!$B2:$X2)*SUM(Capacity!$DI$3:$DI$25/TRANSPOSE(Dists!$B2:$X2))))</f>
        <v>1.06091586119894</v>
      </c>
      <c r="AE3" s="4" t="n">
        <f aca="false" t="array" ref="AE3:AE3">SUM(Capacity!AY3*Demand!AE$3:AE$25*Capacity!$DI$3:$DI$25/(TRANSPOSE(Dists!$B2:$X2)*SUM(Capacity!$DI$3:$DI$25/TRANSPOSE(Dists!$B2:$X2))))</f>
        <v>0.782757914214533</v>
      </c>
      <c r="AF3" s="4" t="n">
        <f aca="false" t="array" ref="AF3:AF3">SUM(Capacity!AZ3*Demand!AF$3:AF$25*Capacity!$DI$3:$DI$25/(TRANSPOSE(Dists!$B2:$X2)*SUM(Capacity!$DI$3:$DI$25/TRANSPOSE(Dists!$B2:$X2))))</f>
        <v>0.174443048373078</v>
      </c>
      <c r="AG3" s="4" t="n">
        <f aca="false" t="array" ref="AG3:AG3">SUM(Capacity!BA3*Demand!AG$3:AG$25*Capacity!$DI$3:$DI$25/(TRANSPOSE(Dists!$B2:$X2)*SUM(Capacity!$DI$3:$DI$25/TRANSPOSE(Dists!$B2:$X2))))</f>
        <v>0.676258458776012</v>
      </c>
      <c r="AH3" s="4" t="n">
        <f aca="false" t="array" ref="AH3:AH3">SUM(Capacity!BB3*Demand!AH$3:AH$25*Capacity!$DI$3:$DI$25/(TRANSPOSE(Dists!$B2:$X2)*SUM(Capacity!$DI$3:$DI$25/TRANSPOSE(Dists!$B2:$X2))))</f>
        <v>0.758698473478971</v>
      </c>
      <c r="AI3" s="4" t="n">
        <f aca="false" t="array" ref="AI3:AI3">SUM(Capacity!BC3*Demand!AI$3:AI$25*Capacity!$DI$3:$DI$25/(TRANSPOSE(Dists!$B2:$X2)*SUM(Capacity!$DI$3:$DI$25/TRANSPOSE(Dists!$B2:$X2))))</f>
        <v>0.110160956688842</v>
      </c>
      <c r="AJ3" s="4" t="n">
        <f aca="false" t="array" ref="AJ3:AJ3">SUM(Capacity!BD3*Demand!AJ$3:AJ$25*Capacity!$DI$3:$DI$25/(TRANSPOSE(Dists!$B2:$X2)*SUM(Capacity!$DI$3:$DI$25/TRANSPOSE(Dists!$B2:$X2))))</f>
        <v>0.291854433332721</v>
      </c>
      <c r="AK3" s="4" t="n">
        <f aca="false" t="array" ref="AK3:AK3">SUM(Capacity!BE3*Demand!AK$3:AK$25*Capacity!$DI$3:$DI$25/(TRANSPOSE(Dists!$B2:$X2)*SUM(Capacity!$DI$3:$DI$25/TRANSPOSE(Dists!$B2:$X2))))</f>
        <v>0.158216876425922</v>
      </c>
      <c r="AL3" s="4" t="n">
        <f aca="false" t="array" ref="AL3:AL3">SUM(Capacity!BF3*Demand!AL$3:AL$25*Capacity!$DI$3:$DI$25/(TRANSPOSE(Dists!$B2:$X2)*SUM(Capacity!$DI$3:$DI$25/TRANSPOSE(Dists!$B2:$X2))))</f>
        <v>0.104983186080655</v>
      </c>
      <c r="AM3" s="4" t="n">
        <f aca="false" t="array" ref="AM3:AM3">SUM(Capacity!BG3*Demand!AM$3:AM$25*Capacity!$DI$3:$DI$25/(TRANSPOSE(Dists!$B2:$X2)*SUM(Capacity!$DI$3:$DI$25/TRANSPOSE(Dists!$B2:$X2))))</f>
        <v>0.216489257500309</v>
      </c>
      <c r="AN3" s="4" t="n">
        <f aca="false" t="array" ref="AN3:AN3">SUM(Capacity!BH3*Demand!AN$3:AN$25*Capacity!$DI$3:$DI$25/(TRANSPOSE(Dists!$B2:$X2)*SUM(Capacity!$DI$3:$DI$25/TRANSPOSE(Dists!$B2:$X2))))</f>
        <v>0.135742208773305</v>
      </c>
      <c r="AO3" s="4" t="n">
        <f aca="false" t="array" ref="AO3:AO3">SUM(Capacity!BI3*Demand!AO$3:AO$25*Capacity!$DI$3:$DI$25/(TRANSPOSE(Dists!$B2:$X2)*SUM(Capacity!$DI$3:$DI$25/TRANSPOSE(Dists!$B2:$X2))))</f>
        <v>0.332742454732181</v>
      </c>
      <c r="AP3" s="4" t="n">
        <f aca="false" t="array" ref="AP3:AP3">SUM(Capacity!BJ3*Demand!AP$3:AP$25*Capacity!$DI$3:$DI$25/(TRANSPOSE(Dists!$B2:$X2)*SUM(Capacity!$DI$3:$DI$25/TRANSPOSE(Dists!$B2:$X2))))</f>
        <v>0.268791335392828</v>
      </c>
      <c r="AQ3" s="4" t="n">
        <f aca="false" t="array" ref="AQ3:AQ3">SUM(Capacity!BK3*Demand!AQ$3:AQ$25*Capacity!$DI$3:$DI$25/(TRANSPOSE(Dists!$B2:$X2)*SUM(Capacity!$DI$3:$DI$25/TRANSPOSE(Dists!$B2:$X2))))</f>
        <v>0.0203706268006553</v>
      </c>
      <c r="AR3" s="4" t="n">
        <f aca="false" t="array" ref="AR3:AR3">SUM(Capacity!BL3*Demand!AR$3:AR$25*Capacity!$DI$3:$DI$25/(TRANSPOSE(Dists!$B2:$X2)*SUM(Capacity!$DI$3:$DI$25/TRANSPOSE(Dists!$B2:$X2))))</f>
        <v>0.033177627834992</v>
      </c>
      <c r="AS3" s="4" t="n">
        <f aca="false" t="array" ref="AS3:AS3">SUM(Capacity!BM3*Demand!AS$3:AS$25*Capacity!$DI$3:$DI$25/(TRANSPOSE(Dists!$B2:$X2)*SUM(Capacity!$DI$3:$DI$25/TRANSPOSE(Dists!$B2:$X2))))</f>
        <v>0.0716931251845984</v>
      </c>
      <c r="AT3" s="4" t="n">
        <f aca="false" t="array" ref="AT3:AT3">SUM(Capacity!BN3*Demand!AT$3:AT$25*Capacity!$DI$3:$DI$25/(TRANSPOSE(Dists!$B2:$X2)*SUM(Capacity!$DI$3:$DI$25/TRANSPOSE(Dists!$B2:$X2))))</f>
        <v>0.722313665952107</v>
      </c>
      <c r="AU3" s="4" t="n">
        <f aca="false" t="array" ref="AU3:AU3">SUM(Capacity!BO3*Demand!AU$3:AU$25*Capacity!$DI$3:$DI$25/(TRANSPOSE(Dists!$B2:$X2)*SUM(Capacity!$DI$3:$DI$25/TRANSPOSE(Dists!$B2:$X2))))</f>
        <v>0.781731582926085</v>
      </c>
      <c r="AV3" s="4" t="n">
        <f aca="false" t="array" ref="AV3:AV3">SUM(Capacity!BP3*Demand!AV$3:AV$25*Capacity!$DI$3:$DI$25/(TRANSPOSE(Dists!$B2:$X2)*SUM(Capacity!$DI$3:$DI$25/TRANSPOSE(Dists!$B2:$X2))))</f>
        <v>0.0341996919429144</v>
      </c>
      <c r="AW3" s="4" t="n">
        <f aca="false" t="array" ref="AW3:AW3">SUM(Capacity!BQ3*Demand!AW$3:AW$25*Capacity!$DI$3:$DI$25/(TRANSPOSE(Dists!$B2:$X2)*SUM(Capacity!$DI$3:$DI$25/TRANSPOSE(Dists!$B2:$X2))))</f>
        <v>0.997041545773996</v>
      </c>
      <c r="AX3" s="4" t="n">
        <f aca="false" t="array" ref="AX3:AX3">SUM(Capacity!BR3*Demand!AX$3:AX$25*Capacity!$DI$3:$DI$25/(TRANSPOSE(Dists!$B2:$X2)*SUM(Capacity!$DI$3:$DI$25/TRANSPOSE(Dists!$B2:$X2))))</f>
        <v>0.122490884637693</v>
      </c>
      <c r="AY3" s="4" t="n">
        <f aca="false" t="array" ref="AY3:AY3">SUM(Capacity!BS3*Demand!AY$3:AY$25*Capacity!$DI$3:$DI$25/(TRANSPOSE(Dists!$B2:$X2)*SUM(Capacity!$DI$3:$DI$25/TRANSPOSE(Dists!$B2:$X2))))</f>
        <v>0.0786274705961861</v>
      </c>
      <c r="AZ3" s="4" t="n">
        <f aca="false" t="array" ref="AZ3:AZ3">SUM(Capacity!BT3*Demand!AZ$3:AZ$25*Capacity!$DI$3:$DI$25/(TRANSPOSE(Dists!$B2:$X2)*SUM(Capacity!$DI$3:$DI$25/TRANSPOSE(Dists!$B2:$X2))))</f>
        <v>0.518909407161153</v>
      </c>
      <c r="BA3" s="4" t="n">
        <f aca="false">L3*25/(2000*1000*51)</f>
        <v>0.00934739046845974</v>
      </c>
      <c r="BB3" s="4" t="n">
        <f aca="false" t="array" ref="BB3:BB3">SUM(Capacity!BV3*Demand!BB$3:BB$25*Capacity!$DI$3:$DI$25/(TRANSPOSE(Dists!$B2:$X2)*SUM(Capacity!$DI$3:$DI$25/TRANSPOSE(Dists!$B2:$X2))))</f>
        <v>0.0937359713684209</v>
      </c>
      <c r="BC3" s="4" t="n">
        <f aca="false" t="array" ref="BC3:BC3">SUM(Capacity!BW3*Demand!BC$3:BC$25*Capacity!$DI$3:$DI$25/(TRANSPOSE(Dists!$B2:$X2)*SUM(Capacity!$DI$3:$DI$25/TRANSPOSE(Dists!$B2:$X2))))</f>
        <v>0.0645879584840441</v>
      </c>
      <c r="BD3" s="4" t="n">
        <f aca="false" t="array" ref="BD3:BD3">SUM(Capacity!BX3*Demand!BD$3:BD$25*Capacity!$DI$3:$DI$25/(TRANSPOSE(Dists!$B2:$X2)*SUM(Capacity!$DI$3:$DI$25/TRANSPOSE(Dists!$B2:$X2))))</f>
        <v>0.0406508944582728</v>
      </c>
      <c r="BE3" s="4" t="n">
        <f aca="false" t="array" ref="BE3:BE3">SUM(Capacity!BY3*Demand!BE$3:BE$25*Capacity!$DI$3:$DI$25/(TRANSPOSE(Dists!$B2:$X2)*SUM(Capacity!$DI$3:$DI$25/TRANSPOSE(Dists!$B2:$X2))))</f>
        <v>0.0211933908194491</v>
      </c>
      <c r="BF3" s="4" t="n">
        <f aca="false" t="array" ref="BF3:BF3">SUM(Capacity!BZ3*Demand!BF$3:BF$25*Capacity!$DI$3:$DI$25/(TRANSPOSE(Dists!$B2:$X2)*SUM(Capacity!$DI$3:$DI$25/TRANSPOSE(Dists!$B2:$X2))))</f>
        <v>1.1273245536255</v>
      </c>
      <c r="BG3" s="4" t="n">
        <f aca="false" t="array" ref="BG3:BG3">SUM(Capacity!CA3*Demand!BG$3:BG$25*Capacity!$DI$3:$DI$25/(TRANSPOSE(Dists!$B2:$X2)*SUM(Capacity!$DI$3:$DI$25/TRANSPOSE(Dists!$B2:$X2))))</f>
        <v>3.56524377702652</v>
      </c>
      <c r="BH3" s="4" t="n">
        <f aca="false" t="array" ref="BH3:BH3">SUM(Capacity!CB3*Demand!BH$3:BH$25*Capacity!$DI$3:$DI$25/(TRANSPOSE(Dists!$B2:$X2)*SUM(Capacity!$DI$3:$DI$25/TRANSPOSE(Dists!$B2:$X2))))</f>
        <v>6.59863622522067</v>
      </c>
      <c r="BI3" s="4" t="n">
        <f aca="false" t="array" ref="BI3:BI3">SUM(Capacity!CC3*Demand!BI3*Capacity!$DI$3:$DI$25/(TRANSPOSE(Dists!$B2:$X2)*SUM(Capacity!$DI$3:$DI$25/TRANSPOSE(Dists!$B2:$X2))))</f>
        <v>2.88226610141689</v>
      </c>
      <c r="BJ3" s="4" t="n">
        <f aca="false" t="array" ref="BJ3:BJ3">SUM(Capacity!CD3*Demand!BJ3*Capacity!$DI$3:$DI$25/(TRANSPOSE(Dists!$B2:$X2)*SUM(Capacity!$DI$3:$DI$25/TRANSPOSE(Dists!$B2:$X2))))</f>
        <v>463.537120412705</v>
      </c>
      <c r="BK3" s="4" t="n">
        <f aca="false" t="array" ref="BK3:BK3">SUM(Capacity!CE3*Demand!BK3*Capacity!$DI$3:$DI$25/(TRANSPOSE(Dists!$B2:$X2)*SUM(Capacity!$DI$3:$DI$25/TRANSPOSE(Dists!$B2:$X2))))</f>
        <v>1.44113305070845</v>
      </c>
      <c r="BL3" s="4" t="n">
        <f aca="false" t="array" ref="BL3:BL3">SUM(Capacity!CF3*Demand!BL3*Capacity!$DI$3:$DI$25/(TRANSPOSE(Dists!$B2:$X2)*SUM(Capacity!$DI$3:$DI$25/TRANSPOSE(Dists!$B2:$X2))))</f>
        <v>299.35660336056</v>
      </c>
      <c r="BM3" s="4" t="n">
        <f aca="false" t="array" ref="BM3:BM3">SUM(Capacity!CG3*Demand!BM3*Capacity!$DI$3:$DI$25/(TRANSPOSE(Dists!$B2:$X2)*SUM(Capacity!$DI$3:$DI$25/TRANSPOSE(Dists!$B2:$X2))))</f>
        <v>5.84534307046755</v>
      </c>
      <c r="BN3" s="4" t="n">
        <f aca="false">MAX($BO3/0.006,$BP3/0.7,$BR3/0.002,$BS3/0.001)</f>
        <v>6.44110203876868E-005</v>
      </c>
      <c r="BO3" s="4" t="n">
        <f aca="false" t="array" ref="BO3:BO3">SUM(Capacity!CI3*Demand!BO3*Capacity!$DI$3:$DI$25/(TRANSPOSE(Dists!$B2:$X2)*SUM(Capacity!$DI$3:$DI$25/TRANSPOSE(Dists!$B2:$X2))))</f>
        <v>3.86466122326121E-007</v>
      </c>
      <c r="BP3" s="4" t="n">
        <f aca="false" t="array" ref="BP3:BP3">SUM(Capacity!CJ3*Demand!BP3*Capacity!$DI$3:$DI$25/(TRANSPOSE(Dists!$B2:$X2)*SUM(Capacity!$DI$3:$DI$25/TRANSPOSE(Dists!$B2:$X2))))</f>
        <v>1.08224895387057E-008</v>
      </c>
      <c r="BQ3" s="4" t="n">
        <f aca="false">BN3*0.65</f>
        <v>4.18671632519964E-005</v>
      </c>
      <c r="BR3" s="4" t="n">
        <f aca="false" t="array" ref="BR3:BR3">SUM(Capacity!CL3*Demand!BR3*Capacity!$DI$3:$DI$25/(TRANSPOSE(Dists!$B2:$X2)*SUM(Capacity!$DI$3:$DI$25/TRANSPOSE(Dists!$B2:$X2))))</f>
        <v>3.86466122326121E-008</v>
      </c>
      <c r="BS3" s="4" t="n">
        <f aca="false" t="array" ref="BS3:BS3">SUM(Capacity!CM3*Demand!BS3*Capacity!$DI$3:$DI$25/(TRANSPOSE(Dists!$B2:$X2)*SUM(Capacity!$DI$3:$DI$25/TRANSPOSE(Dists!$B2:$X2))))</f>
        <v>7.729316769221E-009</v>
      </c>
      <c r="BT3" s="4" t="n">
        <f aca="false" t="array" ref="BT3:BT3">SUM(Capacity!CN3*Demand!BT3*Capacity!$DI$3:$DI$25/(TRANSPOSE(Dists!$B2:$X2)*SUM(Capacity!$DI$3:$DI$25/TRANSPOSE(Dists!$B2:$X2))))</f>
        <v>0.540078772625382</v>
      </c>
      <c r="BU3" s="4" t="n">
        <f aca="false" t="array" ref="BU3:BU3">SUM(Capacity!CO3*Demand!BU3*Capacity!$DI$3:$DI$25/(TRANSPOSE(Dists!$B2:$X2)*SUM(Capacity!$DI$3:$DI$25/TRANSPOSE(Dists!$B2:$X2))))</f>
        <v>0.0540078772625382</v>
      </c>
      <c r="BV3" s="4" t="n">
        <f aca="false" t="array" ref="BV3:BV3">SUM(Capacity!CP3*Demand!BV3*Capacity!$DI$3:$DI$25/(TRANSPOSE(Dists!$B2:$X2)*SUM(Capacity!$DI$3:$DI$25/TRANSPOSE(Dists!$B2:$X2))))</f>
        <v>0.00540078772625381</v>
      </c>
      <c r="BW3" s="4" t="n">
        <f aca="false">E31*2*8.34/6</f>
        <v>387.575752791514</v>
      </c>
      <c r="BX3" s="4" t="n">
        <f aca="false" t="array" ref="BX3:BX3">SUM(Capacity!CR3*Demand!BX3*Capacity!$DI$3:$DI$25/(TRANSPOSE(Dists!$B2:$X2)*SUM(Capacity!$DI$3:$DI$25/TRANSPOSE(Dists!$B2:$X2))))</f>
        <v>0.715997556307741</v>
      </c>
      <c r="BY3" s="4" t="n">
        <f aca="false" t="array" ref="BY3:BY3">SUM(Capacity!CS3*Demand!BY3*Capacity!$DI$3:$DI$25/(TRANSPOSE(Dists!$B2:$X2)*SUM(Capacity!$DI$3:$DI$25/TRANSPOSE(Dists!$B2:$X2))))</f>
        <v>64.846040620073</v>
      </c>
      <c r="BZ3" s="4" t="n">
        <f aca="false" t="array" ref="BZ3:BZ3">SUM(Capacity!CT3*Demand!BZ3*Capacity!$DI$3:$DI$25/(TRANSPOSE(Dists!$B2:$X2)*SUM(Capacity!$DI$3:$DI$25/TRANSPOSE(Dists!$B2:$X2))))</f>
        <v>0.378386109665889</v>
      </c>
      <c r="CA3" s="4" t="n">
        <f aca="false" t="array" ref="CA3:CA3">SUM(Capacity!CU3*Demand!CA3*Capacity!$DI$3:$DI$25/(TRANSPOSE(Dists!$B2:$X2)*SUM(Capacity!$DI$3:$DI$25/TRANSPOSE(Dists!$B2:$X2))))</f>
        <v>0.146254594727128</v>
      </c>
      <c r="CB3" s="4" t="n">
        <f aca="false" t="array" ref="CB3:CB3">SUM(Capacity!CV3*Demand!CB3*Capacity!$DI$3:$DI$25/(TRANSPOSE(Dists!$B2:$X2)*SUM(Capacity!$DI$3:$DI$25/TRANSPOSE(Dists!$B2:$X2))))</f>
        <v>120.679830237606</v>
      </c>
      <c r="CC3" s="4" t="n">
        <f aca="false" t="array" ref="CC3:CC3">SUM(Capacity!CW3*Demand!CC3*Capacity!$DI$3:$DI$25/(TRANSPOSE(Dists!$B2:$X2)*SUM(Capacity!$DI$3:$DI$25/TRANSPOSE(Dists!$B2:$X2))))</f>
        <v>594.858437313414</v>
      </c>
      <c r="CD3" s="4" t="n">
        <f aca="false">SUM($BG31,$BI31,$BK31)*Capacity!CX3/SUM(Capacity!$AM3:$AN3,Capacity!$CX3)</f>
        <v>11.6752889769979</v>
      </c>
      <c r="CE3" s="4" t="n">
        <f aca="false" t="array" ref="CE3:CE3">SUM(Capacity!CY3*Demand!CE3*Capacity!$DI$3:$DI$25/(TRANSPOSE(Dists!$B2:$X2)*SUM(Capacity!$DI$3:$DI$25/TRANSPOSE(Dists!$B2:$X2))))</f>
        <v>0.719221815586148</v>
      </c>
      <c r="CF3" s="4" t="n">
        <f aca="false" t="array" ref="CF3:CF3">SUM(Capacity!CZ3*Demand!CF3*Capacity!$DI$3:$DI$25/(TRANSPOSE(Dists!$B2:$X2)*SUM(Capacity!$DI$3:$DI$25/TRANSPOSE(Dists!$B2:$X2))))</f>
        <v>105.385089852574</v>
      </c>
      <c r="CG3" s="4" t="n">
        <f aca="false" t="array" ref="CG3:CG3">SUM(Capacity!DA3*Demand!CG3*Capacity!$DI$3:$DI$25/(TRANSPOSE(Dists!$B2:$X2)*SUM(Capacity!$DI$3:$DI$25/TRANSPOSE(Dists!$B2:$X2))))</f>
        <v>8.27481301597163E-006</v>
      </c>
      <c r="CH3" s="4" t="n">
        <f aca="false" t="array" ref="CH3:CH3">SUM(Capacity!DB3*Demand!CH3*Capacity!$DI$3:$DI$25/(TRANSPOSE(Dists!$B2:$X2)*SUM(Capacity!$DI$3:$DI$25/TRANSPOSE(Dists!$B2:$X2))))</f>
        <v>4.50931079249573E-005</v>
      </c>
      <c r="CI3" s="4" t="n">
        <f aca="false" t="array" ref="CI3:CI3">SUM(Capacity!DC3*Demand!CI3*Capacity!$DI$3:$DI$25/(TRANSPOSE(Dists!$B2:$X2)*SUM(Capacity!$DI$3:$DI$25/TRANSPOSE(Dists!$B2:$X2))))</f>
        <v>0.0629652326800812</v>
      </c>
      <c r="CJ3" s="4" t="n">
        <f aca="false" t="array" ref="CJ3:CJ3">SUM(Capacity!DD3*Demand!CJ3*Capacity!$DI$3:$DI$25/(TRANSPOSE(Dists!$B2:$X2)*SUM(Capacity!$DI$3:$DI$25/TRANSPOSE(Dists!$B2:$X2))))</f>
        <v>0.0154509830334317</v>
      </c>
      <c r="CK3" s="4" t="n">
        <f aca="false" t="array" ref="CK3:CK3">SUM(Capacity!DE3*Demand!CK3*Capacity!$DI$3:$DI$25/(TRANSPOSE(Dists!$B2:$X2)*SUM(Capacity!$DI$3:$DI$25/TRANSPOSE(Dists!$B2:$X2))))</f>
        <v>1.94012982590109</v>
      </c>
      <c r="CL3" s="7" t="s">
        <v>320</v>
      </c>
    </row>
    <row r="4" customFormat="false" ht="12.8" hidden="false" customHeight="false" outlineLevel="0" collapsed="false">
      <c r="A4" s="4" t="s">
        <v>133</v>
      </c>
      <c r="B4" s="7" t="s">
        <v>39</v>
      </c>
      <c r="C4" s="4" t="n">
        <f aca="false" t="array" ref="C4:C4">SUM(Capacity!S4*Demand!C4*Capacity!$DH$3:$DH$25/(TRANSPOSE(Dists!$B3:$X3)*SUM(Capacity!$DH$3:$DH$25/TRANSPOSE(Dists!$B3:$X3))))</f>
        <v>0.00800769210470569</v>
      </c>
      <c r="D4" s="4" t="n">
        <f aca="false" t="array" ref="D4:D4">SUM(Capacity!V4*Demand!D4*Capacity!$DH$3:$DH$25/(TRANSPOSE(Dists!$B3:$X3)*SUM(Capacity!$DH$3:$DH$25/TRANSPOSE(Dists!$B3:$X3))))</f>
        <v>483.126015123546</v>
      </c>
      <c r="E4" s="4" t="n">
        <f aca="false" t="array" ref="E4:E4">SUM(Capacity!Y4*Demand!E4*Capacity!$DH$3:$DH$25/(TRANSPOSE(Dists!$B3:$X3)*SUM(Capacity!$DH$3:$DH$25/TRANSPOSE(Dists!$B3:$X3))))</f>
        <v>319.423595079148</v>
      </c>
      <c r="F4" s="4" t="n">
        <f aca="false">$E4*Capacity!$M4/(2*(1-Capacity!$H$28)*Capacity!$H4)</f>
        <v>164.329839506618</v>
      </c>
      <c r="G4" s="4" t="n">
        <f aca="false" t="array" ref="G4:G4">SUM(Capacity!AA4*Demand!G4*Capacity!$DH$3:$DH$25/(TRANSPOSE(Dists!$B3:$X3)*SUM(Capacity!$DH$3:$DH$25/TRANSPOSE(Dists!$B3:$X3))))</f>
        <v>87.6290439474378</v>
      </c>
      <c r="H4" s="4" t="n">
        <f aca="false" t="array" ref="H4:H4">SUM(Capacity!AB4*Demand!H4*Capacity!$DH$3:$DH$25/(TRANSPOSE(Dists!$B3:$X3)*SUM(Capacity!$DH$3:$DH$25/TRANSPOSE(Dists!$B3:$X3))))</f>
        <v>0.0505884673781418</v>
      </c>
      <c r="I4" s="4" t="n">
        <f aca="false" t="array" ref="I4:I4">SUM(Capacity!AC4*Demand!I$3:I$25*Capacity!$DG$3:$DG$25/(TRANSPOSE(Dists!$B3:$X3)*SUM(Capacity!$DG$3:$DG$25/TRANSPOSE(Dists!$B3:$X3))))</f>
        <v>3.56314715412622</v>
      </c>
      <c r="J4" s="4" t="n">
        <f aca="false" t="array" ref="J4:J4">SUM(Capacity!AD4*Demand!J$3:J$25*Capacity!$DG$3:$DG$25/(TRANSPOSE(Dists!$B3:$X3)*SUM(Capacity!$DG$3:$DG$25/TRANSPOSE(Dists!$B3:$X3))))</f>
        <v>3.49435341587378</v>
      </c>
      <c r="K4" s="4" t="n">
        <f aca="false">5479.45205479452*$R4</f>
        <v>595656.313278318</v>
      </c>
      <c r="L4" s="4" t="n">
        <f aca="false">17142.8571428571*$S4</f>
        <v>95089.4012129015</v>
      </c>
      <c r="M4" s="4" t="n">
        <f aca="false">IF(50420.1680672269*$T4&gt;($K4/20),50420.1680672269*$T4-($K4/20),0)</f>
        <v>126528.528795649</v>
      </c>
      <c r="N4" s="4" t="n">
        <f aca="false" t="array" ref="N4:N4">SUM(Capacity!AH4*Demand!N4*Capacity!$DH$3:$DH$25/(TRANSPOSE(Dists!$B3:$X3)*SUM(Capacity!$DH$3:$DH$25/TRANSPOSE(Dists!$B3:$X3))))</f>
        <v>180.796117451946</v>
      </c>
      <c r="O4" s="4" t="n">
        <f aca="false">D32/0.8</f>
        <v>959.470244483464</v>
      </c>
      <c r="P4" s="4" t="n">
        <f aca="false">O4/0.8</f>
        <v>1199.33780560433</v>
      </c>
      <c r="Q4" s="4" t="n">
        <f aca="false" t="array" ref="Q4:Q4">SUM(Capacity!AK4*Demand!Q4*Capacity!$DI$3:$DI$25/(TRANSPOSE(Dists!$B3:$X3)*SUM(Capacity!$DI$3:$DI$25/TRANSPOSE(Dists!$B3:$X3))))</f>
        <v>3.77682750190341</v>
      </c>
      <c r="R4" s="4" t="n">
        <f aca="false" t="array" ref="R4:R4">SUM(Capacity!AL4*Demand!R4*Capacity!$DH$3:$DH$25/(TRANSPOSE(Dists!$B3:$X3)*SUM(Capacity!$DH$3:$DH$25/TRANSPOSE(Dists!$B3:$X3))))</f>
        <v>108.707277173293</v>
      </c>
      <c r="S4" s="4" t="n">
        <f aca="false">SUM($BG32,$BI32,$BK32)*Capacity!AM4/SUM(Capacity!$AM4:$AN4,Capacity!$CX4)</f>
        <v>5.54688173741927</v>
      </c>
      <c r="T4" s="4" t="n">
        <f aca="false">SUM($BG32,$BI32,$BK32)*Capacity!AN4/SUM(Capacity!$AM4:$AN4,Capacity!$CX4)</f>
        <v>3.10017499844803</v>
      </c>
      <c r="U4" s="4" t="n">
        <f aca="false">$M4*120*2/(16*1000*2000)</f>
        <v>0.948963965967364</v>
      </c>
      <c r="V4" s="4" t="n">
        <f aca="false" t="array" ref="V4:V4">SUM(Capacity!AP4*Demand!V$3:V$25*Capacity!$DH$3:$DH$25/(TRANSPOSE(Dists!$B3:$X3)*SUM(Capacity!$DH$3:$DH$25/TRANSPOSE(Dists!$B3:$X3))))</f>
        <v>53.560321132995</v>
      </c>
      <c r="W4" s="4" t="n">
        <f aca="false" t="array" ref="W4:W4">SUM(Capacity!AQ4*Demand!W$3:W$25*Capacity!$DH$3:$DH$25/(TRANSPOSE(Dists!$B3:$X3)*SUM(Capacity!$DH$3:$DH$25/TRANSPOSE(Dists!$B3:$X3))))</f>
        <v>201.059873081581</v>
      </c>
      <c r="X4" s="4" t="n">
        <f aca="false" t="array" ref="X4:X4">SUM(Capacity!AR4*Demand!X$3:X$25*Capacity!$DH$3:$DH$25/(TRANSPOSE(Dists!$B3:$X3)*SUM(Capacity!$DH$3:$DH$25/TRANSPOSE(Dists!$B3:$X3))))</f>
        <v>641.311230496163</v>
      </c>
      <c r="Y4" s="4" t="n">
        <f aca="false">$L4*600*6/(90*1000*2000)</f>
        <v>1.90178802425803</v>
      </c>
      <c r="Z4" s="4" t="n">
        <f aca="false" t="array" ref="Z4:Z4">SUM(Capacity!AT4*Demand!Z$3:Z$25*Capacity!$DI$3:$DI$25/(TRANSPOSE(Dists!$B3:$X3)*SUM(Capacity!$DI$3:$DI$25/TRANSPOSE(Dists!$B3:$X3))))</f>
        <v>0.861073822756806</v>
      </c>
      <c r="AA4" s="4" t="n">
        <f aca="false" t="array" ref="AA4:AA4">SUM(Capacity!AU4*Demand!AA$3:AA$25*Capacity!$DI$3:$DI$25/(TRANSPOSE(Dists!$B3:$X3)*SUM(Capacity!$DI$3:$DI$25/TRANSPOSE(Dists!$B3:$X3))))</f>
        <v>8.71743770584046</v>
      </c>
      <c r="AB4" s="4" t="n">
        <f aca="false" t="array" ref="AB4:AB4">SUM(Capacity!AV4*Demand!AB$3:AB$25*Capacity!$DI$3:$DI$25/(TRANSPOSE(Dists!$B3:$X3)*SUM(Capacity!$DI$3:$DI$25/TRANSPOSE(Dists!$B3:$X3))))</f>
        <v>10.4398796782034</v>
      </c>
      <c r="AC4" s="4" t="n">
        <f aca="false" t="array" ref="AC4:AC4">SUM(Capacity!AW4*Demand!AC$3:AC$25*Capacity!$DI$3:$DI$25/(TRANSPOSE(Dists!$B3:$X3)*SUM(Capacity!$DI$3:$DI$25/TRANSPOSE(Dists!$B3:$X3))))</f>
        <v>3.63436315661149</v>
      </c>
      <c r="AD4" s="4" t="n">
        <f aca="false" t="array" ref="AD4:AD4">SUM(Capacity!AX4*Demand!AD$3:AD$25*Capacity!$DI$3:$DI$25/(TRANSPOSE(Dists!$B3:$X3)*SUM(Capacity!$DI$3:$DI$25/TRANSPOSE(Dists!$B3:$X3))))</f>
        <v>1.7091196131212</v>
      </c>
      <c r="AE4" s="4" t="n">
        <f aca="false" t="array" ref="AE4:AE4">SUM(Capacity!AY4*Demand!AE$3:AE$25*Capacity!$DI$3:$DI$25/(TRANSPOSE(Dists!$B3:$X3)*SUM(Capacity!$DI$3:$DI$25/TRANSPOSE(Dists!$B3:$X3))))</f>
        <v>1.40261820036911</v>
      </c>
      <c r="AF4" s="4" t="n">
        <f aca="false" t="array" ref="AF4:AF4">SUM(Capacity!AZ4*Demand!AF$3:AF$25*Capacity!$DI$3:$DI$25/(TRANSPOSE(Dists!$B3:$X3)*SUM(Capacity!$DI$3:$DI$25/TRANSPOSE(Dists!$B3:$X3))))</f>
        <v>0.290732431220859</v>
      </c>
      <c r="AG4" s="4" t="n">
        <f aca="false" t="array" ref="AG4:AG4">SUM(Capacity!BA4*Demand!AG$3:AG$25*Capacity!$DI$3:$DI$25/(TRANSPOSE(Dists!$B3:$X3)*SUM(Capacity!$DI$3:$DI$25/TRANSPOSE(Dists!$B3:$X3))))</f>
        <v>1.1857142771957</v>
      </c>
      <c r="AH4" s="4" t="n">
        <f aca="false" t="array" ref="AH4:AH4">SUM(Capacity!BB4*Demand!AH$3:AH$25*Capacity!$DI$3:$DI$25/(TRANSPOSE(Dists!$B3:$X3)*SUM(Capacity!$DI$3:$DI$25/TRANSPOSE(Dists!$B3:$X3))))</f>
        <v>1.02175893883848</v>
      </c>
      <c r="AI4" s="4" t="n">
        <f aca="false" t="array" ref="AI4:AI4">SUM(Capacity!BC4*Demand!AI$3:AI$25*Capacity!$DI$3:$DI$25/(TRANSPOSE(Dists!$B3:$X3)*SUM(Capacity!$DI$3:$DI$25/TRANSPOSE(Dists!$B3:$X3))))</f>
        <v>0.17701899233886</v>
      </c>
      <c r="AJ4" s="4" t="n">
        <f aca="false" t="array" ref="AJ4:AJ4">SUM(Capacity!BD4*Demand!AJ$3:AJ$25*Capacity!$DI$3:$DI$25/(TRANSPOSE(Dists!$B3:$X3)*SUM(Capacity!$DI$3:$DI$25/TRANSPOSE(Dists!$B3:$X3))))</f>
        <v>0.401866163212822</v>
      </c>
      <c r="AK4" s="4" t="n">
        <f aca="false" t="array" ref="AK4:AK4">SUM(Capacity!BE4*Demand!AK$3:AK$25*Capacity!$DI$3:$DI$25/(TRANSPOSE(Dists!$B3:$X3)*SUM(Capacity!$DI$3:$DI$25/TRANSPOSE(Dists!$B3:$X3))))</f>
        <v>0.219581321463674</v>
      </c>
      <c r="AL4" s="4" t="n">
        <f aca="false" t="array" ref="AL4:AL4">SUM(Capacity!BF4*Demand!AL$3:AL$25*Capacity!$DI$3:$DI$25/(TRANSPOSE(Dists!$B3:$X3)*SUM(Capacity!$DI$3:$DI$25/TRANSPOSE(Dists!$B3:$X3))))</f>
        <v>0.17532250701743</v>
      </c>
      <c r="AM4" s="4" t="n">
        <f aca="false" t="array" ref="AM4:AM4">SUM(Capacity!BG4*Demand!AM$3:AM$25*Capacity!$DI$3:$DI$25/(TRANSPOSE(Dists!$B3:$X3)*SUM(Capacity!$DI$3:$DI$25/TRANSPOSE(Dists!$B3:$X3))))</f>
        <v>0.449538824033181</v>
      </c>
      <c r="AN4" s="4" t="n">
        <f aca="false" t="array" ref="AN4:AN4">SUM(Capacity!BH4*Demand!AN$3:AN$25*Capacity!$DI$3:$DI$25/(TRANSPOSE(Dists!$B3:$X3)*SUM(Capacity!$DI$3:$DI$25/TRANSPOSE(Dists!$B3:$X3))))</f>
        <v>0.250280292081377</v>
      </c>
      <c r="AO4" s="4" t="n">
        <f aca="false" t="array" ref="AO4:AO4">SUM(Capacity!BI4*Demand!AO$3:AO$25*Capacity!$DI$3:$DI$25/(TRANSPOSE(Dists!$B3:$X3)*SUM(Capacity!$DI$3:$DI$25/TRANSPOSE(Dists!$B3:$X3))))</f>
        <v>0.709275301171988</v>
      </c>
      <c r="AP4" s="4" t="n">
        <f aca="false" t="array" ref="AP4:AP4">SUM(Capacity!BJ4*Demand!AP$3:AP$25*Capacity!$DI$3:$DI$25/(TRANSPOSE(Dists!$B3:$X3)*SUM(Capacity!$DI$3:$DI$25/TRANSPOSE(Dists!$B3:$X3))))</f>
        <v>0.419824370611689</v>
      </c>
      <c r="AQ4" s="4" t="n">
        <f aca="false" t="array" ref="AQ4:AQ4">SUM(Capacity!BK4*Demand!AQ$3:AQ$25*Capacity!$DI$3:$DI$25/(TRANSPOSE(Dists!$B3:$X3)*SUM(Capacity!$DI$3:$DI$25/TRANSPOSE(Dists!$B3:$X3))))</f>
        <v>0.0358346209544482</v>
      </c>
      <c r="AR4" s="4" t="n">
        <f aca="false" t="array" ref="AR4:AR4">SUM(Capacity!BL4*Demand!AR$3:AR$25*Capacity!$DI$3:$DI$25/(TRANSPOSE(Dists!$B3:$X3)*SUM(Capacity!$DI$3:$DI$25/TRANSPOSE(Dists!$B3:$X3))))</f>
        <v>0.0693800286330868</v>
      </c>
      <c r="AS4" s="4" t="n">
        <f aca="false" t="array" ref="AS4:AS4">SUM(Capacity!BM4*Demand!AS$3:AS$25*Capacity!$DI$3:$DI$25/(TRANSPOSE(Dists!$B3:$X3)*SUM(Capacity!$DI$3:$DI$25/TRANSPOSE(Dists!$B3:$X3))))</f>
        <v>0.131969437376825</v>
      </c>
      <c r="AT4" s="4" t="n">
        <f aca="false" t="array" ref="AT4:AT4">SUM(Capacity!BN4*Demand!AT$3:AT$25*Capacity!$DI$3:$DI$25/(TRANSPOSE(Dists!$B3:$X3)*SUM(Capacity!$DI$3:$DI$25/TRANSPOSE(Dists!$B3:$X3))))</f>
        <v>1.57001339831932</v>
      </c>
      <c r="AU4" s="4" t="n">
        <f aca="false" t="array" ref="AU4:AU4">SUM(Capacity!BO4*Demand!AU$3:AU$25*Capacity!$DI$3:$DI$25/(TRANSPOSE(Dists!$B3:$X3)*SUM(Capacity!$DI$3:$DI$25/TRANSPOSE(Dists!$B3:$X3))))</f>
        <v>0.800271221766715</v>
      </c>
      <c r="AV4" s="4" t="n">
        <f aca="false" t="array" ref="AV4:AV4">SUM(Capacity!BP4*Demand!AV$3:AV$25*Capacity!$DI$3:$DI$25/(TRANSPOSE(Dists!$B3:$X3)*SUM(Capacity!$DI$3:$DI$25/TRANSPOSE(Dists!$B3:$X3))))</f>
        <v>0.0543002432656624</v>
      </c>
      <c r="AW4" s="4" t="n">
        <f aca="false" t="array" ref="AW4:AW4">SUM(Capacity!BQ4*Demand!AW$3:AW$25*Capacity!$DI$3:$DI$25/(TRANSPOSE(Dists!$B3:$X3)*SUM(Capacity!$DI$3:$DI$25/TRANSPOSE(Dists!$B3:$X3))))</f>
        <v>1.99655016737656</v>
      </c>
      <c r="AX4" s="4" t="n">
        <f aca="false" t="array" ref="AX4:AX4">SUM(Capacity!BR4*Demand!AX$3:AX$25*Capacity!$DI$3:$DI$25/(TRANSPOSE(Dists!$B3:$X3)*SUM(Capacity!$DI$3:$DI$25/TRANSPOSE(Dists!$B3:$X3))))</f>
        <v>0.227054478449776</v>
      </c>
      <c r="AY4" s="4" t="n">
        <f aca="false" t="array" ref="AY4:AY4">SUM(Capacity!BS4*Demand!AY$3:AY$25*Capacity!$DI$3:$DI$25/(TRANSPOSE(Dists!$B3:$X3)*SUM(Capacity!$DI$3:$DI$25/TRANSPOSE(Dists!$B3:$X3))))</f>
        <v>0.115599035065271</v>
      </c>
      <c r="AZ4" s="4" t="n">
        <f aca="false" t="array" ref="AZ4:AZ4">SUM(Capacity!BT4*Demand!AZ$3:AZ$25*Capacity!$DI$3:$DI$25/(TRANSPOSE(Dists!$B3:$X3)*SUM(Capacity!$DI$3:$DI$25/TRANSPOSE(Dists!$B3:$X3))))</f>
        <v>0.813410592972689</v>
      </c>
      <c r="BA4" s="4" t="n">
        <f aca="false">L4*25/(2000*1000*51)</f>
        <v>0.0233062257874759</v>
      </c>
      <c r="BB4" s="4" t="n">
        <f aca="false" t="array" ref="BB4:BB4">SUM(Capacity!BV4*Demand!BB$3:BB$25*Capacity!$DI$3:$DI$25/(TRANSPOSE(Dists!$B3:$X3)*SUM(Capacity!$DI$3:$DI$25/TRANSPOSE(Dists!$B3:$X3))))</f>
        <v>0.120074264108129</v>
      </c>
      <c r="BC4" s="4" t="n">
        <f aca="false" t="array" ref="BC4:BC4">SUM(Capacity!BW4*Demand!BC$3:BC$25*Capacity!$DI$3:$DI$25/(TRANSPOSE(Dists!$B3:$X3)*SUM(Capacity!$DI$3:$DI$25/TRANSPOSE(Dists!$B3:$X3))))</f>
        <v>0.0861988869591284</v>
      </c>
      <c r="BD4" s="4" t="n">
        <f aca="false" t="array" ref="BD4:BD4">SUM(Capacity!BX4*Demand!BD$3:BD$25*Capacity!$DI$3:$DI$25/(TRANSPOSE(Dists!$B3:$X3)*SUM(Capacity!$DI$3:$DI$25/TRANSPOSE(Dists!$B3:$X3))))</f>
        <v>0.0555552027244174</v>
      </c>
      <c r="BE4" s="4" t="n">
        <f aca="false" t="array" ref="BE4:BE4">SUM(Capacity!BY4*Demand!BE$3:BE$25*Capacity!$DI$3:$DI$25/(TRANSPOSE(Dists!$B3:$X3)*SUM(Capacity!$DI$3:$DI$25/TRANSPOSE(Dists!$B3:$X3))))</f>
        <v>0.0337819248895844</v>
      </c>
      <c r="BF4" s="4" t="n">
        <f aca="false" t="array" ref="BF4:BF4">SUM(Capacity!BZ4*Demand!BF$3:BF$25*Capacity!$DI$3:$DI$25/(TRANSPOSE(Dists!$B3:$X3)*SUM(Capacity!$DI$3:$DI$25/TRANSPOSE(Dists!$B3:$X3))))</f>
        <v>2.91686024478481</v>
      </c>
      <c r="BG4" s="4" t="n">
        <f aca="false" t="array" ref="BG4:BG4">SUM(Capacity!CA4*Demand!BG$3:BG$25*Capacity!$DI$3:$DI$25/(TRANSPOSE(Dists!$B3:$X3)*SUM(Capacity!$DI$3:$DI$25/TRANSPOSE(Dists!$B3:$X3))))</f>
        <v>7.92460985764015</v>
      </c>
      <c r="BH4" s="4" t="n">
        <f aca="false" t="array" ref="BH4:BH4">SUM(Capacity!CB4*Demand!BH$3:BH$25*Capacity!$DI$3:$DI$25/(TRANSPOSE(Dists!$B3:$X3)*SUM(Capacity!$DI$3:$DI$25/TRANSPOSE(Dists!$B3:$X3))))</f>
        <v>0.00191018560777402</v>
      </c>
      <c r="BI4" s="4" t="n">
        <f aca="false" t="array" ref="BI4:BI4">SUM(Capacity!CC4*Demand!BI4*Capacity!$DI$3:$DI$25/(TRANSPOSE(Dists!$B3:$X3)*SUM(Capacity!$DI$3:$DI$25/TRANSPOSE(Dists!$B3:$X3))))</f>
        <v>21.2393042297113</v>
      </c>
      <c r="BJ4" s="4" t="n">
        <f aca="false" t="array" ref="BJ4:BJ4">SUM(Capacity!CD4*Demand!BJ4*Capacity!$DI$3:$DI$25/(TRANSPOSE(Dists!$B3:$X3)*SUM(Capacity!$DI$3:$DI$25/TRANSPOSE(Dists!$B3:$X3))))</f>
        <v>1007.64483399283</v>
      </c>
      <c r="BK4" s="4" t="n">
        <f aca="false" t="array" ref="BK4:BK4">SUM(Capacity!CE4*Demand!BK4*Capacity!$DI$3:$DI$25/(TRANSPOSE(Dists!$B3:$X3)*SUM(Capacity!$DI$3:$DI$25/TRANSPOSE(Dists!$B3:$X3))))</f>
        <v>10.6196521148556</v>
      </c>
      <c r="BL4" s="4" t="n">
        <f aca="false" t="array" ref="BL4:BL4">SUM(Capacity!CF4*Demand!BL4*Capacity!$DI$3:$DI$25/(TRANSPOSE(Dists!$B3:$X3)*SUM(Capacity!$DI$3:$DI$25/TRANSPOSE(Dists!$B3:$X3))))</f>
        <v>343.865437382422</v>
      </c>
      <c r="BM4" s="4" t="n">
        <f aca="false" t="array" ref="BM4:BM4">SUM(Capacity!CG4*Demand!BM4*Capacity!$DI$3:$DI$25/(TRANSPOSE(Dists!$B3:$X3)*SUM(Capacity!$DI$3:$DI$25/TRANSPOSE(Dists!$B3:$X3))))</f>
        <v>14.6352468072024</v>
      </c>
      <c r="BN4" s="4" t="n">
        <f aca="false">MAX($BO4/0.006,$BP4/0.7,$BR4/0.002,$BS4/0.001)</f>
        <v>1089.2043830494</v>
      </c>
      <c r="BO4" s="4" t="n">
        <f aca="false" t="array" ref="BO4:BO4">SUM(Capacity!CI4*Demand!BO4*Capacity!$DI$3:$DI$25/(TRANSPOSE(Dists!$B3:$X3)*SUM(Capacity!$DI$3:$DI$25/TRANSPOSE(Dists!$B3:$X3))))</f>
        <v>6.53522629829637</v>
      </c>
      <c r="BP4" s="4" t="n">
        <f aca="false" t="array" ref="BP4:BP4">SUM(Capacity!CJ4*Demand!BP4*Capacity!$DI$3:$DI$25/(TRANSPOSE(Dists!$B3:$X3)*SUM(Capacity!$DI$3:$DI$25/TRANSPOSE(Dists!$B3:$X3))))</f>
        <v>10.8104649585906</v>
      </c>
      <c r="BQ4" s="4" t="n">
        <f aca="false">BN4*0.65</f>
        <v>707.982848982107</v>
      </c>
      <c r="BR4" s="4" t="n">
        <f aca="false" t="array" ref="BR4:BR4">SUM(Capacity!CL4*Demand!BR4*Capacity!$DI$3:$DI$25/(TRANSPOSE(Dists!$B3:$X3)*SUM(Capacity!$DI$3:$DI$25/TRANSPOSE(Dists!$B3:$X3))))</f>
        <v>0.217840876609879</v>
      </c>
      <c r="BS4" s="4" t="n">
        <f aca="false" t="array" ref="BS4:BS4">SUM(Capacity!CM4*Demand!BS4*Capacity!$DI$3:$DI$25/(TRANSPOSE(Dists!$B3:$X3)*SUM(Capacity!$DI$3:$DI$25/TRANSPOSE(Dists!$B3:$X3))))</f>
        <v>0.0217840828641379</v>
      </c>
      <c r="BT4" s="4" t="n">
        <f aca="false" t="array" ref="BT4:BT4">SUM(Capacity!CN4*Demand!BT4*Capacity!$DI$3:$DI$25/(TRANSPOSE(Dists!$B3:$X3)*SUM(Capacity!$DI$3:$DI$25/TRANSPOSE(Dists!$B3:$X3))))</f>
        <v>1.76081275794309</v>
      </c>
      <c r="BU4" s="4" t="n">
        <f aca="false" t="array" ref="BU4:BU4">SUM(Capacity!CO4*Demand!BU4*Capacity!$DI$3:$DI$25/(TRANSPOSE(Dists!$B3:$X3)*SUM(Capacity!$DI$3:$DI$25/TRANSPOSE(Dists!$B3:$X3))))</f>
        <v>0.176081275794309</v>
      </c>
      <c r="BV4" s="4" t="n">
        <f aca="false" t="array" ref="BV4:BV4">SUM(Capacity!CP4*Demand!BV4*Capacity!$DI$3:$DI$25/(TRANSPOSE(Dists!$B3:$X3)*SUM(Capacity!$DI$3:$DI$25/TRANSPOSE(Dists!$B3:$X3))))</f>
        <v>0.0176081275794309</v>
      </c>
      <c r="BW4" s="4" t="n">
        <f aca="false">E32*2*8.34/6</f>
        <v>824.356612621646</v>
      </c>
      <c r="BX4" s="4" t="n">
        <f aca="false" t="array" ref="BX4:BX4">SUM(Capacity!CR4*Demand!BX4*Capacity!$DI$3:$DI$25/(TRANSPOSE(Dists!$B3:$X3)*SUM(Capacity!$DI$3:$DI$25/TRANSPOSE(Dists!$B3:$X3))))</f>
        <v>2.71883882074367</v>
      </c>
      <c r="BY4" s="4" t="n">
        <f aca="false" t="array" ref="BY4:BY4">SUM(Capacity!CS4*Demand!BY4*Capacity!$DI$3:$DI$25/(TRANSPOSE(Dists!$B3:$X3)*SUM(Capacity!$DI$3:$DI$25/TRANSPOSE(Dists!$B3:$X3))))</f>
        <v>40.6282204667409</v>
      </c>
      <c r="BZ4" s="4" t="n">
        <f aca="false" t="array" ref="BZ4:BZ4">SUM(Capacity!CT4*Demand!BZ4*Capacity!$DI$3:$DI$25/(TRANSPOSE(Dists!$B3:$X3)*SUM(Capacity!$DI$3:$DI$25/TRANSPOSE(Dists!$B3:$X3))))</f>
        <v>0.909013661170444</v>
      </c>
      <c r="CA4" s="4" t="n">
        <f aca="false" t="array" ref="CA4:CA4">SUM(Capacity!CU4*Demand!CA4*Capacity!$DI$3:$DI$25/(TRANSPOSE(Dists!$B3:$X3)*SUM(Capacity!$DI$3:$DI$25/TRANSPOSE(Dists!$B3:$X3))))</f>
        <v>0.220233146020716</v>
      </c>
      <c r="CB4" s="4" t="n">
        <f aca="false" t="array" ref="CB4:CB4">SUM(Capacity!CV4*Demand!CB4*Capacity!$DI$3:$DI$25/(TRANSPOSE(Dists!$B3:$X3)*SUM(Capacity!$DI$3:$DI$25/TRANSPOSE(Dists!$B3:$X3))))</f>
        <v>70.667890034783</v>
      </c>
      <c r="CC4" s="4" t="n">
        <f aca="false" t="array" ref="CC4:CC4">SUM(Capacity!CW4*Demand!CC4*Capacity!$DI$3:$DI$25/(TRANSPOSE(Dists!$B3:$X3)*SUM(Capacity!$DI$3:$DI$25/TRANSPOSE(Dists!$B3:$X3))))</f>
        <v>4.03219856334267</v>
      </c>
      <c r="CD4" s="4" t="n">
        <f aca="false">SUM($BG32,$BI32,$BK32)*Capacity!CX4/SUM(Capacity!$AM4:$AN4,Capacity!$CX4)</f>
        <v>36.4433887598622</v>
      </c>
      <c r="CE4" s="4" t="n">
        <f aca="false" t="array" ref="CE4:CE4">SUM(Capacity!CY4*Demand!CE4*Capacity!$DI$3:$DI$25/(TRANSPOSE(Dists!$B3:$X3)*SUM(Capacity!$DI$3:$DI$25/TRANSPOSE(Dists!$B3:$X3))))</f>
        <v>2.65186348444026</v>
      </c>
      <c r="CF4" s="4" t="n">
        <f aca="false" t="array" ref="CF4:CF4">SUM(Capacity!CZ4*Demand!CF4*Capacity!$DI$3:$DI$25/(TRANSPOSE(Dists!$B3:$X3)*SUM(Capacity!$DI$3:$DI$25/TRANSPOSE(Dists!$B3:$X3))))</f>
        <v>1233.34289608944</v>
      </c>
      <c r="CG4" s="4" t="n">
        <f aca="false" t="array" ref="CG4:CG4">SUM(Capacity!DA4*Demand!CG4*Capacity!$DI$3:$DI$25/(TRANSPOSE(Dists!$B3:$X3)*SUM(Capacity!$DI$3:$DI$25/TRANSPOSE(Dists!$B3:$X3))))</f>
        <v>16.5563485539161</v>
      </c>
      <c r="CH4" s="4" t="n">
        <f aca="false" t="array" ref="CH4:CH4">SUM(Capacity!DB4*Demand!CH4*Capacity!$DI$3:$DI$25/(TRANSPOSE(Dists!$B3:$X3)*SUM(Capacity!$DI$3:$DI$25/TRANSPOSE(Dists!$B3:$X3))))</f>
        <v>7.07989544797578</v>
      </c>
      <c r="CI4" s="4" t="n">
        <f aca="false" t="array" ref="CI4:CI4">SUM(Capacity!DC4*Demand!CI4*Capacity!$DI$3:$DI$25/(TRANSPOSE(Dists!$B3:$X3)*SUM(Capacity!$DI$3:$DI$25/TRANSPOSE(Dists!$B3:$X3))))</f>
        <v>0.0578981446272944</v>
      </c>
      <c r="CJ4" s="4" t="n">
        <f aca="false" t="array" ref="CJ4:CJ4">SUM(Capacity!DD4*Demand!CJ4*Capacity!$DI$3:$DI$25/(TRANSPOSE(Dists!$B3:$X3)*SUM(Capacity!$DI$3:$DI$25/TRANSPOSE(Dists!$B3:$X3))))</f>
        <v>0.0144481295234006</v>
      </c>
      <c r="CK4" s="4" t="n">
        <f aca="false" t="array" ref="CK4:CK4">SUM(Capacity!DE4*Demand!CK4*Capacity!$DI$3:$DI$25/(TRANSPOSE(Dists!$B3:$X3)*SUM(Capacity!$DI$3:$DI$25/TRANSPOSE(Dists!$B3:$X3))))</f>
        <v>4.44369424305917</v>
      </c>
      <c r="CL4" s="7" t="s">
        <v>320</v>
      </c>
    </row>
    <row r="5" customFormat="false" ht="12.8" hidden="false" customHeight="false" outlineLevel="0" collapsed="false">
      <c r="A5" s="4" t="s">
        <v>135</v>
      </c>
      <c r="B5" s="7" t="s">
        <v>39</v>
      </c>
      <c r="C5" s="4" t="n">
        <f aca="false" t="array" ref="C5:C5">SUM(Capacity!S5*Demand!C5*Capacity!$DH$3:$DH$25/(TRANSPOSE(Dists!$B4:$X4)*SUM(Capacity!$DH$3:$DH$25/TRANSPOSE(Dists!$B4:$X4))))</f>
        <v>0.0138617200256132</v>
      </c>
      <c r="D5" s="4" t="n">
        <f aca="false" t="array" ref="D5:D5">SUM(Capacity!V5*Demand!D5*Capacity!$DH$3:$DH$25/(TRANSPOSE(Dists!$B4:$X4)*SUM(Capacity!$DH$3:$DH$25/TRANSPOSE(Dists!$B4:$X4))))</f>
        <v>1556.61010390552</v>
      </c>
      <c r="E5" s="4" t="n">
        <f aca="false" t="array" ref="E5:E5">SUM(Capacity!Y5*Demand!E5*Capacity!$DH$3:$DH$25/(TRANSPOSE(Dists!$B4:$X4)*SUM(Capacity!$DH$3:$DH$25/TRANSPOSE(Dists!$B4:$X4))))</f>
        <v>684.946283779273</v>
      </c>
      <c r="F5" s="4" t="n">
        <f aca="false">$E5*Capacity!$M5/(2*(1-Capacity!$H$28)*Capacity!$H5)</f>
        <v>245.640954806028</v>
      </c>
      <c r="G5" s="4" t="n">
        <f aca="false" t="array" ref="G5:G5">SUM(Capacity!AA5*Demand!G5*Capacity!$DH$3:$DH$25/(TRANSPOSE(Dists!$B4:$X4)*SUM(Capacity!$DH$3:$DH$25/TRANSPOSE(Dists!$B4:$X4))))</f>
        <v>1020.35185062394</v>
      </c>
      <c r="H5" s="4" t="n">
        <f aca="false" t="array" ref="H5:H5">SUM(Capacity!AB5*Demand!H5*Capacity!$DH$3:$DH$25/(TRANSPOSE(Dists!$B4:$X4)*SUM(Capacity!$DH$3:$DH$25/TRANSPOSE(Dists!$B4:$X4))))</f>
        <v>4.25584542901808</v>
      </c>
      <c r="I5" s="4" t="n">
        <f aca="false" t="array" ref="I5:I5">SUM(Capacity!AC5*Demand!I$3:I$25*Capacity!$DG$3:$DG$25/(TRANSPOSE(Dists!$B4:$X4)*SUM(Capacity!$DG$3:$DG$25/TRANSPOSE(Dists!$B4:$X4))))</f>
        <v>2.2516444919317</v>
      </c>
      <c r="J5" s="4" t="n">
        <f aca="false" t="array" ref="J5:J5">SUM(Capacity!AD5*Demand!J$3:J$25*Capacity!$DG$3:$DG$25/(TRANSPOSE(Dists!$B4:$X4)*SUM(Capacity!$DG$3:$DG$25/TRANSPOSE(Dists!$B4:$X4))))</f>
        <v>1.3941733380683</v>
      </c>
      <c r="K5" s="4" t="n">
        <f aca="false">5479.45205479452*$R5</f>
        <v>769671.653660856</v>
      </c>
      <c r="L5" s="4" t="n">
        <f aca="false">17142.8571428571*$S5</f>
        <v>115246.102302391</v>
      </c>
      <c r="M5" s="4" t="n">
        <f aca="false">IF(50420.1680672269*$T5&gt;($K5/20),50420.1680672269*$T5-($K5/20),0)</f>
        <v>150962.064937326</v>
      </c>
      <c r="N5" s="4" t="n">
        <f aca="false" t="array" ref="N5:N5">SUM(Capacity!AH5*Demand!N5*Capacity!$DH$3:$DH$25/(TRANSPOSE(Dists!$B4:$X4)*SUM(Capacity!$DH$3:$DH$25/TRANSPOSE(Dists!$B4:$X4))))</f>
        <v>1128.48520888132</v>
      </c>
      <c r="O5" s="4" t="n">
        <f aca="false">D33/0.8</f>
        <v>1990.34552946083</v>
      </c>
      <c r="P5" s="4" t="n">
        <f aca="false">O5/0.8</f>
        <v>2487.93191182604</v>
      </c>
      <c r="Q5" s="4" t="n">
        <f aca="false" t="array" ref="Q5:Q5">SUM(Capacity!AK5*Demand!Q5*Capacity!$DI$3:$DI$25/(TRANSPOSE(Dists!$B4:$X4)*SUM(Capacity!$DI$3:$DI$25/TRANSPOSE(Dists!$B4:$X4))))</f>
        <v>25.3821699226349</v>
      </c>
      <c r="R5" s="4" t="n">
        <f aca="false" t="array" ref="R5:R5">SUM(Capacity!AL5*Demand!R5*Capacity!$DH$3:$DH$25/(TRANSPOSE(Dists!$B4:$X4)*SUM(Capacity!$DH$3:$DH$25/TRANSPOSE(Dists!$B4:$X4))))</f>
        <v>140.465076793106</v>
      </c>
      <c r="S5" s="4" t="n">
        <f aca="false">SUM($BG33,$BI33,$BK33)*Capacity!AM5/SUM(Capacity!$AM5:$AN5,Capacity!$CX5)</f>
        <v>6.72268930097282</v>
      </c>
      <c r="T5" s="4" t="n">
        <f aca="false">SUM($BG33,$BI33,$BK33)*Capacity!AN5/SUM(Capacity!$AM5:$AN5,Capacity!$CX5)</f>
        <v>3.75733867780398</v>
      </c>
      <c r="U5" s="4" t="n">
        <f aca="false">$M5*120*2/(16*1000*2000)</f>
        <v>1.13221548702995</v>
      </c>
      <c r="V5" s="4" t="n">
        <f aca="false" t="array" ref="V5:V5">SUM(Capacity!AP5*Demand!V$3:V$25*Capacity!$DH$3:$DH$25/(TRANSPOSE(Dists!$B4:$X4)*SUM(Capacity!$DH$3:$DH$25/TRANSPOSE(Dists!$B4:$X4))))</f>
        <v>171.71683500002</v>
      </c>
      <c r="W5" s="4" t="n">
        <f aca="false" t="array" ref="W5:W5">SUM(Capacity!AQ5*Demand!W$3:W$25*Capacity!$DH$3:$DH$25/(TRANSPOSE(Dists!$B4:$X4)*SUM(Capacity!$DH$3:$DH$25/TRANSPOSE(Dists!$B4:$X4))))</f>
        <v>987.327533616855</v>
      </c>
      <c r="X5" s="4" t="n">
        <f aca="false" t="array" ref="X5:X5">SUM(Capacity!AR5*Demand!X$3:X$25*Capacity!$DH$3:$DH$25/(TRANSPOSE(Dists!$B4:$X4)*SUM(Capacity!$DH$3:$DH$25/TRANSPOSE(Dists!$B4:$X4))))</f>
        <v>1039.63674579867</v>
      </c>
      <c r="Y5" s="4" t="n">
        <f aca="false">$L5*600*6/(90*1000*2000)</f>
        <v>2.30492204604782</v>
      </c>
      <c r="Z5" s="4" t="n">
        <f aca="false" t="array" ref="Z5:Z5">SUM(Capacity!AT5*Demand!Z$3:Z$25*Capacity!$DI$3:$DI$25/(TRANSPOSE(Dists!$B4:$X4)*SUM(Capacity!$DI$3:$DI$25/TRANSPOSE(Dists!$B4:$X4))))</f>
        <v>113.015406033863</v>
      </c>
      <c r="AA5" s="4" t="n">
        <f aca="false" t="array" ref="AA5:AA5">SUM(Capacity!AU5*Demand!AA$3:AA$25*Capacity!$DI$3:$DI$25/(TRANSPOSE(Dists!$B4:$X4)*SUM(Capacity!$DI$3:$DI$25/TRANSPOSE(Dists!$B4:$X4))))</f>
        <v>54.8733239450623</v>
      </c>
      <c r="AB5" s="4" t="n">
        <f aca="false" t="array" ref="AB5:AB5">SUM(Capacity!AV5*Demand!AB$3:AB$25*Capacity!$DI$3:$DI$25/(TRANSPOSE(Dists!$B4:$X4)*SUM(Capacity!$DI$3:$DI$25/TRANSPOSE(Dists!$B4:$X4))))</f>
        <v>57.1706481767557</v>
      </c>
      <c r="AC5" s="4" t="n">
        <f aca="false" t="array" ref="AC5:AC5">SUM(Capacity!AW5*Demand!AC$3:AC$25*Capacity!$DI$3:$DI$25/(TRANSPOSE(Dists!$B4:$X4)*SUM(Capacity!$DI$3:$DI$25/TRANSPOSE(Dists!$B4:$X4))))</f>
        <v>11.0847502782338</v>
      </c>
      <c r="AD5" s="4" t="n">
        <f aca="false" t="array" ref="AD5:AD5">SUM(Capacity!AX5*Demand!AD$3:AD$25*Capacity!$DI$3:$DI$25/(TRANSPOSE(Dists!$B4:$X4)*SUM(Capacity!$DI$3:$DI$25/TRANSPOSE(Dists!$B4:$X4))))</f>
        <v>9.35944465890243</v>
      </c>
      <c r="AE5" s="4" t="n">
        <f aca="false" t="array" ref="AE5:AE5">SUM(Capacity!AY5*Demand!AE$3:AE$25*Capacity!$DI$3:$DI$25/(TRANSPOSE(Dists!$B4:$X4)*SUM(Capacity!$DI$3:$DI$25/TRANSPOSE(Dists!$B4:$X4))))</f>
        <v>5.91458905110583</v>
      </c>
      <c r="AF5" s="4" t="n">
        <f aca="false" t="array" ref="AF5:AF5">SUM(Capacity!AZ5*Demand!AF$3:AF$25*Capacity!$DI$3:$DI$25/(TRANSPOSE(Dists!$B4:$X4)*SUM(Capacity!$DI$3:$DI$25/TRANSPOSE(Dists!$B4:$X4))))</f>
        <v>0.941416227104095</v>
      </c>
      <c r="AG5" s="4" t="n">
        <f aca="false" t="array" ref="AG5:AG5">SUM(Capacity!BA5*Demand!AG$3:AG$25*Capacity!$DI$3:$DI$25/(TRANSPOSE(Dists!$B4:$X4)*SUM(Capacity!$DI$3:$DI$25/TRANSPOSE(Dists!$B4:$X4))))</f>
        <v>5.04228572250429</v>
      </c>
      <c r="AH5" s="4" t="n">
        <f aca="false" t="array" ref="AH5:AH5">SUM(Capacity!BB5*Demand!AH$3:AH$25*Capacity!$DI$3:$DI$25/(TRANSPOSE(Dists!$B4:$X4)*SUM(Capacity!$DI$3:$DI$25/TRANSPOSE(Dists!$B4:$X4))))</f>
        <v>5.0420639604051</v>
      </c>
      <c r="AI5" s="4" t="n">
        <f aca="false" t="array" ref="AI5:AI5">SUM(Capacity!BC5*Demand!AI$3:AI$25*Capacity!$DI$3:$DI$25/(TRANSPOSE(Dists!$B4:$X4)*SUM(Capacity!$DI$3:$DI$25/TRANSPOSE(Dists!$B4:$X4))))</f>
        <v>0.642428482014392</v>
      </c>
      <c r="AJ5" s="4" t="n">
        <f aca="false" t="array" ref="AJ5:AJ5">SUM(Capacity!BD5*Demand!AJ$3:AJ$25*Capacity!$DI$3:$DI$25/(TRANSPOSE(Dists!$B4:$X4)*SUM(Capacity!$DI$3:$DI$25/TRANSPOSE(Dists!$B4:$X4))))</f>
        <v>1.98097353081651</v>
      </c>
      <c r="AK5" s="4" t="n">
        <f aca="false" t="array" ref="AK5:AK5">SUM(Capacity!BE5*Demand!AK$3:AK$25*Capacity!$DI$3:$DI$25/(TRANSPOSE(Dists!$B4:$X4)*SUM(Capacity!$DI$3:$DI$25/TRANSPOSE(Dists!$B4:$X4))))</f>
        <v>1.12533446881447</v>
      </c>
      <c r="AL5" s="4" t="n">
        <f aca="false" t="array" ref="AL5:AL5">SUM(Capacity!BF5*Demand!AL$3:AL$25*Capacity!$DI$3:$DI$25/(TRANSPOSE(Dists!$B4:$X4)*SUM(Capacity!$DI$3:$DI$25/TRANSPOSE(Dists!$B4:$X4))))</f>
        <v>0.619329954556701</v>
      </c>
      <c r="AM5" s="4" t="n">
        <f aca="false" t="array" ref="AM5:AM5">SUM(Capacity!BG5*Demand!AM$3:AM$25*Capacity!$DI$3:$DI$25/(TRANSPOSE(Dists!$B4:$X4)*SUM(Capacity!$DI$3:$DI$25/TRANSPOSE(Dists!$B4:$X4))))</f>
        <v>1.66325494415258</v>
      </c>
      <c r="AN5" s="4" t="n">
        <f aca="false" t="array" ref="AN5:AN5">SUM(Capacity!BH5*Demand!AN$3:AN$25*Capacity!$DI$3:$DI$25/(TRANSPOSE(Dists!$B4:$X4)*SUM(Capacity!$DI$3:$DI$25/TRANSPOSE(Dists!$B4:$X4))))</f>
        <v>1.18569185565964</v>
      </c>
      <c r="AO5" s="4" t="n">
        <f aca="false" t="array" ref="AO5:AO5">SUM(Capacity!BI5*Demand!AO$3:AO$25*Capacity!$DI$3:$DI$25/(TRANSPOSE(Dists!$B4:$X4)*SUM(Capacity!$DI$3:$DI$25/TRANSPOSE(Dists!$B4:$X4))))</f>
        <v>2.34188921541385</v>
      </c>
      <c r="AP5" s="4" t="n">
        <f aca="false" t="array" ref="AP5:AP5">SUM(Capacity!BJ5*Demand!AP$3:AP$25*Capacity!$DI$3:$DI$25/(TRANSPOSE(Dists!$B4:$X4)*SUM(Capacity!$DI$3:$DI$25/TRANSPOSE(Dists!$B4:$X4))))</f>
        <v>1.95051325439991</v>
      </c>
      <c r="AQ5" s="4" t="n">
        <f aca="false" t="array" ref="AQ5:AQ5">SUM(Capacity!BK5*Demand!AQ$3:AQ$25*Capacity!$DI$3:$DI$25/(TRANSPOSE(Dists!$B4:$X4)*SUM(Capacity!$DI$3:$DI$25/TRANSPOSE(Dists!$B4:$X4))))</f>
        <v>0.15908006728449</v>
      </c>
      <c r="AR5" s="4" t="n">
        <f aca="false" t="array" ref="AR5:AR5">SUM(Capacity!BL5*Demand!AR$3:AR$25*Capacity!$DI$3:$DI$25/(TRANSPOSE(Dists!$B4:$X4)*SUM(Capacity!$DI$3:$DI$25/TRANSPOSE(Dists!$B4:$X4))))</f>
        <v>0.199124772488131</v>
      </c>
      <c r="AS5" s="4" t="n">
        <f aca="false" t="array" ref="AS5:AS5">SUM(Capacity!BM5*Demand!AS$3:AS$25*Capacity!$DI$3:$DI$25/(TRANSPOSE(Dists!$B4:$X4)*SUM(Capacity!$DI$3:$DI$25/TRANSPOSE(Dists!$B4:$X4))))</f>
        <v>0.684548859382228</v>
      </c>
      <c r="AT5" s="4" t="n">
        <f aca="false" t="array" ref="AT5:AT5">SUM(Capacity!BN5*Demand!AT$3:AT$25*Capacity!$DI$3:$DI$25/(TRANSPOSE(Dists!$B4:$X4)*SUM(Capacity!$DI$3:$DI$25/TRANSPOSE(Dists!$B4:$X4))))</f>
        <v>5.38934327452455</v>
      </c>
      <c r="AU5" s="4" t="n">
        <f aca="false" t="array" ref="AU5:AU5">SUM(Capacity!BO5*Demand!AU$3:AU$25*Capacity!$DI$3:$DI$25/(TRANSPOSE(Dists!$B4:$X4)*SUM(Capacity!$DI$3:$DI$25/TRANSPOSE(Dists!$B4:$X4))))</f>
        <v>4.62301927190408</v>
      </c>
      <c r="AV5" s="4" t="n">
        <f aca="false" t="array" ref="AV5:AV5">SUM(Capacity!BP5*Demand!AV$3:AV$25*Capacity!$DI$3:$DI$25/(TRANSPOSE(Dists!$B4:$X4)*SUM(Capacity!$DI$3:$DI$25/TRANSPOSE(Dists!$B4:$X4))))</f>
        <v>0.217601387290461</v>
      </c>
      <c r="AW5" s="4" t="n">
        <f aca="false" t="array" ref="AW5:AW5">SUM(Capacity!BQ5*Demand!AW$3:AW$25*Capacity!$DI$3:$DI$25/(TRANSPOSE(Dists!$B4:$X4)*SUM(Capacity!$DI$3:$DI$25/TRANSPOSE(Dists!$B4:$X4))))</f>
        <v>6.10238479017605</v>
      </c>
      <c r="AX5" s="4" t="n">
        <f aca="false" t="array" ref="AX5:AX5">SUM(Capacity!BR5*Demand!AX$3:AX$25*Capacity!$DI$3:$DI$25/(TRANSPOSE(Dists!$B4:$X4)*SUM(Capacity!$DI$3:$DI$25/TRANSPOSE(Dists!$B4:$X4))))</f>
        <v>0.530132637888311</v>
      </c>
      <c r="AY5" s="4" t="n">
        <f aca="false" t="array" ref="AY5:AY5">SUM(Capacity!BS5*Demand!AY$3:AY$25*Capacity!$DI$3:$DI$25/(TRANSPOSE(Dists!$B4:$X4)*SUM(Capacity!$DI$3:$DI$25/TRANSPOSE(Dists!$B4:$X4))))</f>
        <v>0.705851963165919</v>
      </c>
      <c r="AZ5" s="4" t="n">
        <f aca="false" t="array" ref="AZ5:AZ5">SUM(Capacity!BT5*Demand!AZ$3:AZ$25*Capacity!$DI$3:$DI$25/(TRANSPOSE(Dists!$B4:$X4)*SUM(Capacity!$DI$3:$DI$25/TRANSPOSE(Dists!$B4:$X4))))</f>
        <v>4.62372701288005</v>
      </c>
      <c r="BA5" s="4" t="n">
        <f aca="false">L5*25/(2000*1000*51)</f>
        <v>0.0282465937015664</v>
      </c>
      <c r="BB5" s="4" t="n">
        <f aca="false" t="array" ref="BB5:BB5">SUM(Capacity!BV5*Demand!BB$3:BB$25*Capacity!$DI$3:$DI$25/(TRANSPOSE(Dists!$B4:$X4)*SUM(Capacity!$DI$3:$DI$25/TRANSPOSE(Dists!$B4:$X4))))</f>
        <v>0.698777581820612</v>
      </c>
      <c r="BC5" s="4" t="n">
        <f aca="false" t="array" ref="BC5:BC5">SUM(Capacity!BW5*Demand!BC$3:BC$25*Capacity!$DI$3:$DI$25/(TRANSPOSE(Dists!$B4:$X4)*SUM(Capacity!$DI$3:$DI$25/TRANSPOSE(Dists!$B4:$X4))))</f>
        <v>0.408954481221014</v>
      </c>
      <c r="BD5" s="4" t="n">
        <f aca="false" t="array" ref="BD5:BD5">SUM(Capacity!BX5*Demand!BD$3:BD$25*Capacity!$DI$3:$DI$25/(TRANSPOSE(Dists!$B4:$X4)*SUM(Capacity!$DI$3:$DI$25/TRANSPOSE(Dists!$B4:$X4))))</f>
        <v>0.268279554172119</v>
      </c>
      <c r="BE5" s="4" t="n">
        <f aca="false" t="array" ref="BE5:BE5">SUM(Capacity!BY5*Demand!BE$3:BE$25*Capacity!$DI$3:$DI$25/(TRANSPOSE(Dists!$B4:$X4)*SUM(Capacity!$DI$3:$DI$25/TRANSPOSE(Dists!$B4:$X4))))</f>
        <v>0.171580806786242</v>
      </c>
      <c r="BF5" s="4" t="n">
        <f aca="false" t="array" ref="BF5:BF5">SUM(Capacity!BZ5*Demand!BF$3:BF$25*Capacity!$DI$3:$DI$25/(TRANSPOSE(Dists!$B4:$X4)*SUM(Capacity!$DI$3:$DI$25/TRANSPOSE(Dists!$B4:$X4))))</f>
        <v>6.90378263554532</v>
      </c>
      <c r="BG5" s="4" t="n">
        <f aca="false" t="array" ref="BG5:BG5">SUM(Capacity!CA5*Demand!BG$3:BG$25*Capacity!$DI$3:$DI$25/(TRANSPOSE(Dists!$B4:$X4)*SUM(Capacity!$DI$3:$DI$25/TRANSPOSE(Dists!$B4:$X4))))</f>
        <v>21.9094211429191</v>
      </c>
      <c r="BH5" s="4" t="n">
        <f aca="false" t="array" ref="BH5:BH5">SUM(Capacity!CB5*Demand!BH$3:BH$25*Capacity!$DI$3:$DI$25/(TRANSPOSE(Dists!$B4:$X4)*SUM(Capacity!$DI$3:$DI$25/TRANSPOSE(Dists!$B4:$X4))))</f>
        <v>36.2396309266558</v>
      </c>
      <c r="BI5" s="4" t="n">
        <f aca="false" t="array" ref="BI5:BI5">SUM(Capacity!CC5*Demand!BI5*Capacity!$DI$3:$DI$25/(TRANSPOSE(Dists!$B4:$X4)*SUM(Capacity!$DI$3:$DI$25/TRANSPOSE(Dists!$B4:$X4))))</f>
        <v>40.9126304479555</v>
      </c>
      <c r="BJ5" s="4" t="n">
        <f aca="false" t="array" ref="BJ5:BJ5">SUM(Capacity!CD5*Demand!BJ5*Capacity!$DI$3:$DI$25/(TRANSPOSE(Dists!$B4:$X4)*SUM(Capacity!$DI$3:$DI$25/TRANSPOSE(Dists!$B4:$X4))))</f>
        <v>2060.10672974178</v>
      </c>
      <c r="BK5" s="4" t="n">
        <f aca="false" t="array" ref="BK5:BK5">SUM(Capacity!CE5*Demand!BK5*Capacity!$DI$3:$DI$25/(TRANSPOSE(Dists!$B4:$X4)*SUM(Capacity!$DI$3:$DI$25/TRANSPOSE(Dists!$B4:$X4))))</f>
        <v>20.4563152239777</v>
      </c>
      <c r="BL5" s="4" t="n">
        <f aca="false" t="array" ref="BL5:BL5">SUM(Capacity!CF5*Demand!BL5*Capacity!$DI$3:$DI$25/(TRANSPOSE(Dists!$B4:$X4)*SUM(Capacity!$DI$3:$DI$25/TRANSPOSE(Dists!$B4:$X4))))</f>
        <v>690.196319010879</v>
      </c>
      <c r="BM5" s="4" t="n">
        <f aca="false" t="array" ref="BM5:BM5">SUM(Capacity!CG5*Demand!BM5*Capacity!$DI$3:$DI$25/(TRANSPOSE(Dists!$B4:$X4)*SUM(Capacity!$DI$3:$DI$25/TRANSPOSE(Dists!$B4:$X4))))</f>
        <v>206.974126999063</v>
      </c>
      <c r="BN5" s="4" t="n">
        <f aca="false">MAX($BO5/0.006,$BP5/0.7,$BR5/0.002,$BS5/0.001)</f>
        <v>0.000841058641337114</v>
      </c>
      <c r="BO5" s="4" t="n">
        <f aca="false" t="array" ref="BO5:BO5">SUM(Capacity!CI5*Demand!BO5*Capacity!$DI$3:$DI$25/(TRANSPOSE(Dists!$B4:$X4)*SUM(Capacity!$DI$3:$DI$25/TRANSPOSE(Dists!$B4:$X4))))</f>
        <v>5.04635184802269E-006</v>
      </c>
      <c r="BP5" s="4" t="n">
        <f aca="false" t="array" ref="BP5:BP5">SUM(Capacity!CJ5*Demand!BP5*Capacity!$DI$3:$DI$25/(TRANSPOSE(Dists!$B4:$X4)*SUM(Capacity!$DI$3:$DI$25/TRANSPOSE(Dists!$B4:$X4))))</f>
        <v>7.24023911307258E-008</v>
      </c>
      <c r="BQ5" s="4" t="n">
        <f aca="false">BN5*0.65</f>
        <v>0.000546688116869124</v>
      </c>
      <c r="BR5" s="4" t="n">
        <f aca="false" t="array" ref="BR5:BR5">SUM(Capacity!CL5*Demand!BR5*Capacity!$DI$3:$DI$25/(TRANSPOSE(Dists!$B4:$X4)*SUM(Capacity!$DI$3:$DI$25/TRANSPOSE(Dists!$B4:$X4))))</f>
        <v>5.04635184802268E-007</v>
      </c>
      <c r="BS5" s="4" t="n">
        <f aca="false" t="array" ref="BS5:BS5">SUM(Capacity!CM5*Demand!BS5*Capacity!$DI$3:$DI$25/(TRANSPOSE(Dists!$B4:$X4)*SUM(Capacity!$DI$3:$DI$25/TRANSPOSE(Dists!$B4:$X4))))</f>
        <v>1.00926950236617E-007</v>
      </c>
      <c r="BT5" s="4" t="n">
        <f aca="false" t="array" ref="BT5:BT5">SUM(Capacity!CN5*Demand!BT5*Capacity!$DI$3:$DI$25/(TRANSPOSE(Dists!$B4:$X4)*SUM(Capacity!$DI$3:$DI$25/TRANSPOSE(Dists!$B4:$X4))))</f>
        <v>7.404103428591</v>
      </c>
      <c r="BU5" s="4" t="n">
        <f aca="false" t="array" ref="BU5:BU5">SUM(Capacity!CO5*Demand!BU5*Capacity!$DI$3:$DI$25/(TRANSPOSE(Dists!$B4:$X4)*SUM(Capacity!$DI$3:$DI$25/TRANSPOSE(Dists!$B4:$X4))))</f>
        <v>0.740410342859099</v>
      </c>
      <c r="BV5" s="4" t="n">
        <f aca="false" t="array" ref="BV5:BV5">SUM(Capacity!CP5*Demand!BV5*Capacity!$DI$3:$DI$25/(TRANSPOSE(Dists!$B4:$X4)*SUM(Capacity!$DI$3:$DI$25/TRANSPOSE(Dists!$B4:$X4))))</f>
        <v>0.07404103428591</v>
      </c>
      <c r="BW5" s="4" t="n">
        <f aca="false">E33*2*8.34/6</f>
        <v>2248.8696944863</v>
      </c>
      <c r="BX5" s="4" t="n">
        <f aca="false" t="array" ref="BX5:BX5">SUM(Capacity!CR5*Demand!BX5*Capacity!$DI$3:$DI$25/(TRANSPOSE(Dists!$B4:$X4)*SUM(Capacity!$DI$3:$DI$25/TRANSPOSE(Dists!$B4:$X4))))</f>
        <v>11.5887393319971</v>
      </c>
      <c r="BY5" s="4" t="n">
        <f aca="false" t="array" ref="BY5:BY5">SUM(Capacity!CS5*Demand!BY5*Capacity!$DI$3:$DI$25/(TRANSPOSE(Dists!$B4:$X4)*SUM(Capacity!$DI$3:$DI$25/TRANSPOSE(Dists!$B4:$X4))))</f>
        <v>293.59649083304</v>
      </c>
      <c r="BZ5" s="4" t="n">
        <f aca="false" t="array" ref="BZ5:BZ5">SUM(Capacity!CT5*Demand!BZ5*Capacity!$DI$3:$DI$25/(TRANSPOSE(Dists!$B4:$X4)*SUM(Capacity!$DI$3:$DI$25/TRANSPOSE(Dists!$B4:$X4))))</f>
        <v>0.161162015125562</v>
      </c>
      <c r="CA5" s="4" t="n">
        <f aca="false" t="array" ref="CA5:CA5">SUM(Capacity!CU5*Demand!CA5*Capacity!$DI$3:$DI$25/(TRANSPOSE(Dists!$B4:$X4)*SUM(Capacity!$DI$3:$DI$25/TRANSPOSE(Dists!$B4:$X4))))</f>
        <v>0.230764830265798</v>
      </c>
      <c r="CB5" s="4" t="n">
        <f aca="false" t="array" ref="CB5:CB5">SUM(Capacity!CV5*Demand!CB5*Capacity!$DI$3:$DI$25/(TRANSPOSE(Dists!$B4:$X4)*SUM(Capacity!$DI$3:$DI$25/TRANSPOSE(Dists!$B4:$X4))))</f>
        <v>339.509714775034</v>
      </c>
      <c r="CC5" s="4" t="n">
        <f aca="false" t="array" ref="CC5:CC5">SUM(Capacity!CW5*Demand!CC5*Capacity!$DI$3:$DI$25/(TRANSPOSE(Dists!$B4:$X4)*SUM(Capacity!$DI$3:$DI$25/TRANSPOSE(Dists!$B4:$X4))))</f>
        <v>349.195931587223</v>
      </c>
      <c r="CD5" s="4" t="n">
        <f aca="false">SUM($BG33,$BI33,$BK33)*Capacity!CX5/SUM(Capacity!$AM5:$AN5,Capacity!$CX5)</f>
        <v>77.3877523988358</v>
      </c>
      <c r="CE5" s="4" t="n">
        <f aca="false" t="array" ref="CE5:CE5">SUM(Capacity!CY5*Demand!CE5*Capacity!$DI$3:$DI$25/(TRANSPOSE(Dists!$B4:$X4)*SUM(Capacity!$DI$3:$DI$25/TRANSPOSE(Dists!$B4:$X4))))</f>
        <v>11.1041703139763</v>
      </c>
      <c r="CF5" s="4" t="n">
        <f aca="false" t="array" ref="CF5:CF5">SUM(Capacity!CZ5*Demand!CF5*Capacity!$DI$3:$DI$25/(TRANSPOSE(Dists!$B4:$X4)*SUM(Capacity!$DI$3:$DI$25/TRANSPOSE(Dists!$B4:$X4))))</f>
        <v>1980.52859138432</v>
      </c>
      <c r="CG5" s="4" t="n">
        <f aca="false" t="array" ref="CG5:CG5">SUM(Capacity!DA5*Demand!CG5*Capacity!$DI$3:$DI$25/(TRANSPOSE(Dists!$B4:$X4)*SUM(Capacity!$DI$3:$DI$25/TRANSPOSE(Dists!$B4:$X4))))</f>
        <v>0.000200059864645344</v>
      </c>
      <c r="CH5" s="4" t="n">
        <f aca="false" t="array" ref="CH5:CH5">SUM(Capacity!DB5*Demand!CH5*Capacity!$DI$3:$DI$25/(TRANSPOSE(Dists!$B4:$X4)*SUM(Capacity!$DI$3:$DI$25/TRANSPOSE(Dists!$B4:$X4))))</f>
        <v>3.00633132626407E-005</v>
      </c>
      <c r="CI5" s="4" t="n">
        <f aca="false" t="array" ref="CI5:CI5">SUM(Capacity!DC5*Demand!CI5*Capacity!$DI$3:$DI$25/(TRANSPOSE(Dists!$B4:$X4)*SUM(Capacity!$DI$3:$DI$25/TRANSPOSE(Dists!$B4:$X4))))</f>
        <v>0.301194804076234</v>
      </c>
      <c r="CJ5" s="4" t="n">
        <f aca="false" t="array" ref="CJ5:CJ5">SUM(Capacity!DD5*Demand!CJ5*Capacity!$DI$3:$DI$25/(TRANSPOSE(Dists!$B4:$X4)*SUM(Capacity!$DI$3:$DI$25/TRANSPOSE(Dists!$B4:$X4))))</f>
        <v>0.0146587121834151</v>
      </c>
      <c r="CK5" s="4" t="n">
        <f aca="false" t="array" ref="CK5:CK5">SUM(Capacity!DE5*Demand!CK5*Capacity!$DI$3:$DI$25/(TRANSPOSE(Dists!$B4:$X4)*SUM(Capacity!$DI$3:$DI$25/TRANSPOSE(Dists!$B4:$X4))))</f>
        <v>11.5032993510671</v>
      </c>
      <c r="CL5" s="7" t="s">
        <v>320</v>
      </c>
    </row>
    <row r="6" customFormat="false" ht="12.8" hidden="false" customHeight="false" outlineLevel="0" collapsed="false">
      <c r="A6" s="4" t="s">
        <v>137</v>
      </c>
      <c r="B6" s="7" t="s">
        <v>39</v>
      </c>
      <c r="C6" s="4" t="n">
        <f aca="false" t="array" ref="C6:C6">SUM(Capacity!S6*Demand!C6*Capacity!$DH$3:$DH$25/(TRANSPOSE(Dists!$B5:$X5)*SUM(Capacity!$DH$3:$DH$25/TRANSPOSE(Dists!$B5:$X5))))</f>
        <v>0.177539429039909</v>
      </c>
      <c r="D6" s="4" t="n">
        <f aca="false" t="array" ref="D6:D6">SUM(Capacity!V6*Demand!D6*Capacity!$DH$3:$DH$25/(TRANSPOSE(Dists!$B5:$X5)*SUM(Capacity!$DH$3:$DH$25/TRANSPOSE(Dists!$B5:$X5))))</f>
        <v>8158.62085671599</v>
      </c>
      <c r="E6" s="4" t="n">
        <f aca="false" t="array" ref="E6:E6">SUM(Capacity!Y6*Demand!E6*Capacity!$DH$3:$DH$25/(TRANSPOSE(Dists!$B5:$X5)*SUM(Capacity!$DH$3:$DH$25/TRANSPOSE(Dists!$B5:$X5))))</f>
        <v>5865.20516883388</v>
      </c>
      <c r="F6" s="4" t="n">
        <f aca="false">$E6*Capacity!$M6/(2*(1-Capacity!$H$28)*Capacity!$H6)</f>
        <v>2033.71161533568</v>
      </c>
      <c r="G6" s="4" t="n">
        <f aca="false" t="array" ref="G6:G6">SUM(Capacity!AA6*Demand!G6*Capacity!$DH$3:$DH$25/(TRANSPOSE(Dists!$B5:$X5)*SUM(Capacity!$DH$3:$DH$25/TRANSPOSE(Dists!$B5:$X5))))</f>
        <v>7303.29412906937</v>
      </c>
      <c r="H6" s="4" t="n">
        <f aca="false" t="array" ref="H6:H6">SUM(Capacity!AB6*Demand!H6*Capacity!$DH$3:$DH$25/(TRANSPOSE(Dists!$B5:$X5)*SUM(Capacity!$DH$3:$DH$25/TRANSPOSE(Dists!$B5:$X5))))</f>
        <v>21.6031479166622</v>
      </c>
      <c r="I6" s="4" t="n">
        <f aca="false" t="array" ref="I6:I6">SUM(Capacity!AC6*Demand!I$3:I$25*Capacity!$DG$3:$DG$25/(TRANSPOSE(Dists!$B5:$X5)*SUM(Capacity!$DG$3:$DG$25/TRANSPOSE(Dists!$B5:$X5))))</f>
        <v>9.11124738381509</v>
      </c>
      <c r="J6" s="4" t="n">
        <f aca="false" t="array" ref="J6:J6">SUM(Capacity!AD6*Demand!J$3:J$25*Capacity!$DG$3:$DG$25/(TRANSPOSE(Dists!$B5:$X5)*SUM(Capacity!$DG$3:$DG$25/TRANSPOSE(Dists!$B5:$X5))))</f>
        <v>6.07408559618491</v>
      </c>
      <c r="K6" s="4" t="n">
        <f aca="false">5479.45205479452*$R6</f>
        <v>2264216.59874723</v>
      </c>
      <c r="L6" s="4" t="n">
        <f aca="false">17142.8571428571*$S6</f>
        <v>389580.345467808</v>
      </c>
      <c r="M6" s="4" t="n">
        <f aca="false">IF(50420.1680672269*$T6&gt;($K6/20),50420.1680672269*$T6-($K6/20),0)</f>
        <v>527195.217406983</v>
      </c>
      <c r="N6" s="4" t="n">
        <f aca="false" t="array" ref="N6:N6">SUM(Capacity!AH6*Demand!N6*Capacity!$DH$3:$DH$25/(TRANSPOSE(Dists!$B5:$X5)*SUM(Capacity!$DH$3:$DH$25/TRANSPOSE(Dists!$B5:$X5))))</f>
        <v>8235.78253665388</v>
      </c>
      <c r="O6" s="4" t="n">
        <f aca="false">D34/0.8</f>
        <v>3698.5935848418</v>
      </c>
      <c r="P6" s="4" t="n">
        <f aca="false">O6/0.8</f>
        <v>4623.24198105225</v>
      </c>
      <c r="Q6" s="4" t="n">
        <f aca="false" t="array" ref="Q6:Q6">SUM(Capacity!AK6*Demand!Q6*Capacity!$DI$3:$DI$25/(TRANSPOSE(Dists!$B5:$X5)*SUM(Capacity!$DI$3:$DI$25/TRANSPOSE(Dists!$B5:$X5))))</f>
        <v>68.4342427096972</v>
      </c>
      <c r="R6" s="4" t="n">
        <f aca="false" t="array" ref="R6:R6">SUM(Capacity!AL6*Demand!R6*Capacity!$DH$3:$DH$25/(TRANSPOSE(Dists!$B5:$X5)*SUM(Capacity!$DH$3:$DH$25/TRANSPOSE(Dists!$B5:$X5))))</f>
        <v>413.21952927137</v>
      </c>
      <c r="S6" s="4" t="n">
        <f aca="false">SUM($BG34,$BI34,$BK34)*Capacity!AM6/SUM(Capacity!$AM6:$AN6,Capacity!$CX6)</f>
        <v>22.7255201522888</v>
      </c>
      <c r="T6" s="4" t="n">
        <f aca="false">SUM($BG34,$BI34,$BK34)*Capacity!AN6/SUM(Capacity!$AM6:$AN6,Capacity!$CX6)</f>
        <v>12.7013866056628</v>
      </c>
      <c r="U6" s="4" t="n">
        <f aca="false">$M6*120*2/(16*1000*2000)</f>
        <v>3.95396413055237</v>
      </c>
      <c r="V6" s="4" t="n">
        <f aca="false" t="array" ref="V6:V6">SUM(Capacity!AP6*Demand!V$3:V$25*Capacity!$DH$3:$DH$25/(TRANSPOSE(Dists!$B5:$X5)*SUM(Capacity!$DH$3:$DH$25/TRANSPOSE(Dists!$B5:$X5))))</f>
        <v>423.808858387285</v>
      </c>
      <c r="W6" s="4" t="n">
        <f aca="false" t="array" ref="W6:W6">SUM(Capacity!AQ6*Demand!W$3:W$25*Capacity!$DH$3:$DH$25/(TRANSPOSE(Dists!$B5:$X5)*SUM(Capacity!$DH$3:$DH$25/TRANSPOSE(Dists!$B5:$X5))))</f>
        <v>2357.15521566786</v>
      </c>
      <c r="X6" s="4" t="n">
        <f aca="false" t="array" ref="X6:X6">SUM(Capacity!AR6*Demand!X$3:X$25*Capacity!$DH$3:$DH$25/(TRANSPOSE(Dists!$B5:$X5)*SUM(Capacity!$DH$3:$DH$25/TRANSPOSE(Dists!$B5:$X5))))</f>
        <v>3401.68928678131</v>
      </c>
      <c r="Y6" s="4" t="n">
        <f aca="false">$L6*600*6/(90*1000*2000)</f>
        <v>7.79160690935616</v>
      </c>
      <c r="Z6" s="4" t="n">
        <f aca="false" t="array" ref="Z6:Z6">SUM(Capacity!AT6*Demand!Z$3:Z$25*Capacity!$DI$3:$DI$25/(TRANSPOSE(Dists!$B5:$X5)*SUM(Capacity!$DI$3:$DI$25/TRANSPOSE(Dists!$B5:$X5))))</f>
        <v>20.4009422477353</v>
      </c>
      <c r="AA6" s="4" t="n">
        <f aca="false" t="array" ref="AA6:AA6">SUM(Capacity!AU6*Demand!AA$3:AA$25*Capacity!$DI$3:$DI$25/(TRANSPOSE(Dists!$B5:$X5)*SUM(Capacity!$DI$3:$DI$25/TRANSPOSE(Dists!$B5:$X5))))</f>
        <v>125.117594589648</v>
      </c>
      <c r="AB6" s="4" t="n">
        <f aca="false" t="array" ref="AB6:AB6">SUM(Capacity!AV6*Demand!AB$3:AB$25*Capacity!$DI$3:$DI$25/(TRANSPOSE(Dists!$B5:$X5)*SUM(Capacity!$DI$3:$DI$25/TRANSPOSE(Dists!$B5:$X5))))</f>
        <v>127.386371579661</v>
      </c>
      <c r="AC6" s="4" t="n">
        <f aca="false" t="array" ref="AC6:AC6">SUM(Capacity!AW6*Demand!AC$3:AC$25*Capacity!$DI$3:$DI$25/(TRANSPOSE(Dists!$B5:$X5)*SUM(Capacity!$DI$3:$DI$25/TRANSPOSE(Dists!$B5:$X5))))</f>
        <v>31.8165899984471</v>
      </c>
      <c r="AD6" s="4" t="n">
        <f aca="false" t="array" ref="AD6:AD6">SUM(Capacity!AX6*Demand!AD$3:AD$25*Capacity!$DI$3:$DI$25/(TRANSPOSE(Dists!$B5:$X5)*SUM(Capacity!$DI$3:$DI$25/TRANSPOSE(Dists!$B5:$X5))))</f>
        <v>20.8545072186704</v>
      </c>
      <c r="AE6" s="4" t="n">
        <f aca="false" t="array" ref="AE6:AE6">SUM(Capacity!AY6*Demand!AE$3:AE$25*Capacity!$DI$3:$DI$25/(TRANSPOSE(Dists!$B5:$X5)*SUM(Capacity!$DI$3:$DI$25/TRANSPOSE(Dists!$B5:$X5))))</f>
        <v>14.0492489796085</v>
      </c>
      <c r="AF6" s="4" t="n">
        <f aca="false" t="array" ref="AF6:AF6">SUM(Capacity!AZ6*Demand!AF$3:AF$25*Capacity!$DI$3:$DI$25/(TRANSPOSE(Dists!$B5:$X5)*SUM(Capacity!$DI$3:$DI$25/TRANSPOSE(Dists!$B5:$X5))))</f>
        <v>2.33493653248426</v>
      </c>
      <c r="AG6" s="4" t="n">
        <f aca="false" t="array" ref="AG6:AG6">SUM(Capacity!BA6*Demand!AG$3:AG$25*Capacity!$DI$3:$DI$25/(TRANSPOSE(Dists!$B5:$X5)*SUM(Capacity!$DI$3:$DI$25/TRANSPOSE(Dists!$B5:$X5))))</f>
        <v>11.9667897052434</v>
      </c>
      <c r="AH6" s="4" t="n">
        <f aca="false" t="array" ref="AH6:AH6">SUM(Capacity!BB6*Demand!AH$3:AH$25*Capacity!$DI$3:$DI$25/(TRANSPOSE(Dists!$B5:$X5)*SUM(Capacity!$DI$3:$DI$25/TRANSPOSE(Dists!$B5:$X5))))</f>
        <v>11.6508533157578</v>
      </c>
      <c r="AI6" s="4" t="n">
        <f aca="false" t="array" ref="AI6:AI6">SUM(Capacity!BC6*Demand!AI$3:AI$25*Capacity!$DI$3:$DI$25/(TRANSPOSE(Dists!$B5:$X5)*SUM(Capacity!$DI$3:$DI$25/TRANSPOSE(Dists!$B5:$X5))))</f>
        <v>1.47746234394483</v>
      </c>
      <c r="AJ6" s="4" t="n">
        <f aca="false" t="array" ref="AJ6:AJ6">SUM(Capacity!BD6*Demand!AJ$3:AJ$25*Capacity!$DI$3:$DI$25/(TRANSPOSE(Dists!$B5:$X5)*SUM(Capacity!$DI$3:$DI$25/TRANSPOSE(Dists!$B5:$X5))))</f>
        <v>4.54170209209511</v>
      </c>
      <c r="AK6" s="4" t="n">
        <f aca="false" t="array" ref="AK6:AK6">SUM(Capacity!BE6*Demand!AK$3:AK$25*Capacity!$DI$3:$DI$25/(TRANSPOSE(Dists!$B5:$X5)*SUM(Capacity!$DI$3:$DI$25/TRANSPOSE(Dists!$B5:$X5))))</f>
        <v>2.73714291005877</v>
      </c>
      <c r="AL6" s="4" t="n">
        <f aca="false" t="array" ref="AL6:AL6">SUM(Capacity!BF6*Demand!AL$3:AL$25*Capacity!$DI$3:$DI$25/(TRANSPOSE(Dists!$B5:$X5)*SUM(Capacity!$DI$3:$DI$25/TRANSPOSE(Dists!$B5:$X5))))</f>
        <v>1.54866747792073</v>
      </c>
      <c r="AM6" s="4" t="n">
        <f aca="false" t="array" ref="AM6:AM6">SUM(Capacity!BG6*Demand!AM$3:AM$25*Capacity!$DI$3:$DI$25/(TRANSPOSE(Dists!$B5:$X5)*SUM(Capacity!$DI$3:$DI$25/TRANSPOSE(Dists!$B5:$X5))))</f>
        <v>3.61511814922781</v>
      </c>
      <c r="AN6" s="4" t="n">
        <f aca="false" t="array" ref="AN6:AN6">SUM(Capacity!BH6*Demand!AN$3:AN$25*Capacity!$DI$3:$DI$25/(TRANSPOSE(Dists!$B5:$X5)*SUM(Capacity!$DI$3:$DI$25/TRANSPOSE(Dists!$B5:$X5))))</f>
        <v>2.82340239339625</v>
      </c>
      <c r="AO6" s="4" t="n">
        <f aca="false" t="array" ref="AO6:AO6">SUM(Capacity!BI6*Demand!AO$3:AO$25*Capacity!$DI$3:$DI$25/(TRANSPOSE(Dists!$B5:$X5)*SUM(Capacity!$DI$3:$DI$25/TRANSPOSE(Dists!$B5:$X5))))</f>
        <v>6.43906096407392</v>
      </c>
      <c r="AP6" s="4" t="n">
        <f aca="false" t="array" ref="AP6:AP6">SUM(Capacity!BJ6*Demand!AP$3:AP$25*Capacity!$DI$3:$DI$25/(TRANSPOSE(Dists!$B5:$X5)*SUM(Capacity!$DI$3:$DI$25/TRANSPOSE(Dists!$B5:$X5))))</f>
        <v>4.33894031480624</v>
      </c>
      <c r="AQ6" s="4" t="n">
        <f aca="false" t="array" ref="AQ6:AQ6">SUM(Capacity!BK6*Demand!AQ$3:AQ$25*Capacity!$DI$3:$DI$25/(TRANSPOSE(Dists!$B5:$X5)*SUM(Capacity!$DI$3:$DI$25/TRANSPOSE(Dists!$B5:$X5))))</f>
        <v>0.403363665505001</v>
      </c>
      <c r="AR6" s="4" t="n">
        <f aca="false" t="array" ref="AR6:AR6">SUM(Capacity!BL6*Demand!AR$3:AR$25*Capacity!$DI$3:$DI$25/(TRANSPOSE(Dists!$B5:$X5)*SUM(Capacity!$DI$3:$DI$25/TRANSPOSE(Dists!$B5:$X5))))</f>
        <v>0.515997251613943</v>
      </c>
      <c r="AS6" s="4" t="n">
        <f aca="false" t="array" ref="AS6:AS6">SUM(Capacity!BM6*Demand!AS$3:AS$25*Capacity!$DI$3:$DI$25/(TRANSPOSE(Dists!$B5:$X5)*SUM(Capacity!$DI$3:$DI$25/TRANSPOSE(Dists!$B5:$X5))))</f>
        <v>1.4695310112145</v>
      </c>
      <c r="AT6" s="4" t="n">
        <f aca="false" t="array" ref="AT6:AT6">SUM(Capacity!BN6*Demand!AT$3:AT$25*Capacity!$DI$3:$DI$25/(TRANSPOSE(Dists!$B5:$X5)*SUM(Capacity!$DI$3:$DI$25/TRANSPOSE(Dists!$B5:$X5))))</f>
        <v>13.1195323015077</v>
      </c>
      <c r="AU6" s="4" t="n">
        <f aca="false" t="array" ref="AU6:AU6">SUM(Capacity!BO6*Demand!AU$3:AU$25*Capacity!$DI$3:$DI$25/(TRANSPOSE(Dists!$B5:$X5)*SUM(Capacity!$DI$3:$DI$25/TRANSPOSE(Dists!$B5:$X5))))</f>
        <v>9.90465054761054</v>
      </c>
      <c r="AV6" s="4" t="n">
        <f aca="false" t="array" ref="AV6:AV6">SUM(Capacity!BP6*Demand!AV$3:AV$25*Capacity!$DI$3:$DI$25/(TRANSPOSE(Dists!$B5:$X5)*SUM(Capacity!$DI$3:$DI$25/TRANSPOSE(Dists!$B5:$X5))))</f>
        <v>0.473515238272419</v>
      </c>
      <c r="AW6" s="4" t="n">
        <f aca="false" t="array" ref="AW6:AW6">SUM(Capacity!BQ6*Demand!AW$3:AW$25*Capacity!$DI$3:$DI$25/(TRANSPOSE(Dists!$B5:$X5)*SUM(Capacity!$DI$3:$DI$25/TRANSPOSE(Dists!$B5:$X5))))</f>
        <v>17.3758403927387</v>
      </c>
      <c r="AX6" s="4" t="n">
        <f aca="false" t="array" ref="AX6:AX6">SUM(Capacity!BR6*Demand!AX$3:AX$25*Capacity!$DI$3:$DI$25/(TRANSPOSE(Dists!$B5:$X5)*SUM(Capacity!$DI$3:$DI$25/TRANSPOSE(Dists!$B5:$X5))))</f>
        <v>1.43636450915932</v>
      </c>
      <c r="AY6" s="4" t="n">
        <f aca="false" t="array" ref="AY6:AY6">SUM(Capacity!BS6*Demand!AY$3:AY$25*Capacity!$DI$3:$DI$25/(TRANSPOSE(Dists!$B5:$X5)*SUM(Capacity!$DI$3:$DI$25/TRANSPOSE(Dists!$B5:$X5))))</f>
        <v>1.6184045036812</v>
      </c>
      <c r="AZ6" s="4" t="n">
        <f aca="false" t="array" ref="AZ6:AZ6">SUM(Capacity!BT6*Demand!AZ$3:AZ$25*Capacity!$DI$3:$DI$25/(TRANSPOSE(Dists!$B5:$X5)*SUM(Capacity!$DI$3:$DI$25/TRANSPOSE(Dists!$B5:$X5))))</f>
        <v>10.3145504034605</v>
      </c>
      <c r="BA6" s="4" t="n">
        <f aca="false">L6*25/(2000*1000*51)</f>
        <v>0.0954853787911294</v>
      </c>
      <c r="BB6" s="4" t="n">
        <f aca="false" t="array" ref="BB6:BB6">SUM(Capacity!BV6*Demand!BB$3:BB$25*Capacity!$DI$3:$DI$25/(TRANSPOSE(Dists!$B5:$X5)*SUM(Capacity!$DI$3:$DI$25/TRANSPOSE(Dists!$B5:$X5))))</f>
        <v>1.5832777195918</v>
      </c>
      <c r="BC6" s="4" t="n">
        <f aca="false" t="array" ref="BC6:BC6">SUM(Capacity!BW6*Demand!BC$3:BC$25*Capacity!$DI$3:$DI$25/(TRANSPOSE(Dists!$B5:$X5)*SUM(Capacity!$DI$3:$DI$25/TRANSPOSE(Dists!$B5:$X5))))</f>
        <v>0.961409271277991</v>
      </c>
      <c r="BD6" s="4" t="n">
        <f aca="false" t="array" ref="BD6:BD6">SUM(Capacity!BX6*Demand!BD$3:BD$25*Capacity!$DI$3:$DI$25/(TRANSPOSE(Dists!$B5:$X5)*SUM(Capacity!$DI$3:$DI$25/TRANSPOSE(Dists!$B5:$X5))))</f>
        <v>0.629219613505423</v>
      </c>
      <c r="BE6" s="4" t="n">
        <f aca="false" t="array" ref="BE6:BE6">SUM(Capacity!BY6*Demand!BE$3:BE$25*Capacity!$DI$3:$DI$25/(TRANSPOSE(Dists!$B5:$X5)*SUM(Capacity!$DI$3:$DI$25/TRANSPOSE(Dists!$B5:$X5))))</f>
        <v>0.409598659374761</v>
      </c>
      <c r="BF6" s="4" t="n">
        <f aca="false" t="array" ref="BF6:BF6">SUM(Capacity!BZ6*Demand!BF$3:BF$25*Capacity!$DI$3:$DI$25/(TRANSPOSE(Dists!$B5:$X5)*SUM(Capacity!$DI$3:$DI$25/TRANSPOSE(Dists!$B5:$X5))))</f>
        <v>18.8385261551519</v>
      </c>
      <c r="BG6" s="4" t="n">
        <f aca="false" t="array" ref="BG6:BG6">SUM(Capacity!CA6*Demand!BG$3:BG$25*Capacity!$DI$3:$DI$25/(TRANSPOSE(Dists!$B5:$X5)*SUM(Capacity!$DI$3:$DI$25/TRANSPOSE(Dists!$B5:$X5))))</f>
        <v>59.6973707252232</v>
      </c>
      <c r="BH6" s="4" t="n">
        <f aca="false" t="array" ref="BH6:BH6">SUM(Capacity!CB6*Demand!BH$3:BH$25*Capacity!$DI$3:$DI$25/(TRANSPOSE(Dists!$B5:$X5)*SUM(Capacity!$DI$3:$DI$25/TRANSPOSE(Dists!$B5:$X5))))</f>
        <v>10.9297182183907</v>
      </c>
      <c r="BI6" s="4" t="n">
        <f aca="false" t="array" ref="BI6:BI6">SUM(Capacity!CC6*Demand!BI6*Capacity!$DI$3:$DI$25/(TRANSPOSE(Dists!$B5:$X5)*SUM(Capacity!$DI$3:$DI$25/TRANSPOSE(Dists!$B5:$X5))))</f>
        <v>373.408568096729</v>
      </c>
      <c r="BJ6" s="4" t="n">
        <f aca="false" t="array" ref="BJ6:BJ6">SUM(Capacity!CD6*Demand!BJ6*Capacity!$DI$3:$DI$25/(TRANSPOSE(Dists!$B5:$X5)*SUM(Capacity!$DI$3:$DI$25/TRANSPOSE(Dists!$B5:$X5))))</f>
        <v>4448.96971229205</v>
      </c>
      <c r="BK6" s="4" t="n">
        <f aca="false" t="array" ref="BK6:BK6">SUM(Capacity!CE6*Demand!BK6*Capacity!$DI$3:$DI$25/(TRANSPOSE(Dists!$B5:$X5)*SUM(Capacity!$DI$3:$DI$25/TRANSPOSE(Dists!$B5:$X5))))</f>
        <v>186.704284048365</v>
      </c>
      <c r="BL6" s="4" t="n">
        <f aca="false" t="array" ref="BL6:BL6">SUM(Capacity!CF6*Demand!BL6*Capacity!$DI$3:$DI$25/(TRANSPOSE(Dists!$B5:$X5)*SUM(Capacity!$DI$3:$DI$25/TRANSPOSE(Dists!$B5:$X5))))</f>
        <v>193.242978309907</v>
      </c>
      <c r="BM6" s="4" t="n">
        <f aca="false" t="array" ref="BM6:BM6">SUM(Capacity!CG6*Demand!BM6*Capacity!$DI$3:$DI$25/(TRANSPOSE(Dists!$B5:$X5)*SUM(Capacity!$DI$3:$DI$25/TRANSPOSE(Dists!$B5:$X5))))</f>
        <v>193.466057236615</v>
      </c>
      <c r="BN6" s="4" t="n">
        <f aca="false">MAX($BO6/0.006,$BP6/0.7,$BR6/0.002,$BS6/0.001)</f>
        <v>0.00215000214099073</v>
      </c>
      <c r="BO6" s="4" t="n">
        <f aca="false" t="array" ref="BO6:BO6">SUM(Capacity!CI6*Demand!BO6*Capacity!$DI$3:$DI$25/(TRANSPOSE(Dists!$B5:$X5)*SUM(Capacity!$DI$3:$DI$25/TRANSPOSE(Dists!$B5:$X5))))</f>
        <v>1.29000128459444E-005</v>
      </c>
      <c r="BP6" s="4" t="n">
        <f aca="false" t="array" ref="BP6:BP6">SUM(Capacity!CJ6*Demand!BP6*Capacity!$DI$3:$DI$25/(TRANSPOSE(Dists!$B5:$X5)*SUM(Capacity!$DI$3:$DI$25/TRANSPOSE(Dists!$B5:$X5))))</f>
        <v>1.09713622137933E-007</v>
      </c>
      <c r="BQ6" s="4" t="n">
        <f aca="false">BN6*0.65</f>
        <v>0.00139750139164398</v>
      </c>
      <c r="BR6" s="4" t="n">
        <f aca="false" t="array" ref="BR6:BR6">SUM(Capacity!CL6*Demand!BR6*Capacity!$DI$3:$DI$25/(TRANSPOSE(Dists!$B5:$X5)*SUM(Capacity!$DI$3:$DI$25/TRANSPOSE(Dists!$B5:$X5))))</f>
        <v>1.29000128459444E-006</v>
      </c>
      <c r="BS6" s="4" t="n">
        <f aca="false" t="array" ref="BS6:BS6">SUM(Capacity!CM6*Demand!BS6*Capacity!$DI$3:$DI$25/(TRANSPOSE(Dists!$B5:$X5)*SUM(Capacity!$DI$3:$DI$25/TRANSPOSE(Dists!$B5:$X5))))</f>
        <v>2.58000106537442E-007</v>
      </c>
      <c r="BT6" s="4" t="n">
        <f aca="false" t="array" ref="BT6:BT6">SUM(Capacity!CN6*Demand!BT6*Capacity!$DI$3:$DI$25/(TRANSPOSE(Dists!$B5:$X5)*SUM(Capacity!$DI$3:$DI$25/TRANSPOSE(Dists!$B5:$X5))))</f>
        <v>29.5713776457625</v>
      </c>
      <c r="BU6" s="4" t="n">
        <f aca="false" t="array" ref="BU6:BU6">SUM(Capacity!CO6*Demand!BU6*Capacity!$DI$3:$DI$25/(TRANSPOSE(Dists!$B5:$X5)*SUM(Capacity!$DI$3:$DI$25/TRANSPOSE(Dists!$B5:$X5))))</f>
        <v>2.95713776457625</v>
      </c>
      <c r="BV6" s="4" t="n">
        <f aca="false" t="array" ref="BV6:BV6">SUM(Capacity!CP6*Demand!BV6*Capacity!$DI$3:$DI$25/(TRANSPOSE(Dists!$B5:$X5)*SUM(Capacity!$DI$3:$DI$25/TRANSPOSE(Dists!$B5:$X5))))</f>
        <v>0.295713776457625</v>
      </c>
      <c r="BW6" s="4" t="n">
        <f aca="false">E34*2*8.34/6</f>
        <v>5409.20199445574</v>
      </c>
      <c r="BX6" s="4" t="n">
        <f aca="false" t="array" ref="BX6:BX6">SUM(Capacity!CR6*Demand!BX6*Capacity!$DI$3:$DI$25/(TRANSPOSE(Dists!$B5:$X5)*SUM(Capacity!$DI$3:$DI$25/TRANSPOSE(Dists!$B5:$X5))))</f>
        <v>15.3869158491024</v>
      </c>
      <c r="BY6" s="4" t="n">
        <f aca="false" t="array" ref="BY6:BY6">SUM(Capacity!CS6*Demand!BY6*Capacity!$DI$3:$DI$25/(TRANSPOSE(Dists!$B5:$X5)*SUM(Capacity!$DI$3:$DI$25/TRANSPOSE(Dists!$B5:$X5))))</f>
        <v>64.5840055529976</v>
      </c>
      <c r="BZ6" s="4" t="n">
        <f aca="false" t="array" ref="BZ6:BZ6">SUM(Capacity!CT6*Demand!BZ6*Capacity!$DI$3:$DI$25/(TRANSPOSE(Dists!$B5:$X5)*SUM(Capacity!$DI$3:$DI$25/TRANSPOSE(Dists!$B5:$X5))))</f>
        <v>0.736692642028821</v>
      </c>
      <c r="CA6" s="4" t="n">
        <f aca="false" t="array" ref="CA6:CA6">SUM(Capacity!CU6*Demand!CA6*Capacity!$DI$3:$DI$25/(TRANSPOSE(Dists!$B5:$X5)*SUM(Capacity!$DI$3:$DI$25/TRANSPOSE(Dists!$B5:$X5))))</f>
        <v>0.128002613786578</v>
      </c>
      <c r="CB6" s="4" t="n">
        <f aca="false" t="array" ref="CB6:CB6">SUM(Capacity!CV6*Demand!CB6*Capacity!$DI$3:$DI$25/(TRANSPOSE(Dists!$B5:$X5)*SUM(Capacity!$DI$3:$DI$25/TRANSPOSE(Dists!$B5:$X5))))</f>
        <v>2678.06517573969</v>
      </c>
      <c r="CC6" s="4" t="n">
        <f aca="false" t="array" ref="CC6:CC6">SUM(Capacity!CW6*Demand!CC6*Capacity!$DI$3:$DI$25/(TRANSPOSE(Dists!$B5:$X5)*SUM(Capacity!$DI$3:$DI$25/TRANSPOSE(Dists!$B5:$X5))))</f>
        <v>1010.31975908048</v>
      </c>
      <c r="CD6" s="4" t="n">
        <f aca="false">SUM($BG34,$BI34,$BK34)*Capacity!CX6/SUM(Capacity!$AM6:$AN6,Capacity!$CX6)</f>
        <v>249.080292076033</v>
      </c>
      <c r="CE6" s="4" t="n">
        <f aca="false" t="array" ref="CE6:CE6">SUM(Capacity!CY6*Demand!CE6*Capacity!$DI$3:$DI$25/(TRANSPOSE(Dists!$B5:$X5)*SUM(Capacity!$DI$3:$DI$25/TRANSPOSE(Dists!$B5:$X5))))</f>
        <v>77.8551467349886</v>
      </c>
      <c r="CF6" s="4" t="n">
        <f aca="false" t="array" ref="CF6:CF6">SUM(Capacity!CZ6*Demand!CF6*Capacity!$DI$3:$DI$25/(TRANSPOSE(Dists!$B5:$X5)*SUM(Capacity!$DI$3:$DI$25/TRANSPOSE(Dists!$B5:$X5))))</f>
        <v>1177.64721888176</v>
      </c>
      <c r="CG6" s="4" t="n">
        <f aca="false" t="array" ref="CG6:CG6">SUM(Capacity!DA6*Demand!CG6*Capacity!$DI$3:$DI$25/(TRANSPOSE(Dists!$B5:$X5)*SUM(Capacity!$DI$3:$DI$25/TRANSPOSE(Dists!$B5:$X5))))</f>
        <v>2.06264124243744E-006</v>
      </c>
      <c r="CH6" s="4" t="n">
        <f aca="false" t="array" ref="CH6:CH6">SUM(Capacity!DB6*Demand!CH6*Capacity!$DI$3:$DI$25/(TRANSPOSE(Dists!$B5:$X5)*SUM(Capacity!$DI$3:$DI$25/TRANSPOSE(Dists!$B5:$X5))))</f>
        <v>3.40754536824711E-006</v>
      </c>
      <c r="CI6" s="4" t="n">
        <f aca="false" t="array" ref="CI6:CI6">SUM(Capacity!DC6*Demand!CI6*Capacity!$DI$3:$DI$25/(TRANSPOSE(Dists!$B5:$X5)*SUM(Capacity!$DI$3:$DI$25/TRANSPOSE(Dists!$B5:$X5))))</f>
        <v>0.651366356029965</v>
      </c>
      <c r="CJ6" s="4" t="n">
        <f aca="false" t="array" ref="CJ6:CJ6">SUM(Capacity!DD6*Demand!CJ6*Capacity!$DI$3:$DI$25/(TRANSPOSE(Dists!$B5:$X5)*SUM(Capacity!$DI$3:$DI$25/TRANSPOSE(Dists!$B5:$X5))))</f>
        <v>0.220025455766922</v>
      </c>
      <c r="CK6" s="4" t="n">
        <f aca="false" t="array" ref="CK6:CK6">SUM(Capacity!DE6*Demand!CK6*Capacity!$DI$3:$DI$25/(TRANSPOSE(Dists!$B5:$X5)*SUM(Capacity!$DI$3:$DI$25/TRANSPOSE(Dists!$B5:$X5))))</f>
        <v>28.3366199825629</v>
      </c>
      <c r="CL6" s="7" t="s">
        <v>320</v>
      </c>
    </row>
    <row r="7" customFormat="false" ht="12.8" hidden="false" customHeight="false" outlineLevel="0" collapsed="false">
      <c r="A7" s="4" t="s">
        <v>139</v>
      </c>
      <c r="B7" s="7" t="s">
        <v>39</v>
      </c>
      <c r="C7" s="4" t="n">
        <f aca="false" t="array" ref="C7:C7">SUM(Capacity!S7*Demand!C7*Capacity!$DH$3:$DH$25/(TRANSPOSE(Dists!$B6:$X6)*SUM(Capacity!$DH$3:$DH$25/TRANSPOSE(Dists!$B6:$X6))))</f>
        <v>0.00206056072143749</v>
      </c>
      <c r="D7" s="4" t="n">
        <f aca="false" t="array" ref="D7:D7">SUM(Capacity!V7*Demand!D7*Capacity!$DH$3:$DH$25/(TRANSPOSE(Dists!$B6:$X6)*SUM(Capacity!$DH$3:$DH$25/TRANSPOSE(Dists!$B6:$X6))))</f>
        <v>148.930625221951</v>
      </c>
      <c r="E7" s="4" t="n">
        <f aca="false" t="array" ref="E7:E7">SUM(Capacity!Y7*Demand!E7*Capacity!$DH$3:$DH$25/(TRANSPOSE(Dists!$B6:$X6)*SUM(Capacity!$DH$3:$DH$25/TRANSPOSE(Dists!$B6:$X6))))</f>
        <v>88.367553702257</v>
      </c>
      <c r="F7" s="4" t="n">
        <f aca="false">$E7*Capacity!$M7/(2*(1-Capacity!$H$28)*Capacity!$H7)</f>
        <v>45.4613439369943</v>
      </c>
      <c r="G7" s="4" t="n">
        <f aca="false" t="array" ref="G7:G7">SUM(Capacity!AA7*Demand!G7*Capacity!$DH$3:$DH$25/(TRANSPOSE(Dists!$B6:$X6)*SUM(Capacity!$DH$3:$DH$25/TRANSPOSE(Dists!$B6:$X6))))</f>
        <v>26.8621288039292</v>
      </c>
      <c r="H7" s="4" t="n">
        <f aca="false" t="array" ref="H7:H7">SUM(Capacity!AB7*Demand!H7*Capacity!$DH$3:$DH$25/(TRANSPOSE(Dists!$B6:$X6)*SUM(Capacity!$DH$3:$DH$25/TRANSPOSE(Dists!$B6:$X6))))</f>
        <v>0</v>
      </c>
      <c r="I7" s="4" t="n">
        <f aca="false" t="array" ref="I7:I7">SUM(Capacity!AC7*Demand!I$3:I$25*Capacity!$DG$3:$DG$25/(TRANSPOSE(Dists!$B6:$X6)*SUM(Capacity!$DG$3:$DG$25/TRANSPOSE(Dists!$B6:$X6))))</f>
        <v>1.83689208756293</v>
      </c>
      <c r="J7" s="4" t="n">
        <f aca="false" t="array" ref="J7:J7">SUM(Capacity!AD7*Demand!J$3:J$25*Capacity!$DG$3:$DG$25/(TRANSPOSE(Dists!$B6:$X6)*SUM(Capacity!$DG$3:$DG$25/TRANSPOSE(Dists!$B6:$X6))))</f>
        <v>1.60823852243707</v>
      </c>
      <c r="K7" s="4" t="n">
        <f aca="false">5479.45205479452*$R7</f>
        <v>329472.938458198</v>
      </c>
      <c r="L7" s="4" t="n">
        <f aca="false">17142.8571428571*$S7</f>
        <v>47397.6631616827</v>
      </c>
      <c r="M7" s="4" t="n">
        <f aca="false">IF(50420.1680672269*$T7&gt;($K7/20),50420.1680672269*$T7-($K7/20),0)</f>
        <v>61440.3199182124</v>
      </c>
      <c r="N7" s="4" t="n">
        <f aca="false" t="array" ref="N7:N7">SUM(Capacity!AH7*Demand!N7*Capacity!$DH$3:$DH$25/(TRANSPOSE(Dists!$B6:$X6)*SUM(Capacity!$DH$3:$DH$25/TRANSPOSE(Dists!$B6:$X6))))</f>
        <v>50.3885283571718</v>
      </c>
      <c r="O7" s="4" t="n">
        <f aca="false">D35/0.8</f>
        <v>543.120022034461</v>
      </c>
      <c r="P7" s="4" t="n">
        <f aca="false">O7/0.8</f>
        <v>678.900027543076</v>
      </c>
      <c r="Q7" s="4" t="n">
        <f aca="false" t="array" ref="Q7:Q7">SUM(Capacity!AK7*Demand!Q7*Capacity!$DI$3:$DI$25/(TRANSPOSE(Dists!$B6:$X6)*SUM(Capacity!$DI$3:$DI$25/TRANSPOSE(Dists!$B6:$X6))))</f>
        <v>2.12705133221858</v>
      </c>
      <c r="R7" s="4" t="n">
        <f aca="false" t="array" ref="R7:R7">SUM(Capacity!AL7*Demand!R7*Capacity!$DH$3:$DH$25/(TRANSPOSE(Dists!$B6:$X6)*SUM(Capacity!$DH$3:$DH$25/TRANSPOSE(Dists!$B6:$X6))))</f>
        <v>60.1288112686211</v>
      </c>
      <c r="S7" s="4" t="n">
        <f aca="false">SUM($BG35,$BI35,$BK35)*Capacity!AM7/SUM(Capacity!$AM7:$AN7,Capacity!$CX7)</f>
        <v>2.76486368443149</v>
      </c>
      <c r="T7" s="4" t="n">
        <f aca="false">SUM($BG35,$BI35,$BK35)*Capacity!AN7/SUM(Capacity!$AM7:$AN7,Capacity!$CX7)</f>
        <v>1.54529367568226</v>
      </c>
      <c r="U7" s="4" t="n">
        <f aca="false">$M7*120*2/(16*1000*2000)</f>
        <v>0.460802399386593</v>
      </c>
      <c r="V7" s="4" t="n">
        <f aca="false" t="array" ref="V7:V7">SUM(Capacity!AP7*Demand!V$3:V$25*Capacity!$DH$3:$DH$25/(TRANSPOSE(Dists!$B6:$X6)*SUM(Capacity!$DH$3:$DH$25/TRANSPOSE(Dists!$B6:$X6))))</f>
        <v>22.9014217027178</v>
      </c>
      <c r="W7" s="4" t="n">
        <f aca="false" t="array" ref="W7:W7">SUM(Capacity!AQ7*Demand!W$3:W$25*Capacity!$DH$3:$DH$25/(TRANSPOSE(Dists!$B6:$X6)*SUM(Capacity!$DH$3:$DH$25/TRANSPOSE(Dists!$B6:$X6))))</f>
        <v>107.930206414742</v>
      </c>
      <c r="X7" s="4" t="n">
        <f aca="false" t="array" ref="X7:X7">SUM(Capacity!AR7*Demand!X$3:X$25*Capacity!$DH$3:$DH$25/(TRANSPOSE(Dists!$B6:$X6)*SUM(Capacity!$DH$3:$DH$25/TRANSPOSE(Dists!$B6:$X6))))</f>
        <v>280.302069650117</v>
      </c>
      <c r="Y7" s="4" t="n">
        <f aca="false">$L7*600*6/(90*1000*2000)</f>
        <v>0.947953263233653</v>
      </c>
      <c r="Z7" s="4" t="n">
        <f aca="false" t="array" ref="Z7:Z7">SUM(Capacity!AT7*Demand!Z$3:Z$25*Capacity!$DI$3:$DI$25/(TRANSPOSE(Dists!$B6:$X6)*SUM(Capacity!$DI$3:$DI$25/TRANSPOSE(Dists!$B6:$X6))))</f>
        <v>0.408777489024698</v>
      </c>
      <c r="AA7" s="4" t="n">
        <f aca="false" t="array" ref="AA7:AA7">SUM(Capacity!AU7*Demand!AA$3:AA$25*Capacity!$DI$3:$DI$25/(TRANSPOSE(Dists!$B6:$X6)*SUM(Capacity!$DI$3:$DI$25/TRANSPOSE(Dists!$B6:$X6))))</f>
        <v>4.82255699063102</v>
      </c>
      <c r="AB7" s="4" t="n">
        <f aca="false" t="array" ref="AB7:AB7">SUM(Capacity!AV7*Demand!AB$3:AB$25*Capacity!$DI$3:$DI$25/(TRANSPOSE(Dists!$B6:$X6)*SUM(Capacity!$DI$3:$DI$25/TRANSPOSE(Dists!$B6:$X6))))</f>
        <v>5.68996968992053</v>
      </c>
      <c r="AC7" s="4" t="n">
        <f aca="false" t="array" ref="AC7:AC7">SUM(Capacity!AW7*Demand!AC$3:AC$25*Capacity!$DI$3:$DI$25/(TRANSPOSE(Dists!$B6:$X6)*SUM(Capacity!$DI$3:$DI$25/TRANSPOSE(Dists!$B6:$X6))))</f>
        <v>1.71155035244174</v>
      </c>
      <c r="AD7" s="4" t="n">
        <f aca="false" t="array" ref="AD7:AD7">SUM(Capacity!AX7*Demand!AD$3:AD$25*Capacity!$DI$3:$DI$25/(TRANSPOSE(Dists!$B6:$X6)*SUM(Capacity!$DI$3:$DI$25/TRANSPOSE(Dists!$B6:$X6))))</f>
        <v>0.931508704589004</v>
      </c>
      <c r="AE7" s="4" t="n">
        <f aca="false" t="array" ref="AE7:AE7">SUM(Capacity!AY7*Demand!AE$3:AE$25*Capacity!$DI$3:$DI$25/(TRANSPOSE(Dists!$B6:$X6)*SUM(Capacity!$DI$3:$DI$25/TRANSPOSE(Dists!$B6:$X6))))</f>
        <v>0.701114797368592</v>
      </c>
      <c r="AF7" s="4" t="n">
        <f aca="false" t="array" ref="AF7:AF7">SUM(Capacity!AZ7*Demand!AF$3:AF$25*Capacity!$DI$3:$DI$25/(TRANSPOSE(Dists!$B6:$X6)*SUM(Capacity!$DI$3:$DI$25/TRANSPOSE(Dists!$B6:$X6))))</f>
        <v>0.152317977385504</v>
      </c>
      <c r="AG7" s="4" t="n">
        <f aca="false" t="array" ref="AG7:AG7">SUM(Capacity!BA7*Demand!AG$3:AG$25*Capacity!$DI$3:$DI$25/(TRANSPOSE(Dists!$B6:$X6)*SUM(Capacity!$DI$3:$DI$25/TRANSPOSE(Dists!$B6:$X6))))</f>
        <v>0.648649201359818</v>
      </c>
      <c r="AH7" s="4" t="n">
        <f aca="false" t="array" ref="AH7:AH7">SUM(Capacity!BB7*Demand!AH$3:AH$25*Capacity!$DI$3:$DI$25/(TRANSPOSE(Dists!$B6:$X6)*SUM(Capacity!$DI$3:$DI$25/TRANSPOSE(Dists!$B6:$X6))))</f>
        <v>0.573742081348061</v>
      </c>
      <c r="AI7" s="4" t="n">
        <f aca="false" t="array" ref="AI7:AI7">SUM(Capacity!BC7*Demand!AI$3:AI$25*Capacity!$DI$3:$DI$25/(TRANSPOSE(Dists!$B6:$X6)*SUM(Capacity!$DI$3:$DI$25/TRANSPOSE(Dists!$B6:$X6))))</f>
        <v>0.102522723314344</v>
      </c>
      <c r="AJ7" s="4" t="n">
        <f aca="false" t="array" ref="AJ7:AJ7">SUM(Capacity!BD7*Demand!AJ$3:AJ$25*Capacity!$DI$3:$DI$25/(TRANSPOSE(Dists!$B6:$X6)*SUM(Capacity!$DI$3:$DI$25/TRANSPOSE(Dists!$B6:$X6))))</f>
        <v>0.25751877263262</v>
      </c>
      <c r="AK7" s="4" t="n">
        <f aca="false" t="array" ref="AK7:AK7">SUM(Capacity!BE7*Demand!AK$3:AK$25*Capacity!$DI$3:$DI$25/(TRANSPOSE(Dists!$B6:$X6)*SUM(Capacity!$DI$3:$DI$25/TRANSPOSE(Dists!$B6:$X6))))</f>
        <v>0.111968268589274</v>
      </c>
      <c r="AL7" s="4" t="n">
        <f aca="false" t="array" ref="AL7:AL7">SUM(Capacity!BF7*Demand!AL$3:AL$25*Capacity!$DI$3:$DI$25/(TRANSPOSE(Dists!$B6:$X6)*SUM(Capacity!$DI$3:$DI$25/TRANSPOSE(Dists!$B6:$X6))))</f>
        <v>0.107852511781921</v>
      </c>
      <c r="AM7" s="4" t="n">
        <f aca="false" t="array" ref="AM7:AM7">SUM(Capacity!BG7*Demand!AM$3:AM$25*Capacity!$DI$3:$DI$25/(TRANSPOSE(Dists!$B6:$X6)*SUM(Capacity!$DI$3:$DI$25/TRANSPOSE(Dists!$B6:$X6))))</f>
        <v>0.275134235524123</v>
      </c>
      <c r="AN7" s="4" t="n">
        <f aca="false" t="array" ref="AN7:AN7">SUM(Capacity!BH7*Demand!AN$3:AN$25*Capacity!$DI$3:$DI$25/(TRANSPOSE(Dists!$B6:$X6)*SUM(Capacity!$DI$3:$DI$25/TRANSPOSE(Dists!$B6:$X6))))</f>
        <v>0.121774860250701</v>
      </c>
      <c r="AO7" s="4" t="n">
        <f aca="false" t="array" ref="AO7:AO7">SUM(Capacity!BI7*Demand!AO$3:AO$25*Capacity!$DI$3:$DI$25/(TRANSPOSE(Dists!$B6:$X6)*SUM(Capacity!$DI$3:$DI$25/TRANSPOSE(Dists!$B6:$X6))))</f>
        <v>0.407121576712834</v>
      </c>
      <c r="AP7" s="4" t="n">
        <f aca="false" t="array" ref="AP7:AP7">SUM(Capacity!BJ7*Demand!AP$3:AP$25*Capacity!$DI$3:$DI$25/(TRANSPOSE(Dists!$B6:$X6)*SUM(Capacity!$DI$3:$DI$25/TRANSPOSE(Dists!$B6:$X6))))</f>
        <v>0.245956152346697</v>
      </c>
      <c r="AQ7" s="4" t="n">
        <f aca="false" t="array" ref="AQ7:AQ7">SUM(Capacity!BK7*Demand!AQ$3:AQ$25*Capacity!$DI$3:$DI$25/(TRANSPOSE(Dists!$B6:$X6)*SUM(Capacity!$DI$3:$DI$25/TRANSPOSE(Dists!$B6:$X6))))</f>
        <v>0.0169792525408404</v>
      </c>
      <c r="AR7" s="4" t="n">
        <f aca="false" t="array" ref="AR7:AR7">SUM(Capacity!BL7*Demand!AR$3:AR$25*Capacity!$DI$3:$DI$25/(TRANSPOSE(Dists!$B6:$X6)*SUM(Capacity!$DI$3:$DI$25/TRANSPOSE(Dists!$B6:$X6))))</f>
        <v>0.0371202735060611</v>
      </c>
      <c r="AS7" s="4" t="n">
        <f aca="false" t="array" ref="AS7:AS7">SUM(Capacity!BM7*Demand!AS$3:AS$25*Capacity!$DI$3:$DI$25/(TRANSPOSE(Dists!$B6:$X6)*SUM(Capacity!$DI$3:$DI$25/TRANSPOSE(Dists!$B6:$X6))))</f>
        <v>0.0862376197056987</v>
      </c>
      <c r="AT7" s="4" t="n">
        <f aca="false" t="array" ref="AT7:AT7">SUM(Capacity!BN7*Demand!AT$3:AT$25*Capacity!$DI$3:$DI$25/(TRANSPOSE(Dists!$B6:$X6)*SUM(Capacity!$DI$3:$DI$25/TRANSPOSE(Dists!$B6:$X6))))</f>
        <v>0.772929719199349</v>
      </c>
      <c r="AU7" s="4" t="n">
        <f aca="false" t="array" ref="AU7:AU7">SUM(Capacity!BO7*Demand!AU$3:AU$25*Capacity!$DI$3:$DI$25/(TRANSPOSE(Dists!$B6:$X6)*SUM(Capacity!$DI$3:$DI$25/TRANSPOSE(Dists!$B6:$X6))))</f>
        <v>0.624203370692035</v>
      </c>
      <c r="AV7" s="4" t="n">
        <f aca="false" t="array" ref="AV7:AV7">SUM(Capacity!BP7*Demand!AV$3:AV$25*Capacity!$DI$3:$DI$25/(TRANSPOSE(Dists!$B6:$X6)*SUM(Capacity!$DI$3:$DI$25/TRANSPOSE(Dists!$B6:$X6))))</f>
        <v>0.0334257795390805</v>
      </c>
      <c r="AW7" s="4" t="n">
        <f aca="false" t="array" ref="AW7:AW7">SUM(Capacity!BQ7*Demand!AW$3:AW$25*Capacity!$DI$3:$DI$25/(TRANSPOSE(Dists!$B6:$X6)*SUM(Capacity!$DI$3:$DI$25/TRANSPOSE(Dists!$B6:$X6))))</f>
        <v>0.940938671912346</v>
      </c>
      <c r="AX7" s="4" t="n">
        <f aca="false" t="array" ref="AX7:AX7">SUM(Capacity!BR7*Demand!AX$3:AX$25*Capacity!$DI$3:$DI$25/(TRANSPOSE(Dists!$B6:$X6)*SUM(Capacity!$DI$3:$DI$25/TRANSPOSE(Dists!$B6:$X6))))</f>
        <v>0.0990038880296721</v>
      </c>
      <c r="AY7" s="4" t="n">
        <f aca="false" t="array" ref="AY7:AY7">SUM(Capacity!BS7*Demand!AY$3:AY$25*Capacity!$DI$3:$DI$25/(TRANSPOSE(Dists!$B6:$X6)*SUM(Capacity!$DI$3:$DI$25/TRANSPOSE(Dists!$B6:$X6))))</f>
        <v>0.064182619085115</v>
      </c>
      <c r="AZ7" s="4" t="n">
        <f aca="false" t="array" ref="AZ7:AZ7">SUM(Capacity!BT7*Demand!AZ$3:AZ$25*Capacity!$DI$3:$DI$25/(TRANSPOSE(Dists!$B6:$X6)*SUM(Capacity!$DI$3:$DI$25/TRANSPOSE(Dists!$B6:$X6))))</f>
        <v>0.446803025560204</v>
      </c>
      <c r="BA7" s="4" t="n">
        <f aca="false">L7*25/(2000*1000*51)</f>
        <v>0.011617074304334</v>
      </c>
      <c r="BB7" s="4" t="n">
        <f aca="false" t="array" ref="BB7:BB7">SUM(Capacity!BV7*Demand!BB$3:BB$25*Capacity!$DI$3:$DI$25/(TRANSPOSE(Dists!$B6:$X6)*SUM(Capacity!$DI$3:$DI$25/TRANSPOSE(Dists!$B6:$X6))))</f>
        <v>0.0758222055881176</v>
      </c>
      <c r="BC7" s="4" t="n">
        <f aca="false" t="array" ref="BC7:BC7">SUM(Capacity!BW7*Demand!BC$3:BC$25*Capacity!$DI$3:$DI$25/(TRANSPOSE(Dists!$B6:$X6)*SUM(Capacity!$DI$3:$DI$25/TRANSPOSE(Dists!$B6:$X6))))</f>
        <v>0.0586421095305556</v>
      </c>
      <c r="BD7" s="4" t="n">
        <f aca="false" t="array" ref="BD7:BD7">SUM(Capacity!BX7*Demand!BD$3:BD$25*Capacity!$DI$3:$DI$25/(TRANSPOSE(Dists!$B6:$X6)*SUM(Capacity!$DI$3:$DI$25/TRANSPOSE(Dists!$B6:$X6))))</f>
        <v>0.0344781281970281</v>
      </c>
      <c r="BE7" s="4" t="n">
        <f aca="false" t="array" ref="BE7:BE7">SUM(Capacity!BY7*Demand!BE$3:BE$25*Capacity!$DI$3:$DI$25/(TRANSPOSE(Dists!$B6:$X6)*SUM(Capacity!$DI$3:$DI$25/TRANSPOSE(Dists!$B6:$X6))))</f>
        <v>0.0193201539441479</v>
      </c>
      <c r="BF7" s="4" t="n">
        <f aca="false" t="array" ref="BF7:BF7">SUM(Capacity!BZ7*Demand!BF$3:BF$25*Capacity!$DI$3:$DI$25/(TRANSPOSE(Dists!$B6:$X6)*SUM(Capacity!$DI$3:$DI$25/TRANSPOSE(Dists!$B6:$X6))))</f>
        <v>1.32484813996856</v>
      </c>
      <c r="BG7" s="4" t="n">
        <f aca="false" t="array" ref="BG7:BG7">SUM(Capacity!CA7*Demand!BG$3:BG$25*Capacity!$DI$3:$DI$25/(TRANSPOSE(Dists!$B6:$X6)*SUM(Capacity!$DI$3:$DI$25/TRANSPOSE(Dists!$B6:$X6))))</f>
        <v>3.70687946167008</v>
      </c>
      <c r="BH7" s="4" t="n">
        <f aca="false" t="array" ref="BH7:BH7">SUM(Capacity!CB7*Demand!BH$3:BH$25*Capacity!$DI$3:$DI$25/(TRANSPOSE(Dists!$B6:$X6)*SUM(Capacity!$DI$3:$DI$25/TRANSPOSE(Dists!$B6:$X6))))</f>
        <v>0.00181407831513659</v>
      </c>
      <c r="BI7" s="4" t="n">
        <f aca="false" t="array" ref="BI7:BI7">SUM(Capacity!CC7*Demand!BI7*Capacity!$DI$3:$DI$25/(TRANSPOSE(Dists!$B6:$X6)*SUM(Capacity!$DI$3:$DI$25/TRANSPOSE(Dists!$B6:$X6))))</f>
        <v>5.77683111959352</v>
      </c>
      <c r="BJ7" s="4" t="n">
        <f aca="false" t="array" ref="BJ7:BJ7">SUM(Capacity!CD7*Demand!BJ7*Capacity!$DI$3:$DI$25/(TRANSPOSE(Dists!$B6:$X6)*SUM(Capacity!$DI$3:$DI$25/TRANSPOSE(Dists!$B6:$X6))))</f>
        <v>287.463883000053</v>
      </c>
      <c r="BK7" s="4" t="n">
        <f aca="false" t="array" ref="BK7:BK7">SUM(Capacity!CE7*Demand!BK7*Capacity!$DI$3:$DI$25/(TRANSPOSE(Dists!$B6:$X6)*SUM(Capacity!$DI$3:$DI$25/TRANSPOSE(Dists!$B6:$X6))))</f>
        <v>2.88841555979676</v>
      </c>
      <c r="BL7" s="4" t="n">
        <f aca="false" t="array" ref="BL7:BL7">SUM(Capacity!CF7*Demand!BL7*Capacity!$DI$3:$DI$25/(TRANSPOSE(Dists!$B6:$X6)*SUM(Capacity!$DI$3:$DI$25/TRANSPOSE(Dists!$B6:$X6))))</f>
        <v>231.202645222558</v>
      </c>
      <c r="BM7" s="4" t="n">
        <f aca="false" t="array" ref="BM7:BM7">SUM(Capacity!CG7*Demand!BM7*Capacity!$DI$3:$DI$25/(TRANSPOSE(Dists!$B6:$X6)*SUM(Capacity!$DI$3:$DI$25/TRANSPOSE(Dists!$B6:$X6))))</f>
        <v>21.5209278553218</v>
      </c>
      <c r="BN7" s="4" t="n">
        <f aca="false">MAX($BO7/0.006,$BP7/0.7,$BR7/0.002,$BS7/0.001)</f>
        <v>247.845663952935</v>
      </c>
      <c r="BO7" s="4" t="n">
        <f aca="false" t="array" ref="BO7:BO7">SUM(Capacity!CI7*Demand!BO7*Capacity!$DI$3:$DI$25/(TRANSPOSE(Dists!$B6:$X6)*SUM(Capacity!$DI$3:$DI$25/TRANSPOSE(Dists!$B6:$X6))))</f>
        <v>1.48707398371761</v>
      </c>
      <c r="BP7" s="4" t="n">
        <f aca="false" t="array" ref="BP7:BP7">SUM(Capacity!CJ7*Demand!BP7*Capacity!$DI$3:$DI$25/(TRANSPOSE(Dists!$B6:$X6)*SUM(Capacity!$DI$3:$DI$25/TRANSPOSE(Dists!$B6:$X6))))</f>
        <v>3.82749213153094</v>
      </c>
      <c r="BQ7" s="4" t="n">
        <f aca="false">BN7*0.65</f>
        <v>161.099681569408</v>
      </c>
      <c r="BR7" s="4" t="n">
        <f aca="false" t="array" ref="BR7:BR7">SUM(Capacity!CL7*Demand!BR7*Capacity!$DI$3:$DI$25/(TRANSPOSE(Dists!$B6:$X6)*SUM(Capacity!$DI$3:$DI$25/TRANSPOSE(Dists!$B6:$X6))))</f>
        <v>0.049569132790587</v>
      </c>
      <c r="BS7" s="4" t="n">
        <f aca="false" t="array" ref="BS7:BS7">SUM(Capacity!CM7*Demand!BS7*Capacity!$DI$3:$DI$25/(TRANSPOSE(Dists!$B6:$X6)*SUM(Capacity!$DI$3:$DI$25/TRANSPOSE(Dists!$B6:$X6))))</f>
        <v>0.00495691203130477</v>
      </c>
      <c r="BT7" s="4" t="n">
        <f aca="false" t="array" ref="BT7:BT7">SUM(Capacity!CN7*Demand!BT7*Capacity!$DI$3:$DI$25/(TRANSPOSE(Dists!$B6:$X6)*SUM(Capacity!$DI$3:$DI$25/TRANSPOSE(Dists!$B6:$X6))))</f>
        <v>0.643153957089484</v>
      </c>
      <c r="BU7" s="4" t="n">
        <f aca="false" t="array" ref="BU7:BU7">SUM(Capacity!CO7*Demand!BU7*Capacity!$DI$3:$DI$25/(TRANSPOSE(Dists!$B6:$X6)*SUM(Capacity!$DI$3:$DI$25/TRANSPOSE(Dists!$B6:$X6))))</f>
        <v>0.0643153957089484</v>
      </c>
      <c r="BV7" s="4" t="n">
        <f aca="false" t="array" ref="BV7:BV7">SUM(Capacity!CP7*Demand!BV7*Capacity!$DI$3:$DI$25/(TRANSPOSE(Dists!$B6:$X6)*SUM(Capacity!$DI$3:$DI$25/TRANSPOSE(Dists!$B6:$X6))))</f>
        <v>0.00643153957089485</v>
      </c>
      <c r="BW7" s="4" t="n">
        <f aca="false">E35*2*8.34/6</f>
        <v>408.174284191364</v>
      </c>
      <c r="BX7" s="4" t="n">
        <f aca="false" t="array" ref="BX7:BX7">SUM(Capacity!CR7*Demand!BX7*Capacity!$DI$3:$DI$25/(TRANSPOSE(Dists!$B6:$X6)*SUM(Capacity!$DI$3:$DI$25/TRANSPOSE(Dists!$B6:$X6))))</f>
        <v>1.28932629678316</v>
      </c>
      <c r="BY7" s="4" t="n">
        <f aca="false" t="array" ref="BY7:BY7">SUM(Capacity!CS7*Demand!BY7*Capacity!$DI$3:$DI$25/(TRANSPOSE(Dists!$B6:$X6)*SUM(Capacity!$DI$3:$DI$25/TRANSPOSE(Dists!$B6:$X6))))</f>
        <v>32.8635396824846</v>
      </c>
      <c r="BZ7" s="4" t="n">
        <f aca="false" t="array" ref="BZ7:BZ7">SUM(Capacity!CT7*Demand!BZ7*Capacity!$DI$3:$DI$25/(TRANSPOSE(Dists!$B6:$X6)*SUM(Capacity!$DI$3:$DI$25/TRANSPOSE(Dists!$B6:$X6))))</f>
        <v>0.300616039186282</v>
      </c>
      <c r="CA7" s="4" t="n">
        <f aca="false" t="array" ref="CA7:CA7">SUM(Capacity!CU7*Demand!CA7*Capacity!$DI$3:$DI$25/(TRANSPOSE(Dists!$B6:$X6)*SUM(Capacity!$DI$3:$DI$25/TRANSPOSE(Dists!$B6:$X6))))</f>
        <v>0.124227644231796</v>
      </c>
      <c r="CB7" s="4" t="n">
        <f aca="false" t="array" ref="CB7:CB7">SUM(Capacity!CV7*Demand!CB7*Capacity!$DI$3:$DI$25/(TRANSPOSE(Dists!$B6:$X6)*SUM(Capacity!$DI$3:$DI$25/TRANSPOSE(Dists!$B6:$X6))))</f>
        <v>49.7985664852872</v>
      </c>
      <c r="CC7" s="4" t="n">
        <f aca="false" t="array" ref="CC7:CC7">SUM(Capacity!CW7*Demand!CC7*Capacity!$DI$3:$DI$25/(TRANSPOSE(Dists!$B6:$X6)*SUM(Capacity!$DI$3:$DI$25/TRANSPOSE(Dists!$B6:$X6))))</f>
        <v>660.97783160393</v>
      </c>
      <c r="CD7" s="4" t="n">
        <f aca="false">SUM($BG35,$BI35,$BK35)*Capacity!CX7/SUM(Capacity!$AM7:$AN7,Capacity!$CX7)</f>
        <v>18.0147397514614</v>
      </c>
      <c r="CE7" s="4" t="n">
        <f aca="false" t="array" ref="CE7:CE7">SUM(Capacity!CY7*Demand!CE7*Capacity!$DI$3:$DI$25/(TRANSPOSE(Dists!$B6:$X6)*SUM(Capacity!$DI$3:$DI$25/TRANSPOSE(Dists!$B6:$X6))))</f>
        <v>0.149084856173716</v>
      </c>
      <c r="CF7" s="4" t="n">
        <f aca="false" t="array" ref="CF7:CF7">SUM(Capacity!CZ7*Demand!CF7*Capacity!$DI$3:$DI$25/(TRANSPOSE(Dists!$B6:$X6)*SUM(Capacity!$DI$3:$DI$25/TRANSPOSE(Dists!$B6:$X6))))</f>
        <v>761.262853566386</v>
      </c>
      <c r="CG7" s="4" t="n">
        <f aca="false" t="array" ref="CG7:CG7">SUM(Capacity!DA7*Demand!CG7*Capacity!$DI$3:$DI$25/(TRANSPOSE(Dists!$B6:$X6)*SUM(Capacity!$DI$3:$DI$25/TRANSPOSE(Dists!$B6:$X6))))</f>
        <v>4.38650292083501</v>
      </c>
      <c r="CH7" s="4" t="n">
        <f aca="false" t="array" ref="CH7:CH7">SUM(Capacity!DB7*Demand!CH7*Capacity!$DI$3:$DI$25/(TRANSPOSE(Dists!$B6:$X6)*SUM(Capacity!$DI$3:$DI$25/TRANSPOSE(Dists!$B6:$X6))))</f>
        <v>7.2221858166456</v>
      </c>
      <c r="CI7" s="4" t="n">
        <f aca="false" t="array" ref="CI7:CI7">SUM(Capacity!DC7*Demand!CI7*Capacity!$DI$3:$DI$25/(TRANSPOSE(Dists!$B6:$X6)*SUM(Capacity!$DI$3:$DI$25/TRANSPOSE(Dists!$B6:$X6))))</f>
        <v>0.0334124710652725</v>
      </c>
      <c r="CJ7" s="4" t="n">
        <f aca="false" t="array" ref="CJ7:CJ7">SUM(Capacity!DD7*Demand!CJ7*Capacity!$DI$3:$DI$25/(TRANSPOSE(Dists!$B6:$X6)*SUM(Capacity!$DI$3:$DI$25/TRANSPOSE(Dists!$B6:$X6))))</f>
        <v>0.00168989300393214</v>
      </c>
      <c r="CK7" s="4" t="n">
        <f aca="false" t="array" ref="CK7:CK7">SUM(Capacity!DE7*Demand!CK7*Capacity!$DI$3:$DI$25/(TRANSPOSE(Dists!$B6:$X6)*SUM(Capacity!$DI$3:$DI$25/TRANSPOSE(Dists!$B6:$X6))))</f>
        <v>0.467918139957208</v>
      </c>
      <c r="CL7" s="7" t="s">
        <v>320</v>
      </c>
    </row>
    <row r="8" customFormat="false" ht="12.8" hidden="false" customHeight="false" outlineLevel="0" collapsed="false">
      <c r="A8" s="4" t="s">
        <v>140</v>
      </c>
      <c r="B8" s="7" t="s">
        <v>39</v>
      </c>
      <c r="C8" s="4" t="n">
        <f aca="false" t="array" ref="C8:C8">SUM(Capacity!S8*Demand!C8*Capacity!$DH$3:$DH$25/(TRANSPOSE(Dists!$B7:$X7)*SUM(Capacity!$DH$3:$DH$25/TRANSPOSE(Dists!$B7:$X7))))</f>
        <v>0.00821681691480692</v>
      </c>
      <c r="D8" s="4" t="n">
        <f aca="false" t="array" ref="D8:D8">SUM(Capacity!V8*Demand!D8*Capacity!$DH$3:$DH$25/(TRANSPOSE(Dists!$B7:$X7)*SUM(Capacity!$DH$3:$DH$25/TRANSPOSE(Dists!$B7:$X7))))</f>
        <v>1196.59185766955</v>
      </c>
      <c r="E8" s="4" t="n">
        <f aca="false" t="array" ref="E8:E8">SUM(Capacity!Y8*Demand!E8*Capacity!$DH$3:$DH$25/(TRANSPOSE(Dists!$B7:$X7)*SUM(Capacity!$DH$3:$DH$25/TRANSPOSE(Dists!$B7:$X7))))</f>
        <v>472.583630108717</v>
      </c>
      <c r="F8" s="4" t="n">
        <f aca="false">$E8*Capacity!$M8/(2*(1-Capacity!$H$28)*Capacity!$H8)</f>
        <v>169.481748970278</v>
      </c>
      <c r="G8" s="4" t="n">
        <f aca="false" t="array" ref="G8:G8">SUM(Capacity!AA8*Demand!G8*Capacity!$DH$3:$DH$25/(TRANSPOSE(Dists!$B7:$X7)*SUM(Capacity!$DH$3:$DH$25/TRANSPOSE(Dists!$B7:$X7))))</f>
        <v>540.765920812837</v>
      </c>
      <c r="H8" s="4" t="n">
        <f aca="false" t="array" ref="H8:H8">SUM(Capacity!AB8*Demand!H8*Capacity!$DH$3:$DH$25/(TRANSPOSE(Dists!$B7:$X7)*SUM(Capacity!$DH$3:$DH$25/TRANSPOSE(Dists!$B7:$X7))))</f>
        <v>1.60206373505816</v>
      </c>
      <c r="I8" s="4" t="n">
        <f aca="false" t="array" ref="I8:I8">SUM(Capacity!AC8*Demand!I$3:I$25*Capacity!$DG$3:$DG$25/(TRANSPOSE(Dists!$B7:$X7)*SUM(Capacity!$DG$3:$DG$25/TRANSPOSE(Dists!$B7:$X7))))</f>
        <v>1.16578205288404</v>
      </c>
      <c r="J8" s="4" t="n">
        <f aca="false" t="array" ref="J8:J8">SUM(Capacity!AD8*Demand!J$3:J$25*Capacity!$DG$3:$DG$25/(TRANSPOSE(Dists!$B7:$X7)*SUM(Capacity!$DG$3:$DG$25/TRANSPOSE(Dists!$B7:$X7))))</f>
        <v>1.07522523711596</v>
      </c>
      <c r="K8" s="4" t="n">
        <f aca="false">5479.45205479452*$R8</f>
        <v>433507.027125036</v>
      </c>
      <c r="L8" s="4" t="n">
        <f aca="false">17142.8571428571*$S8</f>
        <v>70615.304953905</v>
      </c>
      <c r="M8" s="4" t="n">
        <f aca="false">IF(50420.1680672269*$T8&gt;($K8/20),50420.1680672269*$T8-($K8/20),0)</f>
        <v>94404.6019926334</v>
      </c>
      <c r="N8" s="4" t="n">
        <f aca="false" t="array" ref="N8:N8">SUM(Capacity!AH8*Demand!N8*Capacity!$DH$3:$DH$25/(TRANSPOSE(Dists!$B7:$X7)*SUM(Capacity!$DH$3:$DH$25/TRANSPOSE(Dists!$B7:$X7))))</f>
        <v>801.15426496344</v>
      </c>
      <c r="O8" s="4" t="n">
        <f aca="false">D36/0.8</f>
        <v>1172.16845945792</v>
      </c>
      <c r="P8" s="4" t="n">
        <f aca="false">O8/0.8</f>
        <v>1465.2105743224</v>
      </c>
      <c r="Q8" s="4" t="n">
        <f aca="false" t="array" ref="Q8:Q8">SUM(Capacity!AK8*Demand!Q8*Capacity!$DI$3:$DI$25/(TRANSPOSE(Dists!$B7:$X7)*SUM(Capacity!$DI$3:$DI$25/TRANSPOSE(Dists!$B7:$X7))))</f>
        <v>10.2542356677949</v>
      </c>
      <c r="R8" s="4" t="n">
        <f aca="false" t="array" ref="R8:R8">SUM(Capacity!AL8*Demand!R8*Capacity!$DH$3:$DH$25/(TRANSPOSE(Dists!$B7:$X7)*SUM(Capacity!$DH$3:$DH$25/TRANSPOSE(Dists!$B7:$X7))))</f>
        <v>79.115032450319</v>
      </c>
      <c r="S8" s="4" t="n">
        <f aca="false">SUM($BG36,$BI36,$BK36)*Capacity!AM8/SUM(Capacity!$AM8:$AN8,Capacity!$CX8)</f>
        <v>4.11922612231114</v>
      </c>
      <c r="T8" s="4" t="n">
        <f aca="false">SUM($BG36,$BI36,$BK36)*Capacity!AN8/SUM(Capacity!$AM8:$AN8,Capacity!$CX8)</f>
        <v>2.30225240808622</v>
      </c>
      <c r="U8" s="4" t="n">
        <f aca="false">$M8*120*2/(16*1000*2000)</f>
        <v>0.70803451494475</v>
      </c>
      <c r="V8" s="4" t="n">
        <f aca="false" t="array" ref="V8:V8">SUM(Capacity!AP8*Demand!V$3:V$25*Capacity!$DH$3:$DH$25/(TRANSPOSE(Dists!$B7:$X7)*SUM(Capacity!$DH$3:$DH$25/TRANSPOSE(Dists!$B7:$X7))))</f>
        <v>124.55979377004</v>
      </c>
      <c r="W8" s="4" t="n">
        <f aca="false" t="array" ref="W8:W8">SUM(Capacity!AQ8*Demand!W$3:W$25*Capacity!$DH$3:$DH$25/(TRANSPOSE(Dists!$B7:$X7)*SUM(Capacity!$DH$3:$DH$25/TRANSPOSE(Dists!$B7:$X7))))</f>
        <v>499.357749209072</v>
      </c>
      <c r="X8" s="4" t="n">
        <f aca="false" t="array" ref="X8:X8">SUM(Capacity!AR8*Demand!X$3:X$25*Capacity!$DH$3:$DH$25/(TRANSPOSE(Dists!$B7:$X7)*SUM(Capacity!$DH$3:$DH$25/TRANSPOSE(Dists!$B7:$X7))))</f>
        <v>698.820023474675</v>
      </c>
      <c r="Y8" s="4" t="n">
        <f aca="false">$L8*600*6/(90*1000*2000)</f>
        <v>1.4123060990781</v>
      </c>
      <c r="Z8" s="4" t="n">
        <f aca="false" t="array" ref="Z8:Z8">SUM(Capacity!AT8*Demand!Z$3:Z$25*Capacity!$DI$3:$DI$25/(TRANSPOSE(Dists!$B7:$X7)*SUM(Capacity!$DI$3:$DI$25/TRANSPOSE(Dists!$B7:$X7))))</f>
        <v>44.7793778971039</v>
      </c>
      <c r="AA8" s="4" t="n">
        <f aca="false" t="array" ref="AA8:AA8">SUM(Capacity!AU8*Demand!AA$3:AA$25*Capacity!$DI$3:$DI$25/(TRANSPOSE(Dists!$B7:$X7)*SUM(Capacity!$DI$3:$DI$25/TRANSPOSE(Dists!$B7:$X7))))</f>
        <v>22.5618651992515</v>
      </c>
      <c r="AB8" s="4" t="n">
        <f aca="false" t="array" ref="AB8:AB8">SUM(Capacity!AV8*Demand!AB$3:AB$25*Capacity!$DI$3:$DI$25/(TRANSPOSE(Dists!$B7:$X7)*SUM(Capacity!$DI$3:$DI$25/TRANSPOSE(Dists!$B7:$X7))))</f>
        <v>27.0973572096435</v>
      </c>
      <c r="AC8" s="4" t="n">
        <f aca="false" t="array" ref="AC8:AC8">SUM(Capacity!AW8*Demand!AC$3:AC$25*Capacity!$DI$3:$DI$25/(TRANSPOSE(Dists!$B7:$X7)*SUM(Capacity!$DI$3:$DI$25/TRANSPOSE(Dists!$B7:$X7))))</f>
        <v>4.78954922644923</v>
      </c>
      <c r="AD8" s="4" t="n">
        <f aca="false" t="array" ref="AD8:AD8">SUM(Capacity!AX8*Demand!AD$3:AD$25*Capacity!$DI$3:$DI$25/(TRANSPOSE(Dists!$B7:$X7)*SUM(Capacity!$DI$3:$DI$25/TRANSPOSE(Dists!$B7:$X7))))</f>
        <v>4.43612628672773</v>
      </c>
      <c r="AE8" s="4" t="n">
        <f aca="false" t="array" ref="AE8:AE8">SUM(Capacity!AY8*Demand!AE$3:AE$25*Capacity!$DI$3:$DI$25/(TRANSPOSE(Dists!$B7:$X7)*SUM(Capacity!$DI$3:$DI$25/TRANSPOSE(Dists!$B7:$X7))))</f>
        <v>3.08639746421744</v>
      </c>
      <c r="AF8" s="4" t="n">
        <f aca="false" t="array" ref="AF8:AF8">SUM(Capacity!AZ8*Demand!AF$3:AF$25*Capacity!$DI$3:$DI$25/(TRANSPOSE(Dists!$B7:$X7)*SUM(Capacity!$DI$3:$DI$25/TRANSPOSE(Dists!$B7:$X7))))</f>
        <v>0.756152414376772</v>
      </c>
      <c r="AG8" s="4" t="n">
        <f aca="false" t="array" ref="AG8:AG8">SUM(Capacity!BA8*Demand!AG$3:AG$25*Capacity!$DI$3:$DI$25/(TRANSPOSE(Dists!$B7:$X7)*SUM(Capacity!$DI$3:$DI$25/TRANSPOSE(Dists!$B7:$X7))))</f>
        <v>2.74669343062546</v>
      </c>
      <c r="AH8" s="4" t="n">
        <f aca="false" t="array" ref="AH8:AH8">SUM(Capacity!BB8*Demand!AH$3:AH$25*Capacity!$DI$3:$DI$25/(TRANSPOSE(Dists!$B7:$X7)*SUM(Capacity!$DI$3:$DI$25/TRANSPOSE(Dists!$B7:$X7))))</f>
        <v>2.64457522336816</v>
      </c>
      <c r="AI8" s="4" t="n">
        <f aca="false" t="array" ref="AI8:AI8">SUM(Capacity!BC8*Demand!AI$3:AI$25*Capacity!$DI$3:$DI$25/(TRANSPOSE(Dists!$B7:$X7)*SUM(Capacity!$DI$3:$DI$25/TRANSPOSE(Dists!$B7:$X7))))</f>
        <v>0.44019585934599</v>
      </c>
      <c r="AJ8" s="4" t="n">
        <f aca="false" t="array" ref="AJ8:AJ8">SUM(Capacity!BD8*Demand!AJ$3:AJ$25*Capacity!$DI$3:$DI$25/(TRANSPOSE(Dists!$B7:$X7)*SUM(Capacity!$DI$3:$DI$25/TRANSPOSE(Dists!$B7:$X7))))</f>
        <v>1.11584152899894</v>
      </c>
      <c r="AK8" s="4" t="n">
        <f aca="false" t="array" ref="AK8:AK8">SUM(Capacity!BE8*Demand!AK$3:AK$25*Capacity!$DI$3:$DI$25/(TRANSPOSE(Dists!$B7:$X7)*SUM(Capacity!$DI$3:$DI$25/TRANSPOSE(Dists!$B7:$X7))))</f>
        <v>0.521947340966572</v>
      </c>
      <c r="AL8" s="4" t="n">
        <f aca="false" t="array" ref="AL8:AL8">SUM(Capacity!BF8*Demand!AL$3:AL$25*Capacity!$DI$3:$DI$25/(TRANSPOSE(Dists!$B7:$X7)*SUM(Capacity!$DI$3:$DI$25/TRANSPOSE(Dists!$B7:$X7))))</f>
        <v>0.500068636192758</v>
      </c>
      <c r="AM8" s="4" t="n">
        <f aca="false" t="array" ref="AM8:AM8">SUM(Capacity!BG8*Demand!AM$3:AM$25*Capacity!$DI$3:$DI$25/(TRANSPOSE(Dists!$B7:$X7)*SUM(Capacity!$DI$3:$DI$25/TRANSPOSE(Dists!$B7:$X7))))</f>
        <v>1.14337854946851</v>
      </c>
      <c r="AN8" s="4" t="n">
        <f aca="false" t="array" ref="AN8:AN8">SUM(Capacity!BH8*Demand!AN$3:AN$25*Capacity!$DI$3:$DI$25/(TRANSPOSE(Dists!$B7:$X7)*SUM(Capacity!$DI$3:$DI$25/TRANSPOSE(Dists!$B7:$X7))))</f>
        <v>0.568120398301317</v>
      </c>
      <c r="AO8" s="4" t="n">
        <f aca="false" t="array" ref="AO8:AO8">SUM(Capacity!BI8*Demand!AO$3:AO$25*Capacity!$DI$3:$DI$25/(TRANSPOSE(Dists!$B7:$X7)*SUM(Capacity!$DI$3:$DI$25/TRANSPOSE(Dists!$B7:$X7))))</f>
        <v>1.92831744492493</v>
      </c>
      <c r="AP8" s="4" t="n">
        <f aca="false" t="array" ref="AP8:AP8">SUM(Capacity!BJ8*Demand!AP$3:AP$25*Capacity!$DI$3:$DI$25/(TRANSPOSE(Dists!$B7:$X7)*SUM(Capacity!$DI$3:$DI$25/TRANSPOSE(Dists!$B7:$X7))))</f>
        <v>1.06490086603074</v>
      </c>
      <c r="AQ8" s="4" t="n">
        <f aca="false" t="array" ref="AQ8:AQ8">SUM(Capacity!BK8*Demand!AQ$3:AQ$25*Capacity!$DI$3:$DI$25/(TRANSPOSE(Dists!$B7:$X7)*SUM(Capacity!$DI$3:$DI$25/TRANSPOSE(Dists!$B7:$X7))))</f>
        <v>0.0766473071447834</v>
      </c>
      <c r="AR8" s="4" t="n">
        <f aca="false" t="array" ref="AR8:AR8">SUM(Capacity!BL8*Demand!AR$3:AR$25*Capacity!$DI$3:$DI$25/(TRANSPOSE(Dists!$B7:$X7)*SUM(Capacity!$DI$3:$DI$25/TRANSPOSE(Dists!$B7:$X7))))</f>
        <v>0.182646429504196</v>
      </c>
      <c r="AS8" s="4" t="n">
        <f aca="false" t="array" ref="AS8:AS8">SUM(Capacity!BM8*Demand!AS$3:AS$25*Capacity!$DI$3:$DI$25/(TRANSPOSE(Dists!$B7:$X7)*SUM(Capacity!$DI$3:$DI$25/TRANSPOSE(Dists!$B7:$X7))))</f>
        <v>0.357271770090677</v>
      </c>
      <c r="AT8" s="4" t="n">
        <f aca="false" t="array" ref="AT8:AT8">SUM(Capacity!BN8*Demand!AT$3:AT$25*Capacity!$DI$3:$DI$25/(TRANSPOSE(Dists!$B7:$X7)*SUM(Capacity!$DI$3:$DI$25/TRANSPOSE(Dists!$B7:$X7))))</f>
        <v>3.89980497386629</v>
      </c>
      <c r="AU8" s="4" t="n">
        <f aca="false" t="array" ref="AU8:AU8">SUM(Capacity!BO8*Demand!AU$3:AU$25*Capacity!$DI$3:$DI$25/(TRANSPOSE(Dists!$B7:$X7)*SUM(Capacity!$DI$3:$DI$25/TRANSPOSE(Dists!$B7:$X7))))</f>
        <v>2.13725465521437</v>
      </c>
      <c r="AV8" s="4" t="n">
        <f aca="false" t="array" ref="AV8:AV8">SUM(Capacity!BP8*Demand!AV$3:AV$25*Capacity!$DI$3:$DI$25/(TRANSPOSE(Dists!$B7:$X7)*SUM(Capacity!$DI$3:$DI$25/TRANSPOSE(Dists!$B7:$X7))))</f>
        <v>0.129013626670086</v>
      </c>
      <c r="AW8" s="4" t="n">
        <f aca="false" t="array" ref="AW8:AW8">SUM(Capacity!BQ8*Demand!AW$3:AW$25*Capacity!$DI$3:$DI$25/(TRANSPOSE(Dists!$B7:$X7)*SUM(Capacity!$DI$3:$DI$25/TRANSPOSE(Dists!$B7:$X7))))</f>
        <v>2.63716190287637</v>
      </c>
      <c r="AX8" s="4" t="n">
        <f aca="false" t="array" ref="AX8:AX8">SUM(Capacity!BR8*Demand!AX$3:AX$25*Capacity!$DI$3:$DI$25/(TRANSPOSE(Dists!$B7:$X7)*SUM(Capacity!$DI$3:$DI$25/TRANSPOSE(Dists!$B7:$X7))))</f>
        <v>0.286142057962022</v>
      </c>
      <c r="AY8" s="4" t="n">
        <f aca="false" t="array" ref="AY8:AY8">SUM(Capacity!BS8*Demand!AY$3:AY$25*Capacity!$DI$3:$DI$25/(TRANSPOSE(Dists!$B7:$X7)*SUM(Capacity!$DI$3:$DI$25/TRANSPOSE(Dists!$B7:$X7))))</f>
        <v>0.308232349155873</v>
      </c>
      <c r="AZ8" s="4" t="n">
        <f aca="false" t="array" ref="AZ8:AZ8">SUM(Capacity!BT8*Demand!AZ$3:AZ$25*Capacity!$DI$3:$DI$25/(TRANSPOSE(Dists!$B7:$X7)*SUM(Capacity!$DI$3:$DI$25/TRANSPOSE(Dists!$B7:$X7))))</f>
        <v>2.18335308009456</v>
      </c>
      <c r="BA8" s="4" t="n">
        <f aca="false">L8*25/(2000*1000*51)</f>
        <v>0.0173076727828199</v>
      </c>
      <c r="BB8" s="4" t="n">
        <f aca="false" t="array" ref="BB8:BB8">SUM(Capacity!BV8*Demand!BB$3:BB$25*Capacity!$DI$3:$DI$25/(TRANSPOSE(Dists!$B7:$X7)*SUM(Capacity!$DI$3:$DI$25/TRANSPOSE(Dists!$B7:$X7))))</f>
        <v>0.313256054460011</v>
      </c>
      <c r="BC8" s="4" t="n">
        <f aca="false" t="array" ref="BC8:BC8">SUM(Capacity!BW8*Demand!BC$3:BC$25*Capacity!$DI$3:$DI$25/(TRANSPOSE(Dists!$B7:$X7)*SUM(Capacity!$DI$3:$DI$25/TRANSPOSE(Dists!$B7:$X7))))</f>
        <v>0.223614244785941</v>
      </c>
      <c r="BD8" s="4" t="n">
        <f aca="false" t="array" ref="BD8:BD8">SUM(Capacity!BX8*Demand!BD$3:BD$25*Capacity!$DI$3:$DI$25/(TRANSPOSE(Dists!$B7:$X7)*SUM(Capacity!$DI$3:$DI$25/TRANSPOSE(Dists!$B7:$X7))))</f>
        <v>0.155855748946403</v>
      </c>
      <c r="BE8" s="4" t="n">
        <f aca="false" t="array" ref="BE8:BE8">SUM(Capacity!BY8*Demand!BE$3:BE$25*Capacity!$DI$3:$DI$25/(TRANSPOSE(Dists!$B7:$X7)*SUM(Capacity!$DI$3:$DI$25/TRANSPOSE(Dists!$B7:$X7))))</f>
        <v>0.0788707670851489</v>
      </c>
      <c r="BF8" s="4" t="n">
        <f aca="false" t="array" ref="BF8:BF8">SUM(Capacity!BZ8*Demand!BF$3:BF$25*Capacity!$DI$3:$DI$25/(TRANSPOSE(Dists!$B7:$X7)*SUM(Capacity!$DI$3:$DI$25/TRANSPOSE(Dists!$B7:$X7))))</f>
        <v>3.84076422522896</v>
      </c>
      <c r="BG8" s="4" t="n">
        <f aca="false" t="array" ref="BG8:BG8">SUM(Capacity!CA8*Demand!BG$3:BG$25*Capacity!$DI$3:$DI$25/(TRANSPOSE(Dists!$B7:$X7)*SUM(Capacity!$DI$3:$DI$25/TRANSPOSE(Dists!$B7:$X7))))</f>
        <v>10.1864464756254</v>
      </c>
      <c r="BH8" s="4" t="n">
        <f aca="false" t="array" ref="BH8:BH8">SUM(Capacity!CB8*Demand!BH$3:BH$25*Capacity!$DI$3:$DI$25/(TRANSPOSE(Dists!$B7:$X7)*SUM(Capacity!$DI$3:$DI$25/TRANSPOSE(Dists!$B7:$X7))))</f>
        <v>18.84008015026</v>
      </c>
      <c r="BI8" s="4" t="n">
        <f aca="false" t="array" ref="BI8:BI8">SUM(Capacity!CC8*Demand!BI8*Capacity!$DI$3:$DI$25/(TRANSPOSE(Dists!$B7:$X7)*SUM(Capacity!$DI$3:$DI$25/TRANSPOSE(Dists!$B7:$X7))))</f>
        <v>26.9200954897659</v>
      </c>
      <c r="BJ8" s="4" t="n">
        <f aca="false" t="array" ref="BJ8:BJ8">SUM(Capacity!CD8*Demand!BJ8*Capacity!$DI$3:$DI$25/(TRANSPOSE(Dists!$B7:$X7)*SUM(Capacity!$DI$3:$DI$25/TRANSPOSE(Dists!$B7:$X7))))</f>
        <v>783.993964974056</v>
      </c>
      <c r="BK8" s="4" t="n">
        <f aca="false" t="array" ref="BK8:BK8">SUM(Capacity!CE8*Demand!BK8*Capacity!$DI$3:$DI$25/(TRANSPOSE(Dists!$B7:$X7)*SUM(Capacity!$DI$3:$DI$25/TRANSPOSE(Dists!$B7:$X7))))</f>
        <v>13.4600477448829</v>
      </c>
      <c r="BL8" s="4" t="n">
        <f aca="false" t="array" ref="BL8:BL8">SUM(Capacity!CF8*Demand!BL8*Capacity!$DI$3:$DI$25/(TRANSPOSE(Dists!$B7:$X7)*SUM(Capacity!$DI$3:$DI$25/TRANSPOSE(Dists!$B7:$X7))))</f>
        <v>890.632430315879</v>
      </c>
      <c r="BM8" s="4" t="n">
        <f aca="false" t="array" ref="BM8:BM8">SUM(Capacity!CG8*Demand!BM8*Capacity!$DI$3:$DI$25/(TRANSPOSE(Dists!$B7:$X7)*SUM(Capacity!$DI$3:$DI$25/TRANSPOSE(Dists!$B7:$X7))))</f>
        <v>42.8817987210579</v>
      </c>
      <c r="BN8" s="4" t="n">
        <f aca="false">MAX($BO8/0.006,$BP8/0.7,$BR8/0.002,$BS8/0.001)</f>
        <v>0.000297128859555309</v>
      </c>
      <c r="BO8" s="4" t="n">
        <f aca="false" t="array" ref="BO8:BO8">SUM(Capacity!CI8*Demand!BO8*Capacity!$DI$3:$DI$25/(TRANSPOSE(Dists!$B7:$X7)*SUM(Capacity!$DI$3:$DI$25/TRANSPOSE(Dists!$B7:$X7))))</f>
        <v>1.78277315733185E-006</v>
      </c>
      <c r="BP8" s="4" t="n">
        <f aca="false" t="array" ref="BP8:BP8">SUM(Capacity!CJ8*Demand!BP8*Capacity!$DI$3:$DI$25/(TRANSPOSE(Dists!$B7:$X7)*SUM(Capacity!$DI$3:$DI$25/TRANSPOSE(Dists!$B7:$X7))))</f>
        <v>2.47790148022964E-008</v>
      </c>
      <c r="BQ8" s="4" t="n">
        <f aca="false">BN8*0.65</f>
        <v>0.000193133758710951</v>
      </c>
      <c r="BR8" s="4" t="n">
        <f aca="false" t="array" ref="BR8:BR8">SUM(Capacity!CL8*Demand!BR8*Capacity!$DI$3:$DI$25/(TRANSPOSE(Dists!$B7:$X7)*SUM(Capacity!$DI$3:$DI$25/TRANSPOSE(Dists!$B7:$X7))))</f>
        <v>1.78277315733185E-007</v>
      </c>
      <c r="BS8" s="4" t="n">
        <f aca="false" t="array" ref="BS8:BS8">SUM(Capacity!CM8*Demand!BS8*Capacity!$DI$3:$DI$25/(TRANSPOSE(Dists!$B7:$X7)*SUM(Capacity!$DI$3:$DI$25/TRANSPOSE(Dists!$B7:$X7))))</f>
        <v>3.56554527427516E-008</v>
      </c>
      <c r="BT8" s="4" t="n">
        <f aca="false" t="array" ref="BT8:BT8">SUM(Capacity!CN8*Demand!BT8*Capacity!$DI$3:$DI$25/(TRANSPOSE(Dists!$B7:$X7)*SUM(Capacity!$DI$3:$DI$25/TRANSPOSE(Dists!$B7:$X7))))</f>
        <v>4.55313830859121</v>
      </c>
      <c r="BU8" s="4" t="n">
        <f aca="false" t="array" ref="BU8:BU8">SUM(Capacity!CO8*Demand!BU8*Capacity!$DI$3:$DI$25/(TRANSPOSE(Dists!$B7:$X7)*SUM(Capacity!$DI$3:$DI$25/TRANSPOSE(Dists!$B7:$X7))))</f>
        <v>0.455313830859121</v>
      </c>
      <c r="BV8" s="4" t="n">
        <f aca="false" t="array" ref="BV8:BV8">SUM(Capacity!CP8*Demand!BV8*Capacity!$DI$3:$DI$25/(TRANSPOSE(Dists!$B7:$X7)*SUM(Capacity!$DI$3:$DI$25/TRANSPOSE(Dists!$B7:$X7))))</f>
        <v>0.0455313830859121</v>
      </c>
      <c r="BW8" s="4" t="n">
        <f aca="false">E36*2*8.34/6</f>
        <v>1379.56228944471</v>
      </c>
      <c r="BX8" s="4" t="n">
        <f aca="false" t="array" ref="BX8:BX8">SUM(Capacity!CR8*Demand!BX8*Capacity!$DI$3:$DI$25/(TRANSPOSE(Dists!$B7:$X7)*SUM(Capacity!$DI$3:$DI$25/TRANSPOSE(Dists!$B7:$X7))))</f>
        <v>7.89659014802018</v>
      </c>
      <c r="BY8" s="4" t="n">
        <f aca="false" t="array" ref="BY8:BY8">SUM(Capacity!CS8*Demand!BY8*Capacity!$DI$3:$DI$25/(TRANSPOSE(Dists!$B7:$X7)*SUM(Capacity!$DI$3:$DI$25/TRANSPOSE(Dists!$B7:$X7))))</f>
        <v>115.363600901535</v>
      </c>
      <c r="BZ8" s="4" t="n">
        <f aca="false" t="array" ref="BZ8:BZ8">SUM(Capacity!CT8*Demand!BZ8*Capacity!$DI$3:$DI$25/(TRANSPOSE(Dists!$B7:$X7)*SUM(Capacity!$DI$3:$DI$25/TRANSPOSE(Dists!$B7:$X7))))</f>
        <v>0.895940630656143</v>
      </c>
      <c r="CA8" s="4" t="n">
        <f aca="false" t="array" ref="CA8:CA8">SUM(Capacity!CU8*Demand!CA8*Capacity!$DI$3:$DI$25/(TRANSPOSE(Dists!$B7:$X7)*SUM(Capacity!$DI$3:$DI$25/TRANSPOSE(Dists!$B7:$X7))))</f>
        <v>0.0413115772476025</v>
      </c>
      <c r="CB8" s="4" t="n">
        <f aca="false" t="array" ref="CB8:CB8">SUM(Capacity!CV8*Demand!CB8*Capacity!$DI$3:$DI$25/(TRANSPOSE(Dists!$B7:$X7)*SUM(Capacity!$DI$3:$DI$25/TRANSPOSE(Dists!$B7:$X7))))</f>
        <v>586.917060395445</v>
      </c>
      <c r="CC8" s="4" t="n">
        <f aca="false" t="array" ref="CC8:CC8">SUM(Capacity!CW8*Demand!CC8*Capacity!$DI$3:$DI$25/(TRANSPOSE(Dists!$B7:$X7)*SUM(Capacity!$DI$3:$DI$25/TRANSPOSE(Dists!$B7:$X7))))</f>
        <v>392.372646462042</v>
      </c>
      <c r="CD8" s="4" t="n">
        <f aca="false">SUM($BG36,$BI36,$BK36)*Capacity!CX8/SUM(Capacity!$AM8:$AN8,Capacity!$CX8)</f>
        <v>47.4807446901676</v>
      </c>
      <c r="CE8" s="4" t="n">
        <f aca="false" t="array" ref="CE8:CE8">SUM(Capacity!CY8*Demand!CE8*Capacity!$DI$3:$DI$25/(TRANSPOSE(Dists!$B7:$X7)*SUM(Capacity!$DI$3:$DI$25/TRANSPOSE(Dists!$B7:$X7))))</f>
        <v>12.0914352267626</v>
      </c>
      <c r="CF8" s="4" t="n">
        <f aca="false" t="array" ref="CF8:CF8">SUM(Capacity!CZ8*Demand!CF8*Capacity!$DI$3:$DI$25/(TRANSPOSE(Dists!$B7:$X7)*SUM(Capacity!$DI$3:$DI$25/TRANSPOSE(Dists!$B7:$X7))))</f>
        <v>1051.86814378237</v>
      </c>
      <c r="CG8" s="4" t="n">
        <f aca="false" t="array" ref="CG8:CG8">SUM(Capacity!DA8*Demand!CG8*Capacity!$DI$3:$DI$25/(TRANSPOSE(Dists!$B7:$X7)*SUM(Capacity!$DI$3:$DI$25/TRANSPOSE(Dists!$B7:$X7))))</f>
        <v>7.43207627615337E-005</v>
      </c>
      <c r="CH8" s="4" t="n">
        <f aca="false" t="array" ref="CH8:CH8">SUM(Capacity!DB8*Demand!CH8*Capacity!$DI$3:$DI$25/(TRANSPOSE(Dists!$B7:$X7)*SUM(Capacity!$DI$3:$DI$25/TRANSPOSE(Dists!$B7:$X7))))</f>
        <v>5.74731134379523E-006</v>
      </c>
      <c r="CI8" s="4" t="n">
        <f aca="false" t="array" ref="CI8:CI8">SUM(Capacity!DC8*Demand!CI8*Capacity!$DI$3:$DI$25/(TRANSPOSE(Dists!$B7:$X7)*SUM(Capacity!$DI$3:$DI$25/TRANSPOSE(Dists!$B7:$X7))))</f>
        <v>0.278800274196235</v>
      </c>
      <c r="CJ8" s="4" t="n">
        <f aca="false" t="array" ref="CJ8:CJ8">SUM(Capacity!DD8*Demand!CJ8*Capacity!$DI$3:$DI$25/(TRANSPOSE(Dists!$B7:$X7)*SUM(Capacity!$DI$3:$DI$25/TRANSPOSE(Dists!$B7:$X7))))</f>
        <v>0.0150173969301964</v>
      </c>
      <c r="CK8" s="4" t="n">
        <f aca="false" t="array" ref="CK8:CK8">SUM(Capacity!DE8*Demand!CK8*Capacity!$DI$3:$DI$25/(TRANSPOSE(Dists!$B7:$X7)*SUM(Capacity!$DI$3:$DI$25/TRANSPOSE(Dists!$B7:$X7))))</f>
        <v>9.55703622160831</v>
      </c>
      <c r="CL8" s="7" t="s">
        <v>320</v>
      </c>
    </row>
    <row r="9" customFormat="false" ht="12.8" hidden="false" customHeight="false" outlineLevel="0" collapsed="false">
      <c r="A9" s="4" t="s">
        <v>141</v>
      </c>
      <c r="B9" s="7" t="s">
        <v>39</v>
      </c>
      <c r="C9" s="4" t="n">
        <f aca="false" t="array" ref="C9:C9">SUM(Capacity!S9*Demand!C9*Capacity!$DH$3:$DH$25/(TRANSPOSE(Dists!$B8:$X8)*SUM(Capacity!$DH$3:$DH$25/TRANSPOSE(Dists!$B8:$X8))))</f>
        <v>0.00852901191816694</v>
      </c>
      <c r="D9" s="4" t="n">
        <f aca="false" t="array" ref="D9:D9">SUM(Capacity!V9*Demand!D9*Capacity!$DH$3:$DH$25/(TRANSPOSE(Dists!$B8:$X8)*SUM(Capacity!$DH$3:$DH$25/TRANSPOSE(Dists!$B8:$X8))))</f>
        <v>1056.41380586911</v>
      </c>
      <c r="E9" s="4" t="n">
        <f aca="false" t="array" ref="E9:E9">SUM(Capacity!Y9*Demand!E9*Capacity!$DH$3:$DH$25/(TRANSPOSE(Dists!$B8:$X8)*SUM(Capacity!$DH$3:$DH$25/TRANSPOSE(Dists!$B8:$X8))))</f>
        <v>484.504288559915</v>
      </c>
      <c r="F9" s="4" t="n">
        <f aca="false">$E9*Capacity!$M9/(2*(1-Capacity!$H$28)*Capacity!$H9)</f>
        <v>173.756831547137</v>
      </c>
      <c r="G9" s="4" t="n">
        <f aca="false" t="array" ref="G9:G9">SUM(Capacity!AA9*Demand!G9*Capacity!$DH$3:$DH$25/(TRANSPOSE(Dists!$B8:$X8)*SUM(Capacity!$DH$3:$DH$25/TRANSPOSE(Dists!$B8:$X8))))</f>
        <v>271.336283589998</v>
      </c>
      <c r="H9" s="4" t="n">
        <f aca="false" t="array" ref="H9:H9">SUM(Capacity!AB9*Demand!H9*Capacity!$DH$3:$DH$25/(TRANSPOSE(Dists!$B8:$X8)*SUM(Capacity!$DH$3:$DH$25/TRANSPOSE(Dists!$B8:$X8))))</f>
        <v>2.32621363076896</v>
      </c>
      <c r="I9" s="4" t="n">
        <f aca="false" t="array" ref="I9:I9">SUM(Capacity!AC9*Demand!I$3:I$25*Capacity!$DG$3:$DG$25/(TRANSPOSE(Dists!$B8:$X8)*SUM(Capacity!$DG$3:$DG$25/TRANSPOSE(Dists!$B8:$X8))))</f>
        <v>1.60803615123129</v>
      </c>
      <c r="J9" s="4" t="n">
        <f aca="false" t="array" ref="J9:J9">SUM(Capacity!AD9*Demand!J$3:J$25*Capacity!$DG$3:$DG$25/(TRANSPOSE(Dists!$B8:$X8)*SUM(Capacity!$DG$3:$DG$25/TRANSPOSE(Dists!$B8:$X8))))</f>
        <v>1.10124131876871</v>
      </c>
      <c r="K9" s="4" t="n">
        <f aca="false">5479.45205479452*$R9</f>
        <v>508124.874775067</v>
      </c>
      <c r="L9" s="4" t="n">
        <f aca="false">17142.8571428571*$S9</f>
        <v>83601.3625249846</v>
      </c>
      <c r="M9" s="4" t="n">
        <f aca="false">IF(50420.1680672269*$T9&gt;($K9/20),50420.1680672269*$T9-($K9/20),0)</f>
        <v>112020.653562592</v>
      </c>
      <c r="N9" s="4" t="n">
        <f aca="false" t="array" ref="N9:N9">SUM(Capacity!AH9*Demand!N9*Capacity!$DH$3:$DH$25/(TRANSPOSE(Dists!$B8:$X8)*SUM(Capacity!$DH$3:$DH$25/TRANSPOSE(Dists!$B8:$X8))))</f>
        <v>769.332507734295</v>
      </c>
      <c r="O9" s="4" t="n">
        <f aca="false">D37/0.8</f>
        <v>1426.57138727452</v>
      </c>
      <c r="P9" s="4" t="n">
        <f aca="false">O9/0.8</f>
        <v>1783.21423409315</v>
      </c>
      <c r="Q9" s="4" t="n">
        <f aca="false" t="array" ref="Q9:Q9">SUM(Capacity!AK9*Demand!Q9*Capacity!$DI$3:$DI$25/(TRANSPOSE(Dists!$B8:$X8)*SUM(Capacity!$DI$3:$DI$25/TRANSPOSE(Dists!$B8:$X8))))</f>
        <v>7.18099029851736</v>
      </c>
      <c r="R9" s="4" t="n">
        <f aca="false" t="array" ref="R9:R9">SUM(Capacity!AL9*Demand!R9*Capacity!$DH$3:$DH$25/(TRANSPOSE(Dists!$B8:$X8)*SUM(Capacity!$DH$3:$DH$25/TRANSPOSE(Dists!$B8:$X8))))</f>
        <v>92.7327896464497</v>
      </c>
      <c r="S9" s="4" t="n">
        <f aca="false">SUM($BG37,$BI37,$BK37)*Capacity!AM9/SUM(Capacity!$AM9:$AN9,Capacity!$CX9)</f>
        <v>4.87674614729078</v>
      </c>
      <c r="T9" s="4" t="n">
        <f aca="false">SUM($BG37,$BI37,$BK37)*Capacity!AN9/SUM(Capacity!$AM9:$AN9,Capacity!$CX9)</f>
        <v>2.72563346314334</v>
      </c>
      <c r="U9" s="4" t="n">
        <f aca="false">$M9*120*2/(16*1000*2000)</f>
        <v>0.840154901719437</v>
      </c>
      <c r="V9" s="4" t="n">
        <f aca="false" t="array" ref="V9:V9">SUM(Capacity!AP9*Demand!V$3:V$25*Capacity!$DH$3:$DH$25/(TRANSPOSE(Dists!$B8:$X8)*SUM(Capacity!$DH$3:$DH$25/TRANSPOSE(Dists!$B8:$X8))))</f>
        <v>151.337244294187</v>
      </c>
      <c r="W9" s="4" t="n">
        <f aca="false" t="array" ref="W9:W9">SUM(Capacity!AQ9*Demand!W$3:W$25*Capacity!$DH$3:$DH$25/(TRANSPOSE(Dists!$B8:$X8)*SUM(Capacity!$DH$3:$DH$25/TRANSPOSE(Dists!$B8:$X8))))</f>
        <v>669.36157432311</v>
      </c>
      <c r="X9" s="4" t="n">
        <f aca="false" t="array" ref="X9:X9">SUM(Capacity!AR9*Demand!X$3:X$25*Capacity!$DH$3:$DH$25/(TRANSPOSE(Dists!$B8:$X8)*SUM(Capacity!$DH$3:$DH$25/TRANSPOSE(Dists!$B8:$X8))))</f>
        <v>737.349534425061</v>
      </c>
      <c r="Y9" s="4" t="n">
        <f aca="false">$L9*600*6/(90*1000*2000)</f>
        <v>1.67202725049969</v>
      </c>
      <c r="Z9" s="4" t="n">
        <f aca="false" t="array" ref="Z9:Z9">SUM(Capacity!AT9*Demand!Z$3:Z$25*Capacity!$DI$3:$DI$25/(TRANSPOSE(Dists!$B8:$X8)*SUM(Capacity!$DI$3:$DI$25/TRANSPOSE(Dists!$B8:$X8))))</f>
        <v>68.5669593578357</v>
      </c>
      <c r="AA9" s="4" t="n">
        <f aca="false" t="array" ref="AA9:AA9">SUM(Capacity!AU9*Demand!AA$3:AA$25*Capacity!$DI$3:$DI$25/(TRANSPOSE(Dists!$B8:$X8)*SUM(Capacity!$DI$3:$DI$25/TRANSPOSE(Dists!$B8:$X8))))</f>
        <v>31.307096711803</v>
      </c>
      <c r="AB9" s="4" t="n">
        <f aca="false" t="array" ref="AB9:AB9">SUM(Capacity!AV9*Demand!AB$3:AB$25*Capacity!$DI$3:$DI$25/(TRANSPOSE(Dists!$B8:$X8)*SUM(Capacity!$DI$3:$DI$25/TRANSPOSE(Dists!$B8:$X8))))</f>
        <v>34.2308773329892</v>
      </c>
      <c r="AC9" s="4" t="n">
        <f aca="false" t="array" ref="AC9:AC9">SUM(Capacity!AW9*Demand!AC$3:AC$25*Capacity!$DI$3:$DI$25/(TRANSPOSE(Dists!$B8:$X8)*SUM(Capacity!$DI$3:$DI$25/TRANSPOSE(Dists!$B8:$X8))))</f>
        <v>7.02554591699657</v>
      </c>
      <c r="AD9" s="4" t="n">
        <f aca="false" t="array" ref="AD9:AD9">SUM(Capacity!AX9*Demand!AD$3:AD$25*Capacity!$DI$3:$DI$25/(TRANSPOSE(Dists!$B8:$X8)*SUM(Capacity!$DI$3:$DI$25/TRANSPOSE(Dists!$B8:$X8))))</f>
        <v>5.60395958837581</v>
      </c>
      <c r="AE9" s="4" t="n">
        <f aca="false" t="array" ref="AE9:AE9">SUM(Capacity!AY9*Demand!AE$3:AE$25*Capacity!$DI$3:$DI$25/(TRANSPOSE(Dists!$B8:$X8)*SUM(Capacity!$DI$3:$DI$25/TRANSPOSE(Dists!$B8:$X8))))</f>
        <v>4.49496901969301</v>
      </c>
      <c r="AF9" s="4" t="n">
        <f aca="false" t="array" ref="AF9:AF9">SUM(Capacity!AZ9*Demand!AF$3:AF$25*Capacity!$DI$3:$DI$25/(TRANSPOSE(Dists!$B8:$X8)*SUM(Capacity!$DI$3:$DI$25/TRANSPOSE(Dists!$B8:$X8))))</f>
        <v>0.625486232606549</v>
      </c>
      <c r="AG9" s="4" t="n">
        <f aca="false" t="array" ref="AG9:AG9">SUM(Capacity!BA9*Demand!AG$3:AG$25*Capacity!$DI$3:$DI$25/(TRANSPOSE(Dists!$B8:$X8)*SUM(Capacity!$DI$3:$DI$25/TRANSPOSE(Dists!$B8:$X8))))</f>
        <v>3.72487811621219</v>
      </c>
      <c r="AH9" s="4" t="n">
        <f aca="false" t="array" ref="AH9:AH9">SUM(Capacity!BB9*Demand!AH$3:AH$25*Capacity!$DI$3:$DI$25/(TRANSPOSE(Dists!$B8:$X8)*SUM(Capacity!$DI$3:$DI$25/TRANSPOSE(Dists!$B8:$X8))))</f>
        <v>3.5127145679561</v>
      </c>
      <c r="AI9" s="4" t="n">
        <f aca="false" t="array" ref="AI9:AI9">SUM(Capacity!BC9*Demand!AI$3:AI$25*Capacity!$DI$3:$DI$25/(TRANSPOSE(Dists!$B8:$X8)*SUM(Capacity!$DI$3:$DI$25/TRANSPOSE(Dists!$B8:$X8))))</f>
        <v>0.374121992714068</v>
      </c>
      <c r="AJ9" s="4" t="n">
        <f aca="false" t="array" ref="AJ9:AJ9">SUM(Capacity!BD9*Demand!AJ$3:AJ$25*Capacity!$DI$3:$DI$25/(TRANSPOSE(Dists!$B8:$X8)*SUM(Capacity!$DI$3:$DI$25/TRANSPOSE(Dists!$B8:$X8))))</f>
        <v>1.12293747615077</v>
      </c>
      <c r="AK9" s="4" t="n">
        <f aca="false" t="array" ref="AK9:AK9">SUM(Capacity!BE9*Demand!AK$3:AK$25*Capacity!$DI$3:$DI$25/(TRANSPOSE(Dists!$B8:$X8)*SUM(Capacity!$DI$3:$DI$25/TRANSPOSE(Dists!$B8:$X8))))</f>
        <v>0.691650729598815</v>
      </c>
      <c r="AL9" s="4" t="n">
        <f aca="false" t="array" ref="AL9:AL9">SUM(Capacity!BF9*Demand!AL$3:AL$25*Capacity!$DI$3:$DI$25/(TRANSPOSE(Dists!$B8:$X8)*SUM(Capacity!$DI$3:$DI$25/TRANSPOSE(Dists!$B8:$X8))))</f>
        <v>0.386312184673836</v>
      </c>
      <c r="AM9" s="4" t="n">
        <f aca="false" t="array" ref="AM9:AM9">SUM(Capacity!BG9*Demand!AM$3:AM$25*Capacity!$DI$3:$DI$25/(TRANSPOSE(Dists!$B8:$X8)*SUM(Capacity!$DI$3:$DI$25/TRANSPOSE(Dists!$B8:$X8))))</f>
        <v>1.35208941523996</v>
      </c>
      <c r="AN9" s="4" t="n">
        <f aca="false" t="array" ref="AN9:AN9">SUM(Capacity!BH9*Demand!AN$3:AN$25*Capacity!$DI$3:$DI$25/(TRANSPOSE(Dists!$B8:$X8)*SUM(Capacity!$DI$3:$DI$25/TRANSPOSE(Dists!$B8:$X8))))</f>
        <v>0.748780967273175</v>
      </c>
      <c r="AO9" s="4" t="n">
        <f aca="false" t="array" ref="AO9:AO9">SUM(Capacity!BI9*Demand!AO$3:AO$25*Capacity!$DI$3:$DI$25/(TRANSPOSE(Dists!$B8:$X8)*SUM(Capacity!$DI$3:$DI$25/TRANSPOSE(Dists!$B8:$X8))))</f>
        <v>1.35652946394453</v>
      </c>
      <c r="AP9" s="4" t="n">
        <f aca="false" t="array" ref="AP9:AP9">SUM(Capacity!BJ9*Demand!AP$3:AP$25*Capacity!$DI$3:$DI$25/(TRANSPOSE(Dists!$B8:$X8)*SUM(Capacity!$DI$3:$DI$25/TRANSPOSE(Dists!$B8:$X8))))</f>
        <v>1.30231688191513</v>
      </c>
      <c r="AQ9" s="4" t="n">
        <f aca="false" t="array" ref="AQ9:AQ9">SUM(Capacity!BK9*Demand!AQ$3:AQ$25*Capacity!$DI$3:$DI$25/(TRANSPOSE(Dists!$B8:$X8)*SUM(Capacity!$DI$3:$DI$25/TRANSPOSE(Dists!$B8:$X8))))</f>
        <v>0.113973824123626</v>
      </c>
      <c r="AR9" s="4" t="n">
        <f aca="false" t="array" ref="AR9:AR9">SUM(Capacity!BL9*Demand!AR$3:AR$25*Capacity!$DI$3:$DI$25/(TRANSPOSE(Dists!$B8:$X8)*SUM(Capacity!$DI$3:$DI$25/TRANSPOSE(Dists!$B8:$X8))))</f>
        <v>0.164142487465664</v>
      </c>
      <c r="AS9" s="4" t="n">
        <f aca="false" t="array" ref="AS9:AS9">SUM(Capacity!BM9*Demand!AS$3:AS$25*Capacity!$DI$3:$DI$25/(TRANSPOSE(Dists!$B8:$X8)*SUM(Capacity!$DI$3:$DI$25/TRANSPOSE(Dists!$B8:$X8))))</f>
        <v>0.390775136735509</v>
      </c>
      <c r="AT9" s="4" t="n">
        <f aca="false" t="array" ref="AT9:AT9">SUM(Capacity!BN9*Demand!AT$3:AT$25*Capacity!$DI$3:$DI$25/(TRANSPOSE(Dists!$B8:$X8)*SUM(Capacity!$DI$3:$DI$25/TRANSPOSE(Dists!$B8:$X8))))</f>
        <v>3.28390737812595</v>
      </c>
      <c r="AU9" s="4" t="n">
        <f aca="false" t="array" ref="AU9:AU9">SUM(Capacity!BO9*Demand!AU$3:AU$25*Capacity!$DI$3:$DI$25/(TRANSPOSE(Dists!$B8:$X8)*SUM(Capacity!$DI$3:$DI$25/TRANSPOSE(Dists!$B8:$X8))))</f>
        <v>3.66337305430657</v>
      </c>
      <c r="AV9" s="4" t="n">
        <f aca="false" t="array" ref="AV9:AV9">SUM(Capacity!BP9*Demand!AV$3:AV$25*Capacity!$DI$3:$DI$25/(TRANSPOSE(Dists!$B8:$X8)*SUM(Capacity!$DI$3:$DI$25/TRANSPOSE(Dists!$B8:$X8))))</f>
        <v>0.138691455206079</v>
      </c>
      <c r="AW9" s="4" t="n">
        <f aca="false" t="array" ref="AW9:AW9">SUM(Capacity!BQ9*Demand!AW$3:AW$25*Capacity!$DI$3:$DI$25/(TRANSPOSE(Dists!$B8:$X8)*SUM(Capacity!$DI$3:$DI$25/TRANSPOSE(Dists!$B8:$X8))))</f>
        <v>3.87652020475752</v>
      </c>
      <c r="AX9" s="4" t="n">
        <f aca="false" t="array" ref="AX9:AX9">SUM(Capacity!BR9*Demand!AX$3:AX$25*Capacity!$DI$3:$DI$25/(TRANSPOSE(Dists!$B8:$X8)*SUM(Capacity!$DI$3:$DI$25/TRANSPOSE(Dists!$B8:$X8))))</f>
        <v>0.45074056616978</v>
      </c>
      <c r="AY9" s="4" t="n">
        <f aca="false" t="array" ref="AY9:AY9">SUM(Capacity!BS9*Demand!AY$3:AY$25*Capacity!$DI$3:$DI$25/(TRANSPOSE(Dists!$B8:$X8)*SUM(Capacity!$DI$3:$DI$25/TRANSPOSE(Dists!$B8:$X8))))</f>
        <v>0.397860565461941</v>
      </c>
      <c r="AZ9" s="4" t="n">
        <f aca="false" t="array" ref="AZ9:AZ9">SUM(Capacity!BT9*Demand!AZ$3:AZ$25*Capacity!$DI$3:$DI$25/(TRANSPOSE(Dists!$B8:$X8)*SUM(Capacity!$DI$3:$DI$25/TRANSPOSE(Dists!$B8:$X8))))</f>
        <v>2.73075400330786</v>
      </c>
      <c r="BA9" s="4" t="n">
        <f aca="false">L9*25/(2000*1000*51)</f>
        <v>0.0204905300306335</v>
      </c>
      <c r="BB9" s="4" t="n">
        <f aca="false" t="array" ref="BB9:BB9">SUM(Capacity!BV9*Demand!BB$3:BB$25*Capacity!$DI$3:$DI$25/(TRANSPOSE(Dists!$B8:$X8)*SUM(Capacity!$DI$3:$DI$25/TRANSPOSE(Dists!$B8:$X8))))</f>
        <v>0.432057660150369</v>
      </c>
      <c r="BC9" s="4" t="n">
        <f aca="false" t="array" ref="BC9:BC9">SUM(Capacity!BW9*Demand!BC$3:BC$25*Capacity!$DI$3:$DI$25/(TRANSPOSE(Dists!$B8:$X8)*SUM(Capacity!$DI$3:$DI$25/TRANSPOSE(Dists!$B8:$X8))))</f>
        <v>0.216932766058857</v>
      </c>
      <c r="BD9" s="4" t="n">
        <f aca="false" t="array" ref="BD9:BD9">SUM(Capacity!BX9*Demand!BD$3:BD$25*Capacity!$DI$3:$DI$25/(TRANSPOSE(Dists!$B8:$X8)*SUM(Capacity!$DI$3:$DI$25/TRANSPOSE(Dists!$B8:$X8))))</f>
        <v>0.153843939403759</v>
      </c>
      <c r="BE9" s="4" t="n">
        <f aca="false" t="array" ref="BE9:BE9">SUM(Capacity!BY9*Demand!BE$3:BE$25*Capacity!$DI$3:$DI$25/(TRANSPOSE(Dists!$B8:$X8)*SUM(Capacity!$DI$3:$DI$25/TRANSPOSE(Dists!$B8:$X8))))</f>
        <v>0.0926457597785589</v>
      </c>
      <c r="BF9" s="4" t="n">
        <f aca="false" t="array" ref="BF9:BF9">SUM(Capacity!BZ9*Demand!BF$3:BF$25*Capacity!$DI$3:$DI$25/(TRANSPOSE(Dists!$B8:$X8)*SUM(Capacity!$DI$3:$DI$25/TRANSPOSE(Dists!$B8:$X8))))</f>
        <v>4.4350134413425</v>
      </c>
      <c r="BG9" s="4" t="n">
        <f aca="false" t="array" ref="BG9:BG9">SUM(Capacity!CA9*Demand!BG$3:BG$25*Capacity!$DI$3:$DI$25/(TRANSPOSE(Dists!$B8:$X8)*SUM(Capacity!$DI$3:$DI$25/TRANSPOSE(Dists!$B8:$X8))))</f>
        <v>13.9010099925856</v>
      </c>
      <c r="BH9" s="4" t="n">
        <f aca="false" t="array" ref="BH9:BH9">SUM(Capacity!CB9*Demand!BH$3:BH$25*Capacity!$DI$3:$DI$25/(TRANSPOSE(Dists!$B8:$X8)*SUM(Capacity!$DI$3:$DI$25/TRANSPOSE(Dists!$B8:$X8))))</f>
        <v>27.5168101730371</v>
      </c>
      <c r="BI9" s="4" t="n">
        <f aca="false" t="array" ref="BI9:BI9">SUM(Capacity!CC9*Demand!BI9*Capacity!$DI$3:$DI$25/(TRANSPOSE(Dists!$B8:$X8)*SUM(Capacity!$DI$3:$DI$25/TRANSPOSE(Dists!$B8:$X8))))</f>
        <v>28.8368976384225</v>
      </c>
      <c r="BJ9" s="4" t="n">
        <f aca="false" t="array" ref="BJ9:BJ9">SUM(Capacity!CD9*Demand!BJ9*Capacity!$DI$3:$DI$25/(TRANSPOSE(Dists!$B8:$X8)*SUM(Capacity!$DI$3:$DI$25/TRANSPOSE(Dists!$B8:$X8))))</f>
        <v>1599.78588213957</v>
      </c>
      <c r="BK9" s="4" t="n">
        <f aca="false" t="array" ref="BK9:BK9">SUM(Capacity!CE9*Demand!BK9*Capacity!$DI$3:$DI$25/(TRANSPOSE(Dists!$B8:$X8)*SUM(Capacity!$DI$3:$DI$25/TRANSPOSE(Dists!$B8:$X8))))</f>
        <v>14.4184488192113</v>
      </c>
      <c r="BL9" s="4" t="n">
        <f aca="false" t="array" ref="BL9:BL9">SUM(Capacity!CF9*Demand!BL9*Capacity!$DI$3:$DI$25/(TRANSPOSE(Dists!$B8:$X8)*SUM(Capacity!$DI$3:$DI$25/TRANSPOSE(Dists!$B8:$X8))))</f>
        <v>884.852097668667</v>
      </c>
      <c r="BM9" s="4" t="n">
        <f aca="false" t="array" ref="BM9:BM9">SUM(Capacity!CG9*Demand!BM9*Capacity!$DI$3:$DI$25/(TRANSPOSE(Dists!$B8:$X8)*SUM(Capacity!$DI$3:$DI$25/TRANSPOSE(Dists!$B8:$X8))))</f>
        <v>27.4485543230738</v>
      </c>
      <c r="BN9" s="4" t="n">
        <f aca="false">MAX($BO9/0.006,$BP9/0.7,$BR9/0.002,$BS9/0.001)</f>
        <v>0.000641838744894436</v>
      </c>
      <c r="BO9" s="4" t="n">
        <f aca="false" t="array" ref="BO9:BO9">SUM(Capacity!CI9*Demand!BO9*Capacity!$DI$3:$DI$25/(TRANSPOSE(Dists!$B8:$X8)*SUM(Capacity!$DI$3:$DI$25/TRANSPOSE(Dists!$B8:$X8))))</f>
        <v>3.85103246936661E-006</v>
      </c>
      <c r="BP9" s="4" t="n">
        <f aca="false" t="array" ref="BP9:BP9">SUM(Capacity!CJ9*Demand!BP9*Capacity!$DI$3:$DI$25/(TRANSPOSE(Dists!$B8:$X8)*SUM(Capacity!$DI$3:$DI$25/TRANSPOSE(Dists!$B8:$X8))))</f>
        <v>6.049456737131E-008</v>
      </c>
      <c r="BQ9" s="4" t="n">
        <f aca="false">BN9*0.65</f>
        <v>0.000417195184181383</v>
      </c>
      <c r="BR9" s="4" t="n">
        <f aca="false" t="array" ref="BR9:BR9">SUM(Capacity!CL9*Demand!BR9*Capacity!$DI$3:$DI$25/(TRANSPOSE(Dists!$B8:$X8)*SUM(Capacity!$DI$3:$DI$25/TRANSPOSE(Dists!$B8:$X8))))</f>
        <v>3.85103246936661E-007</v>
      </c>
      <c r="BS9" s="4" t="n">
        <f aca="false" t="array" ref="BS9:BS9">SUM(Capacity!CM9*Demand!BS9*Capacity!$DI$3:$DI$25/(TRANSPOSE(Dists!$B8:$X8)*SUM(Capacity!$DI$3:$DI$25/TRANSPOSE(Dists!$B8:$X8))))</f>
        <v>7.70205673757672E-008</v>
      </c>
      <c r="BT9" s="4" t="n">
        <f aca="false" t="array" ref="BT9:BT9">SUM(Capacity!CN9*Demand!BT9*Capacity!$DI$3:$DI$25/(TRANSPOSE(Dists!$B8:$X8)*SUM(Capacity!$DI$3:$DI$25/TRANSPOSE(Dists!$B8:$X8))))</f>
        <v>4.54862155957781</v>
      </c>
      <c r="BU9" s="4" t="n">
        <f aca="false" t="array" ref="BU9:BU9">SUM(Capacity!CO9*Demand!BU9*Capacity!$DI$3:$DI$25/(TRANSPOSE(Dists!$B8:$X8)*SUM(Capacity!$DI$3:$DI$25/TRANSPOSE(Dists!$B8:$X8))))</f>
        <v>0.454862155957781</v>
      </c>
      <c r="BV9" s="4" t="n">
        <f aca="false" t="array" ref="BV9:BV9">SUM(Capacity!CP9*Demand!BV9*Capacity!$DI$3:$DI$25/(TRANSPOSE(Dists!$B8:$X8)*SUM(Capacity!$DI$3:$DI$25/TRANSPOSE(Dists!$B8:$X8))))</f>
        <v>0.0454862155957781</v>
      </c>
      <c r="BW9" s="4" t="n">
        <f aca="false">E37*2*8.34/6</f>
        <v>1645.75950507129</v>
      </c>
      <c r="BX9" s="4" t="n">
        <f aca="false" t="array" ref="BX9:BX9">SUM(Capacity!CR9*Demand!BX9*Capacity!$DI$3:$DI$25/(TRANSPOSE(Dists!$B8:$X8)*SUM(Capacity!$DI$3:$DI$25/TRANSPOSE(Dists!$B8:$X8))))</f>
        <v>9.56473584071569</v>
      </c>
      <c r="BY9" s="4" t="n">
        <f aca="false" t="array" ref="BY9:BY9">SUM(Capacity!CS9*Demand!BY9*Capacity!$DI$3:$DI$25/(TRANSPOSE(Dists!$B8:$X8)*SUM(Capacity!$DI$3:$DI$25/TRANSPOSE(Dists!$B8:$X8))))</f>
        <v>145.989080034484</v>
      </c>
      <c r="BZ9" s="4" t="n">
        <f aca="false" t="array" ref="BZ9:BZ9">SUM(Capacity!CT9*Demand!BZ9*Capacity!$DI$3:$DI$25/(TRANSPOSE(Dists!$B8:$X8)*SUM(Capacity!$DI$3:$DI$25/TRANSPOSE(Dists!$B8:$X8))))</f>
        <v>1.51222144947128</v>
      </c>
      <c r="CA9" s="4" t="n">
        <f aca="false" t="array" ref="CA9:CA9">SUM(Capacity!CU9*Demand!CA9*Capacity!$DI$3:$DI$25/(TRANSPOSE(Dists!$B8:$X8)*SUM(Capacity!$DI$3:$DI$25/TRANSPOSE(Dists!$B8:$X8))))</f>
        <v>0.137391791765796</v>
      </c>
      <c r="CB9" s="4" t="n">
        <f aca="false" t="array" ref="CB9:CB9">SUM(Capacity!CV9*Demand!CB9*Capacity!$DI$3:$DI$25/(TRANSPOSE(Dists!$B8:$X8)*SUM(Capacity!$DI$3:$DI$25/TRANSPOSE(Dists!$B8:$X8))))</f>
        <v>364.876778983058</v>
      </c>
      <c r="CC9" s="4" t="n">
        <f aca="false" t="array" ref="CC9:CC9">SUM(Capacity!CW9*Demand!CC9*Capacity!$DI$3:$DI$25/(TRANSPOSE(Dists!$B8:$X8)*SUM(Capacity!$DI$3:$DI$25/TRANSPOSE(Dists!$B8:$X8))))</f>
        <v>2337.5996672272</v>
      </c>
      <c r="CD9" s="4" t="n">
        <f aca="false">SUM($BG37,$BI37,$BK37)*Capacity!CX9/SUM(Capacity!$AM9:$AN9,Capacity!$CX9)</f>
        <v>56.7006945518976</v>
      </c>
      <c r="CE9" s="4" t="n">
        <f aca="false" t="array" ref="CE9:CE9">SUM(Capacity!CY9*Demand!CE9*Capacity!$DI$3:$DI$25/(TRANSPOSE(Dists!$B8:$X8)*SUM(Capacity!$DI$3:$DI$25/TRANSPOSE(Dists!$B8:$X8))))</f>
        <v>12.0408416690825</v>
      </c>
      <c r="CF9" s="4" t="n">
        <f aca="false" t="array" ref="CF9:CF9">SUM(Capacity!CZ9*Demand!CF9*Capacity!$DI$3:$DI$25/(TRANSPOSE(Dists!$B8:$X8)*SUM(Capacity!$DI$3:$DI$25/TRANSPOSE(Dists!$B8:$X8))))</f>
        <v>1487.8522325574</v>
      </c>
      <c r="CG9" s="4" t="n">
        <f aca="false" t="array" ref="CG9:CG9">SUM(Capacity!DA9*Demand!CG9*Capacity!$DI$3:$DI$25/(TRANSPOSE(Dists!$B8:$X8)*SUM(Capacity!$DI$3:$DI$25/TRANSPOSE(Dists!$B8:$X8))))</f>
        <v>1.72339033767871E-006</v>
      </c>
      <c r="CH9" s="4" t="n">
        <f aca="false" t="array" ref="CH9:CH9">SUM(Capacity!DB9*Demand!CH9*Capacity!$DI$3:$DI$25/(TRANSPOSE(Dists!$B8:$X8)*SUM(Capacity!$DI$3:$DI$25/TRANSPOSE(Dists!$B8:$X8))))</f>
        <v>8.53947026092817E-005</v>
      </c>
      <c r="CI9" s="4" t="n">
        <f aca="false" t="array" ref="CI9:CI9">SUM(Capacity!DC9*Demand!CI9*Capacity!$DI$3:$DI$25/(TRANSPOSE(Dists!$B8:$X8)*SUM(Capacity!$DI$3:$DI$25/TRANSPOSE(Dists!$B8:$X8))))</f>
        <v>0.0553284697711026</v>
      </c>
      <c r="CJ9" s="4" t="n">
        <f aca="false" t="array" ref="CJ9:CJ9">SUM(Capacity!DD9*Demand!CJ9*Capacity!$DI$3:$DI$25/(TRANSPOSE(Dists!$B8:$X8)*SUM(Capacity!$DI$3:$DI$25/TRANSPOSE(Dists!$B8:$X8))))</f>
        <v>0.0119796177903241</v>
      </c>
      <c r="CK9" s="4" t="n">
        <f aca="false" t="array" ref="CK9:CK9">SUM(Capacity!DE9*Demand!CK9*Capacity!$DI$3:$DI$25/(TRANSPOSE(Dists!$B8:$X8)*SUM(Capacity!$DI$3:$DI$25/TRANSPOSE(Dists!$B8:$X8))))</f>
        <v>13.135225586693</v>
      </c>
      <c r="CL9" s="7" t="s">
        <v>320</v>
      </c>
    </row>
    <row r="10" customFormat="false" ht="12.8" hidden="false" customHeight="false" outlineLevel="0" collapsed="false">
      <c r="A10" s="4" t="s">
        <v>142</v>
      </c>
      <c r="B10" s="7" t="s">
        <v>39</v>
      </c>
      <c r="C10" s="4" t="n">
        <f aca="false" t="array" ref="C10:C10">SUM(Capacity!S10*Demand!C10*Capacity!$DH$3:$DH$25/(TRANSPOSE(Dists!$B9:$X9)*SUM(Capacity!$DH$3:$DH$25/TRANSPOSE(Dists!$B9:$X9))))</f>
        <v>0.00356856521368535</v>
      </c>
      <c r="D10" s="4" t="n">
        <f aca="false" t="array" ref="D10:D10">SUM(Capacity!V10*Demand!D10*Capacity!$DH$3:$DH$25/(TRANSPOSE(Dists!$B9:$X9)*SUM(Capacity!$DH$3:$DH$25/TRANSPOSE(Dists!$B9:$X9))))</f>
        <v>210.570627477484</v>
      </c>
      <c r="E10" s="4" t="n">
        <f aca="false" t="array" ref="E10:E10">SUM(Capacity!Y10*Demand!E10*Capacity!$DH$3:$DH$25/(TRANSPOSE(Dists!$B9:$X9)*SUM(Capacity!$DH$3:$DH$25/TRANSPOSE(Dists!$B9:$X9))))</f>
        <v>146.95249375244</v>
      </c>
      <c r="F10" s="4" t="n">
        <f aca="false">$E10*Capacity!$M10/(2*(1-Capacity!$H$28)*Capacity!$H10)</f>
        <v>75.6008012102303</v>
      </c>
      <c r="G10" s="4" t="n">
        <f aca="false" t="array" ref="G10:G10">SUM(Capacity!AA10*Demand!G10*Capacity!$DH$3:$DH$25/(TRANSPOSE(Dists!$B9:$X9)*SUM(Capacity!$DH$3:$DH$25/TRANSPOSE(Dists!$B9:$X9))))</f>
        <v>2.51515175706042</v>
      </c>
      <c r="H10" s="4" t="n">
        <f aca="false" t="array" ref="H10:H10">SUM(Capacity!AB10*Demand!H10*Capacity!$DH$3:$DH$25/(TRANSPOSE(Dists!$B9:$X9)*SUM(Capacity!$DH$3:$DH$25/TRANSPOSE(Dists!$B9:$X9))))</f>
        <v>0.0711673478931205</v>
      </c>
      <c r="I10" s="4" t="n">
        <f aca="false" t="array" ref="I10:I10">SUM(Capacity!AC10*Demand!I$3:I$25*Capacity!$DG$3:$DG$25/(TRANSPOSE(Dists!$B9:$X9)*SUM(Capacity!$DG$3:$DG$25/TRANSPOSE(Dists!$B9:$X9))))</f>
        <v>2.92697632644309</v>
      </c>
      <c r="J10" s="4" t="n">
        <f aca="false" t="array" ref="J10:J10">SUM(Capacity!AD10*Demand!J$3:J$25*Capacity!$DG$3:$DG$25/(TRANSPOSE(Dists!$B9:$X9)*SUM(Capacity!$DG$3:$DG$25/TRANSPOSE(Dists!$B9:$X9))))</f>
        <v>1.88951695355691</v>
      </c>
      <c r="K10" s="4" t="n">
        <f aca="false">5479.45205479452*$R10</f>
        <v>403648.370423354</v>
      </c>
      <c r="L10" s="4" t="n">
        <f aca="false">17142.8571428571*$S10</f>
        <v>69255.4417246593</v>
      </c>
      <c r="M10" s="4" t="n">
        <f aca="false">IF(50420.1680672269*$T10&gt;($K10/20),50420.1680672269*$T10-($K10/20),0)</f>
        <v>93662.1432179985</v>
      </c>
      <c r="N10" s="4" t="n">
        <f aca="false" t="array" ref="N10:N10">SUM(Capacity!AH10*Demand!N10*Capacity!$DH$3:$DH$25/(TRANSPOSE(Dists!$B9:$X9)*SUM(Capacity!$DH$3:$DH$25/TRANSPOSE(Dists!$B9:$X9))))</f>
        <v>122.065354096224</v>
      </c>
      <c r="O10" s="4" t="n">
        <f aca="false">D38/0.8</f>
        <v>725.683078484786</v>
      </c>
      <c r="P10" s="4" t="n">
        <f aca="false">O10/0.8</f>
        <v>907.103848105982</v>
      </c>
      <c r="Q10" s="4" t="n">
        <f aca="false" t="array" ref="Q10:Q10">SUM(Capacity!AK10*Demand!Q10*Capacity!$DI$3:$DI$25/(TRANSPOSE(Dists!$B9:$X9)*SUM(Capacity!$DI$3:$DI$25/TRANSPOSE(Dists!$B9:$X9))))</f>
        <v>0.18981572402747</v>
      </c>
      <c r="R10" s="4" t="n">
        <f aca="false" t="array" ref="R10:R10">SUM(Capacity!AL10*Demand!R10*Capacity!$DH$3:$DH$25/(TRANSPOSE(Dists!$B9:$X9)*SUM(Capacity!$DH$3:$DH$25/TRANSPOSE(Dists!$B9:$X9))))</f>
        <v>73.6658276022622</v>
      </c>
      <c r="S10" s="4" t="n">
        <f aca="false">SUM($BG38,$BI38,$BK38)*Capacity!AM10/SUM(Capacity!$AM10:$AN10,Capacity!$CX10)</f>
        <v>4.0399007672718</v>
      </c>
      <c r="T10" s="4" t="n">
        <f aca="false">SUM($BG38,$BI38,$BK38)*Capacity!AN10/SUM(Capacity!$AM10:$AN10,Capacity!$CX10)</f>
        <v>2.25791714116013</v>
      </c>
      <c r="U10" s="4" t="n">
        <f aca="false">$M10*120*2/(16*1000*2000)</f>
        <v>0.702466074134989</v>
      </c>
      <c r="V10" s="4" t="n">
        <f aca="false" t="array" ref="V10:V10">SUM(Capacity!AP10*Demand!V$3:V$25*Capacity!$DH$3:$DH$25/(TRANSPOSE(Dists!$B9:$X9)*SUM(Capacity!$DH$3:$DH$25/TRANSPOSE(Dists!$B9:$X9))))</f>
        <v>50.6108324053133</v>
      </c>
      <c r="W10" s="4" t="n">
        <f aca="false" t="array" ref="W10:W10">SUM(Capacity!AQ10*Demand!W$3:W$25*Capacity!$DH$3:$DH$25/(TRANSPOSE(Dists!$B9:$X9)*SUM(Capacity!$DH$3:$DH$25/TRANSPOSE(Dists!$B9:$X9))))</f>
        <v>241.639300905875</v>
      </c>
      <c r="X10" s="4" t="n">
        <f aca="false" t="array" ref="X10:X10">SUM(Capacity!AR10*Demand!X$3:X$25*Capacity!$DH$3:$DH$25/(TRANSPOSE(Dists!$B9:$X9)*SUM(Capacity!$DH$3:$DH$25/TRANSPOSE(Dists!$B9:$X9))))</f>
        <v>421.094567629461</v>
      </c>
      <c r="Y10" s="4" t="n">
        <f aca="false">$L10*600*6/(90*1000*2000)</f>
        <v>1.38510883449319</v>
      </c>
      <c r="Z10" s="4" t="n">
        <f aca="false" t="array" ref="Z10:Z10">SUM(Capacity!AT10*Demand!Z$3:Z$25*Capacity!$DI$3:$DI$25/(TRANSPOSE(Dists!$B9:$X9)*SUM(Capacity!$DI$3:$DI$25/TRANSPOSE(Dists!$B9:$X9))))</f>
        <v>0.755981174407004</v>
      </c>
      <c r="AA10" s="4" t="n">
        <f aca="false" t="array" ref="AA10:AA10">SUM(Capacity!AU10*Demand!AA$3:AA$25*Capacity!$DI$3:$DI$25/(TRANSPOSE(Dists!$B9:$X9)*SUM(Capacity!$DI$3:$DI$25/TRANSPOSE(Dists!$B9:$X9))))</f>
        <v>10.9121854468389</v>
      </c>
      <c r="AB10" s="4" t="n">
        <f aca="false" t="array" ref="AB10:AB10">SUM(Capacity!AV10*Demand!AB$3:AB$25*Capacity!$DI$3:$DI$25/(TRANSPOSE(Dists!$B9:$X9)*SUM(Capacity!$DI$3:$DI$25/TRANSPOSE(Dists!$B9:$X9))))</f>
        <v>11.1316940661867</v>
      </c>
      <c r="AC10" s="4" t="n">
        <f aca="false" t="array" ref="AC10:AC10">SUM(Capacity!AW10*Demand!AC$3:AC$25*Capacity!$DI$3:$DI$25/(TRANSPOSE(Dists!$B9:$X9)*SUM(Capacity!$DI$3:$DI$25/TRANSPOSE(Dists!$B9:$X9))))</f>
        <v>2.99968897098236</v>
      </c>
      <c r="AD10" s="4" t="n">
        <f aca="false" t="array" ref="AD10:AD10">SUM(Capacity!AX10*Demand!AD$3:AD$25*Capacity!$DI$3:$DI$25/(TRANSPOSE(Dists!$B9:$X9)*SUM(Capacity!$DI$3:$DI$25/TRANSPOSE(Dists!$B9:$X9))))</f>
        <v>1.82237700454597</v>
      </c>
      <c r="AE10" s="4" t="n">
        <f aca="false" t="array" ref="AE10:AE10">SUM(Capacity!AY10*Demand!AE$3:AE$25*Capacity!$DI$3:$DI$25/(TRANSPOSE(Dists!$B9:$X9)*SUM(Capacity!$DI$3:$DI$25/TRANSPOSE(Dists!$B9:$X9))))</f>
        <v>1.27348184030281</v>
      </c>
      <c r="AF10" s="4" t="n">
        <f aca="false" t="array" ref="AF10:AF10">SUM(Capacity!AZ10*Demand!AF$3:AF$25*Capacity!$DI$3:$DI$25/(TRANSPOSE(Dists!$B9:$X9)*SUM(Capacity!$DI$3:$DI$25/TRANSPOSE(Dists!$B9:$X9))))</f>
        <v>0.271667085489321</v>
      </c>
      <c r="AG10" s="4" t="n">
        <f aca="false" t="array" ref="AG10:AG10">SUM(Capacity!BA10*Demand!AG$3:AG$25*Capacity!$DI$3:$DI$25/(TRANSPOSE(Dists!$B9:$X9)*SUM(Capacity!$DI$3:$DI$25/TRANSPOSE(Dists!$B9:$X9))))</f>
        <v>1.20459421379018</v>
      </c>
      <c r="AH10" s="4" t="n">
        <f aca="false" t="array" ref="AH10:AH10">SUM(Capacity!BB10*Demand!AH$3:AH$25*Capacity!$DI$3:$DI$25/(TRANSPOSE(Dists!$B9:$X9)*SUM(Capacity!$DI$3:$DI$25/TRANSPOSE(Dists!$B9:$X9))))</f>
        <v>1.03451181369367</v>
      </c>
      <c r="AI10" s="4" t="n">
        <f aca="false" t="array" ref="AI10:AI10">SUM(Capacity!BC10*Demand!AI$3:AI$25*Capacity!$DI$3:$DI$25/(TRANSPOSE(Dists!$B9:$X9)*SUM(Capacity!$DI$3:$DI$25/TRANSPOSE(Dists!$B9:$X9))))</f>
        <v>0.144972197395632</v>
      </c>
      <c r="AJ10" s="4" t="n">
        <f aca="false" t="array" ref="AJ10:AJ10">SUM(Capacity!BD10*Demand!AJ$3:AJ$25*Capacity!$DI$3:$DI$25/(TRANSPOSE(Dists!$B9:$X9)*SUM(Capacity!$DI$3:$DI$25/TRANSPOSE(Dists!$B9:$X9))))</f>
        <v>0.457525104625521</v>
      </c>
      <c r="AK10" s="4" t="n">
        <f aca="false" t="array" ref="AK10:AK10">SUM(Capacity!BE10*Demand!AK$3:AK$25*Capacity!$DI$3:$DI$25/(TRANSPOSE(Dists!$B9:$X9)*SUM(Capacity!$DI$3:$DI$25/TRANSPOSE(Dists!$B9:$X9))))</f>
        <v>0.303301466987024</v>
      </c>
      <c r="AL10" s="4" t="n">
        <f aca="false" t="array" ref="AL10:AL10">SUM(Capacity!BF10*Demand!AL$3:AL$25*Capacity!$DI$3:$DI$25/(TRANSPOSE(Dists!$B9:$X9)*SUM(Capacity!$DI$3:$DI$25/TRANSPOSE(Dists!$B9:$X9))))</f>
        <v>0.179247932865125</v>
      </c>
      <c r="AM10" s="4" t="n">
        <f aca="false" t="array" ref="AM10:AM10">SUM(Capacity!BG10*Demand!AM$3:AM$25*Capacity!$DI$3:$DI$25/(TRANSPOSE(Dists!$B9:$X9)*SUM(Capacity!$DI$3:$DI$25/TRANSPOSE(Dists!$B9:$X9))))</f>
        <v>0.409744543298166</v>
      </c>
      <c r="AN10" s="4" t="n">
        <f aca="false" t="array" ref="AN10:AN10">SUM(Capacity!BH10*Demand!AN$3:AN$25*Capacity!$DI$3:$DI$25/(TRANSPOSE(Dists!$B9:$X9)*SUM(Capacity!$DI$3:$DI$25/TRANSPOSE(Dists!$B9:$X9))))</f>
        <v>0.242984499912248</v>
      </c>
      <c r="AO10" s="4" t="n">
        <f aca="false" t="array" ref="AO10:AO10">SUM(Capacity!BI10*Demand!AO$3:AO$25*Capacity!$DI$3:$DI$25/(TRANSPOSE(Dists!$B9:$X9)*SUM(Capacity!$DI$3:$DI$25/TRANSPOSE(Dists!$B9:$X9))))</f>
        <v>0.81741089131149</v>
      </c>
      <c r="AP10" s="4" t="n">
        <f aca="false" t="array" ref="AP10:AP10">SUM(Capacity!BJ10*Demand!AP$3:AP$25*Capacity!$DI$3:$DI$25/(TRANSPOSE(Dists!$B9:$X9)*SUM(Capacity!$DI$3:$DI$25/TRANSPOSE(Dists!$B9:$X9))))</f>
        <v>0.415647455145632</v>
      </c>
      <c r="AQ10" s="4" t="n">
        <f aca="false" t="array" ref="AQ10:AQ10">SUM(Capacity!BK10*Demand!AQ$3:AQ$25*Capacity!$DI$3:$DI$25/(TRANSPOSE(Dists!$B9:$X9)*SUM(Capacity!$DI$3:$DI$25/TRANSPOSE(Dists!$B9:$X9))))</f>
        <v>0.0490595084899494</v>
      </c>
      <c r="AR10" s="4" t="n">
        <f aca="false" t="array" ref="AR10:AR10">SUM(Capacity!BL10*Demand!AR$3:AR$25*Capacity!$DI$3:$DI$25/(TRANSPOSE(Dists!$B9:$X9)*SUM(Capacity!$DI$3:$DI$25/TRANSPOSE(Dists!$B9:$X9))))</f>
        <v>0.0638695751446395</v>
      </c>
      <c r="AS10" s="4" t="n">
        <f aca="false" t="array" ref="AS10:AS10">SUM(Capacity!BM10*Demand!AS$3:AS$25*Capacity!$DI$3:$DI$25/(TRANSPOSE(Dists!$B9:$X9)*SUM(Capacity!$DI$3:$DI$25/TRANSPOSE(Dists!$B9:$X9))))</f>
        <v>0.111217864688752</v>
      </c>
      <c r="AT10" s="4" t="n">
        <f aca="false" t="array" ref="AT10:AT10">SUM(Capacity!BN10*Demand!AT$3:AT$25*Capacity!$DI$3:$DI$25/(TRANSPOSE(Dists!$B9:$X9)*SUM(Capacity!$DI$3:$DI$25/TRANSPOSE(Dists!$B9:$X9))))</f>
        <v>1.46989774248424</v>
      </c>
      <c r="AU10" s="4" t="n">
        <f aca="false" t="array" ref="AU10:AU10">SUM(Capacity!BO10*Demand!AU$3:AU$25*Capacity!$DI$3:$DI$25/(TRANSPOSE(Dists!$B9:$X9)*SUM(Capacity!$DI$3:$DI$25/TRANSPOSE(Dists!$B9:$X9))))</f>
        <v>0.984061622638483</v>
      </c>
      <c r="AV10" s="4" t="n">
        <f aca="false" t="array" ref="AV10:AV10">SUM(Capacity!BP10*Demand!AV$3:AV$25*Capacity!$DI$3:$DI$25/(TRANSPOSE(Dists!$B9:$X9)*SUM(Capacity!$DI$3:$DI$25/TRANSPOSE(Dists!$B9:$X9))))</f>
        <v>0.061419276292943</v>
      </c>
      <c r="AW10" s="4" t="n">
        <f aca="false" t="array" ref="AW10:AW10">SUM(Capacity!BQ10*Demand!AW$3:AW$25*Capacity!$DI$3:$DI$25/(TRANSPOSE(Dists!$B9:$X9)*SUM(Capacity!$DI$3:$DI$25/TRANSPOSE(Dists!$B9:$X9))))</f>
        <v>1.61716733625537</v>
      </c>
      <c r="AX10" s="4" t="n">
        <f aca="false" t="array" ref="AX10:AX10">SUM(Capacity!BR10*Demand!AX$3:AX$25*Capacity!$DI$3:$DI$25/(TRANSPOSE(Dists!$B9:$X9)*SUM(Capacity!$DI$3:$DI$25/TRANSPOSE(Dists!$B9:$X9))))</f>
        <v>0.129379245749647</v>
      </c>
      <c r="AY10" s="4" t="n">
        <f aca="false" t="array" ref="AY10:AY10">SUM(Capacity!BS10*Demand!AY$3:AY$25*Capacity!$DI$3:$DI$25/(TRANSPOSE(Dists!$B9:$X9)*SUM(Capacity!$DI$3:$DI$25/TRANSPOSE(Dists!$B9:$X9))))</f>
        <v>0.137989648333751</v>
      </c>
      <c r="AZ10" s="4" t="n">
        <f aca="false" t="array" ref="AZ10:AZ10">SUM(Capacity!BT10*Demand!AZ$3:AZ$25*Capacity!$DI$3:$DI$25/(TRANSPOSE(Dists!$B9:$X9)*SUM(Capacity!$DI$3:$DI$25/TRANSPOSE(Dists!$B9:$X9))))</f>
        <v>0.866815317669272</v>
      </c>
      <c r="BA10" s="4" t="n">
        <f aca="false">L10*25/(2000*1000*51)</f>
        <v>0.0169743729717302</v>
      </c>
      <c r="BB10" s="4" t="n">
        <f aca="false" t="array" ref="BB10:BB10">SUM(Capacity!BV10*Demand!BB$3:BB$25*Capacity!$DI$3:$DI$25/(TRANSPOSE(Dists!$B9:$X9)*SUM(Capacity!$DI$3:$DI$25/TRANSPOSE(Dists!$B9:$X9))))</f>
        <v>0.152568674491666</v>
      </c>
      <c r="BC10" s="4" t="n">
        <f aca="false" t="array" ref="BC10:BC10">SUM(Capacity!BW10*Demand!BC$3:BC$25*Capacity!$DI$3:$DI$25/(TRANSPOSE(Dists!$B9:$X9)*SUM(Capacity!$DI$3:$DI$25/TRANSPOSE(Dists!$B9:$X9))))</f>
        <v>0.100590398771832</v>
      </c>
      <c r="BD10" s="4" t="n">
        <f aca="false" t="array" ref="BD10:BD10">SUM(Capacity!BX10*Demand!BD$3:BD$25*Capacity!$DI$3:$DI$25/(TRANSPOSE(Dists!$B9:$X9)*SUM(Capacity!$DI$3:$DI$25/TRANSPOSE(Dists!$B9:$X9))))</f>
        <v>0.0598451698880725</v>
      </c>
      <c r="BE10" s="4" t="n">
        <f aca="false" t="array" ref="BE10:BE10">SUM(Capacity!BY10*Demand!BE$3:BE$25*Capacity!$DI$3:$DI$25/(TRANSPOSE(Dists!$B9:$X9)*SUM(Capacity!$DI$3:$DI$25/TRANSPOSE(Dists!$B9:$X9))))</f>
        <v>0.0436623295562259</v>
      </c>
      <c r="BF10" s="4" t="n">
        <f aca="false" t="array" ref="BF10:BF10">SUM(Capacity!BZ10*Demand!BF$3:BF$25*Capacity!$DI$3:$DI$25/(TRANSPOSE(Dists!$B9:$X9)*SUM(Capacity!$DI$3:$DI$25/TRANSPOSE(Dists!$B9:$X9))))</f>
        <v>1.80565777115378</v>
      </c>
      <c r="BG10" s="4" t="n">
        <f aca="false" t="array" ref="BG10:BG10">SUM(Capacity!CA10*Demand!BG$3:BG$25*Capacity!$DI$3:$DI$25/(TRANSPOSE(Dists!$B9:$X9)*SUM(Capacity!$DI$3:$DI$25/TRANSPOSE(Dists!$B9:$X9))))</f>
        <v>5.74459666511847</v>
      </c>
      <c r="BH10" s="4" t="n">
        <f aca="false" t="array" ref="BH10:BH10">SUM(Capacity!CB10*Demand!BH$3:BH$25*Capacity!$DI$3:$DI$25/(TRANSPOSE(Dists!$B9:$X9)*SUM(Capacity!$DI$3:$DI$25/TRANSPOSE(Dists!$B9:$X9))))</f>
        <v>0.00216415846427557</v>
      </c>
      <c r="BI10" s="4" t="n">
        <f aca="false" t="array" ref="BI10:BI10">SUM(Capacity!CC10*Demand!BI10*Capacity!$DI$3:$DI$25/(TRANSPOSE(Dists!$B9:$X9)*SUM(Capacity!$DI$3:$DI$25/TRANSPOSE(Dists!$B9:$X9))))</f>
        <v>8.4995824080344</v>
      </c>
      <c r="BJ10" s="4" t="n">
        <f aca="false" t="array" ref="BJ10:BJ10">SUM(Capacity!CD10*Demand!BJ10*Capacity!$DI$3:$DI$25/(TRANSPOSE(Dists!$B9:$X9)*SUM(Capacity!$DI$3:$DI$25/TRANSPOSE(Dists!$B9:$X9))))</f>
        <v>849.389723734888</v>
      </c>
      <c r="BK10" s="4" t="n">
        <f aca="false" t="array" ref="BK10:BK10">SUM(Capacity!CE10*Demand!BK10*Capacity!$DI$3:$DI$25/(TRANSPOSE(Dists!$B9:$X9)*SUM(Capacity!$DI$3:$DI$25/TRANSPOSE(Dists!$B9:$X9))))</f>
        <v>4.2497912040172</v>
      </c>
      <c r="BL10" s="4" t="n">
        <f aca="false" t="array" ref="BL10:BL10">SUM(Capacity!CF10*Demand!BL10*Capacity!$DI$3:$DI$25/(TRANSPOSE(Dists!$B9:$X9)*SUM(Capacity!$DI$3:$DI$25/TRANSPOSE(Dists!$B9:$X9))))</f>
        <v>367.488081626236</v>
      </c>
      <c r="BM10" s="4" t="n">
        <f aca="false" t="array" ref="BM10:BM10">SUM(Capacity!CG10*Demand!BM10*Capacity!$DI$3:$DI$25/(TRANSPOSE(Dists!$B9:$X9)*SUM(Capacity!$DI$3:$DI$25/TRANSPOSE(Dists!$B9:$X9))))</f>
        <v>37.4456828706935</v>
      </c>
      <c r="BN10" s="4" t="n">
        <f aca="false">MAX($BO10/0.006,$BP10/0.7,$BR10/0.002,$BS10/0.001)</f>
        <v>395.098889578331</v>
      </c>
      <c r="BO10" s="4" t="n">
        <f aca="false" t="array" ref="BO10:BO10">SUM(Capacity!CI10*Demand!BO10*Capacity!$DI$3:$DI$25/(TRANSPOSE(Dists!$B9:$X9)*SUM(Capacity!$DI$3:$DI$25/TRANSPOSE(Dists!$B9:$X9))))</f>
        <v>2.37059333746998</v>
      </c>
      <c r="BP10" s="4" t="n">
        <f aca="false" t="array" ref="BP10:BP10">SUM(Capacity!CJ10*Demand!BP10*Capacity!$DI$3:$DI$25/(TRANSPOSE(Dists!$B9:$X9)*SUM(Capacity!$DI$3:$DI$25/TRANSPOSE(Dists!$B9:$X9))))</f>
        <v>7.07924149075007</v>
      </c>
      <c r="BQ10" s="4" t="n">
        <f aca="false">BN10*0.65</f>
        <v>256.814278225915</v>
      </c>
      <c r="BR10" s="4" t="n">
        <f aca="false" t="array" ref="BR10:BR10">SUM(Capacity!CL10*Demand!BR10*Capacity!$DI$3:$DI$25/(TRANSPOSE(Dists!$B9:$X9)*SUM(Capacity!$DI$3:$DI$25/TRANSPOSE(Dists!$B9:$X9))))</f>
        <v>0.0790197779156661</v>
      </c>
      <c r="BS10" s="4" t="n">
        <f aca="false" t="array" ref="BS10:BS10">SUM(Capacity!CM10*Demand!BS10*Capacity!$DI$3:$DI$25/(TRANSPOSE(Dists!$B9:$X9)*SUM(Capacity!$DI$3:$DI$25/TRANSPOSE(Dists!$B9:$X9))))</f>
        <v>0.00790197604126445</v>
      </c>
      <c r="BT10" s="4" t="n">
        <f aca="false" t="array" ref="BT10:BT10">SUM(Capacity!CN10*Demand!BT10*Capacity!$DI$3:$DI$25/(TRANSPOSE(Dists!$B9:$X9)*SUM(Capacity!$DI$3:$DI$25/TRANSPOSE(Dists!$B9:$X9))))</f>
        <v>1.00584766218656</v>
      </c>
      <c r="BU10" s="4" t="n">
        <f aca="false" t="array" ref="BU10:BU10">SUM(Capacity!CO10*Demand!BU10*Capacity!$DI$3:$DI$25/(TRANSPOSE(Dists!$B9:$X9)*SUM(Capacity!$DI$3:$DI$25/TRANSPOSE(Dists!$B9:$X9))))</f>
        <v>0.100584766218656</v>
      </c>
      <c r="BV10" s="4" t="n">
        <f aca="false" t="array" ref="BV10:BV10">SUM(Capacity!CP10*Demand!BV10*Capacity!$DI$3:$DI$25/(TRANSPOSE(Dists!$B9:$X9)*SUM(Capacity!$DI$3:$DI$25/TRANSPOSE(Dists!$B9:$X9))))</f>
        <v>0.0100584766218656</v>
      </c>
      <c r="BW10" s="4" t="n">
        <f aca="false">E38*2*8.34/6</f>
        <v>587.816021513907</v>
      </c>
      <c r="BX10" s="4" t="n">
        <f aca="false" t="array" ref="BX10:BX10">SUM(Capacity!CR10*Demand!BX10*Capacity!$DI$3:$DI$25/(TRANSPOSE(Dists!$B9:$X9)*SUM(Capacity!$DI$3:$DI$25/TRANSPOSE(Dists!$B9:$X9))))</f>
        <v>0.168618218504109</v>
      </c>
      <c r="BY10" s="4" t="n">
        <f aca="false" t="array" ref="BY10:BY10">SUM(Capacity!CS10*Demand!BY10*Capacity!$DI$3:$DI$25/(TRANSPOSE(Dists!$B9:$X9)*SUM(Capacity!$DI$3:$DI$25/TRANSPOSE(Dists!$B9:$X9))))</f>
        <v>45.8896269743661</v>
      </c>
      <c r="BZ10" s="4" t="n">
        <f aca="false" t="array" ref="BZ10:BZ10">SUM(Capacity!CT10*Demand!BZ10*Capacity!$DI$3:$DI$25/(TRANSPOSE(Dists!$B9:$X9)*SUM(Capacity!$DI$3:$DI$25/TRANSPOSE(Dists!$B9:$X9))))</f>
        <v>0.0638082862794281</v>
      </c>
      <c r="CA10" s="4" t="n">
        <f aca="false" t="array" ref="CA10:CA10">SUM(Capacity!CU10*Demand!CA10*Capacity!$DI$3:$DI$25/(TRANSPOSE(Dists!$B9:$X9)*SUM(Capacity!$DI$3:$DI$25/TRANSPOSE(Dists!$B9:$X9))))</f>
        <v>0.105596191268715</v>
      </c>
      <c r="CB10" s="4" t="n">
        <f aca="false" t="array" ref="CB10:CB10">SUM(Capacity!CV10*Demand!CB10*Capacity!$DI$3:$DI$25/(TRANSPOSE(Dists!$B9:$X9)*SUM(Capacity!$DI$3:$DI$25/TRANSPOSE(Dists!$B9:$X9))))</f>
        <v>202.412240936068</v>
      </c>
      <c r="CC10" s="4" t="n">
        <f aca="false" t="array" ref="CC10:CC10">SUM(Capacity!CW10*Demand!CC10*Capacity!$DI$3:$DI$25/(TRANSPOSE(Dists!$B9:$X9)*SUM(Capacity!$DI$3:$DI$25/TRANSPOSE(Dists!$B9:$X9))))</f>
        <v>126.296455109863</v>
      </c>
      <c r="CD10" s="4" t="n">
        <f aca="false">SUM($BG38,$BI38,$BK38)*Capacity!CX10/SUM(Capacity!$AM10:$AN10,Capacity!$CX10)</f>
        <v>25.8534953025877</v>
      </c>
      <c r="CE10" s="4" t="n">
        <f aca="false" t="array" ref="CE10:CE10">SUM(Capacity!CY10*Demand!CE10*Capacity!$DI$3:$DI$25/(TRANSPOSE(Dists!$B9:$X9)*SUM(Capacity!$DI$3:$DI$25/TRANSPOSE(Dists!$B9:$X9))))</f>
        <v>0.63807213962442</v>
      </c>
      <c r="CF10" s="4" t="n">
        <f aca="false" t="array" ref="CF10:CF10">SUM(Capacity!CZ10*Demand!CF10*Capacity!$DI$3:$DI$25/(TRANSPOSE(Dists!$B9:$X9)*SUM(Capacity!$DI$3:$DI$25/TRANSPOSE(Dists!$B9:$X9))))</f>
        <v>1387.23801647357</v>
      </c>
      <c r="CG10" s="4" t="n">
        <f aca="false" t="array" ref="CG10:CG10">SUM(Capacity!DA10*Demand!CG10*Capacity!$DI$3:$DI$25/(TRANSPOSE(Dists!$B9:$X9)*SUM(Capacity!$DI$3:$DI$25/TRANSPOSE(Dists!$B9:$X9))))</f>
        <v>12.202823388899</v>
      </c>
      <c r="CH10" s="4" t="n">
        <f aca="false" t="array" ref="CH10:CH10">SUM(Capacity!DB10*Demand!CH10*Capacity!$DI$3:$DI$25/(TRANSPOSE(Dists!$B9:$X9)*SUM(Capacity!$DI$3:$DI$25/TRANSPOSE(Dists!$B9:$X9))))</f>
        <v>15.2915368667941</v>
      </c>
      <c r="CI10" s="4" t="n">
        <f aca="false" t="array" ref="CI10:CI10">SUM(Capacity!DC10*Demand!CI10*Capacity!$DI$3:$DI$25/(TRANSPOSE(Dists!$B9:$X9)*SUM(Capacity!$DI$3:$DI$25/TRANSPOSE(Dists!$B9:$X9))))</f>
        <v>0.12989100488445</v>
      </c>
      <c r="CJ10" s="4" t="n">
        <f aca="false" t="array" ref="CJ10:CJ10">SUM(Capacity!DD10*Demand!CJ10*Capacity!$DI$3:$DI$25/(TRANSPOSE(Dists!$B9:$X9)*SUM(Capacity!$DI$3:$DI$25/TRANSPOSE(Dists!$B9:$X9))))</f>
        <v>0.0252038775158575</v>
      </c>
      <c r="CK10" s="4" t="n">
        <f aca="false" t="array" ref="CK10:CK10">SUM(Capacity!DE10*Demand!CK10*Capacity!$DI$3:$DI$25/(TRANSPOSE(Dists!$B9:$X9)*SUM(Capacity!$DI$3:$DI$25/TRANSPOSE(Dists!$B9:$X9))))</f>
        <v>1.94171064732341</v>
      </c>
      <c r="CL10" s="7" t="s">
        <v>320</v>
      </c>
    </row>
    <row r="11" customFormat="false" ht="12.8" hidden="false" customHeight="false" outlineLevel="0" collapsed="false">
      <c r="A11" s="4" t="s">
        <v>143</v>
      </c>
      <c r="B11" s="7" t="s">
        <v>39</v>
      </c>
      <c r="C11" s="4" t="n">
        <f aca="false" t="array" ref="C11:C11">SUM(Capacity!S11*Demand!C11*Capacity!$DH$3:$DH$25/(TRANSPOSE(Dists!$B10:$X10)*SUM(Capacity!$DH$3:$DH$25/TRANSPOSE(Dists!$B10:$X10))))</f>
        <v>0.0276086927187976</v>
      </c>
      <c r="D11" s="4" t="n">
        <f aca="false" t="array" ref="D11:D11">SUM(Capacity!V11*Demand!D11*Capacity!$DH$3:$DH$25/(TRANSPOSE(Dists!$B10:$X10)*SUM(Capacity!$DH$3:$DH$25/TRANSPOSE(Dists!$B10:$X10))))</f>
        <v>3014.29297438458</v>
      </c>
      <c r="E11" s="4" t="n">
        <f aca="false" t="array" ref="E11:E11">SUM(Capacity!Y11*Demand!E11*Capacity!$DH$3:$DH$25/(TRANSPOSE(Dists!$B10:$X10)*SUM(Capacity!$DH$3:$DH$25/TRANSPOSE(Dists!$B10:$X10))))</f>
        <v>1507.03389240414</v>
      </c>
      <c r="F11" s="4" t="n">
        <f aca="false">$E11*Capacity!$M11/(2*(1-Capacity!$H$28)*Capacity!$H11)</f>
        <v>540.464636456795</v>
      </c>
      <c r="G11" s="4" t="n">
        <f aca="false" t="array" ref="G11:G11">SUM(Capacity!AA11*Demand!G11*Capacity!$DH$3:$DH$25/(TRANSPOSE(Dists!$B10:$X10)*SUM(Capacity!$DH$3:$DH$25/TRANSPOSE(Dists!$B10:$X10))))</f>
        <v>1789.45303715693</v>
      </c>
      <c r="H11" s="4" t="n">
        <f aca="false" t="array" ref="H11:H11">SUM(Capacity!AB11*Demand!H11*Capacity!$DH$3:$DH$25/(TRANSPOSE(Dists!$B10:$X10)*SUM(Capacity!$DH$3:$DH$25/TRANSPOSE(Dists!$B10:$X10))))</f>
        <v>7.8204707640928</v>
      </c>
      <c r="I11" s="4" t="n">
        <f aca="false" t="array" ref="I11:I11">SUM(Capacity!AC11*Demand!I$3:I$25*Capacity!$DG$3:$DG$25/(TRANSPOSE(Dists!$B10:$X10)*SUM(Capacity!$DG$3:$DG$25/TRANSPOSE(Dists!$B10:$X10))))</f>
        <v>2.76000855309002</v>
      </c>
      <c r="J11" s="4" t="n">
        <f aca="false" t="array" ref="J11:J11">SUM(Capacity!AD11*Demand!J$3:J$25*Capacity!$DG$3:$DG$25/(TRANSPOSE(Dists!$B10:$X10)*SUM(Capacity!$DG$3:$DG$25/TRANSPOSE(Dists!$B10:$X10))))</f>
        <v>2.02303685690998</v>
      </c>
      <c r="K11" s="4" t="n">
        <f aca="false">5479.45205479452*$R11</f>
        <v>921965.902054084</v>
      </c>
      <c r="L11" s="4" t="n">
        <f aca="false">17142.8571428571*$S11</f>
        <v>163968.568479025</v>
      </c>
      <c r="M11" s="4" t="n">
        <f aca="false">IF(50420.1680672269*$T11&gt;($K11/20),50420.1680672269*$T11-($K11/20),0)</f>
        <v>223439.07773953</v>
      </c>
      <c r="N11" s="4" t="n">
        <f aca="false" t="array" ref="N11:N11">SUM(Capacity!AH11*Demand!N11*Capacity!$DH$3:$DH$25/(TRANSPOSE(Dists!$B10:$X10)*SUM(Capacity!$DH$3:$DH$25/TRANSPOSE(Dists!$B10:$X10))))</f>
        <v>3308.48518566194</v>
      </c>
      <c r="O11" s="4" t="n">
        <f aca="false">D39/0.8</f>
        <v>2414.72458569632</v>
      </c>
      <c r="P11" s="4" t="n">
        <f aca="false">O11/0.8</f>
        <v>3018.40573212039</v>
      </c>
      <c r="Q11" s="4" t="n">
        <f aca="false" t="array" ref="Q11:Q11">SUM(Capacity!AK11*Demand!Q11*Capacity!$DI$3:$DI$25/(TRANSPOSE(Dists!$B10:$X10)*SUM(Capacity!$DI$3:$DI$25/TRANSPOSE(Dists!$B10:$X10))))</f>
        <v>28.0699967603977</v>
      </c>
      <c r="R11" s="4" t="n">
        <f aca="false" t="array" ref="R11:R11">SUM(Capacity!AL11*Demand!R11*Capacity!$DH$3:$DH$25/(TRANSPOSE(Dists!$B10:$X10)*SUM(Capacity!$DH$3:$DH$25/TRANSPOSE(Dists!$B10:$X10))))</f>
        <v>168.25877712487</v>
      </c>
      <c r="S11" s="4" t="n">
        <f aca="false">SUM($BG39,$BI39,$BK39)*Capacity!AM11/SUM(Capacity!$AM11:$AN11,Capacity!$CX11)</f>
        <v>9.56483316127649</v>
      </c>
      <c r="T11" s="4" t="n">
        <f aca="false">SUM($BG39,$BI39,$BK39)*Capacity!AN11/SUM(Capacity!$AM11:$AN11,Capacity!$CX11)</f>
        <v>5.34582456137097</v>
      </c>
      <c r="U11" s="4" t="n">
        <f aca="false">$M11*120*2/(16*1000*2000)</f>
        <v>1.67579308304647</v>
      </c>
      <c r="V11" s="4" t="n">
        <f aca="false" t="array" ref="V11:V11">SUM(Capacity!AP11*Demand!V$3:V$25*Capacity!$DH$3:$DH$25/(TRANSPOSE(Dists!$B10:$X10)*SUM(Capacity!$DH$3:$DH$25/TRANSPOSE(Dists!$B10:$X10))))</f>
        <v>354.995225770992</v>
      </c>
      <c r="W11" s="4" t="n">
        <f aca="false" t="array" ref="W11:W11">SUM(Capacity!AQ11*Demand!W$3:W$25*Capacity!$DH$3:$DH$25/(TRANSPOSE(Dists!$B10:$X10)*SUM(Capacity!$DH$3:$DH$25/TRANSPOSE(Dists!$B10:$X10))))</f>
        <v>1701.1868082788</v>
      </c>
      <c r="X11" s="4" t="n">
        <f aca="false" t="array" ref="X11:X11">SUM(Capacity!AR11*Demand!X$3:X$25*Capacity!$DH$3:$DH$25/(TRANSPOSE(Dists!$B10:$X10)*SUM(Capacity!$DH$3:$DH$25/TRANSPOSE(Dists!$B10:$X10))))</f>
        <v>1507.46518715724</v>
      </c>
      <c r="Y11" s="4" t="n">
        <f aca="false">$L11*600*6/(90*1000*2000)</f>
        <v>3.2793713695805</v>
      </c>
      <c r="Z11" s="4" t="n">
        <f aca="false" t="array" ref="Z11:Z11">SUM(Capacity!AT11*Demand!Z$3:Z$25*Capacity!$DI$3:$DI$25/(TRANSPOSE(Dists!$B10:$X10)*SUM(Capacity!$DI$3:$DI$25/TRANSPOSE(Dists!$B10:$X10))))</f>
        <v>148.693862162512</v>
      </c>
      <c r="AA11" s="4" t="n">
        <f aca="false" t="array" ref="AA11:AA11">SUM(Capacity!AU11*Demand!AA$3:AA$25*Capacity!$DI$3:$DI$25/(TRANSPOSE(Dists!$B10:$X10)*SUM(Capacity!$DI$3:$DI$25/TRANSPOSE(Dists!$B10:$X10))))</f>
        <v>91.9043858559564</v>
      </c>
      <c r="AB11" s="4" t="n">
        <f aca="false" t="array" ref="AB11:AB11">SUM(Capacity!AV11*Demand!AB$3:AB$25*Capacity!$DI$3:$DI$25/(TRANSPOSE(Dists!$B10:$X10)*SUM(Capacity!$DI$3:$DI$25/TRANSPOSE(Dists!$B10:$X10))))</f>
        <v>90.3358940443383</v>
      </c>
      <c r="AC11" s="4" t="n">
        <f aca="false" t="array" ref="AC11:AC11">SUM(Capacity!AW11*Demand!AC$3:AC$25*Capacity!$DI$3:$DI$25/(TRANSPOSE(Dists!$B10:$X10)*SUM(Capacity!$DI$3:$DI$25/TRANSPOSE(Dists!$B10:$X10))))</f>
        <v>14.5149271849348</v>
      </c>
      <c r="AD11" s="4" t="n">
        <f aca="false" t="array" ref="AD11:AD11">SUM(Capacity!AX11*Demand!AD$3:AD$25*Capacity!$DI$3:$DI$25/(TRANSPOSE(Dists!$B10:$X10)*SUM(Capacity!$DI$3:$DI$25/TRANSPOSE(Dists!$B10:$X10))))</f>
        <v>14.7889490146487</v>
      </c>
      <c r="AE11" s="4" t="n">
        <f aca="false" t="array" ref="AE11:AE11">SUM(Capacity!AY11*Demand!AE$3:AE$25*Capacity!$DI$3:$DI$25/(TRANSPOSE(Dists!$B10:$X10)*SUM(Capacity!$DI$3:$DI$25/TRANSPOSE(Dists!$B10:$X10))))</f>
        <v>10.2439058191665</v>
      </c>
      <c r="AF11" s="4" t="n">
        <f aca="false" t="array" ref="AF11:AF11">SUM(Capacity!AZ11*Demand!AF$3:AF$25*Capacity!$DI$3:$DI$25/(TRANSPOSE(Dists!$B10:$X10)*SUM(Capacity!$DI$3:$DI$25/TRANSPOSE(Dists!$B10:$X10))))</f>
        <v>1.87383419119118</v>
      </c>
      <c r="AG11" s="4" t="n">
        <f aca="false" t="array" ref="AG11:AG11">SUM(Capacity!BA11*Demand!AG$3:AG$25*Capacity!$DI$3:$DI$25/(TRANSPOSE(Dists!$B10:$X10)*SUM(Capacity!$DI$3:$DI$25/TRANSPOSE(Dists!$B10:$X10))))</f>
        <v>8.48889568653309</v>
      </c>
      <c r="AH11" s="4" t="n">
        <f aca="false" t="array" ref="AH11:AH11">SUM(Capacity!BB11*Demand!AH$3:AH$25*Capacity!$DI$3:$DI$25/(TRANSPOSE(Dists!$B10:$X10)*SUM(Capacity!$DI$3:$DI$25/TRANSPOSE(Dists!$B10:$X10))))</f>
        <v>8.01193307755867</v>
      </c>
      <c r="AI11" s="4" t="n">
        <f aca="false" t="array" ref="AI11:AI11">SUM(Capacity!BC11*Demand!AI$3:AI$25*Capacity!$DI$3:$DI$25/(TRANSPOSE(Dists!$B10:$X10)*SUM(Capacity!$DI$3:$DI$25/TRANSPOSE(Dists!$B10:$X10))))</f>
        <v>1.12714489242376</v>
      </c>
      <c r="AJ11" s="4" t="n">
        <f aca="false" t="array" ref="AJ11:AJ11">SUM(Capacity!BD11*Demand!AJ$3:AJ$25*Capacity!$DI$3:$DI$25/(TRANSPOSE(Dists!$B10:$X10)*SUM(Capacity!$DI$3:$DI$25/TRANSPOSE(Dists!$B10:$X10))))</f>
        <v>3.20601221834684</v>
      </c>
      <c r="AK11" s="4" t="n">
        <f aca="false" t="array" ref="AK11:AK11">SUM(Capacity!BE11*Demand!AK$3:AK$25*Capacity!$DI$3:$DI$25/(TRANSPOSE(Dists!$B10:$X10)*SUM(Capacity!$DI$3:$DI$25/TRANSPOSE(Dists!$B10:$X10))))</f>
        <v>2.24469289984043</v>
      </c>
      <c r="AL11" s="4" t="n">
        <f aca="false" t="array" ref="AL11:AL11">SUM(Capacity!BF11*Demand!AL$3:AL$25*Capacity!$DI$3:$DI$25/(TRANSPOSE(Dists!$B10:$X10)*SUM(Capacity!$DI$3:$DI$25/TRANSPOSE(Dists!$B10:$X10))))</f>
        <v>1.28901770329497</v>
      </c>
      <c r="AM11" s="4" t="n">
        <f aca="false" t="array" ref="AM11:AM11">SUM(Capacity!BG11*Demand!AM$3:AM$25*Capacity!$DI$3:$DI$25/(TRANSPOSE(Dists!$B10:$X10)*SUM(Capacity!$DI$3:$DI$25/TRANSPOSE(Dists!$B10:$X10))))</f>
        <v>2.75298283243632</v>
      </c>
      <c r="AN11" s="4" t="n">
        <f aca="false" t="array" ref="AN11:AN11">SUM(Capacity!BH11*Demand!AN$3:AN$25*Capacity!$DI$3:$DI$25/(TRANSPOSE(Dists!$B10:$X10)*SUM(Capacity!$DI$3:$DI$25/TRANSPOSE(Dists!$B10:$X10))))</f>
        <v>2.05203597418764</v>
      </c>
      <c r="AO11" s="4" t="n">
        <f aca="false" t="array" ref="AO11:AO11">SUM(Capacity!BI11*Demand!AO$3:AO$25*Capacity!$DI$3:$DI$25/(TRANSPOSE(Dists!$B10:$X10)*SUM(Capacity!$DI$3:$DI$25/TRANSPOSE(Dists!$B10:$X10))))</f>
        <v>6.07744384460726</v>
      </c>
      <c r="AP11" s="4" t="n">
        <f aca="false" t="array" ref="AP11:AP11">SUM(Capacity!BJ11*Demand!AP$3:AP$25*Capacity!$DI$3:$DI$25/(TRANSPOSE(Dists!$B10:$X10)*SUM(Capacity!$DI$3:$DI$25/TRANSPOSE(Dists!$B10:$X10))))</f>
        <v>2.78542946697619</v>
      </c>
      <c r="AQ11" s="4" t="n">
        <f aca="false" t="array" ref="AQ11:AQ11">SUM(Capacity!BK11*Demand!AQ$3:AQ$25*Capacity!$DI$3:$DI$25/(TRANSPOSE(Dists!$B10:$X10)*SUM(Capacity!$DI$3:$DI$25/TRANSPOSE(Dists!$B10:$X10))))</f>
        <v>0.326090792672301</v>
      </c>
      <c r="AR11" s="4" t="n">
        <f aca="false" t="array" ref="AR11:AR11">SUM(Capacity!BL11*Demand!AR$3:AR$25*Capacity!$DI$3:$DI$25/(TRANSPOSE(Dists!$B10:$X10)*SUM(Capacity!$DI$3:$DI$25/TRANSPOSE(Dists!$B10:$X10))))</f>
        <v>0.416706094798919</v>
      </c>
      <c r="AS11" s="4" t="n">
        <f aca="false" t="array" ref="AS11:AS11">SUM(Capacity!BM11*Demand!AS$3:AS$25*Capacity!$DI$3:$DI$25/(TRANSPOSE(Dists!$B10:$X10)*SUM(Capacity!$DI$3:$DI$25/TRANSPOSE(Dists!$B10:$X10))))</f>
        <v>0.847422527204537</v>
      </c>
      <c r="AT11" s="4" t="n">
        <f aca="false" t="array" ref="AT11:AT11">SUM(Capacity!BN11*Demand!AT$3:AT$25*Capacity!$DI$3:$DI$25/(TRANSPOSE(Dists!$B10:$X10)*SUM(Capacity!$DI$3:$DI$25/TRANSPOSE(Dists!$B10:$X10))))</f>
        <v>11.2160200238843</v>
      </c>
      <c r="AU11" s="4" t="n">
        <f aca="false" t="array" ref="AU11:AU11">SUM(Capacity!BO11*Demand!AU$3:AU$25*Capacity!$DI$3:$DI$25/(TRANSPOSE(Dists!$B10:$X10)*SUM(Capacity!$DI$3:$DI$25/TRANSPOSE(Dists!$B10:$X10))))</f>
        <v>6.19024747936622</v>
      </c>
      <c r="AV11" s="4" t="n">
        <f aca="false" t="array" ref="AV11:AV11">SUM(Capacity!BP11*Demand!AV$3:AV$25*Capacity!$DI$3:$DI$25/(TRANSPOSE(Dists!$B10:$X10)*SUM(Capacity!$DI$3:$DI$25/TRANSPOSE(Dists!$B10:$X10))))</f>
        <v>0.361442671286878</v>
      </c>
      <c r="AW11" s="4" t="n">
        <f aca="false" t="array" ref="AW11:AW11">SUM(Capacity!BQ11*Demand!AW$3:AW$25*Capacity!$DI$3:$DI$25/(TRANSPOSE(Dists!$B10:$X10)*SUM(Capacity!$DI$3:$DI$25/TRANSPOSE(Dists!$B10:$X10))))</f>
        <v>7.83148971176673</v>
      </c>
      <c r="AX11" s="4" t="n">
        <f aca="false" t="array" ref="AX11:AX11">SUM(Capacity!BR11*Demand!AX$3:AX$25*Capacity!$DI$3:$DI$25/(TRANSPOSE(Dists!$B10:$X10)*SUM(Capacity!$DI$3:$DI$25/TRANSPOSE(Dists!$B10:$X10))))</f>
        <v>0.526690499363234</v>
      </c>
      <c r="AY11" s="4" t="n">
        <f aca="false" t="array" ref="AY11:AY11">SUM(Capacity!BS11*Demand!AY$3:AY$25*Capacity!$DI$3:$DI$25/(TRANSPOSE(Dists!$B10:$X10)*SUM(Capacity!$DI$3:$DI$25/TRANSPOSE(Dists!$B10:$X10))))</f>
        <v>1.19978078571318</v>
      </c>
      <c r="AZ11" s="4" t="n">
        <f aca="false" t="array" ref="AZ11:AZ11">SUM(Capacity!BT11*Demand!AZ$3:AZ$25*Capacity!$DI$3:$DI$25/(TRANSPOSE(Dists!$B10:$X10)*SUM(Capacity!$DI$3:$DI$25/TRANSPOSE(Dists!$B10:$X10))))</f>
        <v>7.33346945060016</v>
      </c>
      <c r="BA11" s="4" t="n">
        <f aca="false">L11*25/(2000*1000*51)</f>
        <v>0.0401883746272121</v>
      </c>
      <c r="BB11" s="4" t="n">
        <f aca="false" t="array" ref="BB11:BB11">SUM(Capacity!BV11*Demand!BB$3:BB$25*Capacity!$DI$3:$DI$25/(TRANSPOSE(Dists!$B10:$X10)*SUM(Capacity!$DI$3:$DI$25/TRANSPOSE(Dists!$B10:$X10))))</f>
        <v>1.05029482855919</v>
      </c>
      <c r="BC11" s="4" t="n">
        <f aca="false" t="array" ref="BC11:BC11">SUM(Capacity!BW11*Demand!BC$3:BC$25*Capacity!$DI$3:$DI$25/(TRANSPOSE(Dists!$B10:$X10)*SUM(Capacity!$DI$3:$DI$25/TRANSPOSE(Dists!$B10:$X10))))</f>
        <v>0.720397689082445</v>
      </c>
      <c r="BD11" s="4" t="n">
        <f aca="false" t="array" ref="BD11:BD11">SUM(Capacity!BX11*Demand!BD$3:BD$25*Capacity!$DI$3:$DI$25/(TRANSPOSE(Dists!$B10:$X10)*SUM(Capacity!$DI$3:$DI$25/TRANSPOSE(Dists!$B10:$X10))))</f>
        <v>0.470786076266035</v>
      </c>
      <c r="BE11" s="4" t="n">
        <f aca="false" t="array" ref="BE11:BE11">SUM(Capacity!BY11*Demand!BE$3:BE$25*Capacity!$DI$3:$DI$25/(TRANSPOSE(Dists!$B10:$X10)*SUM(Capacity!$DI$3:$DI$25/TRANSPOSE(Dists!$B10:$X10))))</f>
        <v>0.30559774019714</v>
      </c>
      <c r="BF11" s="4" t="n">
        <f aca="false" t="array" ref="BF11:BF11">SUM(Capacity!BZ11*Demand!BF$3:BF$25*Capacity!$DI$3:$DI$25/(TRANSPOSE(Dists!$B10:$X10)*SUM(Capacity!$DI$3:$DI$25/TRANSPOSE(Dists!$B10:$X10))))</f>
        <v>6.67537951822221</v>
      </c>
      <c r="BG11" s="4" t="n">
        <f aca="false" t="array" ref="BG11:BG11">SUM(Capacity!CA11*Demand!BG$3:BG$25*Capacity!$DI$3:$DI$25/(TRANSPOSE(Dists!$B10:$X10)*SUM(Capacity!$DI$3:$DI$25/TRANSPOSE(Dists!$B10:$X10))))</f>
        <v>25.6623359625961</v>
      </c>
      <c r="BH11" s="4" t="n">
        <f aca="false" t="array" ref="BH11:BH11">SUM(Capacity!CB11*Demand!BH$3:BH$25*Capacity!$DI$3:$DI$25/(TRANSPOSE(Dists!$B10:$X10)*SUM(Capacity!$DI$3:$DI$25/TRANSPOSE(Dists!$B10:$X10))))</f>
        <v>49.2152679549838</v>
      </c>
      <c r="BI11" s="4" t="n">
        <f aca="false" t="array" ref="BI11:BI11">SUM(Capacity!CC11*Demand!BI11*Capacity!$DI$3:$DI$25/(TRANSPOSE(Dists!$B10:$X10)*SUM(Capacity!$DI$3:$DI$25/TRANSPOSE(Dists!$B10:$X10))))</f>
        <v>77.7935018525364</v>
      </c>
      <c r="BJ11" s="4" t="n">
        <f aca="false" t="array" ref="BJ11:BJ11">SUM(Capacity!CD11*Demand!BJ11*Capacity!$DI$3:$DI$25/(TRANSPOSE(Dists!$B10:$X10)*SUM(Capacity!$DI$3:$DI$25/TRANSPOSE(Dists!$B10:$X10))))</f>
        <v>138.083378615671</v>
      </c>
      <c r="BK11" s="4" t="n">
        <f aca="false" t="array" ref="BK11:BK11">SUM(Capacity!CE11*Demand!BK11*Capacity!$DI$3:$DI$25/(TRANSPOSE(Dists!$B10:$X10)*SUM(Capacity!$DI$3:$DI$25/TRANSPOSE(Dists!$B10:$X10))))</f>
        <v>38.8967509262682</v>
      </c>
      <c r="BL11" s="4" t="n">
        <f aca="false" t="array" ref="BL11:BL11">SUM(Capacity!CF11*Demand!BL11*Capacity!$DI$3:$DI$25/(TRANSPOSE(Dists!$B10:$X10)*SUM(Capacity!$DI$3:$DI$25/TRANSPOSE(Dists!$B10:$X10))))</f>
        <v>1165.48767679357</v>
      </c>
      <c r="BM11" s="4" t="n">
        <f aca="false" t="array" ref="BM11:BM11">SUM(Capacity!CG11*Demand!BM11*Capacity!$DI$3:$DI$25/(TRANSPOSE(Dists!$B10:$X10)*SUM(Capacity!$DI$3:$DI$25/TRANSPOSE(Dists!$B10:$X10))))</f>
        <v>173.980423044451</v>
      </c>
      <c r="BN11" s="4" t="n">
        <f aca="false">MAX($BO11/0.006,$BP11/0.7,$BR11/0.002,$BS11/0.001)</f>
        <v>0.00079099927137758</v>
      </c>
      <c r="BO11" s="4" t="n">
        <f aca="false" t="array" ref="BO11:BO11">SUM(Capacity!CI11*Demand!BO11*Capacity!$DI$3:$DI$25/(TRANSPOSE(Dists!$B10:$X10)*SUM(Capacity!$DI$3:$DI$25/TRANSPOSE(Dists!$B10:$X10))))</f>
        <v>4.74599562826548E-006</v>
      </c>
      <c r="BP11" s="4" t="n">
        <f aca="false" t="array" ref="BP11:BP11">SUM(Capacity!CJ11*Demand!BP11*Capacity!$DI$3:$DI$25/(TRANSPOSE(Dists!$B10:$X10)*SUM(Capacity!$DI$3:$DI$25/TRANSPOSE(Dists!$B10:$X10))))</f>
        <v>6.16872862976611E-008</v>
      </c>
      <c r="BQ11" s="4" t="n">
        <f aca="false">BN11*0.65</f>
        <v>0.000514149526395427</v>
      </c>
      <c r="BR11" s="4" t="n">
        <f aca="false" t="array" ref="BR11:BR11">SUM(Capacity!CL11*Demand!BR11*Capacity!$DI$3:$DI$25/(TRANSPOSE(Dists!$B10:$X10)*SUM(Capacity!$DI$3:$DI$25/TRANSPOSE(Dists!$B10:$X10))))</f>
        <v>4.74599562826548E-007</v>
      </c>
      <c r="BS11" s="4" t="n">
        <f aca="false" t="array" ref="BS11:BS11">SUM(Capacity!CM11*Demand!BS11*Capacity!$DI$3:$DI$25/(TRANSPOSE(Dists!$B10:$X10)*SUM(Capacity!$DI$3:$DI$25/TRANSPOSE(Dists!$B10:$X10))))</f>
        <v>9.4919878568051E-008</v>
      </c>
      <c r="BT11" s="4" t="n">
        <f aca="false" t="array" ref="BT11:BT11">SUM(Capacity!CN11*Demand!BT11*Capacity!$DI$3:$DI$25/(TRANSPOSE(Dists!$B10:$X10)*SUM(Capacity!$DI$3:$DI$25/TRANSPOSE(Dists!$B10:$X10))))</f>
        <v>14.377861124385</v>
      </c>
      <c r="BU11" s="4" t="n">
        <f aca="false" t="array" ref="BU11:BU11">SUM(Capacity!CO11*Demand!BU11*Capacity!$DI$3:$DI$25/(TRANSPOSE(Dists!$B10:$X10)*SUM(Capacity!$DI$3:$DI$25/TRANSPOSE(Dists!$B10:$X10))))</f>
        <v>1.4377861124385</v>
      </c>
      <c r="BV11" s="4" t="n">
        <f aca="false" t="array" ref="BV11:BV11">SUM(Capacity!CP11*Demand!BV11*Capacity!$DI$3:$DI$25/(TRANSPOSE(Dists!$B10:$X10)*SUM(Capacity!$DI$3:$DI$25/TRANSPOSE(Dists!$B10:$X10))))</f>
        <v>0.14377861124385</v>
      </c>
      <c r="BW11" s="4" t="n">
        <f aca="false">E39*2*8.34/6</f>
        <v>3103.36312269454</v>
      </c>
      <c r="BX11" s="4" t="n">
        <f aca="false" t="array" ref="BX11:BX11">SUM(Capacity!CR11*Demand!BX11*Capacity!$DI$3:$DI$25/(TRANSPOSE(Dists!$B10:$X10)*SUM(Capacity!$DI$3:$DI$25/TRANSPOSE(Dists!$B10:$X10))))</f>
        <v>23.0432796057921</v>
      </c>
      <c r="BY11" s="4" t="n">
        <f aca="false" t="array" ref="BY11:BY11">SUM(Capacity!CS11*Demand!BY11*Capacity!$DI$3:$DI$25/(TRANSPOSE(Dists!$B10:$X10)*SUM(Capacity!$DI$3:$DI$25/TRANSPOSE(Dists!$B10:$X10))))</f>
        <v>599.522409659878</v>
      </c>
      <c r="BZ11" s="4" t="n">
        <f aca="false" t="array" ref="BZ11:BZ11">SUM(Capacity!CT11*Demand!BZ11*Capacity!$DI$3:$DI$25/(TRANSPOSE(Dists!$B10:$X10)*SUM(Capacity!$DI$3:$DI$25/TRANSPOSE(Dists!$B10:$X10))))</f>
        <v>0.493564976133024</v>
      </c>
      <c r="CA11" s="4" t="n">
        <f aca="false" t="array" ref="CA11:CA11">SUM(Capacity!CU11*Demand!CA11*Capacity!$DI$3:$DI$25/(TRANSPOSE(Dists!$B10:$X10)*SUM(Capacity!$DI$3:$DI$25/TRANSPOSE(Dists!$B10:$X10))))</f>
        <v>0.130758002143082</v>
      </c>
      <c r="CB11" s="4" t="n">
        <f aca="false" t="array" ref="CB11:CB11">SUM(Capacity!CV11*Demand!CB11*Capacity!$DI$3:$DI$25/(TRANSPOSE(Dists!$B10:$X10)*SUM(Capacity!$DI$3:$DI$25/TRANSPOSE(Dists!$B10:$X10))))</f>
        <v>2042.83373790482</v>
      </c>
      <c r="CC11" s="4" t="n">
        <f aca="false" t="array" ref="CC11:CC11">SUM(Capacity!CW11*Demand!CC11*Capacity!$DI$3:$DI$25/(TRANSPOSE(Dists!$B10:$X10)*SUM(Capacity!$DI$3:$DI$25/TRANSPOSE(Dists!$B10:$X10))))</f>
        <v>684.606397422368</v>
      </c>
      <c r="CD11" s="4" t="n">
        <f aca="false">SUM($BG39,$BI39,$BK39)*Capacity!CX11/SUM(Capacity!$AM11:$AN11,Capacity!$CX11)</f>
        <v>106.343868480212</v>
      </c>
      <c r="CE11" s="4" t="n">
        <f aca="false" t="array" ref="CE11:CE11">SUM(Capacity!CY11*Demand!CE11*Capacity!$DI$3:$DI$25/(TRANSPOSE(Dists!$B10:$X10)*SUM(Capacity!$DI$3:$DI$25/TRANSPOSE(Dists!$B10:$X10))))</f>
        <v>5.08558304538245</v>
      </c>
      <c r="CF11" s="4" t="n">
        <f aca="false" t="array" ref="CF11:CF11">SUM(Capacity!CZ11*Demand!CF11*Capacity!$DI$3:$DI$25/(TRANSPOSE(Dists!$B10:$X10)*SUM(Capacity!$DI$3:$DI$25/TRANSPOSE(Dists!$B10:$X10))))</f>
        <v>966.613911745387</v>
      </c>
      <c r="CG11" s="4" t="n">
        <f aca="false" t="array" ref="CG11:CG11">SUM(Capacity!DA11*Demand!CG11*Capacity!$DI$3:$DI$25/(TRANSPOSE(Dists!$B10:$X10)*SUM(Capacity!$DI$3:$DI$25/TRANSPOSE(Dists!$B10:$X10))))</f>
        <v>0.000109708318808351</v>
      </c>
      <c r="CH11" s="4" t="n">
        <f aca="false" t="array" ref="CH11:CH11">SUM(Capacity!DB11*Demand!CH11*Capacity!$DI$3:$DI$25/(TRANSPOSE(Dists!$B10:$X10)*SUM(Capacity!$DI$3:$DI$25/TRANSPOSE(Dists!$B10:$X10))))</f>
        <v>1.5792656635087E-005</v>
      </c>
      <c r="CI11" s="4" t="n">
        <f aca="false" t="array" ref="CI11:CI11">SUM(Capacity!DC11*Demand!CI11*Capacity!$DI$3:$DI$25/(TRANSPOSE(Dists!$B10:$X10)*SUM(Capacity!$DI$3:$DI$25/TRANSPOSE(Dists!$B10:$X10))))</f>
        <v>0.309667101864773</v>
      </c>
      <c r="CJ11" s="4" t="n">
        <f aca="false" t="array" ref="CJ11:CJ11">SUM(Capacity!DD11*Demand!CJ11*Capacity!$DI$3:$DI$25/(TRANSPOSE(Dists!$B10:$X10)*SUM(Capacity!$DI$3:$DI$25/TRANSPOSE(Dists!$B10:$X10))))</f>
        <v>0.158161487245888</v>
      </c>
      <c r="CK11" s="4" t="n">
        <f aca="false" t="array" ref="CK11:CK11">SUM(Capacity!DE11*Demand!CK11*Capacity!$DI$3:$DI$25/(TRANSPOSE(Dists!$B10:$X10)*SUM(Capacity!$DI$3:$DI$25/TRANSPOSE(Dists!$B10:$X10))))</f>
        <v>3.38264705007361</v>
      </c>
      <c r="CL11" s="7" t="s">
        <v>320</v>
      </c>
    </row>
    <row r="12" customFormat="false" ht="12.8" hidden="false" customHeight="false" outlineLevel="0" collapsed="false">
      <c r="A12" s="4" t="s">
        <v>144</v>
      </c>
      <c r="B12" s="7" t="s">
        <v>39</v>
      </c>
      <c r="C12" s="4" t="n">
        <f aca="false" t="array" ref="C12:C12">SUM(Capacity!S12*Demand!C12*Capacity!$DH$3:$DH$25/(TRANSPOSE(Dists!$B11:$X11)*SUM(Capacity!$DH$3:$DH$25/TRANSPOSE(Dists!$B11:$X11))))</f>
        <v>0.00408220503278046</v>
      </c>
      <c r="D12" s="4" t="n">
        <f aca="false" t="array" ref="D12:D12">SUM(Capacity!V12*Demand!D12*Capacity!$DH$3:$DH$25/(TRANSPOSE(Dists!$B11:$X11)*SUM(Capacity!$DH$3:$DH$25/TRANSPOSE(Dists!$B11:$X11))))</f>
        <v>242.352327849501</v>
      </c>
      <c r="E12" s="4" t="n">
        <f aca="false" t="array" ref="E12:E12">SUM(Capacity!Y12*Demand!E12*Capacity!$DH$3:$DH$25/(TRANSPOSE(Dists!$B11:$X11)*SUM(Capacity!$DH$3:$DH$25/TRANSPOSE(Dists!$B11:$X11))))</f>
        <v>172.012212139242</v>
      </c>
      <c r="F12" s="4" t="n">
        <f aca="false">$E12*Capacity!$M12/(2*(1-Capacity!$H$28)*Capacity!$H12)</f>
        <v>88.4929593476523</v>
      </c>
      <c r="G12" s="4" t="n">
        <f aca="false" t="array" ref="G12:G12">SUM(Capacity!AA12*Demand!G12*Capacity!$DH$3:$DH$25/(TRANSPOSE(Dists!$B11:$X11)*SUM(Capacity!$DH$3:$DH$25/TRANSPOSE(Dists!$B11:$X11))))</f>
        <v>97.6523897068195</v>
      </c>
      <c r="H12" s="4" t="n">
        <f aca="false" t="array" ref="H12:H12">SUM(Capacity!AB12*Demand!H12*Capacity!$DH$3:$DH$25/(TRANSPOSE(Dists!$B11:$X11)*SUM(Capacity!$DH$3:$DH$25/TRANSPOSE(Dists!$B11:$X11))))</f>
        <v>0.0897571854604647</v>
      </c>
      <c r="I12" s="4" t="n">
        <f aca="false" t="array" ref="I12:I12">SUM(Capacity!AC12*Demand!I$3:I$25*Capacity!$DG$3:$DG$25/(TRANSPOSE(Dists!$B11:$X11)*SUM(Capacity!$DG$3:$DG$25/TRANSPOSE(Dists!$B11:$X11))))</f>
        <v>2.70250907234396</v>
      </c>
      <c r="J12" s="4" t="n">
        <f aca="false" t="array" ref="J12:J12">SUM(Capacity!AD12*Demand!J$3:J$25*Capacity!$DG$3:$DG$25/(TRANSPOSE(Dists!$B11:$X11)*SUM(Capacity!$DG$3:$DG$25/TRANSPOSE(Dists!$B11:$X11))))</f>
        <v>2.48191077765604</v>
      </c>
      <c r="K12" s="4" t="n">
        <f aca="false">5479.45205479452*$R12</f>
        <v>435288.879372695</v>
      </c>
      <c r="L12" s="4" t="n">
        <f aca="false">17142.8571428571*$S12</f>
        <v>76590.241702015</v>
      </c>
      <c r="M12" s="4" t="n">
        <f aca="false">IF(50420.1680672269*$T12&gt;($K12/20),50420.1680672269*$T12-($K12/20),0)</f>
        <v>104137.32321276</v>
      </c>
      <c r="N12" s="4" t="n">
        <f aca="false" t="array" ref="N12:N12">SUM(Capacity!AH12*Demand!N12*Capacity!$DH$3:$DH$25/(TRANSPOSE(Dists!$B11:$X11)*SUM(Capacity!$DH$3:$DH$25/TRANSPOSE(Dists!$B11:$X11))))</f>
        <v>165.912939461073</v>
      </c>
      <c r="O12" s="4" t="n">
        <f aca="false">D40/0.8</f>
        <v>785.185325131987</v>
      </c>
      <c r="P12" s="4" t="n">
        <f aca="false">O12/0.8</f>
        <v>981.481656414984</v>
      </c>
      <c r="Q12" s="4" t="n">
        <f aca="false" t="array" ref="Q12:Q12">SUM(Capacity!AK12*Demand!Q12*Capacity!$DI$3:$DI$25/(TRANSPOSE(Dists!$B11:$X11)*SUM(Capacity!$DI$3:$DI$25/TRANSPOSE(Dists!$B11:$X11))))</f>
        <v>6.93848688153888</v>
      </c>
      <c r="R12" s="4" t="n">
        <f aca="false" t="array" ref="R12:R12">SUM(Capacity!AL12*Demand!R12*Capacity!$DH$3:$DH$25/(TRANSPOSE(Dists!$B11:$X11)*SUM(Capacity!$DH$3:$DH$25/TRANSPOSE(Dists!$B11:$X11))))</f>
        <v>79.4402204855168</v>
      </c>
      <c r="S12" s="4" t="n">
        <f aca="false">SUM($BG40,$BI40,$BK40)*Capacity!AM12/SUM(Capacity!$AM12:$AN12,Capacity!$CX12)</f>
        <v>4.46776409928422</v>
      </c>
      <c r="T12" s="4" t="n">
        <f aca="false">SUM($BG40,$BI40,$BK40)*Capacity!AN12/SUM(Capacity!$AM12:$AN12,Capacity!$CX12)</f>
        <v>2.49705171576433</v>
      </c>
      <c r="U12" s="4" t="n">
        <f aca="false">$M12*120*2/(16*1000*2000)</f>
        <v>0.781029924095702</v>
      </c>
      <c r="V12" s="4" t="n">
        <f aca="false" t="array" ref="V12:V12">SUM(Capacity!AP12*Demand!V$3:V$25*Capacity!$DH$3:$DH$25/(TRANSPOSE(Dists!$B11:$X11)*SUM(Capacity!$DH$3:$DH$25/TRANSPOSE(Dists!$B11:$X11))))</f>
        <v>64.9985050334766</v>
      </c>
      <c r="W12" s="4" t="n">
        <f aca="false" t="array" ref="W12:W12">SUM(Capacity!AQ12*Demand!W$3:W$25*Capacity!$DH$3:$DH$25/(TRANSPOSE(Dists!$B11:$X11)*SUM(Capacity!$DH$3:$DH$25/TRANSPOSE(Dists!$B11:$X11))))</f>
        <v>302.25208882458</v>
      </c>
      <c r="X12" s="4" t="n">
        <f aca="false" t="array" ref="X12:X12">SUM(Capacity!AR12*Demand!X$3:X$25*Capacity!$DH$3:$DH$25/(TRANSPOSE(Dists!$B11:$X11)*SUM(Capacity!$DH$3:$DH$25/TRANSPOSE(Dists!$B11:$X11))))</f>
        <v>433.284807632066</v>
      </c>
      <c r="Y12" s="4" t="n">
        <f aca="false">$L12*600*6/(90*1000*2000)</f>
        <v>1.5318048340403</v>
      </c>
      <c r="Z12" s="4" t="n">
        <f aca="false" t="array" ref="Z12:Z12">SUM(Capacity!AT12*Demand!Z$3:Z$25*Capacity!$DI$3:$DI$25/(TRANSPOSE(Dists!$B11:$X11)*SUM(Capacity!$DI$3:$DI$25/TRANSPOSE(Dists!$B11:$X11))))</f>
        <v>0.843680418726519</v>
      </c>
      <c r="AA12" s="4" t="n">
        <f aca="false" t="array" ref="AA12:AA12">SUM(Capacity!AU12*Demand!AA$3:AA$25*Capacity!$DI$3:$DI$25/(TRANSPOSE(Dists!$B11:$X11)*SUM(Capacity!$DI$3:$DI$25/TRANSPOSE(Dists!$B11:$X11))))</f>
        <v>13.3655078210347</v>
      </c>
      <c r="AB12" s="4" t="n">
        <f aca="false" t="array" ref="AB12:AB12">SUM(Capacity!AV12*Demand!AB$3:AB$25*Capacity!$DI$3:$DI$25/(TRANSPOSE(Dists!$B11:$X11)*SUM(Capacity!$DI$3:$DI$25/TRANSPOSE(Dists!$B11:$X11))))</f>
        <v>13.7468573395175</v>
      </c>
      <c r="AC12" s="4" t="n">
        <f aca="false" t="array" ref="AC12:AC12">SUM(Capacity!AW12*Demand!AC$3:AC$25*Capacity!$DI$3:$DI$25/(TRANSPOSE(Dists!$B11:$X11)*SUM(Capacity!$DI$3:$DI$25/TRANSPOSE(Dists!$B11:$X11))))</f>
        <v>3.30697720599078</v>
      </c>
      <c r="AD12" s="4" t="n">
        <f aca="false" t="array" ref="AD12:AD12">SUM(Capacity!AX12*Demand!AD$3:AD$25*Capacity!$DI$3:$DI$25/(TRANSPOSE(Dists!$B11:$X11)*SUM(Capacity!$DI$3:$DI$25/TRANSPOSE(Dists!$B11:$X11))))</f>
        <v>2.25050711521147</v>
      </c>
      <c r="AE12" s="4" t="n">
        <f aca="false" t="array" ref="AE12:AE12">SUM(Capacity!AY12*Demand!AE$3:AE$25*Capacity!$DI$3:$DI$25/(TRANSPOSE(Dists!$B11:$X11)*SUM(Capacity!$DI$3:$DI$25/TRANSPOSE(Dists!$B11:$X11))))</f>
        <v>1.75996456372679</v>
      </c>
      <c r="AF12" s="4" t="n">
        <f aca="false" t="array" ref="AF12:AF12">SUM(Capacity!AZ12*Demand!AF$3:AF$25*Capacity!$DI$3:$DI$25/(TRANSPOSE(Dists!$B11:$X11)*SUM(Capacity!$DI$3:$DI$25/TRANSPOSE(Dists!$B11:$X11))))</f>
        <v>0.382015895590455</v>
      </c>
      <c r="AG12" s="4" t="n">
        <f aca="false" t="array" ref="AG12:AG12">SUM(Capacity!BA12*Demand!AG$3:AG$25*Capacity!$DI$3:$DI$25/(TRANSPOSE(Dists!$B11:$X11)*SUM(Capacity!$DI$3:$DI$25/TRANSPOSE(Dists!$B11:$X11))))</f>
        <v>1.36837639981272</v>
      </c>
      <c r="AH12" s="4" t="n">
        <f aca="false" t="array" ref="AH12:AH12">SUM(Capacity!BB12*Demand!AH$3:AH$25*Capacity!$DI$3:$DI$25/(TRANSPOSE(Dists!$B11:$X11)*SUM(Capacity!$DI$3:$DI$25/TRANSPOSE(Dists!$B11:$X11))))</f>
        <v>1.29521453740662</v>
      </c>
      <c r="AI12" s="4" t="n">
        <f aca="false" t="array" ref="AI12:AI12">SUM(Capacity!BC12*Demand!AI$3:AI$25*Capacity!$DI$3:$DI$25/(TRANSPOSE(Dists!$B11:$X11)*SUM(Capacity!$DI$3:$DI$25/TRANSPOSE(Dists!$B11:$X11))))</f>
        <v>0.192785799403998</v>
      </c>
      <c r="AJ12" s="4" t="n">
        <f aca="false" t="array" ref="AJ12:AJ12">SUM(Capacity!BD12*Demand!AJ$3:AJ$25*Capacity!$DI$3:$DI$25/(TRANSPOSE(Dists!$B11:$X11)*SUM(Capacity!$DI$3:$DI$25/TRANSPOSE(Dists!$B11:$X11))))</f>
        <v>0.540795107218615</v>
      </c>
      <c r="AK12" s="4" t="n">
        <f aca="false" t="array" ref="AK12:AK12">SUM(Capacity!BE12*Demand!AK$3:AK$25*Capacity!$DI$3:$DI$25/(TRANSPOSE(Dists!$B11:$X11)*SUM(Capacity!$DI$3:$DI$25/TRANSPOSE(Dists!$B11:$X11))))</f>
        <v>0.38443440588776</v>
      </c>
      <c r="AL12" s="4" t="n">
        <f aca="false" t="array" ref="AL12:AL12">SUM(Capacity!BF12*Demand!AL$3:AL$25*Capacity!$DI$3:$DI$25/(TRANSPOSE(Dists!$B11:$X11)*SUM(Capacity!$DI$3:$DI$25/TRANSPOSE(Dists!$B11:$X11))))</f>
        <v>0.239296888966101</v>
      </c>
      <c r="AM12" s="4" t="n">
        <f aca="false" t="array" ref="AM12:AM12">SUM(Capacity!BG12*Demand!AM$3:AM$25*Capacity!$DI$3:$DI$25/(TRANSPOSE(Dists!$B11:$X11)*SUM(Capacity!$DI$3:$DI$25/TRANSPOSE(Dists!$B11:$X11))))</f>
        <v>0.532159642203408</v>
      </c>
      <c r="AN12" s="4" t="n">
        <f aca="false" t="array" ref="AN12:AN12">SUM(Capacity!BH12*Demand!AN$3:AN$25*Capacity!$DI$3:$DI$25/(TRANSPOSE(Dists!$B11:$X11)*SUM(Capacity!$DI$3:$DI$25/TRANSPOSE(Dists!$B11:$X11))))</f>
        <v>0.373440295173312</v>
      </c>
      <c r="AO12" s="4" t="n">
        <f aca="false" t="array" ref="AO12:AO12">SUM(Capacity!BI12*Demand!AO$3:AO$25*Capacity!$DI$3:$DI$25/(TRANSPOSE(Dists!$B11:$X11)*SUM(Capacity!$DI$3:$DI$25/TRANSPOSE(Dists!$B11:$X11))))</f>
        <v>1.10054064709946</v>
      </c>
      <c r="AP12" s="4" t="n">
        <f aca="false" t="array" ref="AP12:AP12">SUM(Capacity!BJ12*Demand!AP$3:AP$25*Capacity!$DI$3:$DI$25/(TRANSPOSE(Dists!$B11:$X11)*SUM(Capacity!$DI$3:$DI$25/TRANSPOSE(Dists!$B11:$X11))))</f>
        <v>0.511877049435192</v>
      </c>
      <c r="AQ12" s="4" t="n">
        <f aca="false" t="array" ref="AQ12:AQ12">SUM(Capacity!BK12*Demand!AQ$3:AQ$25*Capacity!$DI$3:$DI$25/(TRANSPOSE(Dists!$B11:$X11)*SUM(Capacity!$DI$3:$DI$25/TRANSPOSE(Dists!$B11:$X11))))</f>
        <v>0.0478166968256539</v>
      </c>
      <c r="AR12" s="4" t="n">
        <f aca="false" t="array" ref="AR12:AR12">SUM(Capacity!BL12*Demand!AR$3:AR$25*Capacity!$DI$3:$DI$25/(TRANSPOSE(Dists!$B11:$X11)*SUM(Capacity!$DI$3:$DI$25/TRANSPOSE(Dists!$B11:$X11))))</f>
        <v>0.0686140538410091</v>
      </c>
      <c r="AS12" s="4" t="n">
        <f aca="false" t="array" ref="AS12:AS12">SUM(Capacity!BM12*Demand!AS$3:AS$25*Capacity!$DI$3:$DI$25/(TRANSPOSE(Dists!$B11:$X11)*SUM(Capacity!$DI$3:$DI$25/TRANSPOSE(Dists!$B11:$X11))))</f>
        <v>0.145941761775024</v>
      </c>
      <c r="AT12" s="4" t="n">
        <f aca="false" t="array" ref="AT12:AT12">SUM(Capacity!BN12*Demand!AT$3:AT$25*Capacity!$DI$3:$DI$25/(TRANSPOSE(Dists!$B11:$X11)*SUM(Capacity!$DI$3:$DI$25/TRANSPOSE(Dists!$B11:$X11))))</f>
        <v>1.90871438335052</v>
      </c>
      <c r="AU12" s="4" t="n">
        <f aca="false" t="array" ref="AU12:AU12">SUM(Capacity!BO12*Demand!AU$3:AU$25*Capacity!$DI$3:$DI$25/(TRANSPOSE(Dists!$B11:$X11)*SUM(Capacity!$DI$3:$DI$25/TRANSPOSE(Dists!$B11:$X11))))</f>
        <v>1.10986009000388</v>
      </c>
      <c r="AV12" s="4" t="n">
        <f aca="false" t="array" ref="AV12:AV12">SUM(Capacity!BP12*Demand!AV$3:AV$25*Capacity!$DI$3:$DI$25/(TRANSPOSE(Dists!$B11:$X11)*SUM(Capacity!$DI$3:$DI$25/TRANSPOSE(Dists!$B11:$X11))))</f>
        <v>0.0591297880989595</v>
      </c>
      <c r="AW12" s="4" t="n">
        <f aca="false" t="array" ref="AW12:AW12">SUM(Capacity!BQ12*Demand!AW$3:AW$25*Capacity!$DI$3:$DI$25/(TRANSPOSE(Dists!$B11:$X11)*SUM(Capacity!$DI$3:$DI$25/TRANSPOSE(Dists!$B11:$X11))))</f>
        <v>1.79445079732123</v>
      </c>
      <c r="AX12" s="4" t="n">
        <f aca="false" t="array" ref="AX12:AX12">SUM(Capacity!BR12*Demand!AX$3:AX$25*Capacity!$DI$3:$DI$25/(TRANSPOSE(Dists!$B11:$X11)*SUM(Capacity!$DI$3:$DI$25/TRANSPOSE(Dists!$B11:$X11))))</f>
        <v>0.159197824496512</v>
      </c>
      <c r="AY12" s="4" t="n">
        <f aca="false" t="array" ref="AY12:AY12">SUM(Capacity!BS12*Demand!AY$3:AY$25*Capacity!$DI$3:$DI$25/(TRANSPOSE(Dists!$B11:$X11)*SUM(Capacity!$DI$3:$DI$25/TRANSPOSE(Dists!$B11:$X11))))</f>
        <v>0.176189940304968</v>
      </c>
      <c r="AZ12" s="4" t="n">
        <f aca="false" t="array" ref="AZ12:AZ12">SUM(Capacity!BT12*Demand!AZ$3:AZ$25*Capacity!$DI$3:$DI$25/(TRANSPOSE(Dists!$B11:$X11)*SUM(Capacity!$DI$3:$DI$25/TRANSPOSE(Dists!$B11:$X11))))</f>
        <v>1.10895790219486</v>
      </c>
      <c r="BA12" s="4" t="n">
        <f aca="false">L12*25/(2000*1000*51)</f>
        <v>0.0187721180642194</v>
      </c>
      <c r="BB12" s="4" t="n">
        <f aca="false" t="array" ref="BB12:BB12">SUM(Capacity!BV12*Demand!BB$3:BB$25*Capacity!$DI$3:$DI$25/(TRANSPOSE(Dists!$B11:$X11)*SUM(Capacity!$DI$3:$DI$25/TRANSPOSE(Dists!$B11:$X11))))</f>
        <v>0.157956247477962</v>
      </c>
      <c r="BC12" s="4" t="n">
        <f aca="false" t="array" ref="BC12:BC12">SUM(Capacity!BW12*Demand!BC$3:BC$25*Capacity!$DI$3:$DI$25/(TRANSPOSE(Dists!$B11:$X11)*SUM(Capacity!$DI$3:$DI$25/TRANSPOSE(Dists!$B11:$X11))))</f>
        <v>0.124435407954418</v>
      </c>
      <c r="BD12" s="4" t="n">
        <f aca="false" t="array" ref="BD12:BD12">SUM(Capacity!BX12*Demand!BD$3:BD$25*Capacity!$DI$3:$DI$25/(TRANSPOSE(Dists!$B11:$X11)*SUM(Capacity!$DI$3:$DI$25/TRANSPOSE(Dists!$B11:$X11))))</f>
        <v>0.0771197604939496</v>
      </c>
      <c r="BE12" s="4" t="n">
        <f aca="false" t="array" ref="BE12:BE12">SUM(Capacity!BY12*Demand!BE$3:BE$25*Capacity!$DI$3:$DI$25/(TRANSPOSE(Dists!$B11:$X11)*SUM(Capacity!$DI$3:$DI$25/TRANSPOSE(Dists!$B11:$X11))))</f>
        <v>0.0468324064726469</v>
      </c>
      <c r="BF12" s="4" t="n">
        <f aca="false" t="array" ref="BF12:BF12">SUM(Capacity!BZ12*Demand!BF$3:BF$25*Capacity!$DI$3:$DI$25/(TRANSPOSE(Dists!$B11:$X11)*SUM(Capacity!$DI$3:$DI$25/TRANSPOSE(Dists!$B11:$X11))))</f>
        <v>1.57042363529713</v>
      </c>
      <c r="BG12" s="4" t="n">
        <f aca="false" t="array" ref="BG12:BG12">SUM(Capacity!CA12*Demand!BG$3:BG$25*Capacity!$DI$3:$DI$25/(TRANSPOSE(Dists!$B11:$X11)*SUM(Capacity!$DI$3:$DI$25/TRANSPOSE(Dists!$B11:$X11))))</f>
        <v>6.07107576577724</v>
      </c>
      <c r="BH12" s="4" t="n">
        <f aca="false" t="array" ref="BH12:BH12">SUM(Capacity!CB12*Demand!BH$3:BH$25*Capacity!$DI$3:$DI$25/(TRANSPOSE(Dists!$B11:$X11)*SUM(Capacity!$DI$3:$DI$25/TRANSPOSE(Dists!$B11:$X11))))</f>
        <v>0.00223838231512669</v>
      </c>
      <c r="BI12" s="4" t="n">
        <f aca="false" t="array" ref="BI12:BI12">SUM(Capacity!CC12*Demand!BI12*Capacity!$DI$3:$DI$25/(TRANSPOSE(Dists!$B11:$X11)*SUM(Capacity!$DI$3:$DI$25/TRANSPOSE(Dists!$B11:$X11))))</f>
        <v>9.74655068562008</v>
      </c>
      <c r="BJ12" s="4" t="n">
        <f aca="false" t="array" ref="BJ12:BJ12">SUM(Capacity!CD12*Demand!BJ12*Capacity!$DI$3:$DI$25/(TRANSPOSE(Dists!$B11:$X11)*SUM(Capacity!$DI$3:$DI$25/TRANSPOSE(Dists!$B11:$X11))))</f>
        <v>398.281461951366</v>
      </c>
      <c r="BK12" s="4" t="n">
        <f aca="false" t="array" ref="BK12:BK12">SUM(Capacity!CE12*Demand!BK12*Capacity!$DI$3:$DI$25/(TRANSPOSE(Dists!$B11:$X11)*SUM(Capacity!$DI$3:$DI$25/TRANSPOSE(Dists!$B11:$X11))))</f>
        <v>4.87327534281004</v>
      </c>
      <c r="BL12" s="4" t="n">
        <f aca="false" t="array" ref="BL12:BL12">SUM(Capacity!CF12*Demand!BL12*Capacity!$DI$3:$DI$25/(TRANSPOSE(Dists!$B11:$X11)*SUM(Capacity!$DI$3:$DI$25/TRANSPOSE(Dists!$B11:$X11))))</f>
        <v>333.470340012731</v>
      </c>
      <c r="BM12" s="4" t="n">
        <f aca="false" t="array" ref="BM12:BM12">SUM(Capacity!CG12*Demand!BM12*Capacity!$DI$3:$DI$25/(TRANSPOSE(Dists!$B11:$X11)*SUM(Capacity!$DI$3:$DI$25/TRANSPOSE(Dists!$B11:$X11))))</f>
        <v>29.578471453179</v>
      </c>
      <c r="BN12" s="4" t="n">
        <f aca="false">MAX($BO12/0.006,$BP12/0.7,$BR12/0.002,$BS12/0.001)</f>
        <v>666.474920386482</v>
      </c>
      <c r="BO12" s="4" t="n">
        <f aca="false" t="array" ref="BO12:BO12">SUM(Capacity!CI12*Demand!BO12*Capacity!$DI$3:$DI$25/(TRANSPOSE(Dists!$B11:$X11)*SUM(Capacity!$DI$3:$DI$25/TRANSPOSE(Dists!$B11:$X11))))</f>
        <v>3.99884952231889</v>
      </c>
      <c r="BP12" s="4" t="n">
        <f aca="false" t="array" ref="BP12:BP12">SUM(Capacity!CJ12*Demand!BP12*Capacity!$DI$3:$DI$25/(TRANSPOSE(Dists!$B11:$X11)*SUM(Capacity!$DI$3:$DI$25/TRANSPOSE(Dists!$B11:$X11))))</f>
        <v>11.5481128606619</v>
      </c>
      <c r="BQ12" s="4" t="n">
        <f aca="false">BN12*0.65</f>
        <v>433.208698251213</v>
      </c>
      <c r="BR12" s="4" t="n">
        <f aca="false" t="array" ref="BR12:BR12">SUM(Capacity!CL12*Demand!BR12*Capacity!$DI$3:$DI$25/(TRANSPOSE(Dists!$B11:$X11)*SUM(Capacity!$DI$3:$DI$25/TRANSPOSE(Dists!$B11:$X11))))</f>
        <v>0.133294984077296</v>
      </c>
      <c r="BS12" s="4" t="n">
        <f aca="false" t="array" ref="BS12:BS12">SUM(Capacity!CM12*Demand!BS12*Capacity!$DI$3:$DI$25/(TRANSPOSE(Dists!$B11:$X11)*SUM(Capacity!$DI$3:$DI$25/TRANSPOSE(Dists!$B11:$X11))))</f>
        <v>0.0133294943823487</v>
      </c>
      <c r="BT12" s="4" t="n">
        <f aca="false" t="array" ref="BT12:BT12">SUM(Capacity!CN12*Demand!BT12*Capacity!$DI$3:$DI$25/(TRANSPOSE(Dists!$B11:$X11)*SUM(Capacity!$DI$3:$DI$25/TRANSPOSE(Dists!$B11:$X11))))</f>
        <v>1.30619431256039</v>
      </c>
      <c r="BU12" s="4" t="n">
        <f aca="false" t="array" ref="BU12:BU12">SUM(Capacity!CO12*Demand!BU12*Capacity!$DI$3:$DI$25/(TRANSPOSE(Dists!$B11:$X11)*SUM(Capacity!$DI$3:$DI$25/TRANSPOSE(Dists!$B11:$X11))))</f>
        <v>0.130619431256039</v>
      </c>
      <c r="BV12" s="4" t="n">
        <f aca="false" t="array" ref="BV12:BV12">SUM(Capacity!CP12*Demand!BV12*Capacity!$DI$3:$DI$25/(TRANSPOSE(Dists!$B11:$X11)*SUM(Capacity!$DI$3:$DI$25/TRANSPOSE(Dists!$B11:$X11))))</f>
        <v>0.0130619431256039</v>
      </c>
      <c r="BW12" s="4" t="n">
        <f aca="false">E40*2*8.34/6</f>
        <v>644.18506097985</v>
      </c>
      <c r="BX12" s="4" t="n">
        <f aca="false" t="array" ref="BX12:BX12">SUM(Capacity!CR12*Demand!BX12*Capacity!$DI$3:$DI$25/(TRANSPOSE(Dists!$B11:$X11)*SUM(Capacity!$DI$3:$DI$25/TRANSPOSE(Dists!$B11:$X11))))</f>
        <v>2.74445563193825</v>
      </c>
      <c r="BY12" s="4" t="n">
        <f aca="false" t="array" ref="BY12:BY12">SUM(Capacity!CS12*Demand!BY12*Capacity!$DI$3:$DI$25/(TRANSPOSE(Dists!$B11:$X11)*SUM(Capacity!$DI$3:$DI$25/TRANSPOSE(Dists!$B11:$X11))))</f>
        <v>83.3848722698767</v>
      </c>
      <c r="BZ12" s="4" t="n">
        <f aca="false" t="array" ref="BZ12:BZ12">SUM(Capacity!CT12*Demand!BZ12*Capacity!$DI$3:$DI$25/(TRANSPOSE(Dists!$B11:$X11)*SUM(Capacity!$DI$3:$DI$25/TRANSPOSE(Dists!$B11:$X11))))</f>
        <v>0.497997474840719</v>
      </c>
      <c r="CA12" s="4" t="n">
        <f aca="false" t="array" ref="CA12:CA12">SUM(Capacity!CU12*Demand!CA12*Capacity!$DI$3:$DI$25/(TRANSPOSE(Dists!$B11:$X11)*SUM(Capacity!$DI$3:$DI$25/TRANSPOSE(Dists!$B11:$X11))))</f>
        <v>0.0271952121454331</v>
      </c>
      <c r="CB12" s="4" t="n">
        <f aca="false" t="array" ref="CB12:CB12">SUM(Capacity!CV12*Demand!CB12*Capacity!$DI$3:$DI$25/(TRANSPOSE(Dists!$B11:$X11)*SUM(Capacity!$DI$3:$DI$25/TRANSPOSE(Dists!$B11:$X11))))</f>
        <v>351.572967899939</v>
      </c>
      <c r="CC12" s="4" t="n">
        <f aca="false" t="array" ref="CC12:CC12">SUM(Capacity!CW12*Demand!CC12*Capacity!$DI$3:$DI$25/(TRANSPOSE(Dists!$B11:$X11)*SUM(Capacity!$DI$3:$DI$25/TRANSPOSE(Dists!$B11:$X11))))</f>
        <v>191.168346840631</v>
      </c>
      <c r="CD12" s="4" t="n">
        <f aca="false">SUM($BG40,$BI40,$BK40)*Capacity!CX12/SUM(Capacity!$AM12:$AN12,Capacity!$CX12)</f>
        <v>28.2698475477955</v>
      </c>
      <c r="CE12" s="4" t="n">
        <f aca="false" t="array" ref="CE12:CE12">SUM(Capacity!CY12*Demand!CE12*Capacity!$DI$3:$DI$25/(TRANSPOSE(Dists!$B11:$X11)*SUM(Capacity!$DI$3:$DI$25/TRANSPOSE(Dists!$B11:$X11))))</f>
        <v>2.20835143044596</v>
      </c>
      <c r="CF12" s="4" t="n">
        <f aca="false" t="array" ref="CF12:CF12">SUM(Capacity!CZ12*Demand!CF12*Capacity!$DI$3:$DI$25/(TRANSPOSE(Dists!$B11:$X11)*SUM(Capacity!$DI$3:$DI$25/TRANSPOSE(Dists!$B11:$X11))))</f>
        <v>1590.41252213115</v>
      </c>
      <c r="CG12" s="4" t="n">
        <f aca="false" t="array" ref="CG12:CG12">SUM(Capacity!DA12*Demand!CG12*Capacity!$DI$3:$DI$25/(TRANSPOSE(Dists!$B11:$X11)*SUM(Capacity!$DI$3:$DI$25/TRANSPOSE(Dists!$B11:$X11))))</f>
        <v>9.63296381790749</v>
      </c>
      <c r="CH12" s="4" t="n">
        <f aca="false" t="array" ref="CH12:CH12">SUM(Capacity!DB12*Demand!CH12*Capacity!$DI$3:$DI$25/(TRANSPOSE(Dists!$B11:$X11)*SUM(Capacity!$DI$3:$DI$25/TRANSPOSE(Dists!$B11:$X11))))</f>
        <v>12.5669634286</v>
      </c>
      <c r="CI12" s="4" t="n">
        <f aca="false" t="array" ref="CI12:CI12">SUM(Capacity!DC12*Demand!CI12*Capacity!$DI$3:$DI$25/(TRANSPOSE(Dists!$B11:$X11)*SUM(Capacity!$DI$3:$DI$25/TRANSPOSE(Dists!$B11:$X11))))</f>
        <v>0.11828869592652</v>
      </c>
      <c r="CJ12" s="4" t="n">
        <f aca="false" t="array" ref="CJ12:CJ12">SUM(Capacity!DD12*Demand!CJ12*Capacity!$DI$3:$DI$25/(TRANSPOSE(Dists!$B11:$X11)*SUM(Capacity!$DI$3:$DI$25/TRANSPOSE(Dists!$B11:$X11))))</f>
        <v>0.0397930111949981</v>
      </c>
      <c r="CK12" s="4" t="n">
        <f aca="false" t="array" ref="CK12:CK12">SUM(Capacity!DE12*Demand!CK12*Capacity!$DI$3:$DI$25/(TRANSPOSE(Dists!$B11:$X11)*SUM(Capacity!$DI$3:$DI$25/TRANSPOSE(Dists!$B11:$X11))))</f>
        <v>6.45655752128369</v>
      </c>
      <c r="CL12" s="7" t="s">
        <v>320</v>
      </c>
    </row>
    <row r="13" customFormat="false" ht="12.8" hidden="false" customHeight="false" outlineLevel="0" collapsed="false">
      <c r="A13" s="4" t="s">
        <v>145</v>
      </c>
      <c r="B13" s="7" t="s">
        <v>39</v>
      </c>
      <c r="C13" s="4" t="n">
        <f aca="false" t="array" ref="C13:C13">SUM(Capacity!S13*Demand!C13*Capacity!$DH$3:$DH$25/(TRANSPOSE(Dists!$B12:$X12)*SUM(Capacity!$DH$3:$DH$25/TRANSPOSE(Dists!$B12:$X12))))</f>
        <v>0.0060666941661983</v>
      </c>
      <c r="D13" s="4" t="n">
        <f aca="false" t="array" ref="D13:D13">SUM(Capacity!V13*Demand!D13*Capacity!$DH$3:$DH$25/(TRANSPOSE(Dists!$B12:$X12)*SUM(Capacity!$DH$3:$DH$25/TRANSPOSE(Dists!$B12:$X12))))</f>
        <v>975.88766704814</v>
      </c>
      <c r="E13" s="4" t="n">
        <f aca="false" t="array" ref="E13:E13">SUM(Capacity!Y13*Demand!E13*Capacity!$DH$3:$DH$25/(TRANSPOSE(Dists!$B12:$X12)*SUM(Capacity!$DH$3:$DH$25/TRANSPOSE(Dists!$B12:$X12))))</f>
        <v>530.089509692833</v>
      </c>
      <c r="F13" s="4" t="n">
        <f aca="false">$E13*Capacity!$M13/(2*(1-Capacity!$H$28)*Capacity!$H13)</f>
        <v>194.129098488886</v>
      </c>
      <c r="G13" s="4" t="n">
        <f aca="false" t="array" ref="G13:G13">SUM(Capacity!AA13*Demand!G13*Capacity!$DH$3:$DH$25/(TRANSPOSE(Dists!$B12:$X12)*SUM(Capacity!$DH$3:$DH$25/TRANSPOSE(Dists!$B12:$X12))))</f>
        <v>717.664990148852</v>
      </c>
      <c r="H13" s="4" t="n">
        <f aca="false" t="array" ref="H13:H13">SUM(Capacity!AB13*Demand!H13*Capacity!$DH$3:$DH$25/(TRANSPOSE(Dists!$B12:$X12)*SUM(Capacity!$DH$3:$DH$25/TRANSPOSE(Dists!$B12:$X12))))</f>
        <v>0.459766537843617</v>
      </c>
      <c r="I13" s="4" t="n">
        <f aca="false" t="array" ref="I13:I13">SUM(Capacity!AC13*Demand!I$3:I$25*Capacity!$DG$3:$DG$25/(TRANSPOSE(Dists!$B12:$X12)*SUM(Capacity!$DG$3:$DG$25/TRANSPOSE(Dists!$B12:$X12))))</f>
        <v>2.09388779615686</v>
      </c>
      <c r="J13" s="4" t="n">
        <f aca="false" t="array" ref="J13:J13">SUM(Capacity!AD13*Demand!J$3:J$25*Capacity!$DG$3:$DG$25/(TRANSPOSE(Dists!$B12:$X12)*SUM(Capacity!$DG$3:$DG$25/TRANSPOSE(Dists!$B12:$X12))))</f>
        <v>2.15399169384315</v>
      </c>
      <c r="K13" s="4" t="n">
        <f aca="false">5479.45205479452*$R13</f>
        <v>345018.647438229</v>
      </c>
      <c r="L13" s="4" t="n">
        <f aca="false">17142.8571428571*$S13</f>
        <v>73033.2325049141</v>
      </c>
      <c r="M13" s="4" t="n">
        <f aca="false">IF(50420.1680672269*$T13&gt;($K13/20),50420.1680672269*$T13-($K13/20),0)</f>
        <v>102803.69640329</v>
      </c>
      <c r="N13" s="4" t="n">
        <f aca="false" t="array" ref="N13:N13">SUM(Capacity!AH13*Demand!N13*Capacity!$DH$3:$DH$25/(TRANSPOSE(Dists!$B12:$X12)*SUM(Capacity!$DH$3:$DH$25/TRANSPOSE(Dists!$B12:$X12))))</f>
        <v>565.811631724842</v>
      </c>
      <c r="O13" s="4" t="n">
        <f aca="false">D41/0.8</f>
        <v>1369.86018916509</v>
      </c>
      <c r="P13" s="4" t="n">
        <f aca="false">O13/0.8</f>
        <v>1712.32523645636</v>
      </c>
      <c r="Q13" s="4" t="n">
        <f aca="false" t="array" ref="Q13:Q13">SUM(Capacity!AK13*Demand!Q13*Capacity!$DI$3:$DI$25/(TRANSPOSE(Dists!$B12:$X12)*SUM(Capacity!$DI$3:$DI$25/TRANSPOSE(Dists!$B12:$X12))))</f>
        <v>20.2024196486308</v>
      </c>
      <c r="R13" s="4" t="n">
        <f aca="false" t="array" ref="R13:R13">SUM(Capacity!AL13*Demand!R13*Capacity!$DH$3:$DH$25/(TRANSPOSE(Dists!$B12:$X12)*SUM(Capacity!$DH$3:$DH$25/TRANSPOSE(Dists!$B12:$X12))))</f>
        <v>62.9659031574767</v>
      </c>
      <c r="S13" s="4" t="n">
        <f aca="false">SUM($BG41,$BI41,$BK41)*Capacity!AM13/SUM(Capacity!$AM13:$AN13,Capacity!$CX13)</f>
        <v>4.26027189612</v>
      </c>
      <c r="T13" s="4" t="n">
        <f aca="false">SUM($BG41,$BI41,$BK41)*Capacity!AN13/SUM(Capacity!$AM13:$AN13,Capacity!$CX13)</f>
        <v>2.38108347070816</v>
      </c>
      <c r="U13" s="4" t="n">
        <f aca="false">$M13*120*2/(16*1000*2000)</f>
        <v>0.771027723024674</v>
      </c>
      <c r="V13" s="4" t="n">
        <f aca="false" t="array" ref="V13:V13">SUM(Capacity!AP13*Demand!V$3:V$25*Capacity!$DH$3:$DH$25/(TRANSPOSE(Dists!$B12:$X12)*SUM(Capacity!$DH$3:$DH$25/TRANSPOSE(Dists!$B12:$X12))))</f>
        <v>138.175521408497</v>
      </c>
      <c r="W13" s="4" t="n">
        <f aca="false" t="array" ref="W13:W13">SUM(Capacity!AQ13*Demand!W$3:W$25*Capacity!$DH$3:$DH$25/(TRANSPOSE(Dists!$B12:$X12)*SUM(Capacity!$DH$3:$DH$25/TRANSPOSE(Dists!$B12:$X12))))</f>
        <v>593.310950996146</v>
      </c>
      <c r="X13" s="4" t="n">
        <f aca="false" t="array" ref="X13:X13">SUM(Capacity!AR13*Demand!X$3:X$25*Capacity!$DH$3:$DH$25/(TRANSPOSE(Dists!$B12:$X12)*SUM(Capacity!$DH$3:$DH$25/TRANSPOSE(Dists!$B12:$X12))))</f>
        <v>407.540139105836</v>
      </c>
      <c r="Y13" s="4" t="n">
        <f aca="false">$L13*600*6/(90*1000*2000)</f>
        <v>1.46066465009828</v>
      </c>
      <c r="Z13" s="4" t="n">
        <f aca="false" t="array" ref="Z13:Z13">SUM(Capacity!AT13*Demand!Z$3:Z$25*Capacity!$DI$3:$DI$25/(TRANSPOSE(Dists!$B12:$X12)*SUM(Capacity!$DI$3:$DI$25/TRANSPOSE(Dists!$B12:$X12))))</f>
        <v>51.1021997372724</v>
      </c>
      <c r="AA13" s="4" t="n">
        <f aca="false" t="array" ref="AA13:AA13">SUM(Capacity!AU13*Demand!AA$3:AA$25*Capacity!$DI$3:$DI$25/(TRANSPOSE(Dists!$B12:$X12)*SUM(Capacity!$DI$3:$DI$25/TRANSPOSE(Dists!$B12:$X12))))</f>
        <v>26.1127863876772</v>
      </c>
      <c r="AB13" s="4" t="n">
        <f aca="false" t="array" ref="AB13:AB13">SUM(Capacity!AV13*Demand!AB$3:AB$25*Capacity!$DI$3:$DI$25/(TRANSPOSE(Dists!$B12:$X12)*SUM(Capacity!$DI$3:$DI$25/TRANSPOSE(Dists!$B12:$X12))))</f>
        <v>29.6576461445179</v>
      </c>
      <c r="AC13" s="4" t="n">
        <f aca="false" t="array" ref="AC13:AC13">SUM(Capacity!AW13*Demand!AC$3:AC$25*Capacity!$DI$3:$DI$25/(TRANSPOSE(Dists!$B12:$X12)*SUM(Capacity!$DI$3:$DI$25/TRANSPOSE(Dists!$B12:$X12))))</f>
        <v>5.2763582515843</v>
      </c>
      <c r="AD13" s="4" t="n">
        <f aca="false" t="array" ref="AD13:AD13">SUM(Capacity!AX13*Demand!AD$3:AD$25*Capacity!$DI$3:$DI$25/(TRANSPOSE(Dists!$B12:$X12)*SUM(Capacity!$DI$3:$DI$25/TRANSPOSE(Dists!$B12:$X12))))</f>
        <v>4.85527288311879</v>
      </c>
      <c r="AE13" s="4" t="n">
        <f aca="false" t="array" ref="AE13:AE13">SUM(Capacity!AY13*Demand!AE$3:AE$25*Capacity!$DI$3:$DI$25/(TRANSPOSE(Dists!$B12:$X12)*SUM(Capacity!$DI$3:$DI$25/TRANSPOSE(Dists!$B12:$X12))))</f>
        <v>3.6738139146436</v>
      </c>
      <c r="AF13" s="4" t="n">
        <f aca="false" t="array" ref="AF13:AF13">SUM(Capacity!AZ13*Demand!AF$3:AF$25*Capacity!$DI$3:$DI$25/(TRANSPOSE(Dists!$B12:$X12)*SUM(Capacity!$DI$3:$DI$25/TRANSPOSE(Dists!$B12:$X12))))</f>
        <v>0.828087207877716</v>
      </c>
      <c r="AG13" s="4" t="n">
        <f aca="false" t="array" ref="AG13:AG13">SUM(Capacity!BA13*Demand!AG$3:AG$25*Capacity!$DI$3:$DI$25/(TRANSPOSE(Dists!$B12:$X12)*SUM(Capacity!$DI$3:$DI$25/TRANSPOSE(Dists!$B12:$X12))))</f>
        <v>2.83840693177777</v>
      </c>
      <c r="AH13" s="4" t="n">
        <f aca="false" t="array" ref="AH13:AH13">SUM(Capacity!BB13*Demand!AH$3:AH$25*Capacity!$DI$3:$DI$25/(TRANSPOSE(Dists!$B12:$X12)*SUM(Capacity!$DI$3:$DI$25/TRANSPOSE(Dists!$B12:$X12))))</f>
        <v>2.78645640904785</v>
      </c>
      <c r="AI13" s="4" t="n">
        <f aca="false" t="array" ref="AI13:AI13">SUM(Capacity!BC13*Demand!AI$3:AI$25*Capacity!$DI$3:$DI$25/(TRANSPOSE(Dists!$B12:$X12)*SUM(Capacity!$DI$3:$DI$25/TRANSPOSE(Dists!$B12:$X12))))</f>
        <v>0.372168363992074</v>
      </c>
      <c r="AJ13" s="4" t="n">
        <f aca="false" t="array" ref="AJ13:AJ13">SUM(Capacity!BD13*Demand!AJ$3:AJ$25*Capacity!$DI$3:$DI$25/(TRANSPOSE(Dists!$B12:$X12)*SUM(Capacity!$DI$3:$DI$25/TRANSPOSE(Dists!$B12:$X12))))</f>
        <v>1.21006800426964</v>
      </c>
      <c r="AK13" s="4" t="n">
        <f aca="false" t="array" ref="AK13:AK13">SUM(Capacity!BE13*Demand!AK$3:AK$25*Capacity!$DI$3:$DI$25/(TRANSPOSE(Dists!$B12:$X12)*SUM(Capacity!$DI$3:$DI$25/TRANSPOSE(Dists!$B12:$X12))))</f>
        <v>0.783087437152391</v>
      </c>
      <c r="AL13" s="4" t="n">
        <f aca="false" t="array" ref="AL13:AL13">SUM(Capacity!BF13*Demand!AL$3:AL$25*Capacity!$DI$3:$DI$25/(TRANSPOSE(Dists!$B12:$X12)*SUM(Capacity!$DI$3:$DI$25/TRANSPOSE(Dists!$B12:$X12))))</f>
        <v>0.492133848282698</v>
      </c>
      <c r="AM13" s="4" t="n">
        <f aca="false" t="array" ref="AM13:AM13">SUM(Capacity!BG13*Demand!AM$3:AM$25*Capacity!$DI$3:$DI$25/(TRANSPOSE(Dists!$B12:$X12)*SUM(Capacity!$DI$3:$DI$25/TRANSPOSE(Dists!$B12:$X12))))</f>
        <v>1.31610131754427</v>
      </c>
      <c r="AN13" s="4" t="n">
        <f aca="false" t="array" ref="AN13:AN13">SUM(Capacity!BH13*Demand!AN$3:AN$25*Capacity!$DI$3:$DI$25/(TRANSPOSE(Dists!$B12:$X12)*SUM(Capacity!$DI$3:$DI$25/TRANSPOSE(Dists!$B12:$X12))))</f>
        <v>0.772308637458132</v>
      </c>
      <c r="AO13" s="4" t="n">
        <f aca="false" t="array" ref="AO13:AO13">SUM(Capacity!BI13*Demand!AO$3:AO$25*Capacity!$DI$3:$DI$25/(TRANSPOSE(Dists!$B12:$X12)*SUM(Capacity!$DI$3:$DI$25/TRANSPOSE(Dists!$B12:$X12))))</f>
        <v>2.1929069469037</v>
      </c>
      <c r="AP13" s="4" t="n">
        <f aca="false" t="array" ref="AP13:AP13">SUM(Capacity!BJ13*Demand!AP$3:AP$25*Capacity!$DI$3:$DI$25/(TRANSPOSE(Dists!$B12:$X12)*SUM(Capacity!$DI$3:$DI$25/TRANSPOSE(Dists!$B12:$X12))))</f>
        <v>1.11650534509703</v>
      </c>
      <c r="AQ13" s="4" t="n">
        <f aca="false" t="array" ref="AQ13:AQ13">SUM(Capacity!BK13*Demand!AQ$3:AQ$25*Capacity!$DI$3:$DI$25/(TRANSPOSE(Dists!$B12:$X12)*SUM(Capacity!$DI$3:$DI$25/TRANSPOSE(Dists!$B12:$X12))))</f>
        <v>0.0928898783270502</v>
      </c>
      <c r="AR13" s="4" t="n">
        <f aca="false" t="array" ref="AR13:AR13">SUM(Capacity!BL13*Demand!AR$3:AR$25*Capacity!$DI$3:$DI$25/(TRANSPOSE(Dists!$B12:$X12)*SUM(Capacity!$DI$3:$DI$25/TRANSPOSE(Dists!$B12:$X12))))</f>
        <v>0.163358777644308</v>
      </c>
      <c r="AS13" s="4" t="n">
        <f aca="false" t="array" ref="AS13:AS13">SUM(Capacity!BM13*Demand!AS$3:AS$25*Capacity!$DI$3:$DI$25/(TRANSPOSE(Dists!$B12:$X12)*SUM(Capacity!$DI$3:$DI$25/TRANSPOSE(Dists!$B12:$X12))))</f>
        <v>0.376658867731305</v>
      </c>
      <c r="AT13" s="4" t="n">
        <f aca="false" t="array" ref="AT13:AT13">SUM(Capacity!BN13*Demand!AT$3:AT$25*Capacity!$DI$3:$DI$25/(TRANSPOSE(Dists!$B12:$X12)*SUM(Capacity!$DI$3:$DI$25/TRANSPOSE(Dists!$B12:$X12))))</f>
        <v>4.11624336535031</v>
      </c>
      <c r="AU13" s="4" t="n">
        <f aca="false" t="array" ref="AU13:AU13">SUM(Capacity!BO13*Demand!AU$3:AU$25*Capacity!$DI$3:$DI$25/(TRANSPOSE(Dists!$B12:$X12)*SUM(Capacity!$DI$3:$DI$25/TRANSPOSE(Dists!$B12:$X12))))</f>
        <v>2.32168769049308</v>
      </c>
      <c r="AV13" s="4" t="n">
        <f aca="false" t="array" ref="AV13:AV13">SUM(Capacity!BP13*Demand!AV$3:AV$25*Capacity!$DI$3:$DI$25/(TRANSPOSE(Dists!$B12:$X12)*SUM(Capacity!$DI$3:$DI$25/TRANSPOSE(Dists!$B12:$X12))))</f>
        <v>0.145195763695726</v>
      </c>
      <c r="AW13" s="4" t="n">
        <f aca="false" t="array" ref="AW13:AW13">SUM(Capacity!BQ13*Demand!AW$3:AW$25*Capacity!$DI$3:$DI$25/(TRANSPOSE(Dists!$B12:$X12)*SUM(Capacity!$DI$3:$DI$25/TRANSPOSE(Dists!$B12:$X12))))</f>
        <v>2.88416345201987</v>
      </c>
      <c r="AX13" s="4" t="n">
        <f aca="false" t="array" ref="AX13:AX13">SUM(Capacity!BR13*Demand!AX$3:AX$25*Capacity!$DI$3:$DI$25/(TRANSPOSE(Dists!$B12:$X12)*SUM(Capacity!$DI$3:$DI$25/TRANSPOSE(Dists!$B12:$X12))))</f>
        <v>0.284831594537292</v>
      </c>
      <c r="AY13" s="4" t="n">
        <f aca="false" t="array" ref="AY13:AY13">SUM(Capacity!BS13*Demand!AY$3:AY$25*Capacity!$DI$3:$DI$25/(TRANSPOSE(Dists!$B12:$X12)*SUM(Capacity!$DI$3:$DI$25/TRANSPOSE(Dists!$B12:$X12))))</f>
        <v>0.355455562498679</v>
      </c>
      <c r="AZ13" s="4" t="n">
        <f aca="false" t="array" ref="AZ13:AZ13">SUM(Capacity!BT13*Demand!AZ$3:AZ$25*Capacity!$DI$3:$DI$25/(TRANSPOSE(Dists!$B12:$X12)*SUM(Capacity!$DI$3:$DI$25/TRANSPOSE(Dists!$B12:$X12))))</f>
        <v>2.40719326179482</v>
      </c>
      <c r="BA13" s="4" t="n">
        <f aca="false">L13*25/(2000*1000*51)</f>
        <v>0.0179003020845378</v>
      </c>
      <c r="BB13" s="4" t="n">
        <f aca="false" t="array" ref="BB13:BB13">SUM(Capacity!BV13*Demand!BB$3:BB$25*Capacity!$DI$3:$DI$25/(TRANSPOSE(Dists!$B12:$X12)*SUM(Capacity!$DI$3:$DI$25/TRANSPOSE(Dists!$B12:$X12))))</f>
        <v>0.397640060837232</v>
      </c>
      <c r="BC13" s="4" t="n">
        <f aca="false" t="array" ref="BC13:BC13">SUM(Capacity!BW13*Demand!BC$3:BC$25*Capacity!$DI$3:$DI$25/(TRANSPOSE(Dists!$B12:$X12)*SUM(Capacity!$DI$3:$DI$25/TRANSPOSE(Dists!$B12:$X12))))</f>
        <v>0.258493200805034</v>
      </c>
      <c r="BD13" s="4" t="n">
        <f aca="false" t="array" ref="BD13:BD13">SUM(Capacity!BX13*Demand!BD$3:BD$25*Capacity!$DI$3:$DI$25/(TRANSPOSE(Dists!$B12:$X12)*SUM(Capacity!$DI$3:$DI$25/TRANSPOSE(Dists!$B12:$X12))))</f>
        <v>0.170957168513147</v>
      </c>
      <c r="BE13" s="4" t="n">
        <f aca="false" t="array" ref="BE13:BE13">SUM(Capacity!BY13*Demand!BE$3:BE$25*Capacity!$DI$3:$DI$25/(TRANSPOSE(Dists!$B12:$X12)*SUM(Capacity!$DI$3:$DI$25/TRANSPOSE(Dists!$B12:$X12))))</f>
        <v>0.0951404970331445</v>
      </c>
      <c r="BF13" s="4" t="n">
        <f aca="false" t="array" ref="BF13:BF13">SUM(Capacity!BZ13*Demand!BF$3:BF$25*Capacity!$DI$3:$DI$25/(TRANSPOSE(Dists!$B12:$X12)*SUM(Capacity!$DI$3:$DI$25/TRANSPOSE(Dists!$B12:$X12))))</f>
        <v>3.35730636945076</v>
      </c>
      <c r="BG13" s="4" t="n">
        <f aca="false" t="array" ref="BG13:BG13">SUM(Capacity!CA13*Demand!BG$3:BG$25*Capacity!$DI$3:$DI$25/(TRANSPOSE(Dists!$B12:$X12)*SUM(Capacity!$DI$3:$DI$25/TRANSPOSE(Dists!$B12:$X12))))</f>
        <v>10.5734647745102</v>
      </c>
      <c r="BH13" s="4" t="n">
        <f aca="false" t="array" ref="BH13:BH13">SUM(Capacity!CB13*Demand!BH$3:BH$25*Capacity!$DI$3:$DI$25/(TRANSPOSE(Dists!$B12:$X12)*SUM(Capacity!$DI$3:$DI$25/TRANSPOSE(Dists!$B12:$X12))))</f>
        <v>20.2969453159747</v>
      </c>
      <c r="BI13" s="4" t="n">
        <f aca="false" t="array" ref="BI13:BI13">SUM(Capacity!CC13*Demand!BI13*Capacity!$DI$3:$DI$25/(TRANSPOSE(Dists!$B12:$X12)*SUM(Capacity!$DI$3:$DI$25/TRANSPOSE(Dists!$B12:$X12))))</f>
        <v>32.7344348125499</v>
      </c>
      <c r="BJ13" s="4" t="n">
        <f aca="false" t="array" ref="BJ13:BJ13">SUM(Capacity!CD13*Demand!BJ13*Capacity!$DI$3:$DI$25/(TRANSPOSE(Dists!$B12:$X12)*SUM(Capacity!$DI$3:$DI$25/TRANSPOSE(Dists!$B12:$X12))))</f>
        <v>612.113216738792</v>
      </c>
      <c r="BK13" s="4" t="n">
        <f aca="false" t="array" ref="BK13:BK13">SUM(Capacity!CE13*Demand!BK13*Capacity!$DI$3:$DI$25/(TRANSPOSE(Dists!$B12:$X12)*SUM(Capacity!$DI$3:$DI$25/TRANSPOSE(Dists!$B12:$X12))))</f>
        <v>16.3672174062749</v>
      </c>
      <c r="BL13" s="4" t="n">
        <f aca="false" t="array" ref="BL13:BL13">SUM(Capacity!CF13*Demand!BL13*Capacity!$DI$3:$DI$25/(TRANSPOSE(Dists!$B12:$X12)*SUM(Capacity!$DI$3:$DI$25/TRANSPOSE(Dists!$B12:$X12))))</f>
        <v>876.229625825854</v>
      </c>
      <c r="BM13" s="4" t="n">
        <f aca="false" t="array" ref="BM13:BM13">SUM(Capacity!CG13*Demand!BM13*Capacity!$DI$3:$DI$25/(TRANSPOSE(Dists!$B12:$X12)*SUM(Capacity!$DI$3:$DI$25/TRANSPOSE(Dists!$B12:$X12))))</f>
        <v>84.5317378855078</v>
      </c>
      <c r="BN13" s="4" t="n">
        <f aca="false">MAX($BO13/0.006,$BP13/0.7,$BR13/0.002,$BS13/0.001)</f>
        <v>0.000350628748243427</v>
      </c>
      <c r="BO13" s="4" t="n">
        <f aca="false" t="array" ref="BO13:BO13">SUM(Capacity!CI13*Demand!BO13*Capacity!$DI$3:$DI$25/(TRANSPOSE(Dists!$B12:$X12)*SUM(Capacity!$DI$3:$DI$25/TRANSPOSE(Dists!$B12:$X12))))</f>
        <v>2.10377248946056E-006</v>
      </c>
      <c r="BP13" s="4" t="n">
        <f aca="false" t="array" ref="BP13:BP13">SUM(Capacity!CJ13*Demand!BP13*Capacity!$DI$3:$DI$25/(TRANSPOSE(Dists!$B12:$X12)*SUM(Capacity!$DI$3:$DI$25/TRANSPOSE(Dists!$B12:$X12))))</f>
        <v>2.93200142091621E-008</v>
      </c>
      <c r="BQ13" s="4" t="n">
        <f aca="false">BN13*0.65</f>
        <v>0.000227908686358228</v>
      </c>
      <c r="BR13" s="4" t="n">
        <f aca="false" t="array" ref="BR13:BR13">SUM(Capacity!CL13*Demand!BR13*Capacity!$DI$3:$DI$25/(TRANSPOSE(Dists!$B12:$X12)*SUM(Capacity!$DI$3:$DI$25/TRANSPOSE(Dists!$B12:$X12))))</f>
        <v>2.10377248946056E-007</v>
      </c>
      <c r="BS13" s="4" t="n">
        <f aca="false" t="array" ref="BS13:BS13">SUM(Capacity!CM13*Demand!BS13*Capacity!$DI$3:$DI$25/(TRANSPOSE(Dists!$B12:$X12)*SUM(Capacity!$DI$3:$DI$25/TRANSPOSE(Dists!$B12:$X12))))</f>
        <v>4.20754356704866E-008</v>
      </c>
      <c r="BT13" s="4" t="n">
        <f aca="false" t="array" ref="BT13:BT13">SUM(Capacity!CN13*Demand!BT13*Capacity!$DI$3:$DI$25/(TRANSPOSE(Dists!$B12:$X12)*SUM(Capacity!$DI$3:$DI$25/TRANSPOSE(Dists!$B12:$X12))))</f>
        <v>4.96061287856996</v>
      </c>
      <c r="BU13" s="4" t="n">
        <f aca="false" t="array" ref="BU13:BU13">SUM(Capacity!CO13*Demand!BU13*Capacity!$DI$3:$DI$25/(TRANSPOSE(Dists!$B12:$X12)*SUM(Capacity!$DI$3:$DI$25/TRANSPOSE(Dists!$B12:$X12))))</f>
        <v>0.496061287856996</v>
      </c>
      <c r="BV13" s="4" t="n">
        <f aca="false" t="array" ref="BV13:BV13">SUM(Capacity!CP13*Demand!BV13*Capacity!$DI$3:$DI$25/(TRANSPOSE(Dists!$B12:$X12)*SUM(Capacity!$DI$3:$DI$25/TRANSPOSE(Dists!$B12:$X12))))</f>
        <v>0.0496061287856996</v>
      </c>
      <c r="BW13" s="4" t="n">
        <f aca="false">E41*2*8.34/6</f>
        <v>1789.92854748144</v>
      </c>
      <c r="BX13" s="4" t="n">
        <f aca="false" t="array" ref="BX13:BX13">SUM(Capacity!CR13*Demand!BX13*Capacity!$DI$3:$DI$25/(TRANSPOSE(Dists!$B12:$X12)*SUM(Capacity!$DI$3:$DI$25/TRANSPOSE(Dists!$B12:$X12))))</f>
        <v>1.26810519544748</v>
      </c>
      <c r="BY13" s="4" t="n">
        <f aca="false" t="array" ref="BY13:BY13">SUM(Capacity!CS13*Demand!BY13*Capacity!$DI$3:$DI$25/(TRANSPOSE(Dists!$B12:$X12)*SUM(Capacity!$DI$3:$DI$25/TRANSPOSE(Dists!$B12:$X12))))</f>
        <v>80.1594380334336</v>
      </c>
      <c r="BZ13" s="4" t="n">
        <f aca="false" t="array" ref="BZ13:BZ13">SUM(Capacity!CT13*Demand!BZ13*Capacity!$DI$3:$DI$25/(TRANSPOSE(Dists!$B12:$X12)*SUM(Capacity!$DI$3:$DI$25/TRANSPOSE(Dists!$B12:$X12))))</f>
        <v>0.362507851733471</v>
      </c>
      <c r="CA13" s="4" t="n">
        <f aca="false" t="array" ref="CA13:CA13">SUM(Capacity!CU13*Demand!CA13*Capacity!$DI$3:$DI$25/(TRANSPOSE(Dists!$B12:$X12)*SUM(Capacity!$DI$3:$DI$25/TRANSPOSE(Dists!$B12:$X12))))</f>
        <v>0.152998496203483</v>
      </c>
      <c r="CB13" s="4" t="n">
        <f aca="false" t="array" ref="CB13:CB13">SUM(Capacity!CV13*Demand!CB13*Capacity!$DI$3:$DI$25/(TRANSPOSE(Dists!$B12:$X12)*SUM(Capacity!$DI$3:$DI$25/TRANSPOSE(Dists!$B12:$X12))))</f>
        <v>816.186470206698</v>
      </c>
      <c r="CC13" s="4" t="n">
        <f aca="false" t="array" ref="CC13:CC13">SUM(Capacity!CW13*Demand!CC13*Capacity!$DI$3:$DI$25/(TRANSPOSE(Dists!$B12:$X12)*SUM(Capacity!$DI$3:$DI$25/TRANSPOSE(Dists!$B12:$X12))))</f>
        <v>1065.33868707669</v>
      </c>
      <c r="CD13" s="4" t="n">
        <f aca="false">SUM($BG41,$BI41,$BK41)*Capacity!CX13/SUM(Capacity!$AM13:$AN13,Capacity!$CX13)</f>
        <v>63.2946880096844</v>
      </c>
      <c r="CE13" s="4" t="n">
        <f aca="false" t="array" ref="CE13:CE13">SUM(Capacity!CY13*Demand!CE13*Capacity!$DI$3:$DI$25/(TRANSPOSE(Dists!$B12:$X12)*SUM(Capacity!$DI$3:$DI$25/TRANSPOSE(Dists!$B12:$X12))))</f>
        <v>9.1224563091767</v>
      </c>
      <c r="CF13" s="4" t="n">
        <f aca="false" t="array" ref="CF13:CF13">SUM(Capacity!CZ13*Demand!CF13*Capacity!$DI$3:$DI$25/(TRANSPOSE(Dists!$B12:$X12)*SUM(Capacity!$DI$3:$DI$25/TRANSPOSE(Dists!$B12:$X12))))</f>
        <v>891.163836445906</v>
      </c>
      <c r="CG13" s="4" t="n">
        <f aca="false" t="array" ref="CG13:CG13">SUM(Capacity!DA13*Demand!CG13*Capacity!$DI$3:$DI$25/(TRANSPOSE(Dists!$B12:$X12)*SUM(Capacity!$DI$3:$DI$25/TRANSPOSE(Dists!$B12:$X12))))</f>
        <v>4.99939864370053E-005</v>
      </c>
      <c r="CH13" s="4" t="n">
        <f aca="false" t="array" ref="CH13:CH13">SUM(Capacity!DB13*Demand!CH13*Capacity!$DI$3:$DI$25/(TRANSPOSE(Dists!$B12:$X12)*SUM(Capacity!$DI$3:$DI$25/TRANSPOSE(Dists!$B12:$X12))))</f>
        <v>5.40807202790438E-005</v>
      </c>
      <c r="CI13" s="4" t="n">
        <f aca="false" t="array" ref="CI13:CI13">SUM(Capacity!DC13*Demand!CI13*Capacity!$DI$3:$DI$25/(TRANSPOSE(Dists!$B12:$X12)*SUM(Capacity!$DI$3:$DI$25/TRANSPOSE(Dists!$B12:$X12))))</f>
        <v>0.293427348178544</v>
      </c>
      <c r="CJ13" s="4" t="n">
        <f aca="false" t="array" ref="CJ13:CJ13">SUM(Capacity!DD13*Demand!CJ13*Capacity!$DI$3:$DI$25/(TRANSPOSE(Dists!$B12:$X12)*SUM(Capacity!$DI$3:$DI$25/TRANSPOSE(Dists!$B12:$X12))))</f>
        <v>0.115518083651922</v>
      </c>
      <c r="CK13" s="4" t="n">
        <f aca="false" t="array" ref="CK13:CK13">SUM(Capacity!DE13*Demand!CK13*Capacity!$DI$3:$DI$25/(TRANSPOSE(Dists!$B12:$X12)*SUM(Capacity!$DI$3:$DI$25/TRANSPOSE(Dists!$B12:$X12))))</f>
        <v>7.63914740728993</v>
      </c>
      <c r="CL13" s="7" t="s">
        <v>320</v>
      </c>
    </row>
    <row r="14" customFormat="false" ht="12.8" hidden="false" customHeight="false" outlineLevel="0" collapsed="false">
      <c r="A14" s="4" t="s">
        <v>147</v>
      </c>
      <c r="B14" s="7" t="s">
        <v>39</v>
      </c>
      <c r="C14" s="4" t="n">
        <f aca="false" t="array" ref="C14:C14">SUM(Capacity!S14*Demand!C14*Capacity!$DH$3:$DH$25/(TRANSPOSE(Dists!$B13:$X13)*SUM(Capacity!$DH$3:$DH$25/TRANSPOSE(Dists!$B13:$X13))))</f>
        <v>0.00319533821782593</v>
      </c>
      <c r="D14" s="4" t="n">
        <f aca="false" t="array" ref="D14:D14">SUM(Capacity!V14*Demand!D14*Capacity!$DH$3:$DH$25/(TRANSPOSE(Dists!$B13:$X13)*SUM(Capacity!$DH$3:$DH$25/TRANSPOSE(Dists!$B13:$X13))))</f>
        <v>480.634661449688</v>
      </c>
      <c r="E14" s="4" t="n">
        <f aca="false" t="array" ref="E14:E14">SUM(Capacity!Y14*Demand!E14*Capacity!$DH$3:$DH$25/(TRANSPOSE(Dists!$B13:$X13)*SUM(Capacity!$DH$3:$DH$25/TRANSPOSE(Dists!$B13:$X13))))</f>
        <v>276.781165819302</v>
      </c>
      <c r="F14" s="4" t="n">
        <f aca="false">$E14*Capacity!$M14/(2*(1-Capacity!$H$28)*Capacity!$H14)</f>
        <v>101.362651432848</v>
      </c>
      <c r="G14" s="4" t="n">
        <f aca="false" t="array" ref="G14:G14">SUM(Capacity!AA14*Demand!G14*Capacity!$DH$3:$DH$25/(TRANSPOSE(Dists!$B13:$X13)*SUM(Capacity!$DH$3:$DH$25/TRANSPOSE(Dists!$B13:$X13))))</f>
        <v>241.6916480337</v>
      </c>
      <c r="H14" s="4" t="n">
        <f aca="false" t="array" ref="H14:H14">SUM(Capacity!AB14*Demand!H14*Capacity!$DH$3:$DH$25/(TRANSPOSE(Dists!$B13:$X13)*SUM(Capacity!$DH$3:$DH$25/TRANSPOSE(Dists!$B13:$X13))))</f>
        <v>0.287783034195891</v>
      </c>
      <c r="I14" s="4" t="n">
        <f aca="false" t="array" ref="I14:I14">SUM(Capacity!AC14*Demand!I$3:I$25*Capacity!$DG$3:$DG$25/(TRANSPOSE(Dists!$B13:$X13)*SUM(Capacity!$DG$3:$DG$25/TRANSPOSE(Dists!$B13:$X13))))</f>
        <v>1.8819626390802</v>
      </c>
      <c r="J14" s="4" t="n">
        <f aca="false" t="array" ref="J14:J14">SUM(Capacity!AD14*Demand!J$3:J$25*Capacity!$DG$3:$DG$25/(TRANSPOSE(Dists!$B13:$X13)*SUM(Capacity!$DG$3:$DG$25/TRANSPOSE(Dists!$B13:$X13))))</f>
        <v>1.4293764909198</v>
      </c>
      <c r="K14" s="4" t="n">
        <f aca="false">5479.45205479452*$R14</f>
        <v>273013.278179934</v>
      </c>
      <c r="L14" s="4" t="n">
        <f aca="false">17142.8571428571*$S14</f>
        <v>54423.0772315297</v>
      </c>
      <c r="M14" s="4" t="n">
        <f aca="false">IF(50420.1680672269*$T14&gt;($K14/20),50420.1680672269*$T14-($K14/20),0)</f>
        <v>75811.9288003675</v>
      </c>
      <c r="N14" s="4" t="n">
        <f aca="false" t="array" ref="N14:N14">SUM(Capacity!AH14*Demand!N14*Capacity!$DH$3:$DH$25/(TRANSPOSE(Dists!$B13:$X13)*SUM(Capacity!$DH$3:$DH$25/TRANSPOSE(Dists!$B13:$X13))))</f>
        <v>201.133767970053</v>
      </c>
      <c r="O14" s="4" t="n">
        <f aca="false">D42/0.8</f>
        <v>1100.66493591966</v>
      </c>
      <c r="P14" s="4" t="n">
        <f aca="false">O14/0.8</f>
        <v>1375.83116989958</v>
      </c>
      <c r="Q14" s="4" t="n">
        <f aca="false" t="array" ref="Q14:Q14">SUM(Capacity!AK14*Demand!Q14*Capacity!$DI$3:$DI$25/(TRANSPOSE(Dists!$B13:$X13)*SUM(Capacity!$DI$3:$DI$25/TRANSPOSE(Dists!$B13:$X13))))</f>
        <v>11.2084135836315</v>
      </c>
      <c r="R14" s="4" t="n">
        <f aca="false" t="array" ref="R14:R14">SUM(Capacity!AL14*Demand!R14*Capacity!$DH$3:$DH$25/(TRANSPOSE(Dists!$B13:$X13)*SUM(Capacity!$DH$3:$DH$25/TRANSPOSE(Dists!$B13:$X13))))</f>
        <v>49.824923267838</v>
      </c>
      <c r="S14" s="4" t="n">
        <f aca="false">SUM($BG42,$BI42,$BK42)*Capacity!AM14/SUM(Capacity!$AM14:$AN14,Capacity!$CX14)</f>
        <v>3.17467950517257</v>
      </c>
      <c r="T14" s="4" t="n">
        <f aca="false">SUM($BG42,$BI42,$BK42)*Capacity!AN14/SUM(Capacity!$AM14:$AN14,Capacity!$CX14)</f>
        <v>1.77434142206906</v>
      </c>
      <c r="U14" s="4" t="n">
        <f aca="false">$M14*120*2/(16*1000*2000)</f>
        <v>0.568589466002756</v>
      </c>
      <c r="V14" s="4" t="n">
        <f aca="false" t="array" ref="V14:V14">SUM(Capacity!AP14*Demand!V$3:V$25*Capacity!$DH$3:$DH$25/(TRANSPOSE(Dists!$B13:$X13)*SUM(Capacity!$DH$3:$DH$25/TRANSPOSE(Dists!$B13:$X13))))</f>
        <v>100.554667714388</v>
      </c>
      <c r="W14" s="4" t="n">
        <f aca="false" t="array" ref="W14:W14">SUM(Capacity!AQ14*Demand!W$3:W$25*Capacity!$DH$3:$DH$25/(TRANSPOSE(Dists!$B13:$X13)*SUM(Capacity!$DH$3:$DH$25/TRANSPOSE(Dists!$B13:$X13))))</f>
        <v>321.074708251118</v>
      </c>
      <c r="X14" s="4" t="n">
        <f aca="false" t="array" ref="X14:X14">SUM(Capacity!AR14*Demand!X$3:X$25*Capacity!$DH$3:$DH$25/(TRANSPOSE(Dists!$B13:$X13)*SUM(Capacity!$DH$3:$DH$25/TRANSPOSE(Dists!$B13:$X13))))</f>
        <v>308.675334961001</v>
      </c>
      <c r="Y14" s="4" t="n">
        <f aca="false">$L14*600*6/(90*1000*2000)</f>
        <v>1.08846154463059</v>
      </c>
      <c r="Z14" s="4" t="n">
        <f aca="false" t="array" ref="Z14:Z14">SUM(Capacity!AT14*Demand!Z$3:Z$25*Capacity!$DI$3:$DI$25/(TRANSPOSE(Dists!$B13:$X13)*SUM(Capacity!$DI$3:$DI$25/TRANSPOSE(Dists!$B13:$X13))))</f>
        <v>42.9153587585116</v>
      </c>
      <c r="AA14" s="4" t="n">
        <f aca="false" t="array" ref="AA14:AA14">SUM(Capacity!AU14*Demand!AA$3:AA$25*Capacity!$DI$3:$DI$25/(TRANSPOSE(Dists!$B13:$X13)*SUM(Capacity!$DI$3:$DI$25/TRANSPOSE(Dists!$B13:$X13))))</f>
        <v>18.7181707516585</v>
      </c>
      <c r="AB14" s="4" t="n">
        <f aca="false" t="array" ref="AB14:AB14">SUM(Capacity!AV14*Demand!AB$3:AB$25*Capacity!$DI$3:$DI$25/(TRANSPOSE(Dists!$B13:$X13)*SUM(Capacity!$DI$3:$DI$25/TRANSPOSE(Dists!$B13:$X13))))</f>
        <v>20.9921943019586</v>
      </c>
      <c r="AC14" s="4" t="n">
        <f aca="false" t="array" ref="AC14:AC14">SUM(Capacity!AW14*Demand!AC$3:AC$25*Capacity!$DI$3:$DI$25/(TRANSPOSE(Dists!$B13:$X13)*SUM(Capacity!$DI$3:$DI$25/TRANSPOSE(Dists!$B13:$X13))))</f>
        <v>4.43803996994167</v>
      </c>
      <c r="AD14" s="4" t="n">
        <f aca="false" t="array" ref="AD14:AD14">SUM(Capacity!AX14*Demand!AD$3:AD$25*Capacity!$DI$3:$DI$25/(TRANSPOSE(Dists!$B13:$X13)*SUM(Capacity!$DI$3:$DI$25/TRANSPOSE(Dists!$B13:$X13))))</f>
        <v>3.43664602560849</v>
      </c>
      <c r="AE14" s="4" t="n">
        <f aca="false" t="array" ref="AE14:AE14">SUM(Capacity!AY14*Demand!AE$3:AE$25*Capacity!$DI$3:$DI$25/(TRANSPOSE(Dists!$B13:$X13)*SUM(Capacity!$DI$3:$DI$25/TRANSPOSE(Dists!$B13:$X13))))</f>
        <v>3.00578813673615</v>
      </c>
      <c r="AF14" s="4" t="n">
        <f aca="false" t="array" ref="AF14:AF14">SUM(Capacity!AZ14*Demand!AF$3:AF$25*Capacity!$DI$3:$DI$25/(TRANSPOSE(Dists!$B13:$X13)*SUM(Capacity!$DI$3:$DI$25/TRANSPOSE(Dists!$B13:$X13))))</f>
        <v>0.45621013998653</v>
      </c>
      <c r="AG14" s="4" t="n">
        <f aca="false" t="array" ref="AG14:AG14">SUM(Capacity!BA14*Demand!AG$3:AG$25*Capacity!$DI$3:$DI$25/(TRANSPOSE(Dists!$B13:$X13)*SUM(Capacity!$DI$3:$DI$25/TRANSPOSE(Dists!$B13:$X13))))</f>
        <v>2.50152724516811</v>
      </c>
      <c r="AH14" s="4" t="n">
        <f aca="false" t="array" ref="AH14:AH14">SUM(Capacity!BB14*Demand!AH$3:AH$25*Capacity!$DI$3:$DI$25/(TRANSPOSE(Dists!$B13:$X13)*SUM(Capacity!$DI$3:$DI$25/TRANSPOSE(Dists!$B13:$X13))))</f>
        <v>1.94284674387658</v>
      </c>
      <c r="AI14" s="4" t="n">
        <f aca="false" t="array" ref="AI14:AI14">SUM(Capacity!BC14*Demand!AI$3:AI$25*Capacity!$DI$3:$DI$25/(TRANSPOSE(Dists!$B13:$X13)*SUM(Capacity!$DI$3:$DI$25/TRANSPOSE(Dists!$B13:$X13))))</f>
        <v>0.245157988175944</v>
      </c>
      <c r="AJ14" s="4" t="n">
        <f aca="false" t="array" ref="AJ14:AJ14">SUM(Capacity!BD14*Demand!AJ$3:AJ$25*Capacity!$DI$3:$DI$25/(TRANSPOSE(Dists!$B13:$X13)*SUM(Capacity!$DI$3:$DI$25/TRANSPOSE(Dists!$B13:$X13))))</f>
        <v>0.684649581766168</v>
      </c>
      <c r="AK14" s="4" t="n">
        <f aca="false" t="array" ref="AK14:AK14">SUM(Capacity!BE14*Demand!AK$3:AK$25*Capacity!$DI$3:$DI$25/(TRANSPOSE(Dists!$B13:$X13)*SUM(Capacity!$DI$3:$DI$25/TRANSPOSE(Dists!$B13:$X13))))</f>
        <v>0.475423056652396</v>
      </c>
      <c r="AL14" s="4" t="n">
        <f aca="false" t="array" ref="AL14:AL14">SUM(Capacity!BF14*Demand!AL$3:AL$25*Capacity!$DI$3:$DI$25/(TRANSPOSE(Dists!$B13:$X13)*SUM(Capacity!$DI$3:$DI$25/TRANSPOSE(Dists!$B13:$X13))))</f>
        <v>0.273671683918887</v>
      </c>
      <c r="AM14" s="4" t="n">
        <f aca="false" t="array" ref="AM14:AM14">SUM(Capacity!BG14*Demand!AM$3:AM$25*Capacity!$DI$3:$DI$25/(TRANSPOSE(Dists!$B13:$X13)*SUM(Capacity!$DI$3:$DI$25/TRANSPOSE(Dists!$B13:$X13))))</f>
        <v>0.778371819677226</v>
      </c>
      <c r="AN14" s="4" t="n">
        <f aca="false" t="array" ref="AN14:AN14">SUM(Capacity!BH14*Demand!AN$3:AN$25*Capacity!$DI$3:$DI$25/(TRANSPOSE(Dists!$B13:$X13)*SUM(Capacity!$DI$3:$DI$25/TRANSPOSE(Dists!$B13:$X13))))</f>
        <v>0.515826167250337</v>
      </c>
      <c r="AO14" s="4" t="n">
        <f aca="false" t="array" ref="AO14:AO14">SUM(Capacity!BI14*Demand!AO$3:AO$25*Capacity!$DI$3:$DI$25/(TRANSPOSE(Dists!$B13:$X13)*SUM(Capacity!$DI$3:$DI$25/TRANSPOSE(Dists!$B13:$X13))))</f>
        <v>0.983486920035791</v>
      </c>
      <c r="AP14" s="4" t="n">
        <f aca="false" t="array" ref="AP14:AP14">SUM(Capacity!BJ14*Demand!AP$3:AP$25*Capacity!$DI$3:$DI$25/(TRANSPOSE(Dists!$B13:$X13)*SUM(Capacity!$DI$3:$DI$25/TRANSPOSE(Dists!$B13:$X13))))</f>
        <v>0.678605810937295</v>
      </c>
      <c r="AQ14" s="4" t="n">
        <f aca="false" t="array" ref="AQ14:AQ14">SUM(Capacity!BK14*Demand!AQ$3:AQ$25*Capacity!$DI$3:$DI$25/(TRANSPOSE(Dists!$B13:$X13)*SUM(Capacity!$DI$3:$DI$25/TRANSPOSE(Dists!$B13:$X13))))</f>
        <v>0.0674242828070616</v>
      </c>
      <c r="AR14" s="4" t="n">
        <f aca="false" t="array" ref="AR14:AR14">SUM(Capacity!BL14*Demand!AR$3:AR$25*Capacity!$DI$3:$DI$25/(TRANSPOSE(Dists!$B13:$X13)*SUM(Capacity!$DI$3:$DI$25/TRANSPOSE(Dists!$B13:$X13))))</f>
        <v>0.116641019691139</v>
      </c>
      <c r="AS14" s="4" t="n">
        <f aca="false" t="array" ref="AS14:AS14">SUM(Capacity!BM14*Demand!AS$3:AS$25*Capacity!$DI$3:$DI$25/(TRANSPOSE(Dists!$B13:$X13)*SUM(Capacity!$DI$3:$DI$25/TRANSPOSE(Dists!$B13:$X13))))</f>
        <v>0.280815555757664</v>
      </c>
      <c r="AT14" s="4" t="n">
        <f aca="false" t="array" ref="AT14:AT14">SUM(Capacity!BN14*Demand!AT$3:AT$25*Capacity!$DI$3:$DI$25/(TRANSPOSE(Dists!$B13:$X13)*SUM(Capacity!$DI$3:$DI$25/TRANSPOSE(Dists!$B13:$X13))))</f>
        <v>2.20310234702431</v>
      </c>
      <c r="AU14" s="4" t="n">
        <f aca="false" t="array" ref="AU14:AU14">SUM(Capacity!BO14*Demand!AU$3:AU$25*Capacity!$DI$3:$DI$25/(TRANSPOSE(Dists!$B13:$X13)*SUM(Capacity!$DI$3:$DI$25/TRANSPOSE(Dists!$B13:$X13))))</f>
        <v>2.49395628928099</v>
      </c>
      <c r="AV14" s="4" t="n">
        <f aca="false" t="array" ref="AV14:AV14">SUM(Capacity!BP14*Demand!AV$3:AV$25*Capacity!$DI$3:$DI$25/(TRANSPOSE(Dists!$B13:$X13)*SUM(Capacity!$DI$3:$DI$25/TRANSPOSE(Dists!$B13:$X13))))</f>
        <v>0.0841626448021502</v>
      </c>
      <c r="AW14" s="4" t="n">
        <f aca="false" t="array" ref="AW14:AW14">SUM(Capacity!BQ14*Demand!AW$3:AW$25*Capacity!$DI$3:$DI$25/(TRANSPOSE(Dists!$B13:$X13)*SUM(Capacity!$DI$3:$DI$25/TRANSPOSE(Dists!$B13:$X13))))</f>
        <v>2.44051613472307</v>
      </c>
      <c r="AX14" s="4" t="n">
        <f aca="false" t="array" ref="AX14:AX14">SUM(Capacity!BR14*Demand!AX$3:AX$25*Capacity!$DI$3:$DI$25/(TRANSPOSE(Dists!$B13:$X13)*SUM(Capacity!$DI$3:$DI$25/TRANSPOSE(Dists!$B13:$X13))))</f>
        <v>0.254124153601924</v>
      </c>
      <c r="AY14" s="4" t="n">
        <f aca="false" t="array" ref="AY14:AY14">SUM(Capacity!BS14*Demand!AY$3:AY$25*Capacity!$DI$3:$DI$25/(TRANSPOSE(Dists!$B13:$X13)*SUM(Capacity!$DI$3:$DI$25/TRANSPOSE(Dists!$B13:$X13))))</f>
        <v>0.239202657226708</v>
      </c>
      <c r="AZ14" s="4" t="n">
        <f aca="false" t="array" ref="AZ14:AZ14">SUM(Capacity!BT14*Demand!AZ$3:AZ$25*Capacity!$DI$3:$DI$25/(TRANSPOSE(Dists!$B13:$X13)*SUM(Capacity!$DI$3:$DI$25/TRANSPOSE(Dists!$B13:$X13))))</f>
        <v>1.67164394526549</v>
      </c>
      <c r="BA14" s="4" t="n">
        <f aca="false">L14*25/(2000*1000*51)</f>
        <v>0.0133389895175318</v>
      </c>
      <c r="BB14" s="4" t="n">
        <f aca="false" t="array" ref="BB14:BB14">SUM(Capacity!BV14*Demand!BB$3:BB$25*Capacity!$DI$3:$DI$25/(TRANSPOSE(Dists!$B13:$X13)*SUM(Capacity!$DI$3:$DI$25/TRANSPOSE(Dists!$B13:$X13))))</f>
        <v>0.269678899264991</v>
      </c>
      <c r="BC14" s="4" t="n">
        <f aca="false" t="array" ref="BC14:BC14">SUM(Capacity!BW14*Demand!BC$3:BC$25*Capacity!$DI$3:$DI$25/(TRANSPOSE(Dists!$B13:$X13)*SUM(Capacity!$DI$3:$DI$25/TRANSPOSE(Dists!$B13:$X13))))</f>
        <v>0.145122250028699</v>
      </c>
      <c r="BD14" s="4" t="n">
        <f aca="false" t="array" ref="BD14:BD14">SUM(Capacity!BX14*Demand!BD$3:BD$25*Capacity!$DI$3:$DI$25/(TRANSPOSE(Dists!$B13:$X13)*SUM(Capacity!$DI$3:$DI$25/TRANSPOSE(Dists!$B13:$X13))))</f>
        <v>0.0983046826619485</v>
      </c>
      <c r="BE14" s="4" t="n">
        <f aca="false" t="array" ref="BE14:BE14">SUM(Capacity!BY14*Demand!BE$3:BE$25*Capacity!$DI$3:$DI$25/(TRANSPOSE(Dists!$B13:$X13)*SUM(Capacity!$DI$3:$DI$25/TRANSPOSE(Dists!$B13:$X13))))</f>
        <v>0.061794987462425</v>
      </c>
      <c r="BF14" s="4" t="n">
        <f aca="false" t="array" ref="BF14:BF14">SUM(Capacity!BZ14*Demand!BF$3:BF$25*Capacity!$DI$3:$DI$25/(TRANSPOSE(Dists!$B13:$X13)*SUM(Capacity!$DI$3:$DI$25/TRANSPOSE(Dists!$B13:$X13))))</f>
        <v>2.97639267181089</v>
      </c>
      <c r="BG14" s="4" t="n">
        <f aca="false" t="array" ref="BG14:BG14">SUM(Capacity!CA14*Demand!BG$3:BG$25*Capacity!$DI$3:$DI$25/(TRANSPOSE(Dists!$B13:$X13)*SUM(Capacity!$DI$3:$DI$25/TRANSPOSE(Dists!$B13:$X13))))</f>
        <v>8.85083531814135</v>
      </c>
      <c r="BH14" s="4" t="n">
        <f aca="false" t="array" ref="BH14:BH14">SUM(Capacity!CB14*Demand!BH$3:BH$25*Capacity!$DI$3:$DI$25/(TRANSPOSE(Dists!$B13:$X13)*SUM(Capacity!$DI$3:$DI$25/TRANSPOSE(Dists!$B13:$X13))))</f>
        <v>17.5048045571704</v>
      </c>
      <c r="BI14" s="4" t="n">
        <f aca="false" t="array" ref="BI14:BI14">SUM(Capacity!CC14*Demand!BI14*Capacity!$DI$3:$DI$25/(TRANSPOSE(Dists!$B13:$X13)*SUM(Capacity!$DI$3:$DI$25/TRANSPOSE(Dists!$B13:$X13))))</f>
        <v>17.9771216891742</v>
      </c>
      <c r="BJ14" s="4" t="n">
        <f aca="false" t="array" ref="BJ14:BJ14">SUM(Capacity!CD14*Demand!BJ14*Capacity!$DI$3:$DI$25/(TRANSPOSE(Dists!$B13:$X13)*SUM(Capacity!$DI$3:$DI$25/TRANSPOSE(Dists!$B13:$X13))))</f>
        <v>954.09940376614</v>
      </c>
      <c r="BK14" s="4" t="n">
        <f aca="false" t="array" ref="BK14:BK14">SUM(Capacity!CE14*Demand!BK14*Capacity!$DI$3:$DI$25/(TRANSPOSE(Dists!$B13:$X13)*SUM(Capacity!$DI$3:$DI$25/TRANSPOSE(Dists!$B13:$X13))))</f>
        <v>8.9885608445871</v>
      </c>
      <c r="BL14" s="4" t="n">
        <f aca="false" t="array" ref="BL14:BL14">SUM(Capacity!CF14*Demand!BL14*Capacity!$DI$3:$DI$25/(TRANSPOSE(Dists!$B13:$X13)*SUM(Capacity!$DI$3:$DI$25/TRANSPOSE(Dists!$B13:$X13))))</f>
        <v>37.785275613564</v>
      </c>
      <c r="BM14" s="4" t="n">
        <f aca="false" t="array" ref="BM14:BM14">SUM(Capacity!CG14*Demand!BM14*Capacity!$DI$3:$DI$25/(TRANSPOSE(Dists!$B13:$X13)*SUM(Capacity!$DI$3:$DI$25/TRANSPOSE(Dists!$B13:$X13))))</f>
        <v>105.800293127066</v>
      </c>
      <c r="BN14" s="4" t="n">
        <f aca="false">MAX($BO14/0.006,$BP14/0.7,$BR14/0.002,$BS14/0.001)</f>
        <v>0.000318183462392057</v>
      </c>
      <c r="BO14" s="4" t="n">
        <f aca="false" t="array" ref="BO14:BO14">SUM(Capacity!CI14*Demand!BO14*Capacity!$DI$3:$DI$25/(TRANSPOSE(Dists!$B13:$X13)*SUM(Capacity!$DI$3:$DI$25/TRANSPOSE(Dists!$B13:$X13))))</f>
        <v>1.90910077435234E-006</v>
      </c>
      <c r="BP14" s="4" t="n">
        <f aca="false" t="array" ref="BP14:BP14">SUM(Capacity!CJ14*Demand!BP14*Capacity!$DI$3:$DI$25/(TRANSPOSE(Dists!$B13:$X13)*SUM(Capacity!$DI$3:$DI$25/TRANSPOSE(Dists!$B13:$X13))))</f>
        <v>3.44283825138029E-008</v>
      </c>
      <c r="BQ14" s="4" t="n">
        <f aca="false">BN14*0.65</f>
        <v>0.000206819250554837</v>
      </c>
      <c r="BR14" s="4" t="n">
        <f aca="false" t="array" ref="BR14:BR14">SUM(Capacity!CL14*Demand!BR14*Capacity!$DI$3:$DI$25/(TRANSPOSE(Dists!$B13:$X13)*SUM(Capacity!$DI$3:$DI$25/TRANSPOSE(Dists!$B13:$X13))))</f>
        <v>1.90910077435234E-007</v>
      </c>
      <c r="BS14" s="4" t="n">
        <f aca="false" t="array" ref="BS14:BS14">SUM(Capacity!CM14*Demand!BS14*Capacity!$DI$3:$DI$25/(TRANSPOSE(Dists!$B13:$X13)*SUM(Capacity!$DI$3:$DI$25/TRANSPOSE(Dists!$B13:$X13))))</f>
        <v>3.81819832807458E-008</v>
      </c>
      <c r="BT14" s="4" t="n">
        <f aca="false" t="array" ref="BT14:BT14">SUM(Capacity!CN14*Demand!BT14*Capacity!$DI$3:$DI$25/(TRANSPOSE(Dists!$B13:$X13)*SUM(Capacity!$DI$3:$DI$25/TRANSPOSE(Dists!$B13:$X13))))</f>
        <v>2.4965068425815</v>
      </c>
      <c r="BU14" s="4" t="n">
        <f aca="false" t="array" ref="BU14:BU14">SUM(Capacity!CO14*Demand!BU14*Capacity!$DI$3:$DI$25/(TRANSPOSE(Dists!$B13:$X13)*SUM(Capacity!$DI$3:$DI$25/TRANSPOSE(Dists!$B13:$X13))))</f>
        <v>0.24965068425815</v>
      </c>
      <c r="BV14" s="4" t="n">
        <f aca="false" t="array" ref="BV14:BV14">SUM(Capacity!CP14*Demand!BV14*Capacity!$DI$3:$DI$25/(TRANSPOSE(Dists!$B13:$X13)*SUM(Capacity!$DI$3:$DI$25/TRANSPOSE(Dists!$B13:$X13))))</f>
        <v>0.0249650684258151</v>
      </c>
      <c r="BW14" s="4" t="n">
        <f aca="false">E42*2*8.34/6</f>
        <v>1356.34671778499</v>
      </c>
      <c r="BX14" s="4" t="n">
        <f aca="false" t="array" ref="BX14:BX14">SUM(Capacity!CR14*Demand!BX14*Capacity!$DI$3:$DI$25/(TRANSPOSE(Dists!$B13:$X13)*SUM(Capacity!$DI$3:$DI$25/TRANSPOSE(Dists!$B13:$X13))))</f>
        <v>0.352049129078934</v>
      </c>
      <c r="BY14" s="4" t="n">
        <f aca="false" t="array" ref="BY14:BY14">SUM(Capacity!CS14*Demand!BY14*Capacity!$DI$3:$DI$25/(TRANSPOSE(Dists!$B13:$X13)*SUM(Capacity!$DI$3:$DI$25/TRANSPOSE(Dists!$B13:$X13))))</f>
        <v>171.214629479923</v>
      </c>
      <c r="BZ14" s="4" t="n">
        <f aca="false" t="array" ref="BZ14:BZ14">SUM(Capacity!CT14*Demand!BZ14*Capacity!$DI$3:$DI$25/(TRANSPOSE(Dists!$B13:$X13)*SUM(Capacity!$DI$3:$DI$25/TRANSPOSE(Dists!$B13:$X13))))</f>
        <v>1.2196845242198</v>
      </c>
      <c r="CA14" s="4" t="n">
        <f aca="false" t="array" ref="CA14:CA14">SUM(Capacity!CU14*Demand!CA14*Capacity!$DI$3:$DI$25/(TRANSPOSE(Dists!$B13:$X13)*SUM(Capacity!$DI$3:$DI$25/TRANSPOSE(Dists!$B13:$X13))))</f>
        <v>0.00479507580272114</v>
      </c>
      <c r="CB14" s="4" t="n">
        <f aca="false" t="array" ref="CB14:CB14">SUM(Capacity!CV14*Demand!CB14*Capacity!$DI$3:$DI$25/(TRANSPOSE(Dists!$B13:$X13)*SUM(Capacity!$DI$3:$DI$25/TRANSPOSE(Dists!$B13:$X13))))</f>
        <v>272.671447553777</v>
      </c>
      <c r="CC14" s="4" t="n">
        <f aca="false" t="array" ref="CC14:CC14">SUM(Capacity!CW14*Demand!CC14*Capacity!$DI$3:$DI$25/(TRANSPOSE(Dists!$B13:$X13)*SUM(Capacity!$DI$3:$DI$25/TRANSPOSE(Dists!$B13:$X13))))</f>
        <v>1360.4501307348</v>
      </c>
      <c r="CD14" s="4" t="n">
        <f aca="false">SUM($BG42,$BI42,$BK42)*Capacity!CX14/SUM(Capacity!$AM14:$AN14,Capacity!$CX14)</f>
        <v>48.0461240588938</v>
      </c>
      <c r="CE14" s="4" t="n">
        <f aca="false" t="array" ref="CE14:CE14">SUM(Capacity!CY14*Demand!CE14*Capacity!$DI$3:$DI$25/(TRANSPOSE(Dists!$B13:$X13)*SUM(Capacity!$DI$3:$DI$25/TRANSPOSE(Dists!$B13:$X13))))</f>
        <v>0.758217912939665</v>
      </c>
      <c r="CF14" s="4" t="n">
        <f aca="false" t="array" ref="CF14:CF14">SUM(Capacity!CZ14*Demand!CF14*Capacity!$DI$3:$DI$25/(TRANSPOSE(Dists!$B13:$X13)*SUM(Capacity!$DI$3:$DI$25/TRANSPOSE(Dists!$B13:$X13))))</f>
        <v>943.098670059385</v>
      </c>
      <c r="CG14" s="4" t="n">
        <f aca="false" t="array" ref="CG14:CG14">SUM(Capacity!DA14*Demand!CG14*Capacity!$DI$3:$DI$25/(TRANSPOSE(Dists!$B13:$X13)*SUM(Capacity!$DI$3:$DI$25/TRANSPOSE(Dists!$B13:$X13))))</f>
        <v>1.20046924473621E-005</v>
      </c>
      <c r="CH14" s="4" t="n">
        <f aca="false" t="array" ref="CH14:CH14">SUM(Capacity!DB14*Demand!CH14*Capacity!$DI$3:$DI$25/(TRANSPOSE(Dists!$B13:$X13)*SUM(Capacity!$DI$3:$DI$25/TRANSPOSE(Dists!$B13:$X13))))</f>
        <v>0.000139858334771891</v>
      </c>
      <c r="CI14" s="4" t="n">
        <f aca="false" t="array" ref="CI14:CI14">SUM(Capacity!DC14*Demand!CI14*Capacity!$DI$3:$DI$25/(TRANSPOSE(Dists!$B13:$X13)*SUM(Capacity!$DI$3:$DI$25/TRANSPOSE(Dists!$B13:$X13))))</f>
        <v>0.0251104494069745</v>
      </c>
      <c r="CJ14" s="4" t="n">
        <f aca="false" t="array" ref="CJ14:CJ14">SUM(Capacity!DD14*Demand!CJ14*Capacity!$DI$3:$DI$25/(TRANSPOSE(Dists!$B13:$X13)*SUM(Capacity!$DI$3:$DI$25/TRANSPOSE(Dists!$B13:$X13))))</f>
        <v>0.0552405951944658</v>
      </c>
      <c r="CK14" s="4" t="n">
        <f aca="false" t="array" ref="CK14:CK14">SUM(Capacity!DE14*Demand!CK14*Capacity!$DI$3:$DI$25/(TRANSPOSE(Dists!$B13:$X13)*SUM(Capacity!$DI$3:$DI$25/TRANSPOSE(Dists!$B13:$X13))))</f>
        <v>1.0005642169916</v>
      </c>
      <c r="CL14" s="7" t="s">
        <v>320</v>
      </c>
    </row>
    <row r="15" customFormat="false" ht="12.8" hidden="false" customHeight="false" outlineLevel="0" collapsed="false">
      <c r="A15" s="4" t="s">
        <v>148</v>
      </c>
      <c r="B15" s="7" t="s">
        <v>39</v>
      </c>
      <c r="C15" s="4" t="n">
        <f aca="false" t="array" ref="C15:C15">SUM(Capacity!S15*Demand!C15*Capacity!$DH$3:$DH$25/(TRANSPOSE(Dists!$B14:$X14)*SUM(Capacity!$DH$3:$DH$25/TRANSPOSE(Dists!$B14:$X14))))</f>
        <v>0.0128077884498128</v>
      </c>
      <c r="D15" s="4" t="n">
        <f aca="false" t="array" ref="D15:D15">SUM(Capacity!V15*Demand!D15*Capacity!$DH$3:$DH$25/(TRANSPOSE(Dists!$B14:$X14)*SUM(Capacity!$DH$3:$DH$25/TRANSPOSE(Dists!$B14:$X14))))</f>
        <v>1327.15229677947</v>
      </c>
      <c r="E15" s="4" t="n">
        <f aca="false" t="array" ref="E15:E15">SUM(Capacity!Y15*Demand!E15*Capacity!$DH$3:$DH$25/(TRANSPOSE(Dists!$B14:$X14)*SUM(Capacity!$DH$3:$DH$25/TRANSPOSE(Dists!$B14:$X14))))</f>
        <v>673.693773859385</v>
      </c>
      <c r="F15" s="4" t="n">
        <f aca="false">$E15*Capacity!$M15/(2*(1-Capacity!$H$28)*Capacity!$H15)</f>
        <v>258.798974107176</v>
      </c>
      <c r="G15" s="4" t="n">
        <f aca="false" t="array" ref="G15:G15">SUM(Capacity!AA15*Demand!G15*Capacity!$DH$3:$DH$25/(TRANSPOSE(Dists!$B14:$X14)*SUM(Capacity!$DH$3:$DH$25/TRANSPOSE(Dists!$B14:$X14))))</f>
        <v>817.52775023143</v>
      </c>
      <c r="H15" s="4" t="n">
        <f aca="false" t="array" ref="H15:H15">SUM(Capacity!AB15*Demand!H15*Capacity!$DH$3:$DH$25/(TRANSPOSE(Dists!$B14:$X14)*SUM(Capacity!$DH$3:$DH$25/TRANSPOSE(Dists!$B14:$X14))))</f>
        <v>1.39704498003705</v>
      </c>
      <c r="I15" s="4" t="n">
        <f aca="false" t="array" ref="I15:I15">SUM(Capacity!AC15*Demand!I$3:I$25*Capacity!$DG$3:$DG$25/(TRANSPOSE(Dists!$B14:$X14)*SUM(Capacity!$DG$3:$DG$25/TRANSPOSE(Dists!$B14:$X14))))</f>
        <v>1.48838685226292</v>
      </c>
      <c r="J15" s="4" t="n">
        <f aca="false" t="array" ref="J15:J15">SUM(Capacity!AD15*Demand!J$3:J$25*Capacity!$DG$3:$DG$25/(TRANSPOSE(Dists!$B14:$X14)*SUM(Capacity!$DG$3:$DG$25/TRANSPOSE(Dists!$B14:$X14))))</f>
        <v>1.18744274773708</v>
      </c>
      <c r="K15" s="4" t="n">
        <f aca="false">5479.45205479452*$R15</f>
        <v>623505.533907398</v>
      </c>
      <c r="L15" s="4" t="n">
        <f aca="false">17142.8571428571*$S15</f>
        <v>116626.177247328</v>
      </c>
      <c r="M15" s="4" t="n">
        <f aca="false">IF(50420.1680672269*$T15&gt;($K15/20),50420.1680672269*$T15-($K15/20),0)</f>
        <v>160538.987272842</v>
      </c>
      <c r="N15" s="4" t="n">
        <f aca="false" t="array" ref="N15:N15">SUM(Capacity!AH15*Demand!N15*Capacity!$DH$3:$DH$25/(TRANSPOSE(Dists!$B14:$X14)*SUM(Capacity!$DH$3:$DH$25/TRANSPOSE(Dists!$B14:$X14))))</f>
        <v>618.402391742665</v>
      </c>
      <c r="O15" s="4" t="n">
        <f aca="false">D43/0.8</f>
        <v>1553.73645650871</v>
      </c>
      <c r="P15" s="4" t="n">
        <f aca="false">O15/0.8</f>
        <v>1942.17057063588</v>
      </c>
      <c r="Q15" s="4" t="n">
        <f aca="false" t="array" ref="Q15:Q15">SUM(Capacity!AK15*Demand!Q15*Capacity!$DI$3:$DI$25/(TRANSPOSE(Dists!$B14:$X14)*SUM(Capacity!$DI$3:$DI$25/TRANSPOSE(Dists!$B14:$X14))))</f>
        <v>19.1149320712736</v>
      </c>
      <c r="R15" s="4" t="n">
        <f aca="false" t="array" ref="R15:R15">SUM(Capacity!AL15*Demand!R15*Capacity!$DH$3:$DH$25/(TRANSPOSE(Dists!$B14:$X14)*SUM(Capacity!$DH$3:$DH$25/TRANSPOSE(Dists!$B14:$X14))))</f>
        <v>113.7897599381</v>
      </c>
      <c r="S15" s="4" t="n">
        <f aca="false">SUM($BG43,$BI43,$BK43)*Capacity!AM15/SUM(Capacity!$AM15:$AN15,Capacity!$CX15)</f>
        <v>6.80319367276083</v>
      </c>
      <c r="T15" s="4" t="n">
        <f aca="false">SUM($BG43,$BI43,$BK43)*Capacity!AN15/SUM(Capacity!$AM15:$AN15,Capacity!$CX15)</f>
        <v>3.80233290203619</v>
      </c>
      <c r="U15" s="4" t="n">
        <f aca="false">$M15*120*2/(16*1000*2000)</f>
        <v>1.20404240454631</v>
      </c>
      <c r="V15" s="4" t="n">
        <f aca="false" t="array" ref="V15:V15">SUM(Capacity!AP15*Demand!V$3:V$25*Capacity!$DH$3:$DH$25/(TRANSPOSE(Dists!$B14:$X14)*SUM(Capacity!$DH$3:$DH$25/TRANSPOSE(Dists!$B14:$X14))))</f>
        <v>159.665369969654</v>
      </c>
      <c r="W15" s="4" t="n">
        <f aca="false" t="array" ref="W15:W15">SUM(Capacity!AQ15*Demand!W$3:W$25*Capacity!$DH$3:$DH$25/(TRANSPOSE(Dists!$B14:$X14)*SUM(Capacity!$DH$3:$DH$25/TRANSPOSE(Dists!$B14:$X14))))</f>
        <v>471.607085355424</v>
      </c>
      <c r="X15" s="4" t="n">
        <f aca="false" t="array" ref="X15:X15">SUM(Capacity!AR15*Demand!X$3:X$25*Capacity!$DH$3:$DH$25/(TRANSPOSE(Dists!$B14:$X14)*SUM(Capacity!$DH$3:$DH$25/TRANSPOSE(Dists!$B14:$X14))))</f>
        <v>495.544264004536</v>
      </c>
      <c r="Y15" s="4" t="n">
        <f aca="false">$L15*600*6/(90*1000*2000)</f>
        <v>2.33252354494656</v>
      </c>
      <c r="Z15" s="4" t="n">
        <f aca="false" t="array" ref="Z15:Z15">SUM(Capacity!AT15*Demand!Z$3:Z$25*Capacity!$DI$3:$DI$25/(TRANSPOSE(Dists!$B14:$X14)*SUM(Capacity!$DI$3:$DI$25/TRANSPOSE(Dists!$B14:$X14))))</f>
        <v>20.6579896232326</v>
      </c>
      <c r="AA15" s="4" t="n">
        <f aca="false" t="array" ref="AA15:AA15">SUM(Capacity!AU15*Demand!AA$3:AA$25*Capacity!$DI$3:$DI$25/(TRANSPOSE(Dists!$B14:$X14)*SUM(Capacity!$DI$3:$DI$25/TRANSPOSE(Dists!$B14:$X14))))</f>
        <v>28.9299527605941</v>
      </c>
      <c r="AB15" s="4" t="n">
        <f aca="false" t="array" ref="AB15:AB15">SUM(Capacity!AV15*Demand!AB$3:AB$25*Capacity!$DI$3:$DI$25/(TRANSPOSE(Dists!$B14:$X14)*SUM(Capacity!$DI$3:$DI$25/TRANSPOSE(Dists!$B14:$X14))))</f>
        <v>32.7336520097</v>
      </c>
      <c r="AC15" s="4" t="n">
        <f aca="false" t="array" ref="AC15:AC15">SUM(Capacity!AW15*Demand!AC$3:AC$25*Capacity!$DI$3:$DI$25/(TRANSPOSE(Dists!$B14:$X14)*SUM(Capacity!$DI$3:$DI$25/TRANSPOSE(Dists!$B14:$X14))))</f>
        <v>7.91304875301806</v>
      </c>
      <c r="AD15" s="4" t="n">
        <f aca="false" t="array" ref="AD15:AD15">SUM(Capacity!AX15*Demand!AD$3:AD$25*Capacity!$DI$3:$DI$25/(TRANSPOSE(Dists!$B14:$X14)*SUM(Capacity!$DI$3:$DI$25/TRANSPOSE(Dists!$B14:$X14))))</f>
        <v>5.35884783956533</v>
      </c>
      <c r="AE15" s="4" t="n">
        <f aca="false" t="array" ref="AE15:AE15">SUM(Capacity!AY15*Demand!AE$3:AE$25*Capacity!$DI$3:$DI$25/(TRANSPOSE(Dists!$B14:$X14)*SUM(Capacity!$DI$3:$DI$25/TRANSPOSE(Dists!$B14:$X14))))</f>
        <v>3.93089494512463</v>
      </c>
      <c r="AF15" s="4" t="n">
        <f aca="false" t="array" ref="AF15:AF15">SUM(Capacity!AZ15*Demand!AF$3:AF$25*Capacity!$DI$3:$DI$25/(TRANSPOSE(Dists!$B14:$X14)*SUM(Capacity!$DI$3:$DI$25/TRANSPOSE(Dists!$B14:$X14))))</f>
        <v>0.723138711837044</v>
      </c>
      <c r="AG15" s="4" t="n">
        <f aca="false" t="array" ref="AG15:AG15">SUM(Capacity!BA15*Demand!AG$3:AG$25*Capacity!$DI$3:$DI$25/(TRANSPOSE(Dists!$B14:$X14)*SUM(Capacity!$DI$3:$DI$25/TRANSPOSE(Dists!$B14:$X14))))</f>
        <v>4.25150737257337</v>
      </c>
      <c r="AH15" s="4" t="n">
        <f aca="false" t="array" ref="AH15:AH15">SUM(Capacity!BB15*Demand!AH$3:AH$25*Capacity!$DI$3:$DI$25/(TRANSPOSE(Dists!$B14:$X14)*SUM(Capacity!$DI$3:$DI$25/TRANSPOSE(Dists!$B14:$X14))))</f>
        <v>3.12730711576343</v>
      </c>
      <c r="AI15" s="4" t="n">
        <f aca="false" t="array" ref="AI15:AI15">SUM(Capacity!BC15*Demand!AI$3:AI$25*Capacity!$DI$3:$DI$25/(TRANSPOSE(Dists!$B14:$X14)*SUM(Capacity!$DI$3:$DI$25/TRANSPOSE(Dists!$B14:$X14))))</f>
        <v>0.476516860808427</v>
      </c>
      <c r="AJ15" s="4" t="n">
        <f aca="false" t="array" ref="AJ15:AJ15">SUM(Capacity!BD15*Demand!AJ$3:AJ$25*Capacity!$DI$3:$DI$25/(TRANSPOSE(Dists!$B14:$X14)*SUM(Capacity!$DI$3:$DI$25/TRANSPOSE(Dists!$B14:$X14))))</f>
        <v>1.04746223940795</v>
      </c>
      <c r="AK15" s="4" t="n">
        <f aca="false" t="array" ref="AK15:AK15">SUM(Capacity!BE15*Demand!AK$3:AK$25*Capacity!$DI$3:$DI$25/(TRANSPOSE(Dists!$B14:$X14)*SUM(Capacity!$DI$3:$DI$25/TRANSPOSE(Dists!$B14:$X14))))</f>
        <v>0.542574038408121</v>
      </c>
      <c r="AL15" s="4" t="n">
        <f aca="false" t="array" ref="AL15:AL15">SUM(Capacity!BF15*Demand!AL$3:AL$25*Capacity!$DI$3:$DI$25/(TRANSPOSE(Dists!$B14:$X14)*SUM(Capacity!$DI$3:$DI$25/TRANSPOSE(Dists!$B14:$X14))))</f>
        <v>0.41797392302202</v>
      </c>
      <c r="AM15" s="4" t="n">
        <f aca="false" t="array" ref="AM15:AM15">SUM(Capacity!BG15*Demand!AM$3:AM$25*Capacity!$DI$3:$DI$25/(TRANSPOSE(Dists!$B14:$X14)*SUM(Capacity!$DI$3:$DI$25/TRANSPOSE(Dists!$B14:$X14))))</f>
        <v>1.08527511963738</v>
      </c>
      <c r="AN15" s="4" t="n">
        <f aca="false" t="array" ref="AN15:AN15">SUM(Capacity!BH15*Demand!AN$3:AN$25*Capacity!$DI$3:$DI$25/(TRANSPOSE(Dists!$B14:$X14)*SUM(Capacity!$DI$3:$DI$25/TRANSPOSE(Dists!$B14:$X14))))</f>
        <v>0.771599023591151</v>
      </c>
      <c r="AO15" s="4" t="n">
        <f aca="false" t="array" ref="AO15:AO15">SUM(Capacity!BI15*Demand!AO$3:AO$25*Capacity!$DI$3:$DI$25/(TRANSPOSE(Dists!$B14:$X14)*SUM(Capacity!$DI$3:$DI$25/TRANSPOSE(Dists!$B14:$X14))))</f>
        <v>1.73859678632711</v>
      </c>
      <c r="AP15" s="4" t="n">
        <f aca="false" t="array" ref="AP15:AP15">SUM(Capacity!BJ15*Demand!AP$3:AP$25*Capacity!$DI$3:$DI$25/(TRANSPOSE(Dists!$B14:$X14)*SUM(Capacity!$DI$3:$DI$25/TRANSPOSE(Dists!$B14:$X14))))</f>
        <v>1.20279787480473</v>
      </c>
      <c r="AQ15" s="4" t="n">
        <f aca="false" t="array" ref="AQ15:AQ15">SUM(Capacity!BK15*Demand!AQ$3:AQ$25*Capacity!$DI$3:$DI$25/(TRANSPOSE(Dists!$B14:$X14)*SUM(Capacity!$DI$3:$DI$25/TRANSPOSE(Dists!$B14:$X14))))</f>
        <v>0.0898106032546433</v>
      </c>
      <c r="AR15" s="4" t="n">
        <f aca="false" t="array" ref="AR15:AR15">SUM(Capacity!BL15*Demand!AR$3:AR$25*Capacity!$DI$3:$DI$25/(TRANSPOSE(Dists!$B14:$X14)*SUM(Capacity!$DI$3:$DI$25/TRANSPOSE(Dists!$B14:$X14))))</f>
        <v>0.229713036776153</v>
      </c>
      <c r="AS15" s="4" t="n">
        <f aca="false" t="array" ref="AS15:AS15">SUM(Capacity!BM15*Demand!AS$3:AS$25*Capacity!$DI$3:$DI$25/(TRANSPOSE(Dists!$B14:$X14)*SUM(Capacity!$DI$3:$DI$25/TRANSPOSE(Dists!$B14:$X14))))</f>
        <v>0.278581183356627</v>
      </c>
      <c r="AT15" s="4" t="n">
        <f aca="false" t="array" ref="AT15:AT15">SUM(Capacity!BN15*Demand!AT$3:AT$25*Capacity!$DI$3:$DI$25/(TRANSPOSE(Dists!$B14:$X14)*SUM(Capacity!$DI$3:$DI$25/TRANSPOSE(Dists!$B14:$X14))))</f>
        <v>4.4959466272584</v>
      </c>
      <c r="AU15" s="4" t="n">
        <f aca="false" t="array" ref="AU15:AU15">SUM(Capacity!BO15*Demand!AU$3:AU$25*Capacity!$DI$3:$DI$25/(TRANSPOSE(Dists!$B14:$X14)*SUM(Capacity!$DI$3:$DI$25/TRANSPOSE(Dists!$B14:$X14))))</f>
        <v>2.46355527747513</v>
      </c>
      <c r="AV15" s="4" t="n">
        <f aca="false" t="array" ref="AV15:AV15">SUM(Capacity!BP15*Demand!AV$3:AV$25*Capacity!$DI$3:$DI$25/(TRANSPOSE(Dists!$B14:$X14)*SUM(Capacity!$DI$3:$DI$25/TRANSPOSE(Dists!$B14:$X14))))</f>
        <v>0.145577360348118</v>
      </c>
      <c r="AW15" s="4" t="n">
        <f aca="false" t="array" ref="AW15:AW15">SUM(Capacity!BQ15*Demand!AW$3:AW$25*Capacity!$DI$3:$DI$25/(TRANSPOSE(Dists!$B14:$X14)*SUM(Capacity!$DI$3:$DI$25/TRANSPOSE(Dists!$B14:$X14))))</f>
        <v>4.3411924475541</v>
      </c>
      <c r="AX15" s="4" t="n">
        <f aca="false" t="array" ref="AX15:AX15">SUM(Capacity!BR15*Demand!AX$3:AX$25*Capacity!$DI$3:$DI$25/(TRANSPOSE(Dists!$B14:$X14)*SUM(Capacity!$DI$3:$DI$25/TRANSPOSE(Dists!$B14:$X14))))</f>
        <v>0.394187809556694</v>
      </c>
      <c r="AY15" s="4" t="n">
        <f aca="false" t="array" ref="AY15:AY15">SUM(Capacity!BS15*Demand!AY$3:AY$25*Capacity!$DI$3:$DI$25/(TRANSPOSE(Dists!$B14:$X14)*SUM(Capacity!$DI$3:$DI$25/TRANSPOSE(Dists!$B14:$X14))))</f>
        <v>0.380037460714087</v>
      </c>
      <c r="AZ15" s="4" t="n">
        <f aca="false" t="array" ref="AZ15:AZ15">SUM(Capacity!BT15*Demand!AZ$3:AZ$25*Capacity!$DI$3:$DI$25/(TRANSPOSE(Dists!$B14:$X14)*SUM(Capacity!$DI$3:$DI$25/TRANSPOSE(Dists!$B14:$X14))))</f>
        <v>2.61669425463144</v>
      </c>
      <c r="BA15" s="4" t="n">
        <f aca="false">L15*25/(2000*1000*51)</f>
        <v>0.0285848473645412</v>
      </c>
      <c r="BB15" s="4" t="n">
        <f aca="false" t="array" ref="BB15:BB15">SUM(Capacity!BV15*Demand!BB$3:BB$25*Capacity!$DI$3:$DI$25/(TRANSPOSE(Dists!$B14:$X14)*SUM(Capacity!$DI$3:$DI$25/TRANSPOSE(Dists!$B14:$X14))))</f>
        <v>0.447206069401653</v>
      </c>
      <c r="BC15" s="4" t="n">
        <f aca="false" t="array" ref="BC15:BC15">SUM(Capacity!BW15*Demand!BC$3:BC$25*Capacity!$DI$3:$DI$25/(TRANSPOSE(Dists!$B14:$X14)*SUM(Capacity!$DI$3:$DI$25/TRANSPOSE(Dists!$B14:$X14))))</f>
        <v>0.249271202440416</v>
      </c>
      <c r="BD15" s="4" t="n">
        <f aca="false" t="array" ref="BD15:BD15">SUM(Capacity!BX15*Demand!BD$3:BD$25*Capacity!$DI$3:$DI$25/(TRANSPOSE(Dists!$B14:$X14)*SUM(Capacity!$DI$3:$DI$25/TRANSPOSE(Dists!$B14:$X14))))</f>
        <v>0.179578129281332</v>
      </c>
      <c r="BE15" s="4" t="n">
        <f aca="false" t="array" ref="BE15:BE15">SUM(Capacity!BY15*Demand!BE$3:BE$25*Capacity!$DI$3:$DI$25/(TRANSPOSE(Dists!$B14:$X14)*SUM(Capacity!$DI$3:$DI$25/TRANSPOSE(Dists!$B14:$X14))))</f>
        <v>0.107789965982368</v>
      </c>
      <c r="BF15" s="4" t="n">
        <f aca="false" t="array" ref="BF15:BF15">SUM(Capacity!BZ15*Demand!BF$3:BF$25*Capacity!$DI$3:$DI$25/(TRANSPOSE(Dists!$B14:$X14)*SUM(Capacity!$DI$3:$DI$25/TRANSPOSE(Dists!$B14:$X14))))</f>
        <v>5.133909212856</v>
      </c>
      <c r="BG15" s="4" t="n">
        <f aca="false" t="array" ref="BG15:BG15">SUM(Capacity!CA15*Demand!BG$3:BG$25*Capacity!$DI$3:$DI$25/(TRANSPOSE(Dists!$B14:$X14)*SUM(Capacity!$DI$3:$DI$25/TRANSPOSE(Dists!$B14:$X14))))</f>
        <v>17.4116700993567</v>
      </c>
      <c r="BH15" s="4" t="n">
        <f aca="false" t="array" ref="BH15:BH15">SUM(Capacity!CB15*Demand!BH$3:BH$25*Capacity!$DI$3:$DI$25/(TRANSPOSE(Dists!$B14:$X14)*SUM(Capacity!$DI$3:$DI$25/TRANSPOSE(Dists!$B14:$X14))))</f>
        <v>0.00162899160649214</v>
      </c>
      <c r="BI15" s="4" t="n">
        <f aca="false" t="array" ref="BI15:BI15">SUM(Capacity!CC15*Demand!BI15*Capacity!$DI$3:$DI$25/(TRANSPOSE(Dists!$B14:$X14)*SUM(Capacity!$DI$3:$DI$25/TRANSPOSE(Dists!$B14:$X14))))</f>
        <v>54.9508013213194</v>
      </c>
      <c r="BJ15" s="4" t="n">
        <f aca="false" t="array" ref="BJ15:BJ15">SUM(Capacity!CD15*Demand!BJ15*Capacity!$DI$3:$DI$25/(TRANSPOSE(Dists!$B14:$X14)*SUM(Capacity!$DI$3:$DI$25/TRANSPOSE(Dists!$B14:$X14))))</f>
        <v>174.738882994031</v>
      </c>
      <c r="BK15" s="4" t="n">
        <f aca="false" t="array" ref="BK15:BK15">SUM(Capacity!CE15*Demand!BK15*Capacity!$DI$3:$DI$25/(TRANSPOSE(Dists!$B14:$X14)*SUM(Capacity!$DI$3:$DI$25/TRANSPOSE(Dists!$B14:$X14))))</f>
        <v>27.4754006606597</v>
      </c>
      <c r="BL15" s="4" t="n">
        <f aca="false" t="array" ref="BL15:BL15">SUM(Capacity!CF15*Demand!BL15*Capacity!$DI$3:$DI$25/(TRANSPOSE(Dists!$B14:$X14)*SUM(Capacity!$DI$3:$DI$25/TRANSPOSE(Dists!$B14:$X14))))</f>
        <v>791.422829663331</v>
      </c>
      <c r="BM15" s="4" t="n">
        <f aca="false" t="array" ref="BM15:BM15">SUM(Capacity!CG15*Demand!BM15*Capacity!$DI$3:$DI$25/(TRANSPOSE(Dists!$B14:$X14)*SUM(Capacity!$DI$3:$DI$25/TRANSPOSE(Dists!$B14:$X14))))</f>
        <v>13.2498349225851</v>
      </c>
      <c r="BN15" s="4" t="n">
        <f aca="false">MAX($BO15/0.006,$BP15/0.7,$BR15/0.002,$BS15/0.001)</f>
        <v>0.00056227425313044</v>
      </c>
      <c r="BO15" s="4" t="n">
        <f aca="false" t="array" ref="BO15:BO15">SUM(Capacity!CI15*Demand!BO15*Capacity!$DI$3:$DI$25/(TRANSPOSE(Dists!$B14:$X14)*SUM(Capacity!$DI$3:$DI$25/TRANSPOSE(Dists!$B14:$X14))))</f>
        <v>3.37364551878264E-006</v>
      </c>
      <c r="BP15" s="4" t="n">
        <f aca="false" t="array" ref="BP15:BP15">SUM(Capacity!CJ15*Demand!BP15*Capacity!$DI$3:$DI$25/(TRANSPOSE(Dists!$B14:$X14)*SUM(Capacity!$DI$3:$DI$25/TRANSPOSE(Dists!$B14:$X14))))</f>
        <v>4.6028838554864E-008</v>
      </c>
      <c r="BQ15" s="4" t="n">
        <f aca="false">BN15*0.65</f>
        <v>0.000365478264534786</v>
      </c>
      <c r="BR15" s="4" t="n">
        <f aca="false" t="array" ref="BR15:BR15">SUM(Capacity!CL15*Demand!BR15*Capacity!$DI$3:$DI$25/(TRANSPOSE(Dists!$B14:$X14)*SUM(Capacity!$DI$3:$DI$25/TRANSPOSE(Dists!$B14:$X14))))</f>
        <v>3.37364551878264E-007</v>
      </c>
      <c r="BS15" s="4" t="n">
        <f aca="false" t="array" ref="BS15:BS15">SUM(Capacity!CM15*Demand!BS15*Capacity!$DI$3:$DI$25/(TRANSPOSE(Dists!$B14:$X14)*SUM(Capacity!$DI$3:$DI$25/TRANSPOSE(Dists!$B14:$X14))))</f>
        <v>6.74728603753091E-008</v>
      </c>
      <c r="BT15" s="4" t="n">
        <f aca="false" t="array" ref="BT15:BT15">SUM(Capacity!CN15*Demand!BT15*Capacity!$DI$3:$DI$25/(TRANSPOSE(Dists!$B14:$X14)*SUM(Capacity!$DI$3:$DI$25/TRANSPOSE(Dists!$B14:$X14))))</f>
        <v>5.27732524847952</v>
      </c>
      <c r="BU15" s="4" t="n">
        <f aca="false" t="array" ref="BU15:BU15">SUM(Capacity!CO15*Demand!BU15*Capacity!$DI$3:$DI$25/(TRANSPOSE(Dists!$B14:$X14)*SUM(Capacity!$DI$3:$DI$25/TRANSPOSE(Dists!$B14:$X14))))</f>
        <v>0.527732524847952</v>
      </c>
      <c r="BV15" s="4" t="n">
        <f aca="false" t="array" ref="BV15:BV15">SUM(Capacity!CP15*Demand!BV15*Capacity!$DI$3:$DI$25/(TRANSPOSE(Dists!$B14:$X14)*SUM(Capacity!$DI$3:$DI$25/TRANSPOSE(Dists!$B14:$X14))))</f>
        <v>0.0527732524847952</v>
      </c>
      <c r="BW15" s="4" t="n">
        <f aca="false">E43*2*8.34/6</f>
        <v>1768.82390129932</v>
      </c>
      <c r="BX15" s="4" t="n">
        <f aca="false" t="array" ref="BX15:BX15">SUM(Capacity!CR15*Demand!BX15*Capacity!$DI$3:$DI$25/(TRANSPOSE(Dists!$B14:$X14)*SUM(Capacity!$DI$3:$DI$25/TRANSPOSE(Dists!$B14:$X14))))</f>
        <v>7.97399077897783</v>
      </c>
      <c r="BY15" s="4" t="n">
        <f aca="false" t="array" ref="BY15:BY15">SUM(Capacity!CS15*Demand!BY15*Capacity!$DI$3:$DI$25/(TRANSPOSE(Dists!$B14:$X14)*SUM(Capacity!$DI$3:$DI$25/TRANSPOSE(Dists!$B14:$X14))))</f>
        <v>147.238997562771</v>
      </c>
      <c r="BZ15" s="4" t="n">
        <f aca="false" t="array" ref="BZ15:BZ15">SUM(Capacity!CT15*Demand!BZ15*Capacity!$DI$3:$DI$25/(TRANSPOSE(Dists!$B14:$X14)*SUM(Capacity!$DI$3:$DI$25/TRANSPOSE(Dists!$B14:$X14))))</f>
        <v>1.19623750089753</v>
      </c>
      <c r="CA15" s="4" t="n">
        <f aca="false" t="array" ref="CA15:CA15">SUM(Capacity!CU15*Demand!CA15*Capacity!$DI$3:$DI$25/(TRANSPOSE(Dists!$B14:$X14)*SUM(Capacity!$DI$3:$DI$25/TRANSPOSE(Dists!$B14:$X14))))</f>
        <v>0.399292112810237</v>
      </c>
      <c r="CB15" s="4" t="n">
        <f aca="false" t="array" ref="CB15:CB15">SUM(Capacity!CV15*Demand!CB15*Capacity!$DI$3:$DI$25/(TRANSPOSE(Dists!$B14:$X14)*SUM(Capacity!$DI$3:$DI$25/TRANSPOSE(Dists!$B14:$X14))))</f>
        <v>1588.54311044989</v>
      </c>
      <c r="CC15" s="4" t="n">
        <f aca="false" t="array" ref="CC15:CC15">SUM(Capacity!CW15*Demand!CC15*Capacity!$DI$3:$DI$25/(TRANSPOSE(Dists!$B14:$X14)*SUM(Capacity!$DI$3:$DI$25/TRANSPOSE(Dists!$B14:$X14))))</f>
        <v>2303.33989594966</v>
      </c>
      <c r="CD15" s="4" t="n">
        <f aca="false">SUM($BG43,$BI43,$BK43)*Capacity!CX15/SUM(Capacity!$AM15:$AN15,Capacity!$CX15)</f>
        <v>86.1475531419933</v>
      </c>
      <c r="CE15" s="4" t="n">
        <f aca="false" t="array" ref="CE15:CE15">SUM(Capacity!CY15*Demand!CE15*Capacity!$DI$3:$DI$25/(TRANSPOSE(Dists!$B14:$X14)*SUM(Capacity!$DI$3:$DI$25/TRANSPOSE(Dists!$B14:$X14))))</f>
        <v>5.5044341562331</v>
      </c>
      <c r="CF15" s="4" t="n">
        <f aca="false" t="array" ref="CF15:CF15">SUM(Capacity!CZ15*Demand!CF15*Capacity!$DI$3:$DI$25/(TRANSPOSE(Dists!$B14:$X14)*SUM(Capacity!$DI$3:$DI$25/TRANSPOSE(Dists!$B14:$X14))))</f>
        <v>663.176172782953</v>
      </c>
      <c r="CG15" s="4" t="n">
        <f aca="false" t="array" ref="CG15:CG15">SUM(Capacity!DA15*Demand!CG15*Capacity!$DI$3:$DI$25/(TRANSPOSE(Dists!$B14:$X14)*SUM(Capacity!$DI$3:$DI$25/TRANSPOSE(Dists!$B14:$X14))))</f>
        <v>0.000139445328502955</v>
      </c>
      <c r="CH15" s="4" t="n">
        <f aca="false" t="array" ref="CH15:CH15">SUM(Capacity!DB15*Demand!CH15*Capacity!$DI$3:$DI$25/(TRANSPOSE(Dists!$B14:$X14)*SUM(Capacity!$DI$3:$DI$25/TRANSPOSE(Dists!$B14:$X14))))</f>
        <v>1.39848124225321E-006</v>
      </c>
      <c r="CI15" s="4" t="n">
        <f aca="false" t="array" ref="CI15:CI15">SUM(Capacity!DC15*Demand!CI15*Capacity!$DI$3:$DI$25/(TRANSPOSE(Dists!$B14:$X14)*SUM(Capacity!$DI$3:$DI$25/TRANSPOSE(Dists!$B14:$X14))))</f>
        <v>0.0721028174129283</v>
      </c>
      <c r="CJ15" s="4" t="n">
        <f aca="false" t="array" ref="CJ15:CJ15">SUM(Capacity!DD15*Demand!CJ15*Capacity!$DI$3:$DI$25/(TRANSPOSE(Dists!$B14:$X14)*SUM(Capacity!$DI$3:$DI$25/TRANSPOSE(Dists!$B14:$X14))))</f>
        <v>0.0233675306837133</v>
      </c>
      <c r="CK15" s="4" t="n">
        <f aca="false" t="array" ref="CK15:CK15">SUM(Capacity!DE15*Demand!CK15*Capacity!$DI$3:$DI$25/(TRANSPOSE(Dists!$B14:$X14)*SUM(Capacity!$DI$3:$DI$25/TRANSPOSE(Dists!$B14:$X14))))</f>
        <v>4.68399794869463</v>
      </c>
      <c r="CL15" s="7" t="s">
        <v>320</v>
      </c>
    </row>
    <row r="16" customFormat="false" ht="12.8" hidden="false" customHeight="false" outlineLevel="0" collapsed="false">
      <c r="A16" s="4" t="s">
        <v>150</v>
      </c>
      <c r="B16" s="7" t="s">
        <v>39</v>
      </c>
      <c r="C16" s="4" t="n">
        <f aca="false" t="array" ref="C16:C16">SUM(Capacity!S16*Demand!C16*Capacity!$DH$3:$DH$25/(TRANSPOSE(Dists!$B15:$X15)*SUM(Capacity!$DH$3:$DH$25/TRANSPOSE(Dists!$B15:$X15))))</f>
        <v>0.0046521967035967</v>
      </c>
      <c r="D16" s="4" t="n">
        <f aca="false" t="array" ref="D16:D16">SUM(Capacity!V16*Demand!D16*Capacity!$DH$3:$DH$25/(TRANSPOSE(Dists!$B15:$X15)*SUM(Capacity!$DH$3:$DH$25/TRANSPOSE(Dists!$B15:$X15))))</f>
        <v>675.099721163277</v>
      </c>
      <c r="E16" s="4" t="n">
        <f aca="false" t="array" ref="E16:E16">SUM(Capacity!Y16*Demand!E16*Capacity!$DH$3:$DH$25/(TRANSPOSE(Dists!$B15:$X15)*SUM(Capacity!$DH$3:$DH$25/TRANSPOSE(Dists!$B15:$X15))))</f>
        <v>386.672073289511</v>
      </c>
      <c r="F16" s="4" t="n">
        <f aca="false">$E16*Capacity!$M16/(2*(1-Capacity!$H$28)*Capacity!$H16)</f>
        <v>141.60684115786</v>
      </c>
      <c r="G16" s="4" t="n">
        <f aca="false" t="array" ref="G16:G16">SUM(Capacity!AA16*Demand!G16*Capacity!$DH$3:$DH$25/(TRANSPOSE(Dists!$B15:$X15)*SUM(Capacity!$DH$3:$DH$25/TRANSPOSE(Dists!$B15:$X15))))</f>
        <v>226.959484206093</v>
      </c>
      <c r="H16" s="4" t="n">
        <f aca="false" t="array" ref="H16:H16">SUM(Capacity!AB16*Demand!H16*Capacity!$DH$3:$DH$25/(TRANSPOSE(Dists!$B15:$X15)*SUM(Capacity!$DH$3:$DH$25/TRANSPOSE(Dists!$B15:$X15))))</f>
        <v>0.390893934201131</v>
      </c>
      <c r="I16" s="4" t="n">
        <f aca="false" t="array" ref="I16:I16">SUM(Capacity!AC16*Demand!I$3:I$25*Capacity!$DG$3:$DG$25/(TRANSPOSE(Dists!$B15:$X15)*SUM(Capacity!$DG$3:$DG$25/TRANSPOSE(Dists!$B15:$X15))))</f>
        <v>2.19593367117915</v>
      </c>
      <c r="J16" s="4" t="n">
        <f aca="false" t="array" ref="J16:J16">SUM(Capacity!AD16*Demand!J$3:J$25*Capacity!$DG$3:$DG$25/(TRANSPOSE(Dists!$B15:$X15)*SUM(Capacity!$DG$3:$DG$25/TRANSPOSE(Dists!$B15:$X15))))</f>
        <v>1.65057137882085</v>
      </c>
      <c r="K16" s="4" t="n">
        <f aca="false">5479.45205479452*$R16</f>
        <v>352529.964391921</v>
      </c>
      <c r="L16" s="4" t="n">
        <f aca="false">17142.8571428571*$S16</f>
        <v>69263.4589935166</v>
      </c>
      <c r="M16" s="4" t="n">
        <f aca="false">IF(50420.1680672269*$T16&gt;($K16/20),50420.1680672269*$T16-($K16/20),0)</f>
        <v>96231.2425916644</v>
      </c>
      <c r="N16" s="4" t="n">
        <f aca="false" t="array" ref="N16:N16">SUM(Capacity!AH16*Demand!N16*Capacity!$DH$3:$DH$25/(TRANSPOSE(Dists!$B15:$X15)*SUM(Capacity!$DH$3:$DH$25/TRANSPOSE(Dists!$B15:$X15))))</f>
        <v>441.539019815448</v>
      </c>
      <c r="O16" s="4" t="n">
        <f aca="false">D44/0.8</f>
        <v>1348.39194788916</v>
      </c>
      <c r="P16" s="4" t="n">
        <f aca="false">O16/0.8</f>
        <v>1685.48993486146</v>
      </c>
      <c r="Q16" s="4" t="n">
        <f aca="false" t="array" ref="Q16:Q16">SUM(Capacity!AK16*Demand!Q16*Capacity!$DI$3:$DI$25/(TRANSPOSE(Dists!$B15:$X15)*SUM(Capacity!$DI$3:$DI$25/TRANSPOSE(Dists!$B15:$X15))))</f>
        <v>9.20200894430892</v>
      </c>
      <c r="R16" s="4" t="n">
        <f aca="false" t="array" ref="R16:R16">SUM(Capacity!AL16*Demand!R16*Capacity!$DH$3:$DH$25/(TRANSPOSE(Dists!$B15:$X15)*SUM(Capacity!$DH$3:$DH$25/TRANSPOSE(Dists!$B15:$X15))))</f>
        <v>64.3367185015257</v>
      </c>
      <c r="S16" s="4" t="n">
        <f aca="false">SUM($BG44,$BI44,$BK44)*Capacity!AM16/SUM(Capacity!$AM16:$AN16,Capacity!$CX16)</f>
        <v>4.04036844128848</v>
      </c>
      <c r="T16" s="4" t="n">
        <f aca="false">SUM($BG44,$BI44,$BK44)*Capacity!AN16/SUM(Capacity!$AM16:$AN16,Capacity!$CX16)</f>
        <v>2.25817852609</v>
      </c>
      <c r="U16" s="4" t="n">
        <f aca="false">$M16*120*2/(16*1000*2000)</f>
        <v>0.721734319437483</v>
      </c>
      <c r="V16" s="4" t="n">
        <f aca="false" t="array" ref="V16:V16">SUM(Capacity!AP16*Demand!V$3:V$25*Capacity!$DH$3:$DH$25/(TRANSPOSE(Dists!$B15:$X15)*SUM(Capacity!$DH$3:$DH$25/TRANSPOSE(Dists!$B15:$X15))))</f>
        <v>148.699757240431</v>
      </c>
      <c r="W16" s="4" t="n">
        <f aca="false" t="array" ref="W16:W16">SUM(Capacity!AQ16*Demand!W$3:W$25*Capacity!$DH$3:$DH$25/(TRANSPOSE(Dists!$B15:$X15)*SUM(Capacity!$DH$3:$DH$25/TRANSPOSE(Dists!$B15:$X15))))</f>
        <v>657.475637778534</v>
      </c>
      <c r="X16" s="4" t="n">
        <f aca="false" t="array" ref="X16:X16">SUM(Capacity!AR16*Demand!X$3:X$25*Capacity!$DH$3:$DH$25/(TRANSPOSE(Dists!$B15:$X15)*SUM(Capacity!$DH$3:$DH$25/TRANSPOSE(Dists!$B15:$X15))))</f>
        <v>401.457310011446</v>
      </c>
      <c r="Y16" s="4" t="n">
        <f aca="false">$L16*600*6/(90*1000*2000)</f>
        <v>1.38526917987033</v>
      </c>
      <c r="Z16" s="4" t="n">
        <f aca="false" t="array" ref="Z16:Z16">SUM(Capacity!AT16*Demand!Z$3:Z$25*Capacity!$DI$3:$DI$25/(TRANSPOSE(Dists!$B15:$X15)*SUM(Capacity!$DI$3:$DI$25/TRANSPOSE(Dists!$B15:$X15))))</f>
        <v>62.2366983501514</v>
      </c>
      <c r="AA16" s="4" t="n">
        <f aca="false" t="array" ref="AA16:AA16">SUM(Capacity!AU16*Demand!AA$3:AA$25*Capacity!$DI$3:$DI$25/(TRANSPOSE(Dists!$B15:$X15)*SUM(Capacity!$DI$3:$DI$25/TRANSPOSE(Dists!$B15:$X15))))</f>
        <v>36.1471412017658</v>
      </c>
      <c r="AB16" s="4" t="n">
        <f aca="false" t="array" ref="AB16:AB16">SUM(Capacity!AV16*Demand!AB$3:AB$25*Capacity!$DI$3:$DI$25/(TRANSPOSE(Dists!$B15:$X15)*SUM(Capacity!$DI$3:$DI$25/TRANSPOSE(Dists!$B15:$X15))))</f>
        <v>34.9474577016284</v>
      </c>
      <c r="AC16" s="4" t="n">
        <f aca="false" t="array" ref="AC16:AC16">SUM(Capacity!AW16*Demand!AC$3:AC$25*Capacity!$DI$3:$DI$25/(TRANSPOSE(Dists!$B15:$X15)*SUM(Capacity!$DI$3:$DI$25/TRANSPOSE(Dists!$B15:$X15))))</f>
        <v>6.07415293809206</v>
      </c>
      <c r="AD16" s="4" t="n">
        <f aca="false" t="array" ref="AD16:AD16">SUM(Capacity!AX16*Demand!AD$3:AD$25*Capacity!$DI$3:$DI$25/(TRANSPOSE(Dists!$B15:$X15)*SUM(Capacity!$DI$3:$DI$25/TRANSPOSE(Dists!$B15:$X15))))</f>
        <v>5.72127143488835</v>
      </c>
      <c r="AE16" s="4" t="n">
        <f aca="false" t="array" ref="AE16:AE16">SUM(Capacity!AY16*Demand!AE$3:AE$25*Capacity!$DI$3:$DI$25/(TRANSPOSE(Dists!$B15:$X15)*SUM(Capacity!$DI$3:$DI$25/TRANSPOSE(Dists!$B15:$X15))))</f>
        <v>3.85473322471371</v>
      </c>
      <c r="AF16" s="4" t="n">
        <f aca="false" t="array" ref="AF16:AF16">SUM(Capacity!AZ16*Demand!AF$3:AF$25*Capacity!$DI$3:$DI$25/(TRANSPOSE(Dists!$B15:$X15)*SUM(Capacity!$DI$3:$DI$25/TRANSPOSE(Dists!$B15:$X15))))</f>
        <v>0.734565489879677</v>
      </c>
      <c r="AG16" s="4" t="n">
        <f aca="false" t="array" ref="AG16:AG16">SUM(Capacity!BA16*Demand!AG$3:AG$25*Capacity!$DI$3:$DI$25/(TRANSPOSE(Dists!$B15:$X15)*SUM(Capacity!$DI$3:$DI$25/TRANSPOSE(Dists!$B15:$X15))))</f>
        <v>3.66703436093444</v>
      </c>
      <c r="AH16" s="4" t="n">
        <f aca="false" t="array" ref="AH16:AH16">SUM(Capacity!BB16*Demand!AH$3:AH$25*Capacity!$DI$3:$DI$25/(TRANSPOSE(Dists!$B15:$X15)*SUM(Capacity!$DI$3:$DI$25/TRANSPOSE(Dists!$B15:$X15))))</f>
        <v>2.97407221204689</v>
      </c>
      <c r="AI16" s="4" t="n">
        <f aca="false" t="array" ref="AI16:AI16">SUM(Capacity!BC16*Demand!AI$3:AI$25*Capacity!$DI$3:$DI$25/(TRANSPOSE(Dists!$B15:$X15)*SUM(Capacity!$DI$3:$DI$25/TRANSPOSE(Dists!$B15:$X15))))</f>
        <v>0.425216601337593</v>
      </c>
      <c r="AJ16" s="4" t="n">
        <f aca="false" t="array" ref="AJ16:AJ16">SUM(Capacity!BD16*Demand!AJ$3:AJ$25*Capacity!$DI$3:$DI$25/(TRANSPOSE(Dists!$B15:$X15)*SUM(Capacity!$DI$3:$DI$25/TRANSPOSE(Dists!$B15:$X15))))</f>
        <v>1.31429752059063</v>
      </c>
      <c r="AK16" s="4" t="n">
        <f aca="false" t="array" ref="AK16:AK16">SUM(Capacity!BE16*Demand!AK$3:AK$25*Capacity!$DI$3:$DI$25/(TRANSPOSE(Dists!$B15:$X15)*SUM(Capacity!$DI$3:$DI$25/TRANSPOSE(Dists!$B15:$X15))))</f>
        <v>0.86474706056072</v>
      </c>
      <c r="AL16" s="4" t="n">
        <f aca="false" t="array" ref="AL16:AL16">SUM(Capacity!BF16*Demand!AL$3:AL$25*Capacity!$DI$3:$DI$25/(TRANSPOSE(Dists!$B15:$X15)*SUM(Capacity!$DI$3:$DI$25/TRANSPOSE(Dists!$B15:$X15))))</f>
        <v>0.49873579746635</v>
      </c>
      <c r="AM16" s="4" t="n">
        <f aca="false" t="array" ref="AM16:AM16">SUM(Capacity!BG16*Demand!AM$3:AM$25*Capacity!$DI$3:$DI$25/(TRANSPOSE(Dists!$B15:$X15)*SUM(Capacity!$DI$3:$DI$25/TRANSPOSE(Dists!$B15:$X15))))</f>
        <v>1.1280881687523</v>
      </c>
      <c r="AN16" s="4" t="n">
        <f aca="false" t="array" ref="AN16:AN16">SUM(Capacity!BH16*Demand!AN$3:AN$25*Capacity!$DI$3:$DI$25/(TRANSPOSE(Dists!$B15:$X15)*SUM(Capacity!$DI$3:$DI$25/TRANSPOSE(Dists!$B15:$X15))))</f>
        <v>0.742405564399834</v>
      </c>
      <c r="AO16" s="4" t="n">
        <f aca="false" t="array" ref="AO16:AO16">SUM(Capacity!BI16*Demand!AO$3:AO$25*Capacity!$DI$3:$DI$25/(TRANSPOSE(Dists!$B15:$X15)*SUM(Capacity!$DI$3:$DI$25/TRANSPOSE(Dists!$B15:$X15))))</f>
        <v>2.36954933496424</v>
      </c>
      <c r="AP16" s="4" t="n">
        <f aca="false" t="array" ref="AP16:AP16">SUM(Capacity!BJ16*Demand!AP$3:AP$25*Capacity!$DI$3:$DI$25/(TRANSPOSE(Dists!$B15:$X15)*SUM(Capacity!$DI$3:$DI$25/TRANSPOSE(Dists!$B15:$X15))))</f>
        <v>1.1312931297939</v>
      </c>
      <c r="AQ16" s="4" t="n">
        <f aca="false" t="array" ref="AQ16:AQ16">SUM(Capacity!BK16*Demand!AQ$3:AQ$25*Capacity!$DI$3:$DI$25/(TRANSPOSE(Dists!$B15:$X15)*SUM(Capacity!$DI$3:$DI$25/TRANSPOSE(Dists!$B15:$X15))))</f>
        <v>0.143220967139787</v>
      </c>
      <c r="AR16" s="4" t="n">
        <f aca="false" t="array" ref="AR16:AR16">SUM(Capacity!BL16*Demand!AR$3:AR$25*Capacity!$DI$3:$DI$25/(TRANSPOSE(Dists!$B15:$X15)*SUM(Capacity!$DI$3:$DI$25/TRANSPOSE(Dists!$B15:$X15))))</f>
        <v>0.181857180812231</v>
      </c>
      <c r="AS16" s="4" t="n">
        <f aca="false" t="array" ref="AS16:AS16">SUM(Capacity!BM16*Demand!AS$3:AS$25*Capacity!$DI$3:$DI$25/(TRANSPOSE(Dists!$B15:$X15)*SUM(Capacity!$DI$3:$DI$25/TRANSPOSE(Dists!$B15:$X15))))</f>
        <v>0.319821547990298</v>
      </c>
      <c r="AT16" s="4" t="n">
        <f aca="false" t="array" ref="AT16:AT16">SUM(Capacity!BN16*Demand!AT$3:AT$25*Capacity!$DI$3:$DI$25/(TRANSPOSE(Dists!$B15:$X15)*SUM(Capacity!$DI$3:$DI$25/TRANSPOSE(Dists!$B15:$X15))))</f>
        <v>4.16331628203714</v>
      </c>
      <c r="AU16" s="4" t="n">
        <f aca="false" t="array" ref="AU16:AU16">SUM(Capacity!BO16*Demand!AU$3:AU$25*Capacity!$DI$3:$DI$25/(TRANSPOSE(Dists!$B15:$X15)*SUM(Capacity!$DI$3:$DI$25/TRANSPOSE(Dists!$B15:$X15))))</f>
        <v>2.55258720937776</v>
      </c>
      <c r="AV16" s="4" t="n">
        <f aca="false" t="array" ref="AV16:AV16">SUM(Capacity!BP16*Demand!AV$3:AV$25*Capacity!$DI$3:$DI$25/(TRANSPOSE(Dists!$B15:$X15)*SUM(Capacity!$DI$3:$DI$25/TRANSPOSE(Dists!$B15:$X15))))</f>
        <v>0.149196494937767</v>
      </c>
      <c r="AW16" s="4" t="n">
        <f aca="false" t="array" ref="AW16:AW16">SUM(Capacity!BQ16*Demand!AW$3:AW$25*Capacity!$DI$3:$DI$25/(TRANSPOSE(Dists!$B15:$X15)*SUM(Capacity!$DI$3:$DI$25/TRANSPOSE(Dists!$B15:$X15))))</f>
        <v>3.26196414000743</v>
      </c>
      <c r="AX16" s="4" t="n">
        <f aca="false" t="array" ref="AX16:AX16">SUM(Capacity!BR16*Demand!AX$3:AX$25*Capacity!$DI$3:$DI$25/(TRANSPOSE(Dists!$B15:$X15)*SUM(Capacity!$DI$3:$DI$25/TRANSPOSE(Dists!$B15:$X15))))</f>
        <v>0.218120036487881</v>
      </c>
      <c r="AY16" s="4" t="n">
        <f aca="false" t="array" ref="AY16:AY16">SUM(Capacity!BS16*Demand!AY$3:AY$25*Capacity!$DI$3:$DI$25/(TRANSPOSE(Dists!$B15:$X15)*SUM(Capacity!$DI$3:$DI$25/TRANSPOSE(Dists!$B15:$X15))))</f>
        <v>0.456117841611829</v>
      </c>
      <c r="AZ16" s="4" t="n">
        <f aca="false" t="array" ref="AZ16:AZ16">SUM(Capacity!BT16*Demand!AZ$3:AZ$25*Capacity!$DI$3:$DI$25/(TRANSPOSE(Dists!$B15:$X15)*SUM(Capacity!$DI$3:$DI$25/TRANSPOSE(Dists!$B15:$X15))))</f>
        <v>2.7595125782009</v>
      </c>
      <c r="BA16" s="4" t="n">
        <f aca="false">L16*25/(2000*1000*51)</f>
        <v>0.016976337988607</v>
      </c>
      <c r="BB16" s="4" t="n">
        <f aca="false" t="array" ref="BB16:BB16">SUM(Capacity!BV16*Demand!BB$3:BB$25*Capacity!$DI$3:$DI$25/(TRANSPOSE(Dists!$B15:$X15)*SUM(Capacity!$DI$3:$DI$25/TRANSPOSE(Dists!$B15:$X15))))</f>
        <v>0.414738670206559</v>
      </c>
      <c r="BC16" s="4" t="n">
        <f aca="false" t="array" ref="BC16:BC16">SUM(Capacity!BW16*Demand!BC$3:BC$25*Capacity!$DI$3:$DI$25/(TRANSPOSE(Dists!$B15:$X15)*SUM(Capacity!$DI$3:$DI$25/TRANSPOSE(Dists!$B15:$X15))))</f>
        <v>0.280604227068908</v>
      </c>
      <c r="BD16" s="4" t="n">
        <f aca="false" t="array" ref="BD16:BD16">SUM(Capacity!BX16*Demand!BD$3:BD$25*Capacity!$DI$3:$DI$25/(TRANSPOSE(Dists!$B15:$X15)*SUM(Capacity!$DI$3:$DI$25/TRANSPOSE(Dists!$B15:$X15))))</f>
        <v>0.176308481883192</v>
      </c>
      <c r="BE16" s="4" t="n">
        <f aca="false" t="array" ref="BE16:BE16">SUM(Capacity!BY16*Demand!BE$3:BE$25*Capacity!$DI$3:$DI$25/(TRANSPOSE(Dists!$B15:$X15)*SUM(Capacity!$DI$3:$DI$25/TRANSPOSE(Dists!$B15:$X15))))</f>
        <v>0.12397543705611</v>
      </c>
      <c r="BF16" s="4" t="n">
        <f aca="false" t="array" ref="BF16:BF16">SUM(Capacity!BZ16*Demand!BF$3:BF$25*Capacity!$DI$3:$DI$25/(TRANSPOSE(Dists!$B15:$X15)*SUM(Capacity!$DI$3:$DI$25/TRANSPOSE(Dists!$B15:$X15))))</f>
        <v>2.98116125865989</v>
      </c>
      <c r="BG16" s="4" t="n">
        <f aca="false" t="array" ref="BG16:BG16">SUM(Capacity!CA16*Demand!BG$3:BG$25*Capacity!$DI$3:$DI$25/(TRANSPOSE(Dists!$B15:$X15)*SUM(Capacity!$DI$3:$DI$25/TRANSPOSE(Dists!$B15:$X15))))</f>
        <v>10.7081510451644</v>
      </c>
      <c r="BH16" s="4" t="n">
        <f aca="false" t="array" ref="BH16:BH16">SUM(Capacity!CB16*Demand!BH$3:BH$25*Capacity!$DI$3:$DI$25/(TRANSPOSE(Dists!$B15:$X15)*SUM(Capacity!$DI$3:$DI$25/TRANSPOSE(Dists!$B15:$X15))))</f>
        <v>21.533093312856</v>
      </c>
      <c r="BI16" s="4" t="n">
        <f aca="false" t="array" ref="BI16:BI16">SUM(Capacity!CC16*Demand!BI16*Capacity!$DI$3:$DI$25/(TRANSPOSE(Dists!$B15:$X15)*SUM(Capacity!$DI$3:$DI$25/TRANSPOSE(Dists!$B15:$X15))))</f>
        <v>21.4555334293851</v>
      </c>
      <c r="BJ16" s="4" t="n">
        <f aca="false" t="array" ref="BJ16:BJ16">SUM(Capacity!CD16*Demand!BJ16*Capacity!$DI$3:$DI$25/(TRANSPOSE(Dists!$B15:$X15)*SUM(Capacity!$DI$3:$DI$25/TRANSPOSE(Dists!$B15:$X15))))</f>
        <v>1216.89772711644</v>
      </c>
      <c r="BK16" s="4" t="n">
        <f aca="false" t="array" ref="BK16:BK16">SUM(Capacity!CE16*Demand!BK16*Capacity!$DI$3:$DI$25/(TRANSPOSE(Dists!$B15:$X15)*SUM(Capacity!$DI$3:$DI$25/TRANSPOSE(Dists!$B15:$X15))))</f>
        <v>10.7277667146926</v>
      </c>
      <c r="BL16" s="4" t="n">
        <f aca="false" t="array" ref="BL16:BL16">SUM(Capacity!CF16*Demand!BL16*Capacity!$DI$3:$DI$25/(TRANSPOSE(Dists!$B15:$X15)*SUM(Capacity!$DI$3:$DI$25/TRANSPOSE(Dists!$B15:$X15))))</f>
        <v>889.619384526827</v>
      </c>
      <c r="BM16" s="4" t="n">
        <f aca="false" t="array" ref="BM16:BM16">SUM(Capacity!CG16*Demand!BM16*Capacity!$DI$3:$DI$25/(TRANSPOSE(Dists!$B15:$X15)*SUM(Capacity!$DI$3:$DI$25/TRANSPOSE(Dists!$B15:$X15))))</f>
        <v>85.4436130256773</v>
      </c>
      <c r="BN16" s="4" t="n">
        <f aca="false">MAX($BO16/0.006,$BP16/0.7,$BR16/0.002,$BS16/0.001)</f>
        <v>0.000178694184974886</v>
      </c>
      <c r="BO16" s="4" t="n">
        <f aca="false" t="array" ref="BO16:BO16">SUM(Capacity!CI16*Demand!BO16*Capacity!$DI$3:$DI$25/(TRANSPOSE(Dists!$B15:$X15)*SUM(Capacity!$DI$3:$DI$25/TRANSPOSE(Dists!$B15:$X15))))</f>
        <v>1.07216510984932E-006</v>
      </c>
      <c r="BP16" s="4" t="n">
        <f aca="false" t="array" ref="BP16:BP16">SUM(Capacity!CJ16*Demand!BP16*Capacity!$DI$3:$DI$25/(TRANSPOSE(Dists!$B15:$X15)*SUM(Capacity!$DI$3:$DI$25/TRANSPOSE(Dists!$B15:$X15))))</f>
        <v>2.17585071698433E-008</v>
      </c>
      <c r="BQ16" s="4" t="n">
        <f aca="false">BN16*0.65</f>
        <v>0.000116151220233676</v>
      </c>
      <c r="BR16" s="4" t="n">
        <f aca="false" t="array" ref="BR16:BR16">SUM(Capacity!CL16*Demand!BR16*Capacity!$DI$3:$DI$25/(TRANSPOSE(Dists!$B15:$X15)*SUM(Capacity!$DI$3:$DI$25/TRANSPOSE(Dists!$B15:$X15))))</f>
        <v>1.07216510984932E-007</v>
      </c>
      <c r="BS16" s="4" t="n">
        <f aca="false" t="array" ref="BS16:BS16">SUM(Capacity!CM16*Demand!BS16*Capacity!$DI$3:$DI$25/(TRANSPOSE(Dists!$B15:$X15)*SUM(Capacity!$DI$3:$DI$25/TRANSPOSE(Dists!$B15:$X15))))</f>
        <v>2.14432972263819E-008</v>
      </c>
      <c r="BT16" s="4" t="n">
        <f aca="false" t="array" ref="BT16:BT16">SUM(Capacity!CN16*Demand!BT16*Capacity!$DI$3:$DI$25/(TRANSPOSE(Dists!$B15:$X15)*SUM(Capacity!$DI$3:$DI$25/TRANSPOSE(Dists!$B15:$X15))))</f>
        <v>3.66138173508622</v>
      </c>
      <c r="BU16" s="4" t="n">
        <f aca="false" t="array" ref="BU16:BU16">SUM(Capacity!CO16*Demand!BU16*Capacity!$DI$3:$DI$25/(TRANSPOSE(Dists!$B15:$X15)*SUM(Capacity!$DI$3:$DI$25/TRANSPOSE(Dists!$B15:$X15))))</f>
        <v>0.366138173508622</v>
      </c>
      <c r="BV16" s="4" t="n">
        <f aca="false" t="array" ref="BV16:BV16">SUM(Capacity!CP16*Demand!BV16*Capacity!$DI$3:$DI$25/(TRANSPOSE(Dists!$B15:$X15)*SUM(Capacity!$DI$3:$DI$25/TRANSPOSE(Dists!$B15:$X15))))</f>
        <v>0.0366138173508622</v>
      </c>
      <c r="BW16" s="4" t="n">
        <f aca="false">E44*2*8.34/6</f>
        <v>1667.77654130691</v>
      </c>
      <c r="BX16" s="4" t="n">
        <f aca="false" t="array" ref="BX16:BX16">SUM(Capacity!CR16*Demand!BX16*Capacity!$DI$3:$DI$25/(TRANSPOSE(Dists!$B15:$X15)*SUM(Capacity!$DI$3:$DI$25/TRANSPOSE(Dists!$B15:$X15))))</f>
        <v>7.11080960019257</v>
      </c>
      <c r="BY16" s="4" t="n">
        <f aca="false" t="array" ref="BY16:BY16">SUM(Capacity!CS16*Demand!BY16*Capacity!$DI$3:$DI$25/(TRANSPOSE(Dists!$B15:$X15)*SUM(Capacity!$DI$3:$DI$25/TRANSPOSE(Dists!$B15:$X15))))</f>
        <v>28.6948117719516</v>
      </c>
      <c r="BZ16" s="4" t="n">
        <f aca="false" t="array" ref="BZ16:BZ16">SUM(Capacity!CT16*Demand!BZ16*Capacity!$DI$3:$DI$25/(TRANSPOSE(Dists!$B15:$X15)*SUM(Capacity!$DI$3:$DI$25/TRANSPOSE(Dists!$B15:$X15))))</f>
        <v>0.776827332416877</v>
      </c>
      <c r="CA16" s="4" t="n">
        <f aca="false" t="array" ref="CA16:CA16">SUM(Capacity!CU16*Demand!CA16*Capacity!$DI$3:$DI$25/(TRANSPOSE(Dists!$B15:$X15)*SUM(Capacity!$DI$3:$DI$25/TRANSPOSE(Dists!$B15:$X15))))</f>
        <v>0.106699095459209</v>
      </c>
      <c r="CB16" s="4" t="n">
        <f aca="false" t="array" ref="CB16:CB16">SUM(Capacity!CV16*Demand!CB16*Capacity!$DI$3:$DI$25/(TRANSPOSE(Dists!$B15:$X15)*SUM(Capacity!$DI$3:$DI$25/TRANSPOSE(Dists!$B15:$X15))))</f>
        <v>370.946596570547</v>
      </c>
      <c r="CC16" s="4" t="n">
        <f aca="false" t="array" ref="CC16:CC16">SUM(Capacity!CW16*Demand!CC16*Capacity!$DI$3:$DI$25/(TRANSPOSE(Dists!$B15:$X15)*SUM(Capacity!$DI$3:$DI$25/TRANSPOSE(Dists!$B15:$X15))))</f>
        <v>100.799149814993</v>
      </c>
      <c r="CD16" s="4" t="n">
        <f aca="false">SUM($BG44,$BI44,$BK44)*Capacity!CX16/SUM(Capacity!$AM16:$AN16,Capacity!$CX16)</f>
        <v>58.8647762833111</v>
      </c>
      <c r="CE16" s="4" t="n">
        <f aca="false" t="array" ref="CE16:CE16">SUM(Capacity!CY16*Demand!CE16*Capacity!$DI$3:$DI$25/(TRANSPOSE(Dists!$B15:$X15)*SUM(Capacity!$DI$3:$DI$25/TRANSPOSE(Dists!$B15:$X15))))</f>
        <v>6.04611252767992</v>
      </c>
      <c r="CF16" s="4" t="n">
        <f aca="false" t="array" ref="CF16:CF16">SUM(Capacity!CZ16*Demand!CF16*Capacity!$DI$3:$DI$25/(TRANSPOSE(Dists!$B15:$X15)*SUM(Capacity!$DI$3:$DI$25/TRANSPOSE(Dists!$B15:$X15))))</f>
        <v>328.668389342566</v>
      </c>
      <c r="CG16" s="4" t="n">
        <f aca="false" t="array" ref="CG16:CG16">SUM(Capacity!DA16*Demand!CG16*Capacity!$DI$3:$DI$25/(TRANSPOSE(Dists!$B15:$X15)*SUM(Capacity!$DI$3:$DI$25/TRANSPOSE(Dists!$B15:$X15))))</f>
        <v>0.00017497141684551</v>
      </c>
      <c r="CH16" s="4" t="n">
        <f aca="false" t="array" ref="CH16:CH16">SUM(Capacity!DB16*Demand!CH16*Capacity!$DI$3:$DI$25/(TRANSPOSE(Dists!$B15:$X15)*SUM(Capacity!$DI$3:$DI$25/TRANSPOSE(Dists!$B15:$X15))))</f>
        <v>5.8351562433462E-005</v>
      </c>
      <c r="CI16" s="4" t="n">
        <f aca="false" t="array" ref="CI16:CI16">SUM(Capacity!DC16*Demand!CI16*Capacity!$DI$3:$DI$25/(TRANSPOSE(Dists!$B15:$X15)*SUM(Capacity!$DI$3:$DI$25/TRANSPOSE(Dists!$B15:$X15))))</f>
        <v>0.200842776240534</v>
      </c>
      <c r="CJ16" s="4" t="n">
        <f aca="false" t="array" ref="CJ16:CJ16">SUM(Capacity!DD16*Demand!CJ16*Capacity!$DI$3:$DI$25/(TRANSPOSE(Dists!$B15:$X15)*SUM(Capacity!$DI$3:$DI$25/TRANSPOSE(Dists!$B15:$X15))))</f>
        <v>0.0326372943921887</v>
      </c>
      <c r="CK16" s="4" t="n">
        <f aca="false" t="array" ref="CK16:CK16">SUM(Capacity!DE16*Demand!CK16*Capacity!$DI$3:$DI$25/(TRANSPOSE(Dists!$B15:$X15)*SUM(Capacity!$DI$3:$DI$25/TRANSPOSE(Dists!$B15:$X15))))</f>
        <v>7.45142474731756</v>
      </c>
      <c r="CL16" s="7" t="s">
        <v>320</v>
      </c>
    </row>
    <row r="17" customFormat="false" ht="12.8" hidden="false" customHeight="false" outlineLevel="0" collapsed="false">
      <c r="A17" s="4" t="s">
        <v>151</v>
      </c>
      <c r="B17" s="7" t="s">
        <v>39</v>
      </c>
      <c r="C17" s="4" t="n">
        <f aca="false" t="array" ref="C17:C17">SUM(Capacity!S17*Demand!C17*Capacity!$DH$3:$DH$25/(TRANSPOSE(Dists!$B16:$X16)*SUM(Capacity!$DH$3:$DH$25/TRANSPOSE(Dists!$B16:$X16))))</f>
        <v>0.0322637174295253</v>
      </c>
      <c r="D17" s="4" t="n">
        <f aca="false" t="array" ref="D17:D17">SUM(Capacity!V17*Demand!D17*Capacity!$DH$3:$DH$25/(TRANSPOSE(Dists!$B16:$X16)*SUM(Capacity!$DH$3:$DH$25/TRANSPOSE(Dists!$B16:$X16))))</f>
        <v>3418.48932522907</v>
      </c>
      <c r="E17" s="4" t="n">
        <f aca="false" t="array" ref="E17:E17">SUM(Capacity!Y17*Demand!E17*Capacity!$DH$3:$DH$25/(TRANSPOSE(Dists!$B16:$X16)*SUM(Capacity!$DH$3:$DH$25/TRANSPOSE(Dists!$B16:$X16))))</f>
        <v>1831.88776277101</v>
      </c>
      <c r="F17" s="4" t="n">
        <f aca="false">$E17*Capacity!$M17/(2*(1-Capacity!$H$28)*Capacity!$H17)</f>
        <v>656.966348750288</v>
      </c>
      <c r="G17" s="4" t="n">
        <f aca="false" t="array" ref="G17:G17">SUM(Capacity!AA17*Demand!G17*Capacity!$DH$3:$DH$25/(TRANSPOSE(Dists!$B16:$X16)*SUM(Capacity!$DH$3:$DH$25/TRANSPOSE(Dists!$B16:$X16))))</f>
        <v>2357.34597539415</v>
      </c>
      <c r="H17" s="4" t="n">
        <f aca="false" t="array" ref="H17:H17">SUM(Capacity!AB17*Demand!H17*Capacity!$DH$3:$DH$25/(TRANSPOSE(Dists!$B16:$X16)*SUM(Capacity!$DH$3:$DH$25/TRANSPOSE(Dists!$B16:$X16))))</f>
        <v>9.02623705886288</v>
      </c>
      <c r="I17" s="4" t="n">
        <f aca="false" t="array" ref="I17:I17">SUM(Capacity!AC17*Demand!I$3:I$25*Capacity!$DG$3:$DG$25/(TRANSPOSE(Dists!$B16:$X16)*SUM(Capacity!$DG$3:$DG$25/TRANSPOSE(Dists!$B16:$X16))))</f>
        <v>2.49324984149068</v>
      </c>
      <c r="J17" s="4" t="n">
        <f aca="false" t="array" ref="J17:J17">SUM(Capacity!AD17*Demand!J$3:J$25*Capacity!$DG$3:$DG$25/(TRANSPOSE(Dists!$B16:$X16)*SUM(Capacity!$DG$3:$DG$25/TRANSPOSE(Dists!$B16:$X16))))</f>
        <v>2.69117000850932</v>
      </c>
      <c r="K17" s="4" t="n">
        <f aca="false">5479.45205479452*$R17</f>
        <v>990961.165693743</v>
      </c>
      <c r="L17" s="4" t="n">
        <f aca="false">17142.8571428571*$S17</f>
        <v>173369.676796716</v>
      </c>
      <c r="M17" s="4" t="n">
        <f aca="false">IF(50420.1680672269*$T17&gt;($K17/20),50420.1680672269*$T17-($K17/20),0)</f>
        <v>235443.191244162</v>
      </c>
      <c r="N17" s="4" t="n">
        <f aca="false" t="array" ref="N17:N17">SUM(Capacity!AH17*Demand!N17*Capacity!$DH$3:$DH$25/(TRANSPOSE(Dists!$B16:$X16)*SUM(Capacity!$DH$3:$DH$25/TRANSPOSE(Dists!$B16:$X16))))</f>
        <v>3097.16230641754</v>
      </c>
      <c r="O17" s="4" t="n">
        <f aca="false">D45/0.8</f>
        <v>2478.21984306383</v>
      </c>
      <c r="P17" s="4" t="n">
        <f aca="false">O17/0.8</f>
        <v>3097.77480382979</v>
      </c>
      <c r="Q17" s="4" t="n">
        <f aca="false" t="array" ref="Q17:Q17">SUM(Capacity!AK17*Demand!Q17*Capacity!$DI$3:$DI$25/(TRANSPOSE(Dists!$B16:$X16)*SUM(Capacity!$DI$3:$DI$25/TRANSPOSE(Dists!$B16:$X16))))</f>
        <v>33.6929744488967</v>
      </c>
      <c r="R17" s="4" t="n">
        <f aca="false" t="array" ref="R17:R17">SUM(Capacity!AL17*Demand!R17*Capacity!$DH$3:$DH$25/(TRANSPOSE(Dists!$B16:$X16)*SUM(Capacity!$DH$3:$DH$25/TRANSPOSE(Dists!$B16:$X16))))</f>
        <v>180.850412739108</v>
      </c>
      <c r="S17" s="4" t="n">
        <f aca="false">SUM($BG45,$BI45,$BK45)*Capacity!AM17/SUM(Capacity!$AM17:$AN17,Capacity!$CX17)</f>
        <v>10.1132311464751</v>
      </c>
      <c r="T17" s="4" t="n">
        <f aca="false">SUM($BG45,$BI45,$BK45)*Capacity!AN17/SUM(Capacity!$AM17:$AN17,Capacity!$CX17)</f>
        <v>5.65232644898884</v>
      </c>
      <c r="U17" s="4" t="n">
        <f aca="false">$M17*120*2/(16*1000*2000)</f>
        <v>1.76582393433121</v>
      </c>
      <c r="V17" s="4" t="n">
        <f aca="false" t="array" ref="V17:V17">SUM(Capacity!AP17*Demand!V$3:V$25*Capacity!$DH$3:$DH$25/(TRANSPOSE(Dists!$B16:$X16)*SUM(Capacity!$DH$3:$DH$25/TRANSPOSE(Dists!$B16:$X16))))</f>
        <v>429.852693757985</v>
      </c>
      <c r="W17" s="4" t="n">
        <f aca="false" t="array" ref="W17:W17">SUM(Capacity!AQ17*Demand!W$3:W$25*Capacity!$DH$3:$DH$25/(TRANSPOSE(Dists!$B16:$X16)*SUM(Capacity!$DH$3:$DH$25/TRANSPOSE(Dists!$B16:$X16))))</f>
        <v>1285.57005561195</v>
      </c>
      <c r="X17" s="4" t="n">
        <f aca="false" t="array" ref="X17:X17">SUM(Capacity!AR17*Demand!X$3:X$25*Capacity!$DH$3:$DH$25/(TRANSPOSE(Dists!$B16:$X16)*SUM(Capacity!$DH$3:$DH$25/TRANSPOSE(Dists!$B16:$X16))))</f>
        <v>1357.5501386218</v>
      </c>
      <c r="Y17" s="4" t="n">
        <f aca="false">$L17*600*6/(90*1000*2000)</f>
        <v>3.46739353593432</v>
      </c>
      <c r="Z17" s="4" t="n">
        <f aca="false" t="array" ref="Z17:Z17">SUM(Capacity!AT17*Demand!Z$3:Z$25*Capacity!$DI$3:$DI$25/(TRANSPOSE(Dists!$B16:$X16)*SUM(Capacity!$DI$3:$DI$25/TRANSPOSE(Dists!$B16:$X16))))</f>
        <v>147.745378517273</v>
      </c>
      <c r="AA17" s="4" t="n">
        <f aca="false" t="array" ref="AA17:AA17">SUM(Capacity!AU17*Demand!AA$3:AA$25*Capacity!$DI$3:$DI$25/(TRANSPOSE(Dists!$B16:$X16)*SUM(Capacity!$DI$3:$DI$25/TRANSPOSE(Dists!$B16:$X16))))</f>
        <v>87.2672751606849</v>
      </c>
      <c r="AB17" s="4" t="n">
        <f aca="false" t="array" ref="AB17:AB17">SUM(Capacity!AV17*Demand!AB$3:AB$25*Capacity!$DI$3:$DI$25/(TRANSPOSE(Dists!$B16:$X16)*SUM(Capacity!$DI$3:$DI$25/TRANSPOSE(Dists!$B16:$X16))))</f>
        <v>88.8970954788476</v>
      </c>
      <c r="AC17" s="4" t="n">
        <f aca="false" t="array" ref="AC17:AC17">SUM(Capacity!AW17*Demand!AC$3:AC$25*Capacity!$DI$3:$DI$25/(TRANSPOSE(Dists!$B16:$X16)*SUM(Capacity!$DI$3:$DI$25/TRANSPOSE(Dists!$B16:$X16))))</f>
        <v>15.1196978997938</v>
      </c>
      <c r="AD17" s="4" t="n">
        <f aca="false" t="array" ref="AD17:AD17">SUM(Capacity!AX17*Demand!AD$3:AD$25*Capacity!$DI$3:$DI$25/(TRANSPOSE(Dists!$B16:$X16)*SUM(Capacity!$DI$3:$DI$25/TRANSPOSE(Dists!$B16:$X16))))</f>
        <v>14.5534023490348</v>
      </c>
      <c r="AE17" s="4" t="n">
        <f aca="false" t="array" ref="AE17:AE17">SUM(Capacity!AY17*Demand!AE$3:AE$25*Capacity!$DI$3:$DI$25/(TRANSPOSE(Dists!$B16:$X16)*SUM(Capacity!$DI$3:$DI$25/TRANSPOSE(Dists!$B16:$X16))))</f>
        <v>10.7805985051204</v>
      </c>
      <c r="AF17" s="4" t="n">
        <f aca="false" t="array" ref="AF17:AF17">SUM(Capacity!AZ17*Demand!AF$3:AF$25*Capacity!$DI$3:$DI$25/(TRANSPOSE(Dists!$B16:$X16)*SUM(Capacity!$DI$3:$DI$25/TRANSPOSE(Dists!$B16:$X16))))</f>
        <v>2.02928833907997</v>
      </c>
      <c r="AG17" s="4" t="n">
        <f aca="false" t="array" ref="AG17:AG17">SUM(Capacity!BA17*Demand!AG$3:AG$25*Capacity!$DI$3:$DI$25/(TRANSPOSE(Dists!$B16:$X16)*SUM(Capacity!$DI$3:$DI$25/TRANSPOSE(Dists!$B16:$X16))))</f>
        <v>9.9542802968337</v>
      </c>
      <c r="AH17" s="4" t="n">
        <f aca="false" t="array" ref="AH17:AH17">SUM(Capacity!BB17*Demand!AH$3:AH$25*Capacity!$DI$3:$DI$25/(TRANSPOSE(Dists!$B16:$X16)*SUM(Capacity!$DI$3:$DI$25/TRANSPOSE(Dists!$B16:$X16))))</f>
        <v>7.31707483798238</v>
      </c>
      <c r="AI17" s="4" t="n">
        <f aca="false" t="array" ref="AI17:AI17">SUM(Capacity!BC17*Demand!AI$3:AI$25*Capacity!$DI$3:$DI$25/(TRANSPOSE(Dists!$B16:$X16)*SUM(Capacity!$DI$3:$DI$25/TRANSPOSE(Dists!$B16:$X16))))</f>
        <v>1.20816322505602</v>
      </c>
      <c r="AJ17" s="4" t="n">
        <f aca="false" t="array" ref="AJ17:AJ17">SUM(Capacity!BD17*Demand!AJ$3:AJ$25*Capacity!$DI$3:$DI$25/(TRANSPOSE(Dists!$B16:$X16)*SUM(Capacity!$DI$3:$DI$25/TRANSPOSE(Dists!$B16:$X16))))</f>
        <v>3.15450666629158</v>
      </c>
      <c r="AK17" s="4" t="n">
        <f aca="false" t="array" ref="AK17:AK17">SUM(Capacity!BE17*Demand!AK$3:AK$25*Capacity!$DI$3:$DI$25/(TRANSPOSE(Dists!$B16:$X16)*SUM(Capacity!$DI$3:$DI$25/TRANSPOSE(Dists!$B16:$X16))))</f>
        <v>1.84656650200672</v>
      </c>
      <c r="AL17" s="4" t="n">
        <f aca="false" t="array" ref="AL17:AL17">SUM(Capacity!BF17*Demand!AL$3:AL$25*Capacity!$DI$3:$DI$25/(TRANSPOSE(Dists!$B16:$X16)*SUM(Capacity!$DI$3:$DI$25/TRANSPOSE(Dists!$B16:$X16))))</f>
        <v>1.2301628192733</v>
      </c>
      <c r="AM17" s="4" t="n">
        <f aca="false" t="array" ref="AM17:AM17">SUM(Capacity!BG17*Demand!AM$3:AM$25*Capacity!$DI$3:$DI$25/(TRANSPOSE(Dists!$B16:$X16)*SUM(Capacity!$DI$3:$DI$25/TRANSPOSE(Dists!$B16:$X16))))</f>
        <v>3.57325826144624</v>
      </c>
      <c r="AN17" s="4" t="n">
        <f aca="false" t="array" ref="AN17:AN17">SUM(Capacity!BH17*Demand!AN$3:AN$25*Capacity!$DI$3:$DI$25/(TRANSPOSE(Dists!$B16:$X16)*SUM(Capacity!$DI$3:$DI$25/TRANSPOSE(Dists!$B16:$X16))))</f>
        <v>1.82582758696129</v>
      </c>
      <c r="AO17" s="4" t="n">
        <f aca="false" t="array" ref="AO17:AO17">SUM(Capacity!BI17*Demand!AO$3:AO$25*Capacity!$DI$3:$DI$25/(TRANSPOSE(Dists!$B16:$X16)*SUM(Capacity!$DI$3:$DI$25/TRANSPOSE(Dists!$B16:$X16))))</f>
        <v>4.93725232737304</v>
      </c>
      <c r="AP17" s="4" t="n">
        <f aca="false" t="array" ref="AP17:AP17">SUM(Capacity!BJ17*Demand!AP$3:AP$25*Capacity!$DI$3:$DI$25/(TRANSPOSE(Dists!$B16:$X16)*SUM(Capacity!$DI$3:$DI$25/TRANSPOSE(Dists!$B16:$X16))))</f>
        <v>2.60050760965999</v>
      </c>
      <c r="AQ17" s="4" t="n">
        <f aca="false" t="array" ref="AQ17:AQ17">SUM(Capacity!BK17*Demand!AQ$3:AQ$25*Capacity!$DI$3:$DI$25/(TRANSPOSE(Dists!$B16:$X16)*SUM(Capacity!$DI$3:$DI$25/TRANSPOSE(Dists!$B16:$X16))))</f>
        <v>0.291882619379278</v>
      </c>
      <c r="AR17" s="4" t="n">
        <f aca="false" t="array" ref="AR17:AR17">SUM(Capacity!BL17*Demand!AR$3:AR$25*Capacity!$DI$3:$DI$25/(TRANSPOSE(Dists!$B16:$X16)*SUM(Capacity!$DI$3:$DI$25/TRANSPOSE(Dists!$B16:$X16))))</f>
        <v>0.548663258926035</v>
      </c>
      <c r="AS17" s="4" t="n">
        <f aca="false" t="array" ref="AS17:AS17">SUM(Capacity!BM17*Demand!AS$3:AS$25*Capacity!$DI$3:$DI$25/(TRANSPOSE(Dists!$B16:$X16)*SUM(Capacity!$DI$3:$DI$25/TRANSPOSE(Dists!$B16:$X16))))</f>
        <v>0.887091286192227</v>
      </c>
      <c r="AT17" s="4" t="n">
        <f aca="false" t="array" ref="AT17:AT17">SUM(Capacity!BN17*Demand!AT$3:AT$25*Capacity!$DI$3:$DI$25/(TRANSPOSE(Dists!$B16:$X16)*SUM(Capacity!$DI$3:$DI$25/TRANSPOSE(Dists!$B16:$X16))))</f>
        <v>11.4307484432501</v>
      </c>
      <c r="AU17" s="4" t="n">
        <f aca="false" t="array" ref="AU17:AU17">SUM(Capacity!BO17*Demand!AU$3:AU$25*Capacity!$DI$3:$DI$25/(TRANSPOSE(Dists!$B16:$X16)*SUM(Capacity!$DI$3:$DI$25/TRANSPOSE(Dists!$B16:$X16))))</f>
        <v>9.93196312246359</v>
      </c>
      <c r="AV17" s="4" t="n">
        <f aca="false" t="array" ref="AV17:AV17">SUM(Capacity!BP17*Demand!AV$3:AV$25*Capacity!$DI$3:$DI$25/(TRANSPOSE(Dists!$B16:$X16)*SUM(Capacity!$DI$3:$DI$25/TRANSPOSE(Dists!$B16:$X16))))</f>
        <v>0.423291601268475</v>
      </c>
      <c r="AW17" s="4" t="n">
        <f aca="false" t="array" ref="AW17:AW17">SUM(Capacity!BQ17*Demand!AW$3:AW$25*Capacity!$DI$3:$DI$25/(TRANSPOSE(Dists!$B16:$X16)*SUM(Capacity!$DI$3:$DI$25/TRANSPOSE(Dists!$B16:$X16))))</f>
        <v>8.22311993944446</v>
      </c>
      <c r="AX17" s="4" t="n">
        <f aca="false" t="array" ref="AX17:AX17">SUM(Capacity!BR17*Demand!AX$3:AX$25*Capacity!$DI$3:$DI$25/(TRANSPOSE(Dists!$B16:$X16)*SUM(Capacity!$DI$3:$DI$25/TRANSPOSE(Dists!$B16:$X16))))</f>
        <v>0.672703549679113</v>
      </c>
      <c r="AY17" s="4" t="n">
        <f aca="false" t="array" ref="AY17:AY17">SUM(Capacity!BS17*Demand!AY$3:AY$25*Capacity!$DI$3:$DI$25/(TRANSPOSE(Dists!$B16:$X16)*SUM(Capacity!$DI$3:$DI$25/TRANSPOSE(Dists!$B16:$X16))))</f>
        <v>1.11614110939061</v>
      </c>
      <c r="AZ17" s="4" t="n">
        <f aca="false" t="array" ref="AZ17:AZ17">SUM(Capacity!BT17*Demand!AZ$3:AZ$25*Capacity!$DI$3:$DI$25/(TRANSPOSE(Dists!$B16:$X16)*SUM(Capacity!$DI$3:$DI$25/TRANSPOSE(Dists!$B16:$X16))))</f>
        <v>7.18650241500184</v>
      </c>
      <c r="BA17" s="4" t="n">
        <f aca="false">L17*25/(2000*1000*51)</f>
        <v>0.0424925678423324</v>
      </c>
      <c r="BB17" s="4" t="n">
        <f aca="false" t="array" ref="BB17:BB17">SUM(Capacity!BV17*Demand!BB$3:BB$25*Capacity!$DI$3:$DI$25/(TRANSPOSE(Dists!$B16:$X16)*SUM(Capacity!$DI$3:$DI$25/TRANSPOSE(Dists!$B16:$X16))))</f>
        <v>1.03580965398563</v>
      </c>
      <c r="BC17" s="4" t="n">
        <f aca="false" t="array" ref="BC17:BC17">SUM(Capacity!BW17*Demand!BC$3:BC$25*Capacity!$DI$3:$DI$25/(TRANSPOSE(Dists!$B16:$X16)*SUM(Capacity!$DI$3:$DI$25/TRANSPOSE(Dists!$B16:$X16))))</f>
        <v>0.666025731075824</v>
      </c>
      <c r="BD17" s="4" t="n">
        <f aca="false" t="array" ref="BD17:BD17">SUM(Capacity!BX17*Demand!BD$3:BD$25*Capacity!$DI$3:$DI$25/(TRANSPOSE(Dists!$B16:$X16)*SUM(Capacity!$DI$3:$DI$25/TRANSPOSE(Dists!$B16:$X16))))</f>
        <v>0.339649513786894</v>
      </c>
      <c r="BE17" s="4" t="n">
        <f aca="false" t="array" ref="BE17:BE17">SUM(Capacity!BY17*Demand!BE$3:BE$25*Capacity!$DI$3:$DI$25/(TRANSPOSE(Dists!$B16:$X16)*SUM(Capacity!$DI$3:$DI$25/TRANSPOSE(Dists!$B16:$X16))))</f>
        <v>0.271654763148089</v>
      </c>
      <c r="BF17" s="4" t="n">
        <f aca="false" t="array" ref="BF17:BF17">SUM(Capacity!BZ17*Demand!BF$3:BF$25*Capacity!$DI$3:$DI$25/(TRANSPOSE(Dists!$B16:$X16)*SUM(Capacity!$DI$3:$DI$25/TRANSPOSE(Dists!$B16:$X16))))</f>
        <v>8.8705116144258</v>
      </c>
      <c r="BG17" s="4" t="n">
        <f aca="false" t="array" ref="BG17:BG17">SUM(Capacity!CA17*Demand!BG$3:BG$25*Capacity!$DI$3:$DI$25/(TRANSPOSE(Dists!$B16:$X16)*SUM(Capacity!$DI$3:$DI$25/TRANSPOSE(Dists!$B16:$X16))))</f>
        <v>26.5509215631696</v>
      </c>
      <c r="BH17" s="4" t="n">
        <f aca="false" t="array" ref="BH17:BH17">SUM(Capacity!CB17*Demand!BH$3:BH$25*Capacity!$DI$3:$DI$25/(TRANSPOSE(Dists!$B16:$X16)*SUM(Capacity!$DI$3:$DI$25/TRANSPOSE(Dists!$B16:$X16))))</f>
        <v>55.0966609391504</v>
      </c>
      <c r="BI17" s="4" t="n">
        <f aca="false" t="array" ref="BI17:BI17">SUM(Capacity!CC17*Demand!BI17*Capacity!$DI$3:$DI$25/(TRANSPOSE(Dists!$B16:$X16)*SUM(Capacity!$DI$3:$DI$25/TRANSPOSE(Dists!$B16:$X16))))</f>
        <v>97.0040601953371</v>
      </c>
      <c r="BJ17" s="4" t="n">
        <f aca="false" t="array" ref="BJ17:BJ17">SUM(Capacity!CD17*Demand!BJ17*Capacity!$DI$3:$DI$25/(TRANSPOSE(Dists!$B16:$X16)*SUM(Capacity!$DI$3:$DI$25/TRANSPOSE(Dists!$B16:$X16))))</f>
        <v>835.501823280055</v>
      </c>
      <c r="BK17" s="4" t="n">
        <f aca="false" t="array" ref="BK17:BK17">SUM(Capacity!CE17*Demand!BK17*Capacity!$DI$3:$DI$25/(TRANSPOSE(Dists!$B16:$X16)*SUM(Capacity!$DI$3:$DI$25/TRANSPOSE(Dists!$B16:$X16))))</f>
        <v>48.5020300976685</v>
      </c>
      <c r="BL17" s="4" t="n">
        <f aca="false" t="array" ref="BL17:BL17">SUM(Capacity!CF17*Demand!BL17*Capacity!$DI$3:$DI$25/(TRANSPOSE(Dists!$B16:$X16)*SUM(Capacity!$DI$3:$DI$25/TRANSPOSE(Dists!$B16:$X16))))</f>
        <v>1534.87428918113</v>
      </c>
      <c r="BM17" s="4" t="n">
        <f aca="false" t="array" ref="BM17:BM17">SUM(Capacity!CG17*Demand!BM17*Capacity!$DI$3:$DI$25/(TRANSPOSE(Dists!$B16:$X16)*SUM(Capacity!$DI$3:$DI$25/TRANSPOSE(Dists!$B16:$X16))))</f>
        <v>62.995591873147</v>
      </c>
      <c r="BN17" s="4" t="n">
        <f aca="false">MAX($BO17/0.006,$BP17/0.7,$BR17/0.002,$BS17/0.001)</f>
        <v>0.00120232905574576</v>
      </c>
      <c r="BO17" s="4" t="n">
        <f aca="false" t="array" ref="BO17:BO17">SUM(Capacity!CI17*Demand!BO17*Capacity!$DI$3:$DI$25/(TRANSPOSE(Dists!$B16:$X16)*SUM(Capacity!$DI$3:$DI$25/TRANSPOSE(Dists!$B16:$X16))))</f>
        <v>7.21397433447456E-006</v>
      </c>
      <c r="BP17" s="4" t="n">
        <f aca="false" t="array" ref="BP17:BP17">SUM(Capacity!CJ17*Demand!BP17*Capacity!$DI$3:$DI$25/(TRANSPOSE(Dists!$B16:$X16)*SUM(Capacity!$DI$3:$DI$25/TRANSPOSE(Dists!$B16:$X16))))</f>
        <v>8.41912741037151E-008</v>
      </c>
      <c r="BQ17" s="4" t="n">
        <f aca="false">BN17*0.65</f>
        <v>0.000781513886234744</v>
      </c>
      <c r="BR17" s="4" t="n">
        <f aca="false" t="array" ref="BR17:BR17">SUM(Capacity!CL17*Demand!BR17*Capacity!$DI$3:$DI$25/(TRANSPOSE(Dists!$B16:$X16)*SUM(Capacity!$DI$3:$DI$25/TRANSPOSE(Dists!$B16:$X16))))</f>
        <v>7.21397433447456E-007</v>
      </c>
      <c r="BS17" s="4" t="n">
        <f aca="false" t="array" ref="BS17:BS17">SUM(Capacity!CM17*Demand!BS17*Capacity!$DI$3:$DI$25/(TRANSPOSE(Dists!$B16:$X16)*SUM(Capacity!$DI$3:$DI$25/TRANSPOSE(Dists!$B16:$X16))))</f>
        <v>1.44279407789769E-007</v>
      </c>
      <c r="BT17" s="4" t="n">
        <f aca="false" t="array" ref="BT17:BT17">SUM(Capacity!CN17*Demand!BT17*Capacity!$DI$3:$DI$25/(TRANSPOSE(Dists!$B16:$X16)*SUM(Capacity!$DI$3:$DI$25/TRANSPOSE(Dists!$B16:$X16))))</f>
        <v>16.0001823108027</v>
      </c>
      <c r="BU17" s="4" t="n">
        <f aca="false" t="array" ref="BU17:BU17">SUM(Capacity!CO17*Demand!BU17*Capacity!$DI$3:$DI$25/(TRANSPOSE(Dists!$B16:$X16)*SUM(Capacity!$DI$3:$DI$25/TRANSPOSE(Dists!$B16:$X16))))</f>
        <v>1.60001823108027</v>
      </c>
      <c r="BV17" s="4" t="n">
        <f aca="false" t="array" ref="BV17:BV17">SUM(Capacity!CP17*Demand!BV17*Capacity!$DI$3:$DI$25/(TRANSPOSE(Dists!$B16:$X16)*SUM(Capacity!$DI$3:$DI$25/TRANSPOSE(Dists!$B16:$X16))))</f>
        <v>0.160001823108028</v>
      </c>
      <c r="BW17" s="4" t="n">
        <f aca="false">E45*2*8.34/6</f>
        <v>3312.66506178591</v>
      </c>
      <c r="BX17" s="4" t="n">
        <f aca="false" t="array" ref="BX17:BX17">SUM(Capacity!CR17*Demand!BX17*Capacity!$DI$3:$DI$25/(TRANSPOSE(Dists!$B16:$X16)*SUM(Capacity!$DI$3:$DI$25/TRANSPOSE(Dists!$B16:$X16))))</f>
        <v>2.51802693922765</v>
      </c>
      <c r="BY17" s="4" t="n">
        <f aca="false" t="array" ref="BY17:BY17">SUM(Capacity!CS17*Demand!BY17*Capacity!$DI$3:$DI$25/(TRANSPOSE(Dists!$B16:$X16)*SUM(Capacity!$DI$3:$DI$25/TRANSPOSE(Dists!$B16:$X16))))</f>
        <v>332.016234392054</v>
      </c>
      <c r="BZ17" s="4" t="n">
        <f aca="false" t="array" ref="BZ17:BZ17">SUM(Capacity!CT17*Demand!BZ17*Capacity!$DI$3:$DI$25/(TRANSPOSE(Dists!$B16:$X16)*SUM(Capacity!$DI$3:$DI$25/TRANSPOSE(Dists!$B16:$X16))))</f>
        <v>0.383251448768151</v>
      </c>
      <c r="CA17" s="4" t="n">
        <f aca="false" t="array" ref="CA17:CA17">SUM(Capacity!CU17*Demand!CA17*Capacity!$DI$3:$DI$25/(TRANSPOSE(Dists!$B16:$X16)*SUM(Capacity!$DI$3:$DI$25/TRANSPOSE(Dists!$B16:$X16))))</f>
        <v>0.42930882371355</v>
      </c>
      <c r="CB17" s="4" t="n">
        <f aca="false" t="array" ref="CB17:CB17">SUM(Capacity!CV17*Demand!CB17*Capacity!$DI$3:$DI$25/(TRANSPOSE(Dists!$B16:$X16)*SUM(Capacity!$DI$3:$DI$25/TRANSPOSE(Dists!$B16:$X16))))</f>
        <v>2608.20189505721</v>
      </c>
      <c r="CC17" s="4" t="n">
        <f aca="false" t="array" ref="CC17:CC17">SUM(Capacity!CW17*Demand!CC17*Capacity!$DI$3:$DI$25/(TRANSPOSE(Dists!$B16:$X16)*SUM(Capacity!$DI$3:$DI$25/TRANSPOSE(Dists!$B16:$X16))))</f>
        <v>2068.61490076491</v>
      </c>
      <c r="CD17" s="4" t="n">
        <f aca="false">SUM($BG45,$BI45,$BK45)*Capacity!CX17/SUM(Capacity!$AM17:$AN17,Capacity!$CX17)</f>
        <v>113.666808729382</v>
      </c>
      <c r="CE17" s="4" t="n">
        <f aca="false" t="array" ref="CE17:CE17">SUM(Capacity!CY17*Demand!CE17*Capacity!$DI$3:$DI$25/(TRANSPOSE(Dists!$B16:$X16)*SUM(Capacity!$DI$3:$DI$25/TRANSPOSE(Dists!$B16:$X16))))</f>
        <v>3.42613758575489</v>
      </c>
      <c r="CF17" s="4" t="n">
        <f aca="false" t="array" ref="CF17:CF17">SUM(Capacity!CZ17*Demand!CF17*Capacity!$DI$3:$DI$25/(TRANSPOSE(Dists!$B16:$X16)*SUM(Capacity!$DI$3:$DI$25/TRANSPOSE(Dists!$B16:$X16))))</f>
        <v>895.123449131683</v>
      </c>
      <c r="CG17" s="4" t="n">
        <f aca="false" t="array" ref="CG17:CG17">SUM(Capacity!DA17*Demand!CG17*Capacity!$DI$3:$DI$25/(TRANSPOSE(Dists!$B16:$X16)*SUM(Capacity!$DI$3:$DI$25/TRANSPOSE(Dists!$B16:$X16))))</f>
        <v>8.85083080435537E-005</v>
      </c>
      <c r="CH17" s="4" t="n">
        <f aca="false" t="array" ref="CH17:CH17">SUM(Capacity!DB17*Demand!CH17*Capacity!$DI$3:$DI$25/(TRANSPOSE(Dists!$B16:$X16)*SUM(Capacity!$DI$3:$DI$25/TRANSPOSE(Dists!$B16:$X16))))</f>
        <v>5.89761623269879E-006</v>
      </c>
      <c r="CI17" s="4" t="n">
        <f aca="false" t="array" ref="CI17:CI17">SUM(Capacity!DC17*Demand!CI17*Capacity!$DI$3:$DI$25/(TRANSPOSE(Dists!$B16:$X16)*SUM(Capacity!$DI$3:$DI$25/TRANSPOSE(Dists!$B16:$X16))))</f>
        <v>0.367585375457063</v>
      </c>
      <c r="CJ17" s="4" t="n">
        <f aca="false" t="array" ref="CJ17:CJ17">SUM(Capacity!DD17*Demand!CJ17*Capacity!$DI$3:$DI$25/(TRANSPOSE(Dists!$B16:$X16)*SUM(Capacity!$DI$3:$DI$25/TRANSPOSE(Dists!$B16:$X16))))</f>
        <v>0.157708288375872</v>
      </c>
      <c r="CK17" s="4" t="n">
        <f aca="false" t="array" ref="CK17:CK17">SUM(Capacity!DE17*Demand!CK17*Capacity!$DI$3:$DI$25/(TRANSPOSE(Dists!$B16:$X16)*SUM(Capacity!$DI$3:$DI$25/TRANSPOSE(Dists!$B16:$X16))))</f>
        <v>1.94957956625866</v>
      </c>
      <c r="CL17" s="7" t="s">
        <v>320</v>
      </c>
    </row>
    <row r="18" s="21" customFormat="true" ht="12.8" hidden="false" customHeight="false" outlineLevel="0" collapsed="false">
      <c r="A18" s="21" t="s">
        <v>152</v>
      </c>
      <c r="B18" s="22" t="s">
        <v>39</v>
      </c>
      <c r="C18" s="21" t="n">
        <f aca="false" t="array" ref="C18:C18">SUM(Capacity!S18*Demand!C18*Capacity!$DH$3:$DH$25/(TRANSPOSE(Dists!$B17:$X17)*SUM(Capacity!$DH$3:$DH$25/TRANSPOSE(Dists!$B17:$X17))))</f>
        <v>0.0177436489586046</v>
      </c>
      <c r="D18" s="21" t="n">
        <f aca="false" t="array" ref="D18:D18">SUM(Capacity!V18*Demand!D18*Capacity!$DH$3:$DH$25/(TRANSPOSE(Dists!$B17:$X17)*SUM(Capacity!$DH$3:$DH$25/TRANSPOSE(Dists!$B17:$X17))))</f>
        <v>2207.59823566882</v>
      </c>
      <c r="E18" s="21" t="n">
        <f aca="false" t="array" ref="E18:E18">SUM(Capacity!Y18*Demand!E18*Capacity!$DH$3:$DH$25/(TRANSPOSE(Dists!$B17:$X17)*SUM(Capacity!$DH$3:$DH$25/TRANSPOSE(Dists!$B17:$X17))))</f>
        <v>1005.19038737745</v>
      </c>
      <c r="F18" s="21" t="n">
        <f aca="false">$E18*Capacity!$M18/(2*(1-Capacity!$H$28)*Capacity!$H18)</f>
        <v>360.489475400685</v>
      </c>
      <c r="G18" s="21" t="n">
        <f aca="false" t="array" ref="G18:G18">SUM(Capacity!AA18*Demand!G18*Capacity!$DH$3:$DH$25/(TRANSPOSE(Dists!$B17:$X17)*SUM(Capacity!$DH$3:$DH$25/TRANSPOSE(Dists!$B17:$X17))))</f>
        <v>47.488367881231</v>
      </c>
      <c r="H18" s="21" t="n">
        <f aca="false" t="array" ref="H18:H18">SUM(Capacity!AB18*Demand!H18*Capacity!$DH$3:$DH$25/(TRANSPOSE(Dists!$B17:$X17)*SUM(Capacity!$DH$3:$DH$25/TRANSPOSE(Dists!$B17:$X17))))</f>
        <v>7.87391490780989</v>
      </c>
      <c r="I18" s="21" t="n">
        <f aca="false" t="array" ref="I18:I18">SUM(Capacity!AC18*Demand!I$3:I$25*Capacity!$DG$3:$DG$25/(TRANSPOSE(Dists!$B17:$X17)*SUM(Capacity!$DG$3:$DG$25/TRANSPOSE(Dists!$B17:$X17))))</f>
        <v>2.62395572098578</v>
      </c>
      <c r="J18" s="21" t="n">
        <f aca="false" t="array" ref="J18:J18">SUM(Capacity!AD18*Demand!J$3:J$25*Capacity!$DG$3:$DG$25/(TRANSPOSE(Dists!$B17:$X17)*SUM(Capacity!$DG$3:$DG$25/TRANSPOSE(Dists!$B17:$X17))))</f>
        <v>2.15908968901422</v>
      </c>
      <c r="K18" s="21" t="n">
        <f aca="false">5479.45205479452*$R18</f>
        <v>980285.203886675</v>
      </c>
      <c r="L18" s="21" t="n">
        <f aca="false">17142.8571428571*$S18</f>
        <v>169896.535881934</v>
      </c>
      <c r="M18" s="21" t="n">
        <f aca="false">IF(50420.1680672269*$T18&gt;($K18/20),50420.1680672269*$T18-($K18/20),0)</f>
        <v>230267.716597887</v>
      </c>
      <c r="N18" s="21" t="n">
        <f aca="false" t="array" ref="N18:N18">SUM(Capacity!AH18*Demand!N18*Capacity!$DH$3:$DH$25/(TRANSPOSE(Dists!$B17:$X17)*SUM(Capacity!$DH$3:$DH$25/TRANSPOSE(Dists!$B17:$X17))))</f>
        <v>2302.19131363282</v>
      </c>
      <c r="O18" s="21" t="n">
        <f aca="false">D46/0.8</f>
        <v>2737.39051983234</v>
      </c>
      <c r="P18" s="21" t="n">
        <f aca="false">O18/0.8</f>
        <v>3421.73814979043</v>
      </c>
      <c r="Q18" s="21" t="n">
        <f aca="false" t="array" ref="Q18:Q18">SUM(Capacity!AK18*Demand!Q18*Capacity!$DI$3:$DI$25/(TRANSPOSE(Dists!$B17:$X17)*SUM(Capacity!$DI$3:$DI$25/TRANSPOSE(Dists!$B17:$X17))))</f>
        <v>1.15848702203565</v>
      </c>
      <c r="R18" s="21" t="n">
        <f aca="false" t="array" ref="R18:R18">SUM(Capacity!AL18*Demand!R18*Capacity!$DH$3:$DH$25/(TRANSPOSE(Dists!$B17:$X17)*SUM(Capacity!$DH$3:$DH$25/TRANSPOSE(Dists!$B17:$X17))))</f>
        <v>178.902049709318</v>
      </c>
      <c r="S18" s="21" t="n">
        <f aca="false">SUM($BG46,$BI46,$BK46)*Capacity!AM18/SUM(Capacity!$AM18:$AN18,Capacity!$CX18)</f>
        <v>9.91063125977951</v>
      </c>
      <c r="T18" s="21" t="n">
        <f aca="false">SUM($BG46,$BI46,$BK46)*Capacity!AN18/SUM(Capacity!$AM18:$AN18,Capacity!$CX18)</f>
        <v>5.53909253971238</v>
      </c>
      <c r="U18" s="21" t="n">
        <f aca="false">$M18*120*2/(16*1000*2000)</f>
        <v>1.72700787448415</v>
      </c>
      <c r="V18" s="21" t="n">
        <f aca="false" t="array" ref="V18:V18">SUM(Capacity!AP18*Demand!V$3:V$25*Capacity!$DH$3:$DH$25/(TRANSPOSE(Dists!$B17:$X17)*SUM(Capacity!$DH$3:$DH$25/TRANSPOSE(Dists!$B17:$X17))))</f>
        <v>415.079892129633</v>
      </c>
      <c r="W18" s="21" t="n">
        <f aca="false" t="array" ref="W18:W18">SUM(Capacity!AQ18*Demand!W$3:W$25*Capacity!$DH$3:$DH$25/(TRANSPOSE(Dists!$B17:$X17)*SUM(Capacity!$DH$3:$DH$25/TRANSPOSE(Dists!$B17:$X17))))</f>
        <v>1748.21706805705</v>
      </c>
      <c r="X18" s="21" t="n">
        <f aca="false" t="array" ref="X18:X18">SUM(Capacity!AR18*Demand!X$3:X$25*Capacity!$DH$3:$DH$25/(TRANSPOSE(Dists!$B17:$X17)*SUM(Capacity!$DH$3:$DH$25/TRANSPOSE(Dists!$B17:$X17))))</f>
        <v>1511.97718191251</v>
      </c>
      <c r="Y18" s="21" t="n">
        <f aca="false">$L18*600*6/(90*1000*2000)</f>
        <v>3.39793071763868</v>
      </c>
      <c r="Z18" s="21" t="n">
        <f aca="false" t="array" ref="Z18:Z18">SUM(Capacity!AT18*Demand!Z$3:Z$25*Capacity!$DI$3:$DI$25/(TRANSPOSE(Dists!$B17:$X17)*SUM(Capacity!$DI$3:$DI$25/TRANSPOSE(Dists!$B17:$X17))))</f>
        <v>147.356369909736</v>
      </c>
      <c r="AA18" s="21" t="n">
        <f aca="false" t="array" ref="AA18:AA18">SUM(Capacity!AU18*Demand!AA$3:AA$25*Capacity!$DI$3:$DI$25/(TRANSPOSE(Dists!$B17:$X17)*SUM(Capacity!$DI$3:$DI$25/TRANSPOSE(Dists!$B17:$X17))))</f>
        <v>102.052473733905</v>
      </c>
      <c r="AB18" s="21" t="n">
        <f aca="false" t="array" ref="AB18:AB18">SUM(Capacity!AV18*Demand!AB$3:AB$25*Capacity!$DI$3:$DI$25/(TRANSPOSE(Dists!$B17:$X17)*SUM(Capacity!$DI$3:$DI$25/TRANSPOSE(Dists!$B17:$X17))))</f>
        <v>97.7957077072265</v>
      </c>
      <c r="AC18" s="21" t="n">
        <f aca="false" t="array" ref="AC18:AC18">SUM(Capacity!AW18*Demand!AC$3:AC$25*Capacity!$DI$3:$DI$25/(TRANSPOSE(Dists!$B17:$X17)*SUM(Capacity!$DI$3:$DI$25/TRANSPOSE(Dists!$B17:$X17))))</f>
        <v>14.2747477078244</v>
      </c>
      <c r="AD18" s="21" t="n">
        <f aca="false" t="array" ref="AD18:AD18">SUM(Capacity!AX18*Demand!AD$3:AD$25*Capacity!$DI$3:$DI$25/(TRANSPOSE(Dists!$B17:$X17)*SUM(Capacity!$DI$3:$DI$25/TRANSPOSE(Dists!$B17:$X17))))</f>
        <v>16.0102000476554</v>
      </c>
      <c r="AE18" s="21" t="n">
        <f aca="false" t="array" ref="AE18:AE18">SUM(Capacity!AY18*Demand!AE$3:AE$25*Capacity!$DI$3:$DI$25/(TRANSPOSE(Dists!$B17:$X17)*SUM(Capacity!$DI$3:$DI$25/TRANSPOSE(Dists!$B17:$X17))))</f>
        <v>11.1001004464129</v>
      </c>
      <c r="AF18" s="21" t="n">
        <f aca="false" t="array" ref="AF18:AF18">SUM(Capacity!AZ18*Demand!AF$3:AF$25*Capacity!$DI$3:$DI$25/(TRANSPOSE(Dists!$B17:$X17)*SUM(Capacity!$DI$3:$DI$25/TRANSPOSE(Dists!$B17:$X17))))</f>
        <v>2.11526035973238</v>
      </c>
      <c r="AG18" s="21" t="n">
        <f aca="false" t="array" ref="AG18:AG18">SUM(Capacity!BA18*Demand!AG$3:AG$25*Capacity!$DI$3:$DI$25/(TRANSPOSE(Dists!$B17:$X17)*SUM(Capacity!$DI$3:$DI$25/TRANSPOSE(Dists!$B17:$X17))))</f>
        <v>10.736068997838</v>
      </c>
      <c r="AH18" s="21" t="n">
        <f aca="false" t="array" ref="AH18:AH18">SUM(Capacity!BB18*Demand!AH$3:AH$25*Capacity!$DI$3:$DI$25/(TRANSPOSE(Dists!$B17:$X17)*SUM(Capacity!$DI$3:$DI$25/TRANSPOSE(Dists!$B17:$X17))))</f>
        <v>8.21400750167276</v>
      </c>
      <c r="AI18" s="21" t="n">
        <f aca="false" t="array" ref="AI18:AI18">SUM(Capacity!BC18*Demand!AI$3:AI$25*Capacity!$DI$3:$DI$25/(TRANSPOSE(Dists!$B17:$X17)*SUM(Capacity!$DI$3:$DI$25/TRANSPOSE(Dists!$B17:$X17))))</f>
        <v>1.21461703746026</v>
      </c>
      <c r="AJ18" s="21" t="n">
        <f aca="false" t="array" ref="AJ18:AJ18">SUM(Capacity!BD18*Demand!AJ$3:AJ$25*Capacity!$DI$3:$DI$25/(TRANSPOSE(Dists!$B17:$X17)*SUM(Capacity!$DI$3:$DI$25/TRANSPOSE(Dists!$B17:$X17))))</f>
        <v>3.68437316395168</v>
      </c>
      <c r="AK18" s="21" t="n">
        <f aca="false" t="array" ref="AK18:AK18">SUM(Capacity!BE18*Demand!AK$3:AK$25*Capacity!$DI$3:$DI$25/(TRANSPOSE(Dists!$B17:$X17)*SUM(Capacity!$DI$3:$DI$25/TRANSPOSE(Dists!$B17:$X17))))</f>
        <v>2.37359482201906</v>
      </c>
      <c r="AL18" s="21" t="n">
        <f aca="false" t="array" ref="AL18:AL18">SUM(Capacity!BF18*Demand!AL$3:AL$25*Capacity!$DI$3:$DI$25/(TRANSPOSE(Dists!$B17:$X17)*SUM(Capacity!$DI$3:$DI$25/TRANSPOSE(Dists!$B17:$X17))))</f>
        <v>1.389069344856</v>
      </c>
      <c r="AM18" s="21" t="n">
        <f aca="false" t="array" ref="AM18:AM18">SUM(Capacity!BG18*Demand!AM$3:AM$25*Capacity!$DI$3:$DI$25/(TRANSPOSE(Dists!$B17:$X17)*SUM(Capacity!$DI$3:$DI$25/TRANSPOSE(Dists!$B17:$X17))))</f>
        <v>3.27133723124432</v>
      </c>
      <c r="AN18" s="21" t="n">
        <f aca="false" t="array" ref="AN18:AN18">SUM(Capacity!BH18*Demand!AN$3:AN$25*Capacity!$DI$3:$DI$25/(TRANSPOSE(Dists!$B17:$X17)*SUM(Capacity!$DI$3:$DI$25/TRANSPOSE(Dists!$B17:$X17))))</f>
        <v>2.05149532515049</v>
      </c>
      <c r="AO18" s="21" t="n">
        <f aca="false" t="array" ref="AO18:AO18">SUM(Capacity!BI18*Demand!AO$3:AO$25*Capacity!$DI$3:$DI$25/(TRANSPOSE(Dists!$B17:$X17)*SUM(Capacity!$DI$3:$DI$25/TRANSPOSE(Dists!$B17:$X17))))</f>
        <v>6.54596144588256</v>
      </c>
      <c r="AP18" s="21" t="n">
        <f aca="false" t="array" ref="AP18:AP18">SUM(Capacity!BJ18*Demand!AP$3:AP$25*Capacity!$DI$3:$DI$25/(TRANSPOSE(Dists!$B17:$X17)*SUM(Capacity!$DI$3:$DI$25/TRANSPOSE(Dists!$B17:$X17))))</f>
        <v>3.19831590184584</v>
      </c>
      <c r="AQ18" s="21" t="n">
        <f aca="false" t="array" ref="AQ18:AQ18">SUM(Capacity!BK18*Demand!AQ$3:AQ$25*Capacity!$DI$3:$DI$25/(TRANSPOSE(Dists!$B17:$X17)*SUM(Capacity!$DI$3:$DI$25/TRANSPOSE(Dists!$B17:$X17))))</f>
        <v>0.393751509890095</v>
      </c>
      <c r="AR18" s="21" t="n">
        <f aca="false" t="array" ref="AR18:AR18">SUM(Capacity!BL18*Demand!AR$3:AR$25*Capacity!$DI$3:$DI$25/(TRANSPOSE(Dists!$B17:$X17)*SUM(Capacity!$DI$3:$DI$25/TRANSPOSE(Dists!$B17:$X17))))</f>
        <v>0.502962146264386</v>
      </c>
      <c r="AS18" s="21" t="n">
        <f aca="false" t="array" ref="AS18:AS18">SUM(Capacity!BM18*Demand!AS$3:AS$25*Capacity!$DI$3:$DI$25/(TRANSPOSE(Dists!$B17:$X17)*SUM(Capacity!$DI$3:$DI$25/TRANSPOSE(Dists!$B17:$X17))))</f>
        <v>0.9055757828573</v>
      </c>
      <c r="AT18" s="21" t="n">
        <f aca="false" t="array" ref="AT18:AT18">SUM(Capacity!BN18*Demand!AT$3:AT$25*Capacity!$DI$3:$DI$25/(TRANSPOSE(Dists!$B17:$X17)*SUM(Capacity!$DI$3:$DI$25/TRANSPOSE(Dists!$B17:$X17))))</f>
        <v>11.4178710096075</v>
      </c>
      <c r="AU18" s="21" t="n">
        <f aca="false" t="array" ref="AU18:AU18">SUM(Capacity!BO18*Demand!AU$3:AU$25*Capacity!$DI$3:$DI$25/(TRANSPOSE(Dists!$B17:$X17)*SUM(Capacity!$DI$3:$DI$25/TRANSPOSE(Dists!$B17:$X17))))</f>
        <v>7.64048165671223</v>
      </c>
      <c r="AV18" s="21" t="n">
        <f aca="false" t="array" ref="AV18:AV18">SUM(Capacity!BP18*Demand!AV$3:AV$25*Capacity!$DI$3:$DI$25/(TRANSPOSE(Dists!$B17:$X17)*SUM(Capacity!$DI$3:$DI$25/TRANSPOSE(Dists!$B17:$X17))))</f>
        <v>0.406549387415058</v>
      </c>
      <c r="AW18" s="21" t="n">
        <f aca="false" t="array" ref="AW18:AW18">SUM(Capacity!BQ18*Demand!AW$3:AW$25*Capacity!$DI$3:$DI$25/(TRANSPOSE(Dists!$B17:$X17)*SUM(Capacity!$DI$3:$DI$25/TRANSPOSE(Dists!$B17:$X17))))</f>
        <v>7.66882660358177</v>
      </c>
      <c r="AX18" s="21" t="n">
        <f aca="false" t="array" ref="AX18:AX18">SUM(Capacity!BR18*Demand!AX$3:AX$25*Capacity!$DI$3:$DI$25/(TRANSPOSE(Dists!$B17:$X17)*SUM(Capacity!$DI$3:$DI$25/TRANSPOSE(Dists!$B17:$X17))))</f>
        <v>0.529435746603719</v>
      </c>
      <c r="AY18" s="21" t="n">
        <f aca="false" t="array" ref="AY18:AY18">SUM(Capacity!BS18*Demand!AY$3:AY$25*Capacity!$DI$3:$DI$25/(TRANSPOSE(Dists!$B17:$X17)*SUM(Capacity!$DI$3:$DI$25/TRANSPOSE(Dists!$B17:$X17))))</f>
        <v>1.28429335297523</v>
      </c>
      <c r="AZ18" s="21" t="n">
        <f aca="false" t="array" ref="AZ18:AZ18">SUM(Capacity!BT18*Demand!AZ$3:AZ$25*Capacity!$DI$3:$DI$25/(TRANSPOSE(Dists!$B17:$X17)*SUM(Capacity!$DI$3:$DI$25/TRANSPOSE(Dists!$B17:$X17))))</f>
        <v>7.74527242404934</v>
      </c>
      <c r="BA18" s="21" t="n">
        <f aca="false">L18*25/(2000*1000*51)</f>
        <v>0.0416413078141995</v>
      </c>
      <c r="BB18" s="21" t="n">
        <f aca="false" t="array" ref="BB18:BB18">SUM(Capacity!BV18*Demand!BB$3:BB$25*Capacity!$DI$3:$DI$25/(TRANSPOSE(Dists!$B17:$X17)*SUM(Capacity!$DI$3:$DI$25/TRANSPOSE(Dists!$B17:$X17))))</f>
        <v>1.08609769274342</v>
      </c>
      <c r="BC18" s="21" t="n">
        <f aca="false" t="array" ref="BC18:BC18">SUM(Capacity!BW18*Demand!BC$3:BC$25*Capacity!$DI$3:$DI$25/(TRANSPOSE(Dists!$B17:$X17)*SUM(Capacity!$DI$3:$DI$25/TRANSPOSE(Dists!$B17:$X17))))</f>
        <v>0.797764524046335</v>
      </c>
      <c r="BD18" s="21" t="n">
        <f aca="false" t="array" ref="BD18:BD18">SUM(Capacity!BX18*Demand!BD$3:BD$25*Capacity!$DI$3:$DI$25/(TRANSPOSE(Dists!$B17:$X17)*SUM(Capacity!$DI$3:$DI$25/TRANSPOSE(Dists!$B17:$X17))))</f>
        <v>0.481804334425718</v>
      </c>
      <c r="BE18" s="21" t="n">
        <f aca="false" t="array" ref="BE18:BE18">SUM(Capacity!BY18*Demand!BE$3:BE$25*Capacity!$DI$3:$DI$25/(TRANSPOSE(Dists!$B17:$X17)*SUM(Capacity!$DI$3:$DI$25/TRANSPOSE(Dists!$B17:$X17))))</f>
        <v>0.33593085834308</v>
      </c>
      <c r="BF18" s="21" t="n">
        <f aca="false" t="array" ref="BF18:BF18">SUM(Capacity!BZ18*Demand!BF$3:BF$25*Capacity!$DI$3:$DI$25/(TRANSPOSE(Dists!$B17:$X17)*SUM(Capacity!$DI$3:$DI$25/TRANSPOSE(Dists!$B17:$X17))))</f>
        <v>6.70027618316846</v>
      </c>
      <c r="BG18" s="21" t="n">
        <f aca="false" t="array" ref="BG18:BG18">SUM(Capacity!CA18*Demand!BG$3:BG$25*Capacity!$DI$3:$DI$25/(TRANSPOSE(Dists!$B17:$X17)*SUM(Capacity!$DI$3:$DI$25/TRANSPOSE(Dists!$B17:$X17))))</f>
        <v>24.587109014308</v>
      </c>
      <c r="BH18" s="21" t="n">
        <f aca="false" t="array" ref="BH18:BH18">SUM(Capacity!CB18*Demand!BH$3:BH$25*Capacity!$DI$3:$DI$25/(TRANSPOSE(Dists!$B17:$X17)*SUM(Capacity!$DI$3:$DI$25/TRANSPOSE(Dists!$B17:$X17))))</f>
        <v>50.4988400217381</v>
      </c>
      <c r="BI18" s="21" t="n">
        <f aca="false" t="array" ref="BI18:BI18">SUM(Capacity!CC18*Demand!BI18*Capacity!$DI$3:$DI$25/(TRANSPOSE(Dists!$B17:$X17)*SUM(Capacity!$DI$3:$DI$25/TRANSPOSE(Dists!$B17:$X17))))</f>
        <v>80.7209004100478</v>
      </c>
      <c r="BJ18" s="21" t="n">
        <f aca="false" t="array" ref="BJ18:BJ18">SUM(Capacity!CD18*Demand!BJ18*Capacity!$DI$3:$DI$25/(TRANSPOSE(Dists!$B17:$X17)*SUM(Capacity!$DI$3:$DI$25/TRANSPOSE(Dists!$B17:$X17))))</f>
        <v>2395.91703653343</v>
      </c>
      <c r="BK18" s="21" t="n">
        <f aca="false" t="array" ref="BK18:BK18">SUM(Capacity!CE18*Demand!BK18*Capacity!$DI$3:$DI$25/(TRANSPOSE(Dists!$B17:$X17)*SUM(Capacity!$DI$3:$DI$25/TRANSPOSE(Dists!$B17:$X17))))</f>
        <v>40.3604502050239</v>
      </c>
      <c r="BL18" s="21" t="n">
        <f aca="false" t="array" ref="BL18:BL18">SUM(Capacity!CF18*Demand!BL18*Capacity!$DI$3:$DI$25/(TRANSPOSE(Dists!$B17:$X17)*SUM(Capacity!$DI$3:$DI$25/TRANSPOSE(Dists!$B17:$X17))))</f>
        <v>2679.77398888333</v>
      </c>
      <c r="BM18" s="21" t="n">
        <f aca="false" t="array" ref="BM18:BM18">SUM(Capacity!CG18*Demand!BM18*Capacity!$DI$3:$DI$25/(TRANSPOSE(Dists!$B17:$X17)*SUM(Capacity!$DI$3:$DI$25/TRANSPOSE(Dists!$B17:$X17))))</f>
        <v>168.104011532083</v>
      </c>
      <c r="BN18" s="21" t="n">
        <f aca="false">MAX($BO18/0.006,$BP18/0.7,$BR18/0.002,$BS18/0.001)</f>
        <v>20981.8244177927</v>
      </c>
      <c r="BO18" s="21" t="n">
        <f aca="false" t="array" ref="BO18:BO18">SUM(Capacity!CI18*Demand!BO18*Capacity!$DI$3:$DI$25/(TRANSPOSE(Dists!$B17:$X17)*SUM(Capacity!$DI$3:$DI$25/TRANSPOSE(Dists!$B17:$X17))))</f>
        <v>125.890946506756</v>
      </c>
      <c r="BP18" s="21" t="n">
        <f aca="false" t="array" ref="BP18:BP18">SUM(Capacity!CJ18*Demand!BP18*Capacity!$DI$3:$DI$25/(TRANSPOSE(Dists!$B17:$X17)*SUM(Capacity!$DI$3:$DI$25/TRANSPOSE(Dists!$B17:$X17))))</f>
        <v>175.659119597802</v>
      </c>
      <c r="BQ18" s="21" t="n">
        <f aca="false">BN18*0.65</f>
        <v>13638.1858715652</v>
      </c>
      <c r="BR18" s="21" t="n">
        <f aca="false" t="array" ref="BR18:BR18">SUM(Capacity!CL18*Demand!BR18*Capacity!$DI$3:$DI$25/(TRANSPOSE(Dists!$B17:$X17)*SUM(Capacity!$DI$3:$DI$25/TRANSPOSE(Dists!$B17:$X17))))</f>
        <v>4.19636488355854</v>
      </c>
      <c r="BS18" s="21" t="n">
        <f aca="false" t="array" ref="BS18:BS18">SUM(Capacity!CM18*Demand!BS18*Capacity!$DI$3:$DI$25/(TRANSPOSE(Dists!$B17:$X17)*SUM(Capacity!$DI$3:$DI$25/TRANSPOSE(Dists!$B17:$X17))))</f>
        <v>0.419636390818513</v>
      </c>
      <c r="BT18" s="21" t="n">
        <f aca="false" t="array" ref="BT18:BT18">SUM(Capacity!CN18*Demand!BT18*Capacity!$DI$3:$DI$25/(TRANSPOSE(Dists!$B17:$X17)*SUM(Capacity!$DI$3:$DI$25/TRANSPOSE(Dists!$B17:$X17))))</f>
        <v>17.5447705218568</v>
      </c>
      <c r="BU18" s="21" t="n">
        <f aca="false" t="array" ref="BU18:BU18">SUM(Capacity!CO18*Demand!BU18*Capacity!$DI$3:$DI$25/(TRANSPOSE(Dists!$B17:$X17)*SUM(Capacity!$DI$3:$DI$25/TRANSPOSE(Dists!$B17:$X17))))</f>
        <v>1.75447705218568</v>
      </c>
      <c r="BV18" s="21" t="n">
        <f aca="false" t="array" ref="BV18:BV18">SUM(Capacity!CP18*Demand!BV18*Capacity!$DI$3:$DI$25/(TRANSPOSE(Dists!$B17:$X17)*SUM(Capacity!$DI$3:$DI$25/TRANSPOSE(Dists!$B17:$X17))))</f>
        <v>0.175447705218568</v>
      </c>
      <c r="BW18" s="21" t="n">
        <f aca="false">E46*2*8.34/6</f>
        <v>3171.28524060259</v>
      </c>
      <c r="BX18" s="21" t="n">
        <f aca="false" t="array" ref="BX18:BX18">SUM(Capacity!CR18*Demand!BX18*Capacity!$DI$3:$DI$25/(TRANSPOSE(Dists!$B17:$X17)*SUM(Capacity!$DI$3:$DI$25/TRANSPOSE(Dists!$B17:$X17))))</f>
        <v>21.2291176990568</v>
      </c>
      <c r="BY18" s="21" t="n">
        <f aca="false" t="array" ref="BY18:BY18">SUM(Capacity!CS18*Demand!BY18*Capacity!$DI$3:$DI$25/(TRANSPOSE(Dists!$B17:$X17)*SUM(Capacity!$DI$3:$DI$25/TRANSPOSE(Dists!$B17:$X17))))</f>
        <v>395.633525836835</v>
      </c>
      <c r="BZ18" s="21" t="n">
        <f aca="false" t="array" ref="BZ18:BZ18">SUM(Capacity!CT18*Demand!BZ18*Capacity!$DI$3:$DI$25/(TRANSPOSE(Dists!$B17:$X17)*SUM(Capacity!$DI$3:$DI$25/TRANSPOSE(Dists!$B17:$X17))))</f>
        <v>1.25947519519071</v>
      </c>
      <c r="CA18" s="21" t="n">
        <f aca="false" t="array" ref="CA18:CA18">SUM(Capacity!CU18*Demand!CA18*Capacity!$DI$3:$DI$25/(TRANSPOSE(Dists!$B17:$X17)*SUM(Capacity!$DI$3:$DI$25/TRANSPOSE(Dists!$B17:$X17))))</f>
        <v>0.102465322032835</v>
      </c>
      <c r="CB18" s="21" t="n">
        <f aca="false" t="array" ref="CB18:CB18">SUM(Capacity!CV18*Demand!CB18*Capacity!$DI$3:$DI$25/(TRANSPOSE(Dists!$B17:$X17)*SUM(Capacity!$DI$3:$DI$25/TRANSPOSE(Dists!$B17:$X17))))</f>
        <v>1863.96838240881</v>
      </c>
      <c r="CC18" s="21" t="n">
        <f aca="false" t="array" ref="CC18:CC18">SUM(Capacity!CW18*Demand!CC18*Capacity!$DI$3:$DI$25/(TRANSPOSE(Dists!$B17:$X17)*SUM(Capacity!$DI$3:$DI$25/TRANSPOSE(Dists!$B17:$X17))))</f>
        <v>1469.49354265695</v>
      </c>
      <c r="CD18" s="21" t="n">
        <f aca="false">SUM($BG46,$BI46,$BK46)*Capacity!CX18/SUM(Capacity!$AM18:$AN18,Capacity!$CX18)</f>
        <v>108.458653693089</v>
      </c>
      <c r="CE18" s="21" t="n">
        <f aca="false" t="array" ref="CE18:CE18">SUM(Capacity!CY18*Demand!CE18*Capacity!$DI$3:$DI$25/(TRANSPOSE(Dists!$B17:$X17)*SUM(Capacity!$DI$3:$DI$25/TRANSPOSE(Dists!$B17:$X17))))</f>
        <v>14.2686356588613</v>
      </c>
      <c r="CF18" s="21" t="n">
        <f aca="false" t="array" ref="CF18:CF18">SUM(Capacity!CZ18*Demand!CF18*Capacity!$DI$3:$DI$25/(TRANSPOSE(Dists!$B17:$X17)*SUM(Capacity!$DI$3:$DI$25/TRANSPOSE(Dists!$B17:$X17))))</f>
        <v>1569.32760529289</v>
      </c>
      <c r="CG18" s="21" t="n">
        <f aca="false" t="array" ref="CG18:CG18">SUM(Capacity!DA18*Demand!CG18*Capacity!$DI$3:$DI$25/(TRANSPOSE(Dists!$B17:$X17)*SUM(Capacity!$DI$3:$DI$25/TRANSPOSE(Dists!$B17:$X17))))</f>
        <v>23.3490141816984</v>
      </c>
      <c r="CH18" s="21" t="n">
        <f aca="false" t="array" ref="CH18:CH18">SUM(Capacity!DB18*Demand!CH18*Capacity!$DI$3:$DI$25/(TRANSPOSE(Dists!$B17:$X17)*SUM(Capacity!$DI$3:$DI$25/TRANSPOSE(Dists!$B17:$X17))))</f>
        <v>31.3541717052561</v>
      </c>
      <c r="CI18" s="21" t="n">
        <f aca="false" t="array" ref="CI18:CI18">SUM(Capacity!DC18*Demand!CI18*Capacity!$DI$3:$DI$25/(TRANSPOSE(Dists!$B17:$X17)*SUM(Capacity!$DI$3:$DI$25/TRANSPOSE(Dists!$B17:$X17))))</f>
        <v>0.878339080099521</v>
      </c>
      <c r="CJ18" s="21" t="n">
        <f aca="false" t="array" ref="CJ18:CJ18">SUM(Capacity!DD18*Demand!CJ18*Capacity!$DI$3:$DI$25/(TRANSPOSE(Dists!$B17:$X17)*SUM(Capacity!$DI$3:$DI$25/TRANSPOSE(Dists!$B17:$X17))))</f>
        <v>0.185807829086183</v>
      </c>
      <c r="CK18" s="21" t="n">
        <f aca="false" t="array" ref="CK18:CK18">SUM(Capacity!DE18*Demand!CK18*Capacity!$DI$3:$DI$25/(TRANSPOSE(Dists!$B17:$X17)*SUM(Capacity!$DI$3:$DI$25/TRANSPOSE(Dists!$B17:$X17))))</f>
        <v>15.5050884957493</v>
      </c>
      <c r="CL18" s="22" t="s">
        <v>320</v>
      </c>
      <c r="AMJ18" s="18"/>
    </row>
    <row r="19" customFormat="false" ht="12.8" hidden="false" customHeight="false" outlineLevel="0" collapsed="false">
      <c r="A19" s="4" t="s">
        <v>153</v>
      </c>
      <c r="B19" s="7" t="s">
        <v>39</v>
      </c>
      <c r="C19" s="4" t="n">
        <f aca="false" t="array" ref="C19:C19">SUM(Capacity!S19*Demand!C19*Capacity!$DH$3:$DH$25/(TRANSPOSE(Dists!$B18:$X18)*SUM(Capacity!$DH$3:$DH$25/TRANSPOSE(Dists!$B18:$X18))))</f>
        <v>0.00473507674619291</v>
      </c>
      <c r="D19" s="4" t="n">
        <f aca="false" t="array" ref="D19:D19">SUM(Capacity!V19*Demand!D19*Capacity!$DH$3:$DH$25/(TRANSPOSE(Dists!$B18:$X18)*SUM(Capacity!$DH$3:$DH$25/TRANSPOSE(Dists!$B18:$X18))))</f>
        <v>988.58179485108</v>
      </c>
      <c r="E19" s="4" t="n">
        <f aca="false" t="array" ref="E19:E19">SUM(Capacity!Y19*Demand!E19*Capacity!$DH$3:$DH$25/(TRANSPOSE(Dists!$B18:$X18)*SUM(Capacity!$DH$3:$DH$25/TRANSPOSE(Dists!$B18:$X18))))</f>
        <v>407.517039988746</v>
      </c>
      <c r="F19" s="4" t="n">
        <f aca="false">$E19*Capacity!$M19/(2*(1-Capacity!$H$28)*Capacity!$H19)</f>
        <v>145.620869171212</v>
      </c>
      <c r="G19" s="4" t="n">
        <f aca="false" t="array" ref="G19:G19">SUM(Capacity!AA19*Demand!G19*Capacity!$DH$3:$DH$25/(TRANSPOSE(Dists!$B18:$X18)*SUM(Capacity!$DH$3:$DH$25/TRANSPOSE(Dists!$B18:$X18))))</f>
        <v>163.450873392937</v>
      </c>
      <c r="H19" s="4" t="n">
        <f aca="false" t="array" ref="H19:H19">SUM(Capacity!AB19*Demand!H19*Capacity!$DH$3:$DH$25/(TRANSPOSE(Dists!$B18:$X18)*SUM(Capacity!$DH$3:$DH$25/TRANSPOSE(Dists!$B18:$X18))))</f>
        <v>1.28493402605789</v>
      </c>
      <c r="I19" s="4" t="n">
        <f aca="false" t="array" ref="I19:I19">SUM(Capacity!AC19*Demand!I$3:I$25*Capacity!$DG$3:$DG$25/(TRANSPOSE(Dists!$B18:$X18)*SUM(Capacity!$DG$3:$DG$25/TRANSPOSE(Dists!$B18:$X18))))</f>
        <v>1.52424907848256</v>
      </c>
      <c r="J19" s="4" t="n">
        <f aca="false" t="array" ref="J19:J19">SUM(Capacity!AD19*Demand!J$3:J$25*Capacity!$DG$3:$DG$25/(TRANSPOSE(Dists!$B18:$X18)*SUM(Capacity!$DG$3:$DG$25/TRANSPOSE(Dists!$B18:$X18))))</f>
        <v>1.28537200151744</v>
      </c>
      <c r="K19" s="4" t="n">
        <f aca="false">5479.45205479452*$R19</f>
        <v>429580.607557827</v>
      </c>
      <c r="L19" s="4" t="n">
        <f aca="false">17142.8571428571*$S19</f>
        <v>71037.5869720501</v>
      </c>
      <c r="M19" s="4" t="n">
        <f aca="false">IF(50420.1680672269*$T19&gt;($K19/20),50420.1680672269*$T19-($K19/20),0)</f>
        <v>95295.0851926025</v>
      </c>
      <c r="N19" s="4" t="n">
        <f aca="false" t="array" ref="N19:N19">SUM(Capacity!AH19*Demand!N19*Capacity!$DH$3:$DH$25/(TRANSPOSE(Dists!$B18:$X18)*SUM(Capacity!$DH$3:$DH$25/TRANSPOSE(Dists!$B18:$X18))))</f>
        <v>859.248122876462</v>
      </c>
      <c r="O19" s="4" t="n">
        <f aca="false">D47/0.8</f>
        <v>1464.24771741895</v>
      </c>
      <c r="P19" s="4" t="n">
        <f aca="false">O19/0.8</f>
        <v>1830.30964677369</v>
      </c>
      <c r="Q19" s="4" t="n">
        <f aca="false" t="array" ref="Q19:Q19">SUM(Capacity!AK19*Demand!Q19*Capacity!$DI$3:$DI$25/(TRANSPOSE(Dists!$B18:$X18)*SUM(Capacity!$DI$3:$DI$25/TRANSPOSE(Dists!$B18:$X18))))</f>
        <v>4.65942206296455</v>
      </c>
      <c r="R19" s="4" t="n">
        <f aca="false" t="array" ref="R19:R19">SUM(Capacity!AL19*Demand!R19*Capacity!$DH$3:$DH$25/(TRANSPOSE(Dists!$B18:$X18)*SUM(Capacity!$DH$3:$DH$25/TRANSPOSE(Dists!$B18:$X18))))</f>
        <v>78.3984608793034</v>
      </c>
      <c r="S19" s="4" t="n">
        <f aca="false">SUM($BG47,$BI47,$BK47)*Capacity!AM19/SUM(Capacity!$AM19:$AN19,Capacity!$CX19)</f>
        <v>4.14385924003627</v>
      </c>
      <c r="T19" s="4" t="n">
        <f aca="false">SUM($BG47,$BI47,$BK47)*Capacity!AN19/SUM(Capacity!$AM19:$AN19,Capacity!$CX19)</f>
        <v>2.31601995881479</v>
      </c>
      <c r="U19" s="4" t="n">
        <f aca="false">$M19*120*2/(16*1000*2000)</f>
        <v>0.714713138944518</v>
      </c>
      <c r="V19" s="4" t="n">
        <f aca="false" t="array" ref="V19:V19">SUM(Capacity!AP19*Demand!V$3:V$25*Capacity!$DH$3:$DH$25/(TRANSPOSE(Dists!$B18:$X18)*SUM(Capacity!$DH$3:$DH$25/TRANSPOSE(Dists!$B18:$X18))))</f>
        <v>217.504449552323</v>
      </c>
      <c r="W19" s="4" t="n">
        <f aca="false" t="array" ref="W19:W19">SUM(Capacity!AQ19*Demand!W$3:W$25*Capacity!$DH$3:$DH$25/(TRANSPOSE(Dists!$B18:$X18)*SUM(Capacity!$DH$3:$DH$25/TRANSPOSE(Dists!$B18:$X18))))</f>
        <v>1072.39856221706</v>
      </c>
      <c r="X19" s="4" t="n">
        <f aca="false" t="array" ref="X19:X19">SUM(Capacity!AR19*Demand!X$3:X$25*Capacity!$DH$3:$DH$25/(TRANSPOSE(Dists!$B18:$X18)*SUM(Capacity!$DH$3:$DH$25/TRANSPOSE(Dists!$B18:$X18))))</f>
        <v>432.234978389695</v>
      </c>
      <c r="Y19" s="4" t="n">
        <f aca="false">$L19*600*6/(90*1000*2000)</f>
        <v>1.420751739441</v>
      </c>
      <c r="Z19" s="4" t="n">
        <f aca="false" t="array" ref="Z19:Z19">SUM(Capacity!AT19*Demand!Z$3:Z$25*Capacity!$DI$3:$DI$25/(TRANSPOSE(Dists!$B18:$X18)*SUM(Capacity!$DI$3:$DI$25/TRANSPOSE(Dists!$B18:$X18))))</f>
        <v>36.7690582576942</v>
      </c>
      <c r="AA19" s="4" t="n">
        <f aca="false" t="array" ref="AA19:AA19">SUM(Capacity!AU19*Demand!AA$3:AA$25*Capacity!$DI$3:$DI$25/(TRANSPOSE(Dists!$B18:$X18)*SUM(Capacity!$DI$3:$DI$25/TRANSPOSE(Dists!$B18:$X18))))</f>
        <v>54.9849140317692</v>
      </c>
      <c r="AB19" s="4" t="n">
        <f aca="false" t="array" ref="AB19:AB19">SUM(Capacity!AV19*Demand!AB$3:AB$25*Capacity!$DI$3:$DI$25/(TRANSPOSE(Dists!$B18:$X18)*SUM(Capacity!$DI$3:$DI$25/TRANSPOSE(Dists!$B18:$X18))))</f>
        <v>52.8676302741904</v>
      </c>
      <c r="AC19" s="4" t="n">
        <f aca="false" t="array" ref="AC19:AC19">SUM(Capacity!AW19*Demand!AC$3:AC$25*Capacity!$DI$3:$DI$25/(TRANSPOSE(Dists!$B18:$X18)*SUM(Capacity!$DI$3:$DI$25/TRANSPOSE(Dists!$B18:$X18))))</f>
        <v>7.7843567161324</v>
      </c>
      <c r="AD19" s="4" t="n">
        <f aca="false" t="array" ref="AD19:AD19">SUM(Capacity!AX19*Demand!AD$3:AD$25*Capacity!$DI$3:$DI$25/(TRANSPOSE(Dists!$B18:$X18)*SUM(Capacity!$DI$3:$DI$25/TRANSPOSE(Dists!$B18:$X18))))</f>
        <v>8.65499474955715</v>
      </c>
      <c r="AE19" s="4" t="n">
        <f aca="false" t="array" ref="AE19:AE19">SUM(Capacity!AY19*Demand!AE$3:AE$25*Capacity!$DI$3:$DI$25/(TRANSPOSE(Dists!$B18:$X18)*SUM(Capacity!$DI$3:$DI$25/TRANSPOSE(Dists!$B18:$X18))))</f>
        <v>6.71530333056463</v>
      </c>
      <c r="AF19" s="4" t="n">
        <f aca="false" t="array" ref="AF19:AF19">SUM(Capacity!AZ19*Demand!AF$3:AF$25*Capacity!$DI$3:$DI$25/(TRANSPOSE(Dists!$B18:$X18)*SUM(Capacity!$DI$3:$DI$25/TRANSPOSE(Dists!$B18:$X18))))</f>
        <v>1.34548181011472</v>
      </c>
      <c r="AG19" s="4" t="n">
        <f aca="false" t="array" ref="AG19:AG19">SUM(Capacity!BA19*Demand!AG$3:AG$25*Capacity!$DI$3:$DI$25/(TRANSPOSE(Dists!$B18:$X18)*SUM(Capacity!$DI$3:$DI$25/TRANSPOSE(Dists!$B18:$X18))))</f>
        <v>5.20963902702558</v>
      </c>
      <c r="AH19" s="4" t="n">
        <f aca="false" t="array" ref="AH19:AH19">SUM(Capacity!BB19*Demand!AH$3:AH$25*Capacity!$DI$3:$DI$25/(TRANSPOSE(Dists!$B18:$X18)*SUM(Capacity!$DI$3:$DI$25/TRANSPOSE(Dists!$B18:$X18))))</f>
        <v>4.95233740917566</v>
      </c>
      <c r="AI19" s="4" t="n">
        <f aca="false" t="array" ref="AI19:AI19">SUM(Capacity!BC19*Demand!AI$3:AI$25*Capacity!$DI$3:$DI$25/(TRANSPOSE(Dists!$B18:$X18)*SUM(Capacity!$DI$3:$DI$25/TRANSPOSE(Dists!$B18:$X18))))</f>
        <v>0.721990949789871</v>
      </c>
      <c r="AJ19" s="4" t="n">
        <f aca="false" t="array" ref="AJ19:AJ19">SUM(Capacity!BD19*Demand!AJ$3:AJ$25*Capacity!$DI$3:$DI$25/(TRANSPOSE(Dists!$B18:$X18)*SUM(Capacity!$DI$3:$DI$25/TRANSPOSE(Dists!$B18:$X18))))</f>
        <v>1.94118599424984</v>
      </c>
      <c r="AK19" s="4" t="n">
        <f aca="false" t="array" ref="AK19:AK19">SUM(Capacity!BE19*Demand!AK$3:AK$25*Capacity!$DI$3:$DI$25/(TRANSPOSE(Dists!$B18:$X18)*SUM(Capacity!$DI$3:$DI$25/TRANSPOSE(Dists!$B18:$X18))))</f>
        <v>1.42970860270775</v>
      </c>
      <c r="AL19" s="4" t="n">
        <f aca="false" t="array" ref="AL19:AL19">SUM(Capacity!BF19*Demand!AL$3:AL$25*Capacity!$DI$3:$DI$25/(TRANSPOSE(Dists!$B18:$X18)*SUM(Capacity!$DI$3:$DI$25/TRANSPOSE(Dists!$B18:$X18))))</f>
        <v>0.850023679883916</v>
      </c>
      <c r="AM19" s="4" t="n">
        <f aca="false" t="array" ref="AM19:AM19">SUM(Capacity!BG19*Demand!AM$3:AM$25*Capacity!$DI$3:$DI$25/(TRANSPOSE(Dists!$B18:$X18)*SUM(Capacity!$DI$3:$DI$25/TRANSPOSE(Dists!$B18:$X18))))</f>
        <v>1.63329423190771</v>
      </c>
      <c r="AN19" s="4" t="n">
        <f aca="false" t="array" ref="AN19:AN19">SUM(Capacity!BH19*Demand!AN$3:AN$25*Capacity!$DI$3:$DI$25/(TRANSPOSE(Dists!$B18:$X18)*SUM(Capacity!$DI$3:$DI$25/TRANSPOSE(Dists!$B18:$X18))))</f>
        <v>1.32239420683376</v>
      </c>
      <c r="AO19" s="4" t="n">
        <f aca="false" t="array" ref="AO19:AO19">SUM(Capacity!BI19*Demand!AO$3:AO$25*Capacity!$DI$3:$DI$25/(TRANSPOSE(Dists!$B18:$X18)*SUM(Capacity!$DI$3:$DI$25/TRANSPOSE(Dists!$B18:$X18))))</f>
        <v>4.05110289932029</v>
      </c>
      <c r="AP19" s="4" t="n">
        <f aca="false" t="array" ref="AP19:AP19">SUM(Capacity!BJ19*Demand!AP$3:AP$25*Capacity!$DI$3:$DI$25/(TRANSPOSE(Dists!$B18:$X18)*SUM(Capacity!$DI$3:$DI$25/TRANSPOSE(Dists!$B18:$X18))))</f>
        <v>1.71119278958704</v>
      </c>
      <c r="AQ19" s="4" t="n">
        <f aca="false" t="array" ref="AQ19:AQ19">SUM(Capacity!BK19*Demand!AQ$3:AQ$25*Capacity!$DI$3:$DI$25/(TRANSPOSE(Dists!$B18:$X18)*SUM(Capacity!$DI$3:$DI$25/TRANSPOSE(Dists!$B18:$X18))))</f>
        <v>0.198855772429948</v>
      </c>
      <c r="AR19" s="4" t="n">
        <f aca="false" t="array" ref="AR19:AR19">SUM(Capacity!BL19*Demand!AR$3:AR$25*Capacity!$DI$3:$DI$25/(TRANSPOSE(Dists!$B18:$X18)*SUM(Capacity!$DI$3:$DI$25/TRANSPOSE(Dists!$B18:$X18))))</f>
        <v>0.254622869477898</v>
      </c>
      <c r="AS19" s="4" t="n">
        <f aca="false" t="array" ref="AS19:AS19">SUM(Capacity!BM19*Demand!AS$3:AS$25*Capacity!$DI$3:$DI$25/(TRANSPOSE(Dists!$B18:$X18)*SUM(Capacity!$DI$3:$DI$25/TRANSPOSE(Dists!$B18:$X18))))</f>
        <v>0.495614160657477</v>
      </c>
      <c r="AT19" s="4" t="n">
        <f aca="false" t="array" ref="AT19:AT19">SUM(Capacity!BN19*Demand!AT$3:AT$25*Capacity!$DI$3:$DI$25/(TRANSPOSE(Dists!$B18:$X18)*SUM(Capacity!$DI$3:$DI$25/TRANSPOSE(Dists!$B18:$X18))))</f>
        <v>7.16564380352472</v>
      </c>
      <c r="AU19" s="4" t="n">
        <f aca="false" t="array" ref="AU19:AU19">SUM(Capacity!BO19*Demand!AU$3:AU$25*Capacity!$DI$3:$DI$25/(TRANSPOSE(Dists!$B18:$X18)*SUM(Capacity!$DI$3:$DI$25/TRANSPOSE(Dists!$B18:$X18))))</f>
        <v>3.99199793457693</v>
      </c>
      <c r="AV19" s="4" t="n">
        <f aca="false" t="array" ref="AV19:AV19">SUM(Capacity!BP19*Demand!AV$3:AV$25*Capacity!$DI$3:$DI$25/(TRANSPOSE(Dists!$B18:$X18)*SUM(Capacity!$DI$3:$DI$25/TRANSPOSE(Dists!$B18:$X18))))</f>
        <v>0.206308367878</v>
      </c>
      <c r="AW19" s="4" t="n">
        <f aca="false" t="array" ref="AW19:AW19">SUM(Capacity!BQ19*Demand!AW$3:AW$25*Capacity!$DI$3:$DI$25/(TRANSPOSE(Dists!$B18:$X18)*SUM(Capacity!$DI$3:$DI$25/TRANSPOSE(Dists!$B18:$X18))))</f>
        <v>4.19576251362353</v>
      </c>
      <c r="AX19" s="4" t="n">
        <f aca="false" t="array" ref="AX19:AX19">SUM(Capacity!BR19*Demand!AX$3:AX$25*Capacity!$DI$3:$DI$25/(TRANSPOSE(Dists!$B18:$X18)*SUM(Capacity!$DI$3:$DI$25/TRANSPOSE(Dists!$B18:$X18))))</f>
        <v>0.31520453154258</v>
      </c>
      <c r="AY19" s="4" t="n">
        <f aca="false" t="array" ref="AY19:AY19">SUM(Capacity!BS19*Demand!AY$3:AY$25*Capacity!$DI$3:$DI$25/(TRANSPOSE(Dists!$B18:$X18)*SUM(Capacity!$DI$3:$DI$25/TRANSPOSE(Dists!$B18:$X18))))</f>
        <v>0.720506970563114</v>
      </c>
      <c r="AZ19" s="4" t="n">
        <f aca="false" t="array" ref="AZ19:AZ19">SUM(Capacity!BT19*Demand!AZ$3:AZ$25*Capacity!$DI$3:$DI$25/(TRANSPOSE(Dists!$B18:$X18)*SUM(Capacity!$DI$3:$DI$25/TRANSPOSE(Dists!$B18:$X18))))</f>
        <v>4.30532254575813</v>
      </c>
      <c r="BA19" s="4" t="n">
        <f aca="false">L19*25/(2000*1000*51)</f>
        <v>0.0174111732774633</v>
      </c>
      <c r="BB19" s="4" t="n">
        <f aca="false" t="array" ref="BB19:BB19">SUM(Capacity!BV19*Demand!BB$3:BB$25*Capacity!$DI$3:$DI$25/(TRANSPOSE(Dists!$B18:$X18)*SUM(Capacity!$DI$3:$DI$25/TRANSPOSE(Dists!$B18:$X18))))</f>
        <v>0.566962220213376</v>
      </c>
      <c r="BC19" s="4" t="n">
        <f aca="false" t="array" ref="BC19:BC19">SUM(Capacity!BW19*Demand!BC$3:BC$25*Capacity!$DI$3:$DI$25/(TRANSPOSE(Dists!$B18:$X18)*SUM(Capacity!$DI$3:$DI$25/TRANSPOSE(Dists!$B18:$X18))))</f>
        <v>0.463991156426315</v>
      </c>
      <c r="BD19" s="4" t="n">
        <f aca="false" t="array" ref="BD19:BD19">SUM(Capacity!BX19*Demand!BD$3:BD$25*Capacity!$DI$3:$DI$25/(TRANSPOSE(Dists!$B18:$X18)*SUM(Capacity!$DI$3:$DI$25/TRANSPOSE(Dists!$B18:$X18))))</f>
        <v>0.279527741723899</v>
      </c>
      <c r="BE19" s="4" t="n">
        <f aca="false" t="array" ref="BE19:BE19">SUM(Capacity!BY19*Demand!BE$3:BE$25*Capacity!$DI$3:$DI$25/(TRANSPOSE(Dists!$B18:$X18)*SUM(Capacity!$DI$3:$DI$25/TRANSPOSE(Dists!$B18:$X18))))</f>
        <v>0.179600323255828</v>
      </c>
      <c r="BF19" s="4" t="n">
        <f aca="false" t="array" ref="BF19:BF19">SUM(Capacity!BZ19*Demand!BF$3:BF$25*Capacity!$DI$3:$DI$25/(TRANSPOSE(Dists!$B18:$X18)*SUM(Capacity!$DI$3:$DI$25/TRANSPOSE(Dists!$B18:$X18))))</f>
        <v>3.05404275873057</v>
      </c>
      <c r="BG19" s="4" t="n">
        <f aca="false" t="array" ref="BG19:BG19">SUM(Capacity!CA19*Demand!BG$3:BG$25*Capacity!$DI$3:$DI$25/(TRANSPOSE(Dists!$B18:$X18)*SUM(Capacity!$DI$3:$DI$25/TRANSPOSE(Dists!$B18:$X18))))</f>
        <v>13.128863858082</v>
      </c>
      <c r="BH19" s="4" t="n">
        <f aca="false" t="array" ref="BH19:BH19">SUM(Capacity!CB19*Demand!BH$3:BH$25*Capacity!$DI$3:$DI$25/(TRANSPOSE(Dists!$B18:$X18)*SUM(Capacity!$DI$3:$DI$25/TRANSPOSE(Dists!$B18:$X18))))</f>
        <v>26.2670648878727</v>
      </c>
      <c r="BI19" s="4" t="n">
        <f aca="false" t="array" ref="BI19:BI19">SUM(Capacity!CC19*Demand!BI19*Capacity!$DI$3:$DI$25/(TRANSPOSE(Dists!$B18:$X18)*SUM(Capacity!$DI$3:$DI$25/TRANSPOSE(Dists!$B18:$X18))))</f>
        <v>28.0730019374304</v>
      </c>
      <c r="BJ19" s="4" t="n">
        <f aca="false" t="array" ref="BJ19:BJ19">SUM(Capacity!CD19*Demand!BJ19*Capacity!$DI$3:$DI$25/(TRANSPOSE(Dists!$B18:$X18)*SUM(Capacity!$DI$3:$DI$25/TRANSPOSE(Dists!$B18:$X18))))</f>
        <v>68.8769184591645</v>
      </c>
      <c r="BK19" s="4" t="n">
        <f aca="false" t="array" ref="BK19:BK19">SUM(Capacity!CE19*Demand!BK19*Capacity!$DI$3:$DI$25/(TRANSPOSE(Dists!$B18:$X18)*SUM(Capacity!$DI$3:$DI$25/TRANSPOSE(Dists!$B18:$X18))))</f>
        <v>14.0365009687152</v>
      </c>
      <c r="BL19" s="4" t="n">
        <f aca="false" t="array" ref="BL19:BL19">SUM(Capacity!CF19*Demand!BL19*Capacity!$DI$3:$DI$25/(TRANSPOSE(Dists!$B18:$X18)*SUM(Capacity!$DI$3:$DI$25/TRANSPOSE(Dists!$B18:$X18))))</f>
        <v>1047.37883383247</v>
      </c>
      <c r="BM19" s="4" t="n">
        <f aca="false" t="array" ref="BM19:BM19">SUM(Capacity!CG19*Demand!BM19*Capacity!$DI$3:$DI$25/(TRANSPOSE(Dists!$B18:$X18)*SUM(Capacity!$DI$3:$DI$25/TRANSPOSE(Dists!$B18:$X18))))</f>
        <v>206.892599886066</v>
      </c>
      <c r="BN19" s="4" t="n">
        <f aca="false">MAX($BO19/0.006,$BP19/0.7,$BR19/0.002,$BS19/0.001)</f>
        <v>0.000355555149489091</v>
      </c>
      <c r="BO19" s="4" t="n">
        <f aca="false" t="array" ref="BO19:BO19">SUM(Capacity!CI19*Demand!BO19*Capacity!$DI$3:$DI$25/(TRANSPOSE(Dists!$B18:$X18)*SUM(Capacity!$DI$3:$DI$25/TRANSPOSE(Dists!$B18:$X18))))</f>
        <v>2.13333089693454E-006</v>
      </c>
      <c r="BP19" s="4" t="n">
        <f aca="false" t="array" ref="BP19:BP19">SUM(Capacity!CJ19*Demand!BP19*Capacity!$DI$3:$DI$25/(TRANSPOSE(Dists!$B18:$X18)*SUM(Capacity!$DI$3:$DI$25/TRANSPOSE(Dists!$B18:$X18))))</f>
        <v>4.16603900852309E-008</v>
      </c>
      <c r="BQ19" s="4" t="n">
        <f aca="false">BN19*0.65</f>
        <v>0.000231110847167909</v>
      </c>
      <c r="BR19" s="4" t="n">
        <f aca="false" t="array" ref="BR19:BR19">SUM(Capacity!CL19*Demand!BR19*Capacity!$DI$3:$DI$25/(TRANSPOSE(Dists!$B18:$X18)*SUM(Capacity!$DI$3:$DI$25/TRANSPOSE(Dists!$B18:$X18))))</f>
        <v>2.13333089693454E-007</v>
      </c>
      <c r="BS19" s="4" t="n">
        <f aca="false" t="array" ref="BS19:BS19">SUM(Capacity!CM19*Demand!BS19*Capacity!$DI$3:$DI$25/(TRANSPOSE(Dists!$B18:$X18)*SUM(Capacity!$DI$3:$DI$25/TRANSPOSE(Dists!$B18:$X18))))</f>
        <v>4.26666048193889E-008</v>
      </c>
      <c r="BT19" s="4" t="n">
        <f aca="false" t="array" ref="BT19:BT19">SUM(Capacity!CN19*Demand!BT19*Capacity!$DI$3:$DI$25/(TRANSPOSE(Dists!$B18:$X18)*SUM(Capacity!$DI$3:$DI$25/TRANSPOSE(Dists!$B18:$X18))))</f>
        <v>6.01775925235808</v>
      </c>
      <c r="BU19" s="4" t="n">
        <f aca="false" t="array" ref="BU19:BU19">SUM(Capacity!CO19*Demand!BU19*Capacity!$DI$3:$DI$25/(TRANSPOSE(Dists!$B18:$X18)*SUM(Capacity!$DI$3:$DI$25/TRANSPOSE(Dists!$B18:$X18))))</f>
        <v>0.601775925235808</v>
      </c>
      <c r="BV19" s="4" t="n">
        <f aca="false" t="array" ref="BV19:BV19">SUM(Capacity!CP19*Demand!BV19*Capacity!$DI$3:$DI$25/(TRANSPOSE(Dists!$B18:$X18)*SUM(Capacity!$DI$3:$DI$25/TRANSPOSE(Dists!$B18:$X18))))</f>
        <v>0.0601775925235808</v>
      </c>
      <c r="BW19" s="4" t="n">
        <f aca="false">E47*2*8.34/6</f>
        <v>1765.45204466771</v>
      </c>
      <c r="BX19" s="4" t="n">
        <f aca="false" t="array" ref="BX19:BX19">SUM(Capacity!CR19*Demand!BX19*Capacity!$DI$3:$DI$25/(TRANSPOSE(Dists!$B18:$X18)*SUM(Capacity!$DI$3:$DI$25/TRANSPOSE(Dists!$B18:$X18))))</f>
        <v>0.140027413288651</v>
      </c>
      <c r="BY19" s="4" t="n">
        <f aca="false" t="array" ref="BY19:BY19">SUM(Capacity!CS19*Demand!BY19*Capacity!$DI$3:$DI$25/(TRANSPOSE(Dists!$B18:$X18)*SUM(Capacity!$DI$3:$DI$25/TRANSPOSE(Dists!$B18:$X18))))</f>
        <v>278.976741428778</v>
      </c>
      <c r="BZ19" s="4" t="n">
        <f aca="false" t="array" ref="BZ19:BZ19">SUM(Capacity!CT19*Demand!BZ19*Capacity!$DI$3:$DI$25/(TRANSPOSE(Dists!$B18:$X18)*SUM(Capacity!$DI$3:$DI$25/TRANSPOSE(Dists!$B18:$X18))))</f>
        <v>0.516523185978225</v>
      </c>
      <c r="CA19" s="4" t="n">
        <f aca="false" t="array" ref="CA19:CA19">SUM(Capacity!CU19*Demand!CA19*Capacity!$DI$3:$DI$25/(TRANSPOSE(Dists!$B18:$X18)*SUM(Capacity!$DI$3:$DI$25/TRANSPOSE(Dists!$B18:$X18))))</f>
        <v>0.269289462832893</v>
      </c>
      <c r="CB19" s="4" t="n">
        <f aca="false" t="array" ref="CB19:CB19">SUM(Capacity!CV19*Demand!CB19*Capacity!$DI$3:$DI$25/(TRANSPOSE(Dists!$B18:$X18)*SUM(Capacity!$DI$3:$DI$25/TRANSPOSE(Dists!$B18:$X18))))</f>
        <v>2315.86967596085</v>
      </c>
      <c r="CC19" s="4" t="n">
        <f aca="false" t="array" ref="CC19:CC19">SUM(Capacity!CW19*Demand!CC19*Capacity!$DI$3:$DI$25/(TRANSPOSE(Dists!$B18:$X18)*SUM(Capacity!$DI$3:$DI$25/TRANSPOSE(Dists!$B18:$X18))))</f>
        <v>1427.17173417182</v>
      </c>
      <c r="CD19" s="4" t="n">
        <f aca="false">SUM($BG47,$BI47,$BK47)*Capacity!CX19/SUM(Capacity!$AM19:$AN19,Capacity!$CX19)</f>
        <v>62.5198188727636</v>
      </c>
      <c r="CE19" s="4" t="n">
        <f aca="false" t="array" ref="CE19:CE19">SUM(Capacity!CY19*Demand!CE19*Capacity!$DI$3:$DI$25/(TRANSPOSE(Dists!$B18:$X18)*SUM(Capacity!$DI$3:$DI$25/TRANSPOSE(Dists!$B18:$X18))))</f>
        <v>8.29636417936356</v>
      </c>
      <c r="CF19" s="4" t="n">
        <f aca="false" t="array" ref="CF19:CF19">SUM(Capacity!CZ19*Demand!CF19*Capacity!$DI$3:$DI$25/(TRANSPOSE(Dists!$B18:$X18)*SUM(Capacity!$DI$3:$DI$25/TRANSPOSE(Dists!$B18:$X18))))</f>
        <v>1055.45616327169</v>
      </c>
      <c r="CG19" s="4" t="n">
        <f aca="false" t="array" ref="CG19:CG19">SUM(Capacity!DA19*Demand!CG19*Capacity!$DI$3:$DI$25/(TRANSPOSE(Dists!$B18:$X18)*SUM(Capacity!$DI$3:$DI$25/TRANSPOSE(Dists!$B18:$X18))))</f>
        <v>7.65239125602872E-005</v>
      </c>
      <c r="CH19" s="4" t="n">
        <f aca="false" t="array" ref="CH19:CH19">SUM(Capacity!DB19*Demand!CH19*Capacity!$DI$3:$DI$25/(TRANSPOSE(Dists!$B18:$X18)*SUM(Capacity!$DI$3:$DI$25/TRANSPOSE(Dists!$B18:$X18))))</f>
        <v>2.85761688995007E-005</v>
      </c>
      <c r="CI19" s="4" t="n">
        <f aca="false" t="array" ref="CI19:CI19">SUM(Capacity!DC19*Demand!CI19*Capacity!$DI$3:$DI$25/(TRANSPOSE(Dists!$B18:$X18)*SUM(Capacity!$DI$3:$DI$25/TRANSPOSE(Dists!$B18:$X18))))</f>
        <v>0.0676372647325984</v>
      </c>
      <c r="CJ19" s="4" t="n">
        <f aca="false" t="array" ref="CJ19:CJ19">SUM(Capacity!DD19*Demand!CJ19*Capacity!$DI$3:$DI$25/(TRANSPOSE(Dists!$B18:$X18)*SUM(Capacity!$DI$3:$DI$25/TRANSPOSE(Dists!$B18:$X18))))</f>
        <v>0.130542211792711</v>
      </c>
      <c r="CK19" s="4" t="n">
        <f aca="false" t="array" ref="CK19:CK19">SUM(Capacity!DE19*Demand!CK19*Capacity!$DI$3:$DI$25/(TRANSPOSE(Dists!$B18:$X18)*SUM(Capacity!$DI$3:$DI$25/TRANSPOSE(Dists!$B18:$X18))))</f>
        <v>8.07222116459364</v>
      </c>
      <c r="CL19" s="7" t="s">
        <v>320</v>
      </c>
    </row>
    <row r="20" customFormat="false" ht="12.8" hidden="false" customHeight="false" outlineLevel="0" collapsed="false">
      <c r="A20" s="4" t="s">
        <v>155</v>
      </c>
      <c r="B20" s="7" t="s">
        <v>39</v>
      </c>
      <c r="C20" s="4" t="n">
        <f aca="false" t="array" ref="C20:C20">SUM(Capacity!S20*Demand!C20*Capacity!$DH$3:$DH$25/(TRANSPOSE(Dists!$B19:$X19)*SUM(Capacity!$DH$3:$DH$25/TRANSPOSE(Dists!$B19:$X19))))</f>
        <v>0.000471965930817064</v>
      </c>
      <c r="D20" s="4" t="n">
        <f aca="false" t="array" ref="D20:D20">SUM(Capacity!V20*Demand!D20*Capacity!$DH$3:$DH$25/(TRANSPOSE(Dists!$B19:$X19)*SUM(Capacity!$DH$3:$DH$25/TRANSPOSE(Dists!$B19:$X19))))</f>
        <v>35.349742128679</v>
      </c>
      <c r="E20" s="4" t="n">
        <f aca="false" t="array" ref="E20:E20">SUM(Capacity!Y20*Demand!E20*Capacity!$DH$3:$DH$25/(TRANSPOSE(Dists!$B19:$X19)*SUM(Capacity!$DH$3:$DH$25/TRANSPOSE(Dists!$B19:$X19))))</f>
        <v>22.2326963281093</v>
      </c>
      <c r="F20" s="4" t="n">
        <f aca="false">$E20*Capacity!$M20/(2*(1-Capacity!$H$28)*Capacity!$H20)</f>
        <v>11.4377756549021</v>
      </c>
      <c r="G20" s="4" t="n">
        <f aca="false" t="array" ref="G20:G20">SUM(Capacity!AA20*Demand!G20*Capacity!$DH$3:$DH$25/(TRANSPOSE(Dists!$B19:$X19)*SUM(Capacity!$DH$3:$DH$25/TRANSPOSE(Dists!$B19:$X19))))</f>
        <v>1.3093436047287</v>
      </c>
      <c r="H20" s="4" t="n">
        <f aca="false" t="array" ref="H20:H20">SUM(Capacity!AB20*Demand!H20*Capacity!$DH$3:$DH$25/(TRANSPOSE(Dists!$B19:$X19)*SUM(Capacity!$DH$3:$DH$25/TRANSPOSE(Dists!$B19:$X19))))</f>
        <v>0.00212466908172744</v>
      </c>
      <c r="I20" s="4" t="n">
        <f aca="false" t="array" ref="I20:I20">SUM(Capacity!AC20*Demand!I$3:I$25*Capacity!$DG$3:$DG$25/(TRANSPOSE(Dists!$B19:$X19)*SUM(Capacity!$DG$3:$DG$25/TRANSPOSE(Dists!$B19:$X19))))</f>
        <v>0.777695503523629</v>
      </c>
      <c r="J20" s="4" t="n">
        <f aca="false" t="array" ref="J20:J20">SUM(Capacity!AD20*Demand!J$3:J$25*Capacity!$DG$3:$DG$25/(TRANSPOSE(Dists!$B19:$X19)*SUM(Capacity!$DG$3:$DG$25/TRANSPOSE(Dists!$B19:$X19))))</f>
        <v>0.694010776476372</v>
      </c>
      <c r="K20" s="4" t="n">
        <f aca="false">5479.45205479452*$R20</f>
        <v>122280.331858387</v>
      </c>
      <c r="L20" s="4" t="n">
        <f aca="false">17142.8571428571*$S20</f>
        <v>19858.8972309352</v>
      </c>
      <c r="M20" s="4" t="n">
        <f aca="false">IF(50420.1680672269*$T20&gt;($K20/20),50420.1680672269*$T20-($K20/20),0)</f>
        <v>26530.7459784811</v>
      </c>
      <c r="N20" s="4" t="n">
        <f aca="false" t="array" ref="N20:N20">SUM(Capacity!AH20*Demand!N20*Capacity!$DH$3:$DH$25/(TRANSPOSE(Dists!$B19:$X19)*SUM(Capacity!$DH$3:$DH$25/TRANSPOSE(Dists!$B19:$X19))))</f>
        <v>15.2744713210434</v>
      </c>
      <c r="O20" s="4" t="n">
        <f aca="false">D48/0.8</f>
        <v>227.564740240114</v>
      </c>
      <c r="P20" s="4" t="n">
        <f aca="false">O20/0.8</f>
        <v>284.455925300142</v>
      </c>
      <c r="Q20" s="4" t="n">
        <f aca="false" t="array" ref="Q20:Q20">SUM(Capacity!AK20*Demand!Q20*Capacity!$DI$3:$DI$25/(TRANSPOSE(Dists!$B19:$X19)*SUM(Capacity!$DI$3:$DI$25/TRANSPOSE(Dists!$B19:$X19))))</f>
        <v>0.184248496602686</v>
      </c>
      <c r="R20" s="4" t="n">
        <f aca="false" t="array" ref="R20:R20">SUM(Capacity!AL20*Demand!R20*Capacity!$DH$3:$DH$25/(TRANSPOSE(Dists!$B19:$X19)*SUM(Capacity!$DH$3:$DH$25/TRANSPOSE(Dists!$B19:$X19))))</f>
        <v>22.3161605641556</v>
      </c>
      <c r="S20" s="4" t="n">
        <f aca="false">SUM($BG48,$BI48,$BK48)*Capacity!AM20/SUM(Capacity!$AM20:$AN20,Capacity!$CX20)</f>
        <v>1.15843567180455</v>
      </c>
      <c r="T20" s="4" t="n">
        <f aca="false">SUM($BG48,$BI48,$BK48)*Capacity!AN20/SUM(Capacity!$AM20:$AN20,Capacity!$CX20)</f>
        <v>0.647454457666109</v>
      </c>
      <c r="U20" s="4" t="n">
        <f aca="false">$M20*120*2/(16*1000*2000)</f>
        <v>0.198980594838608</v>
      </c>
      <c r="V20" s="4" t="n">
        <f aca="false" t="array" ref="V20:V20">SUM(Capacity!AP20*Demand!V$3:V$25*Capacity!$DH$3:$DH$25/(TRANSPOSE(Dists!$B19:$X19)*SUM(Capacity!$DH$3:$DH$25/TRANSPOSE(Dists!$B19:$X19))))</f>
        <v>13.2438626293448</v>
      </c>
      <c r="W20" s="4" t="n">
        <f aca="false" t="array" ref="W20:W20">SUM(Capacity!AQ20*Demand!W$3:W$25*Capacity!$DH$3:$DH$25/(TRANSPOSE(Dists!$B19:$X19)*SUM(Capacity!$DH$3:$DH$25/TRANSPOSE(Dists!$B19:$X19))))</f>
        <v>54.3239123139881</v>
      </c>
      <c r="X20" s="4" t="n">
        <f aca="false" t="array" ref="X20:X20">SUM(Capacity!AR20*Demand!X$3:X$25*Capacity!$DH$3:$DH$25/(TRANSPOSE(Dists!$B19:$X19)*SUM(Capacity!$DH$3:$DH$25/TRANSPOSE(Dists!$B19:$X19))))</f>
        <v>214.264466542197</v>
      </c>
      <c r="Y20" s="4" t="n">
        <f aca="false">$L20*600*6/(90*1000*2000)</f>
        <v>0.397177944618704</v>
      </c>
      <c r="Z20" s="4" t="n">
        <f aca="false" t="array" ref="Z20:Z20">SUM(Capacity!AT20*Demand!Z$3:Z$25*Capacity!$DI$3:$DI$25/(TRANSPOSE(Dists!$B19:$X19)*SUM(Capacity!$DI$3:$DI$25/TRANSPOSE(Dists!$B19:$X19))))</f>
        <v>0.193545158506224</v>
      </c>
      <c r="AA20" s="4" t="n">
        <f aca="false" t="array" ref="AA20:AA20">SUM(Capacity!AU20*Demand!AA$3:AA$25*Capacity!$DI$3:$DI$25/(TRANSPOSE(Dists!$B19:$X19)*SUM(Capacity!$DI$3:$DI$25/TRANSPOSE(Dists!$B19:$X19))))</f>
        <v>1.77061045325721</v>
      </c>
      <c r="AB20" s="4" t="n">
        <f aca="false" t="array" ref="AB20:AB20">SUM(Capacity!AV20*Demand!AB$3:AB$25*Capacity!$DI$3:$DI$25/(TRANSPOSE(Dists!$B19:$X19)*SUM(Capacity!$DI$3:$DI$25/TRANSPOSE(Dists!$B19:$X19))))</f>
        <v>1.87376007578469</v>
      </c>
      <c r="AC20" s="4" t="n">
        <f aca="false" t="array" ref="AC20:AC20">SUM(Capacity!AW20*Demand!AC$3:AC$25*Capacity!$DI$3:$DI$25/(TRANSPOSE(Dists!$B19:$X19)*SUM(Capacity!$DI$3:$DI$25/TRANSPOSE(Dists!$B19:$X19))))</f>
        <v>0.750801846530268</v>
      </c>
      <c r="AD20" s="4" t="n">
        <f aca="false" t="array" ref="AD20:AD20">SUM(Capacity!AX20*Demand!AD$3:AD$25*Capacity!$DI$3:$DI$25/(TRANSPOSE(Dists!$B19:$X19)*SUM(Capacity!$DI$3:$DI$25/TRANSPOSE(Dists!$B19:$X19))))</f>
        <v>0.306754502400376</v>
      </c>
      <c r="AE20" s="4" t="n">
        <f aca="false" t="array" ref="AE20:AE20">SUM(Capacity!AY20*Demand!AE$3:AE$25*Capacity!$DI$3:$DI$25/(TRANSPOSE(Dists!$B19:$X19)*SUM(Capacity!$DI$3:$DI$25/TRANSPOSE(Dists!$B19:$X19))))</f>
        <v>0.272457514049865</v>
      </c>
      <c r="AF20" s="4" t="n">
        <f aca="false" t="array" ref="AF20:AF20">SUM(Capacity!AZ20*Demand!AF$3:AF$25*Capacity!$DI$3:$DI$25/(TRANSPOSE(Dists!$B19:$X19)*SUM(Capacity!$DI$3:$DI$25/TRANSPOSE(Dists!$B19:$X19))))</f>
        <v>0.0705309131175196</v>
      </c>
      <c r="AG20" s="4" t="n">
        <f aca="false" t="array" ref="AG20:AG20">SUM(Capacity!BA20*Demand!AG$3:AG$25*Capacity!$DI$3:$DI$25/(TRANSPOSE(Dists!$B19:$X19)*SUM(Capacity!$DI$3:$DI$25/TRANSPOSE(Dists!$B19:$X19))))</f>
        <v>0.300300152394304</v>
      </c>
      <c r="AH20" s="4" t="n">
        <f aca="false" t="array" ref="AH20:AH20">SUM(Capacity!BB20*Demand!AH$3:AH$25*Capacity!$DI$3:$DI$25/(TRANSPOSE(Dists!$B19:$X19)*SUM(Capacity!$DI$3:$DI$25/TRANSPOSE(Dists!$B19:$X19))))</f>
        <v>0.179638509351757</v>
      </c>
      <c r="AI20" s="4" t="n">
        <f aca="false" t="array" ref="AI20:AI20">SUM(Capacity!BC20*Demand!AI$3:AI$25*Capacity!$DI$3:$DI$25/(TRANSPOSE(Dists!$B19:$X19)*SUM(Capacity!$DI$3:$DI$25/TRANSPOSE(Dists!$B19:$X19))))</f>
        <v>0.038517170306566</v>
      </c>
      <c r="AJ20" s="4" t="n">
        <f aca="false" t="array" ref="AJ20:AJ20">SUM(Capacity!BD20*Demand!AJ$3:AJ$25*Capacity!$DI$3:$DI$25/(TRANSPOSE(Dists!$B19:$X19)*SUM(Capacity!$DI$3:$DI$25/TRANSPOSE(Dists!$B19:$X19))))</f>
        <v>0.0772028078239221</v>
      </c>
      <c r="AK20" s="4" t="n">
        <f aca="false" t="array" ref="AK20:AK20">SUM(Capacity!BE20*Demand!AK$3:AK$25*Capacity!$DI$3:$DI$25/(TRANSPOSE(Dists!$B19:$X19)*SUM(Capacity!$DI$3:$DI$25/TRANSPOSE(Dists!$B19:$X19))))</f>
        <v>0.0625833219266654</v>
      </c>
      <c r="AL20" s="4" t="n">
        <f aca="false" t="array" ref="AL20:AL20">SUM(Capacity!BF20*Demand!AL$3:AL$25*Capacity!$DI$3:$DI$25/(TRANSPOSE(Dists!$B19:$X19)*SUM(Capacity!$DI$3:$DI$25/TRANSPOSE(Dists!$B19:$X19))))</f>
        <v>0.0380843860940857</v>
      </c>
      <c r="AM20" s="4" t="n">
        <f aca="false" t="array" ref="AM20:AM20">SUM(Capacity!BG20*Demand!AM$3:AM$25*Capacity!$DI$3:$DI$25/(TRANSPOSE(Dists!$B19:$X19)*SUM(Capacity!$DI$3:$DI$25/TRANSPOSE(Dists!$B19:$X19))))</f>
        <v>0.115512581862531</v>
      </c>
      <c r="AN20" s="4" t="n">
        <f aca="false" t="array" ref="AN20:AN20">SUM(Capacity!BH20*Demand!AN$3:AN$25*Capacity!$DI$3:$DI$25/(TRANSPOSE(Dists!$B19:$X19)*SUM(Capacity!$DI$3:$DI$25/TRANSPOSE(Dists!$B19:$X19))))</f>
        <v>0.0542509715646575</v>
      </c>
      <c r="AO20" s="4" t="n">
        <f aca="false" t="array" ref="AO20:AO20">SUM(Capacity!BI20*Demand!AO$3:AO$25*Capacity!$DI$3:$DI$25/(TRANSPOSE(Dists!$B19:$X19)*SUM(Capacity!$DI$3:$DI$25/TRANSPOSE(Dists!$B19:$X19))))</f>
        <v>0.136714704125298</v>
      </c>
      <c r="AP20" s="4" t="n">
        <f aca="false" t="array" ref="AP20:AP20">SUM(Capacity!BJ20*Demand!AP$3:AP$25*Capacity!$DI$3:$DI$25/(TRANSPOSE(Dists!$B19:$X19)*SUM(Capacity!$DI$3:$DI$25/TRANSPOSE(Dists!$B19:$X19))))</f>
        <v>0.0743250854094298</v>
      </c>
      <c r="AQ20" s="4" t="n">
        <f aca="false" t="array" ref="AQ20:AQ20">SUM(Capacity!BK20*Demand!AQ$3:AQ$25*Capacity!$DI$3:$DI$25/(TRANSPOSE(Dists!$B19:$X19)*SUM(Capacity!$DI$3:$DI$25/TRANSPOSE(Dists!$B19:$X19))))</f>
        <v>0.0106418416545168</v>
      </c>
      <c r="AR20" s="4" t="n">
        <f aca="false" t="array" ref="AR20:AR20">SUM(Capacity!BL20*Demand!AR$3:AR$25*Capacity!$DI$3:$DI$25/(TRANSPOSE(Dists!$B19:$X19)*SUM(Capacity!$DI$3:$DI$25/TRANSPOSE(Dists!$B19:$X19))))</f>
        <v>0.0182344607930243</v>
      </c>
      <c r="AS20" s="4" t="n">
        <f aca="false" t="array" ref="AS20:AS20">SUM(Capacity!BM20*Demand!AS$3:AS$25*Capacity!$DI$3:$DI$25/(TRANSPOSE(Dists!$B19:$X19)*SUM(Capacity!$DI$3:$DI$25/TRANSPOSE(Dists!$B19:$X19))))</f>
        <v>0.0269378455486924</v>
      </c>
      <c r="AT20" s="4" t="n">
        <f aca="false" t="array" ref="AT20:AT20">SUM(Capacity!BN20*Demand!AT$3:AT$25*Capacity!$DI$3:$DI$25/(TRANSPOSE(Dists!$B19:$X19)*SUM(Capacity!$DI$3:$DI$25/TRANSPOSE(Dists!$B19:$X19))))</f>
        <v>0.258698788606727</v>
      </c>
      <c r="AU20" s="4" t="n">
        <f aca="false" t="array" ref="AU20:AU20">SUM(Capacity!BO20*Demand!AU$3:AU$25*Capacity!$DI$3:$DI$25/(TRANSPOSE(Dists!$B19:$X19)*SUM(Capacity!$DI$3:$DI$25/TRANSPOSE(Dists!$B19:$X19))))</f>
        <v>0.247917102095302</v>
      </c>
      <c r="AV20" s="4" t="n">
        <f aca="false" t="array" ref="AV20:AV20">SUM(Capacity!BP20*Demand!AV$3:AV$25*Capacity!$DI$3:$DI$25/(TRANSPOSE(Dists!$B19:$X19)*SUM(Capacity!$DI$3:$DI$25/TRANSPOSE(Dists!$B19:$X19))))</f>
        <v>0.0129479044629063</v>
      </c>
      <c r="AW20" s="4" t="n">
        <f aca="false" t="array" ref="AW20:AW20">SUM(Capacity!BQ20*Demand!AW$3:AW$25*Capacity!$DI$3:$DI$25/(TRANSPOSE(Dists!$B19:$X19)*SUM(Capacity!$DI$3:$DI$25/TRANSPOSE(Dists!$B19:$X19))))</f>
        <v>0.409544178282426</v>
      </c>
      <c r="AX20" s="4" t="n">
        <f aca="false" t="array" ref="AX20:AX20">SUM(Capacity!BR20*Demand!AX$3:AX$25*Capacity!$DI$3:$DI$25/(TRANSPOSE(Dists!$B19:$X19)*SUM(Capacity!$DI$3:$DI$25/TRANSPOSE(Dists!$B19:$X19))))</f>
        <v>0.059888902483164</v>
      </c>
      <c r="AY20" s="4" t="n">
        <f aca="false" t="array" ref="AY20:AY20">SUM(Capacity!BS20*Demand!AY$3:AY$25*Capacity!$DI$3:$DI$25/(TRANSPOSE(Dists!$B19:$X19)*SUM(Capacity!$DI$3:$DI$25/TRANSPOSE(Dists!$B19:$X19))))</f>
        <v>0.0226193977250759</v>
      </c>
      <c r="AZ20" s="4" t="n">
        <f aca="false" t="array" ref="AZ20:AZ20">SUM(Capacity!BT20*Demand!AZ$3:AZ$25*Capacity!$DI$3:$DI$25/(TRANSPOSE(Dists!$B19:$X19)*SUM(Capacity!$DI$3:$DI$25/TRANSPOSE(Dists!$B19:$X19))))</f>
        <v>0.14499647859545</v>
      </c>
      <c r="BA20" s="4" t="n">
        <f aca="false">L20*25/(2000*1000*51)</f>
        <v>0.00486737677228803</v>
      </c>
      <c r="BB20" s="4" t="n">
        <f aca="false" t="array" ref="BB20:BB20">SUM(Capacity!BV20*Demand!BB$3:BB$25*Capacity!$DI$3:$DI$25/(TRANSPOSE(Dists!$B19:$X19)*SUM(Capacity!$DI$3:$DI$25/TRANSPOSE(Dists!$B19:$X19))))</f>
        <v>0.0321165833829913</v>
      </c>
      <c r="BC20" s="4" t="n">
        <f aca="false" t="array" ref="BC20:BC20">SUM(Capacity!BW20*Demand!BC$3:BC$25*Capacity!$DI$3:$DI$25/(TRANSPOSE(Dists!$B19:$X19)*SUM(Capacity!$DI$3:$DI$25/TRANSPOSE(Dists!$B19:$X19))))</f>
        <v>0.0253976807542529</v>
      </c>
      <c r="BD20" s="4" t="n">
        <f aca="false" t="array" ref="BD20:BD20">SUM(Capacity!BX20*Demand!BD$3:BD$25*Capacity!$DI$3:$DI$25/(TRANSPOSE(Dists!$B19:$X19)*SUM(Capacity!$DI$3:$DI$25/TRANSPOSE(Dists!$B19:$X19))))</f>
        <v>0.0142459160098206</v>
      </c>
      <c r="BE20" s="4" t="n">
        <f aca="false" t="array" ref="BE20:BE20">SUM(Capacity!BY20*Demand!BE$3:BE$25*Capacity!$DI$3:$DI$25/(TRANSPOSE(Dists!$B19:$X19)*SUM(Capacity!$DI$3:$DI$25/TRANSPOSE(Dists!$B19:$X19))))</f>
        <v>0.00821954797285788</v>
      </c>
      <c r="BF20" s="4" t="n">
        <f aca="false" t="array" ref="BF20:BF20">SUM(Capacity!BZ20*Demand!BF$3:BF$25*Capacity!$DI$3:$DI$25/(TRANSPOSE(Dists!$B19:$X19)*SUM(Capacity!$DI$3:$DI$25/TRANSPOSE(Dists!$B19:$X19))))</f>
        <v>0.601260615800886</v>
      </c>
      <c r="BG20" s="4" t="n">
        <f aca="false" t="array" ref="BG20:BG20">SUM(Capacity!CA20*Demand!BG$3:BG$25*Capacity!$DI$3:$DI$25/(TRANSPOSE(Dists!$B19:$X19)*SUM(Capacity!$DI$3:$DI$25/TRANSPOSE(Dists!$B19:$X19))))</f>
        <v>1.46619937361625</v>
      </c>
      <c r="BH20" s="4" t="n">
        <f aca="false" t="array" ref="BH20:BH20">SUM(Capacity!CB20*Demand!BH$3:BH$25*Capacity!$DI$3:$DI$25/(TRANSPOSE(Dists!$B19:$X19)*SUM(Capacity!$DI$3:$DI$25/TRANSPOSE(Dists!$B19:$X19))))</f>
        <v>0.00166475989442249</v>
      </c>
      <c r="BI20" s="4" t="n">
        <f aca="false" t="array" ref="BI20:BI20">SUM(Capacity!CC20*Demand!BI20*Capacity!$DI$3:$DI$25/(TRANSPOSE(Dists!$B19:$X19)*SUM(Capacity!$DI$3:$DI$25/TRANSPOSE(Dists!$B19:$X19))))</f>
        <v>1.34984515333673</v>
      </c>
      <c r="BJ20" s="4" t="n">
        <f aca="false" t="array" ref="BJ20:BJ20">SUM(Capacity!CD20*Demand!BJ20*Capacity!$DI$3:$DI$25/(TRANSPOSE(Dists!$B19:$X19)*SUM(Capacity!$DI$3:$DI$25/TRANSPOSE(Dists!$B19:$X19))))</f>
        <v>193.866217949981</v>
      </c>
      <c r="BK20" s="4" t="n">
        <f aca="false" t="array" ref="BK20:BK20">SUM(Capacity!CE20*Demand!BK20*Capacity!$DI$3:$DI$25/(TRANSPOSE(Dists!$B19:$X19)*SUM(Capacity!$DI$3:$DI$25/TRANSPOSE(Dists!$B19:$X19))))</f>
        <v>0.674922576668365</v>
      </c>
      <c r="BL20" s="4" t="n">
        <f aca="false" t="array" ref="BL20:BL20">SUM(Capacity!CF20*Demand!BL20*Capacity!$DI$3:$DI$25/(TRANSPOSE(Dists!$B19:$X19)*SUM(Capacity!$DI$3:$DI$25/TRANSPOSE(Dists!$B19:$X19))))</f>
        <v>71.8970475399256</v>
      </c>
      <c r="BM20" s="4" t="n">
        <f aca="false" t="array" ref="BM20:BM20">SUM(Capacity!CG20*Demand!BM20*Capacity!$DI$3:$DI$25/(TRANSPOSE(Dists!$B19:$X19)*SUM(Capacity!$DI$3:$DI$25/TRANSPOSE(Dists!$B19:$X19))))</f>
        <v>3.51785663516869</v>
      </c>
      <c r="BN20" s="4" t="n">
        <f aca="false">MAX($BO20/0.006,$BP20/0.7,$BR20/0.002,$BS20/0.001)</f>
        <v>26.5421001426843</v>
      </c>
      <c r="BO20" s="4" t="n">
        <f aca="false" t="array" ref="BO20:BO20">SUM(Capacity!CI20*Demand!BO20*Capacity!$DI$3:$DI$25/(TRANSPOSE(Dists!$B19:$X19)*SUM(Capacity!$DI$3:$DI$25/TRANSPOSE(Dists!$B19:$X19))))</f>
        <v>0.159252600856106</v>
      </c>
      <c r="BP20" s="4" t="n">
        <f aca="false" t="array" ref="BP20:BP20">SUM(Capacity!CJ20*Demand!BP20*Capacity!$DI$3:$DI$25/(TRANSPOSE(Dists!$B19:$X19)*SUM(Capacity!$DI$3:$DI$25/TRANSPOSE(Dists!$B19:$X19))))</f>
        <v>0.858860717616497</v>
      </c>
      <c r="BQ20" s="4" t="n">
        <f aca="false">BN20*0.65</f>
        <v>17.2523650927448</v>
      </c>
      <c r="BR20" s="4" t="n">
        <f aca="false" t="array" ref="BR20:BR20">SUM(Capacity!CL20*Demand!BR20*Capacity!$DI$3:$DI$25/(TRANSPOSE(Dists!$B19:$X19)*SUM(Capacity!$DI$3:$DI$25/TRANSPOSE(Dists!$B19:$X19))))</f>
        <v>0.00530842002853685</v>
      </c>
      <c r="BS20" s="4" t="n">
        <f aca="false" t="array" ref="BS20:BS20">SUM(Capacity!CM20*Demand!BS20*Capacity!$DI$3:$DI$25/(TRANSPOSE(Dists!$B19:$X19)*SUM(Capacity!$DI$3:$DI$25/TRANSPOSE(Dists!$B19:$X19))))</f>
        <v>0.000530841881979181</v>
      </c>
      <c r="BT20" s="4" t="n">
        <f aca="false" t="array" ref="BT20:BT20">SUM(Capacity!CN20*Demand!BT20*Capacity!$DI$3:$DI$25/(TRANSPOSE(Dists!$B19:$X19)*SUM(Capacity!$DI$3:$DI$25/TRANSPOSE(Dists!$B19:$X19))))</f>
        <v>0.117475462811634</v>
      </c>
      <c r="BU20" s="4" t="n">
        <f aca="false" t="array" ref="BU20:BU20">SUM(Capacity!CO20*Demand!BU20*Capacity!$DI$3:$DI$25/(TRANSPOSE(Dists!$B19:$X19)*SUM(Capacity!$DI$3:$DI$25/TRANSPOSE(Dists!$B19:$X19))))</f>
        <v>0.0117475462811634</v>
      </c>
      <c r="BV20" s="4" t="n">
        <f aca="false" t="array" ref="BV20:BV20">SUM(Capacity!CP20*Demand!BV20*Capacity!$DI$3:$DI$25/(TRANSPOSE(Dists!$B19:$X19)*SUM(Capacity!$DI$3:$DI$25/TRANSPOSE(Dists!$B19:$X19))))</f>
        <v>0.00117475462811634</v>
      </c>
      <c r="BW20" s="4" t="n">
        <f aca="false">E48*2*8.34/6</f>
        <v>172.10453148302</v>
      </c>
      <c r="BX20" s="4" t="n">
        <f aca="false" t="array" ref="BX20:BX20">SUM(Capacity!CR20*Demand!BX20*Capacity!$DI$3:$DI$25/(TRANSPOSE(Dists!$B19:$X19)*SUM(Capacity!$DI$3:$DI$25/TRANSPOSE(Dists!$B19:$X19))))</f>
        <v>0.348107707303966</v>
      </c>
      <c r="BY20" s="4" t="n">
        <f aca="false" t="array" ref="BY20:BY20">SUM(Capacity!CS20*Demand!BY20*Capacity!$DI$3:$DI$25/(TRANSPOSE(Dists!$B19:$X19)*SUM(Capacity!$DI$3:$DI$25/TRANSPOSE(Dists!$B19:$X19))))</f>
        <v>12.9754658454032</v>
      </c>
      <c r="BZ20" s="4" t="n">
        <f aca="false" t="array" ref="BZ20:BZ20">SUM(Capacity!CT20*Demand!BZ20*Capacity!$DI$3:$DI$25/(TRANSPOSE(Dists!$B19:$X19)*SUM(Capacity!$DI$3:$DI$25/TRANSPOSE(Dists!$B19:$X19))))</f>
        <v>0.0367613427316373</v>
      </c>
      <c r="CA20" s="4" t="n">
        <f aca="false" t="array" ref="CA20:CA20">SUM(Capacity!CU20*Demand!CA20*Capacity!$DI$3:$DI$25/(TRANSPOSE(Dists!$B19:$X19)*SUM(Capacity!$DI$3:$DI$25/TRANSPOSE(Dists!$B19:$X19))))</f>
        <v>0.0170743581493613</v>
      </c>
      <c r="CB20" s="4" t="n">
        <f aca="false" t="array" ref="CB20:CB20">SUM(Capacity!CV20*Demand!CB20*Capacity!$DI$3:$DI$25/(TRANSPOSE(Dists!$B19:$X19)*SUM(Capacity!$DI$3:$DI$25/TRANSPOSE(Dists!$B19:$X19))))</f>
        <v>47.4895071839505</v>
      </c>
      <c r="CC20" s="4" t="n">
        <f aca="false" t="array" ref="CC20:CC20">SUM(Capacity!CW20*Demand!CC20*Capacity!$DI$3:$DI$25/(TRANSPOSE(Dists!$B19:$X19)*SUM(Capacity!$DI$3:$DI$25/TRANSPOSE(Dists!$B19:$X19))))</f>
        <v>251.914153540497</v>
      </c>
      <c r="CD20" s="4" t="n">
        <f aca="false">SUM($BG48,$BI48,$BK48)*Capacity!CX20/SUM(Capacity!$AM20:$AN20,Capacity!$CX20)</f>
        <v>7.60586352568831</v>
      </c>
      <c r="CE20" s="4" t="n">
        <f aca="false" t="array" ref="CE20:CE20">SUM(Capacity!CY20*Demand!CE20*Capacity!$DI$3:$DI$25/(TRANSPOSE(Dists!$B19:$X19)*SUM(Capacity!$DI$3:$DI$25/TRANSPOSE(Dists!$B19:$X19))))</f>
        <v>0.0990722587789094</v>
      </c>
      <c r="CF20" s="4" t="n">
        <f aca="false" t="array" ref="CF20:CF20">SUM(Capacity!CZ20*Demand!CF20*Capacity!$DI$3:$DI$25/(TRANSPOSE(Dists!$B19:$X19)*SUM(Capacity!$DI$3:$DI$25/TRANSPOSE(Dists!$B19:$X19))))</f>
        <v>250.586524581203</v>
      </c>
      <c r="CG20" s="4" t="n">
        <f aca="false" t="array" ref="CG20:CG20">SUM(Capacity!DA20*Demand!CG20*Capacity!$DI$3:$DI$25/(TRANSPOSE(Dists!$B19:$X19)*SUM(Capacity!$DI$3:$DI$25/TRANSPOSE(Dists!$B19:$X19))))</f>
        <v>0.347426795641576</v>
      </c>
      <c r="CH20" s="4" t="n">
        <f aca="false" t="array" ref="CH20:CH20">SUM(Capacity!DB20*Demand!CH20*Capacity!$DI$3:$DI$25/(TRANSPOSE(Dists!$B19:$X19)*SUM(Capacity!$DI$3:$DI$25/TRANSPOSE(Dists!$B19:$X19))))</f>
        <v>6.17302729631548</v>
      </c>
      <c r="CI20" s="4" t="n">
        <f aca="false" t="array" ref="CI20:CI20">SUM(Capacity!DC20*Demand!CI20*Capacity!$DI$3:$DI$25/(TRANSPOSE(Dists!$B19:$X19)*SUM(Capacity!$DI$3:$DI$25/TRANSPOSE(Dists!$B19:$X19))))</f>
        <v>0.0150943097872156</v>
      </c>
      <c r="CJ20" s="4" t="n">
        <f aca="false" t="array" ref="CJ20:CJ20">SUM(Capacity!DD20*Demand!CJ20*Capacity!$DI$3:$DI$25/(TRANSPOSE(Dists!$B19:$X19)*SUM(Capacity!$DI$3:$DI$25/TRANSPOSE(Dists!$B19:$X19))))</f>
        <v>0.00106298988637262</v>
      </c>
      <c r="CK20" s="4" t="n">
        <f aca="false" t="array" ref="CK20:CK20">SUM(Capacity!DE20*Demand!CK20*Capacity!$DI$3:$DI$25/(TRANSPOSE(Dists!$B19:$X19)*SUM(Capacity!$DI$3:$DI$25/TRANSPOSE(Dists!$B19:$X19))))</f>
        <v>0.55381150703052</v>
      </c>
      <c r="CL20" s="7" t="s">
        <v>320</v>
      </c>
    </row>
    <row r="21" customFormat="false" ht="12.8" hidden="false" customHeight="false" outlineLevel="0" collapsed="false">
      <c r="A21" s="4" t="s">
        <v>156</v>
      </c>
      <c r="B21" s="7" t="s">
        <v>39</v>
      </c>
      <c r="C21" s="4" t="n">
        <f aca="false" t="array" ref="C21:C21">SUM(Capacity!S21*Demand!C21*Capacity!$DH$3:$DH$25/(TRANSPOSE(Dists!$B20:$X20)*SUM(Capacity!$DH$3:$DH$25/TRANSPOSE(Dists!$B20:$X20))))</f>
        <v>0.0224314666387386</v>
      </c>
      <c r="D21" s="4" t="n">
        <f aca="false" t="array" ref="D21:D21">SUM(Capacity!V21*Demand!D21*Capacity!$DH$3:$DH$25/(TRANSPOSE(Dists!$B20:$X20)*SUM(Capacity!$DH$3:$DH$25/TRANSPOSE(Dists!$B20:$X20))))</f>
        <v>3786.62004362324</v>
      </c>
      <c r="E21" s="4" t="n">
        <f aca="false" t="array" ref="E21:E21">SUM(Capacity!Y21*Demand!E21*Capacity!$DH$3:$DH$25/(TRANSPOSE(Dists!$B20:$X20)*SUM(Capacity!$DH$3:$DH$25/TRANSPOSE(Dists!$B20:$X20))))</f>
        <v>1892.94156657514</v>
      </c>
      <c r="F21" s="4" t="n">
        <f aca="false">$E21*Capacity!$M21/(2*(1-Capacity!$H$28)*Capacity!$H21)</f>
        <v>676.417840644403</v>
      </c>
      <c r="G21" s="4" t="n">
        <f aca="false" t="array" ref="G21:G21">SUM(Capacity!AA21*Demand!G21*Capacity!$DH$3:$DH$25/(TRANSPOSE(Dists!$B20:$X20)*SUM(Capacity!$DH$3:$DH$25/TRANSPOSE(Dists!$B20:$X20))))</f>
        <v>4656.71910620922</v>
      </c>
      <c r="H21" s="4" t="n">
        <f aca="false" t="array" ref="H21:H21">SUM(Capacity!AB21*Demand!H21*Capacity!$DH$3:$DH$25/(TRANSPOSE(Dists!$B20:$X20)*SUM(Capacity!$DH$3:$DH$25/TRANSPOSE(Dists!$B20:$X20))))</f>
        <v>6.68811567317494</v>
      </c>
      <c r="I21" s="4" t="n">
        <f aca="false" t="array" ref="I21:I21">SUM(Capacity!AC21*Demand!I$3:I$25*Capacity!$DG$3:$DG$25/(TRANSPOSE(Dists!$B20:$X20)*SUM(Capacity!$DG$3:$DG$25/TRANSPOSE(Dists!$B20:$X20))))</f>
        <v>3.1294375927255</v>
      </c>
      <c r="J21" s="4" t="n">
        <f aca="false" t="array" ref="J21:J21">SUM(Capacity!AD21*Demand!J$3:J$25*Capacity!$DG$3:$DG$25/(TRANSPOSE(Dists!$B20:$X20)*SUM(Capacity!$DG$3:$DG$25/TRANSPOSE(Dists!$B20:$X20))))</f>
        <v>3.42634492727451</v>
      </c>
      <c r="K21" s="4" t="n">
        <f aca="false">5479.45205479452*$R21</f>
        <v>860581.620898486</v>
      </c>
      <c r="L21" s="4" t="n">
        <f aca="false">17142.8571428571*$S21</f>
        <v>169158.591149078</v>
      </c>
      <c r="M21" s="4" t="n">
        <f aca="false">IF(50420.1680672269*$T21&gt;($K21/20),50420.1680672269*$T21-($K21/20),0)</f>
        <v>235039.835912464</v>
      </c>
      <c r="N21" s="4" t="n">
        <f aca="false" t="array" ref="N21:N21">SUM(Capacity!AH21*Demand!N21*Capacity!$DH$3:$DH$25/(TRANSPOSE(Dists!$B20:$X20)*SUM(Capacity!$DH$3:$DH$25/TRANSPOSE(Dists!$B20:$X20))))</f>
        <v>3784.66459633746</v>
      </c>
      <c r="O21" s="4" t="n">
        <f aca="false">D49/0.8</f>
        <v>2945.44750034701</v>
      </c>
      <c r="P21" s="4" t="n">
        <f aca="false">O21/0.8</f>
        <v>3681.80937543376</v>
      </c>
      <c r="Q21" s="4" t="n">
        <f aca="false" t="array" ref="Q21:Q21">SUM(Capacity!AK21*Demand!Q21*Capacity!$DI$3:$DI$25/(TRANSPOSE(Dists!$B20:$X20)*SUM(Capacity!$DI$3:$DI$25/TRANSPOSE(Dists!$B20:$X20))))</f>
        <v>70.0011418513966</v>
      </c>
      <c r="R21" s="4" t="n">
        <f aca="false" t="array" ref="R21:R21">SUM(Capacity!AL21*Demand!R21*Capacity!$DH$3:$DH$25/(TRANSPOSE(Dists!$B20:$X20)*SUM(Capacity!$DH$3:$DH$25/TRANSPOSE(Dists!$B20:$X20))))</f>
        <v>157.056145813974</v>
      </c>
      <c r="S21" s="4" t="n">
        <f aca="false">SUM($BG49,$BI49,$BK49)*Capacity!AM21/SUM(Capacity!$AM21:$AN21,Capacity!$CX21)</f>
        <v>9.86758448369625</v>
      </c>
      <c r="T21" s="4" t="n">
        <f aca="false">SUM($BG49,$BI49,$BK49)*Capacity!AN21/SUM(Capacity!$AM21:$AN21,Capacity!$CX21)</f>
        <v>5.51503351965487</v>
      </c>
      <c r="U21" s="4" t="n">
        <f aca="false">$M21*120*2/(16*1000*2000)</f>
        <v>1.76279876934348</v>
      </c>
      <c r="V21" s="4" t="n">
        <f aca="false" t="array" ref="V21:V21">SUM(Capacity!AP21*Demand!V$3:V$25*Capacity!$DH$3:$DH$25/(TRANSPOSE(Dists!$B20:$X20)*SUM(Capacity!$DH$3:$DH$25/TRANSPOSE(Dists!$B20:$X20))))</f>
        <v>539.52826332196</v>
      </c>
      <c r="W21" s="4" t="n">
        <f aca="false" t="array" ref="W21:W21">SUM(Capacity!AQ21*Demand!W$3:W$25*Capacity!$DH$3:$DH$25/(TRANSPOSE(Dists!$B20:$X20)*SUM(Capacity!$DH$3:$DH$25/TRANSPOSE(Dists!$B20:$X20))))</f>
        <v>2366.76422366852</v>
      </c>
      <c r="X21" s="4" t="n">
        <f aca="false" t="array" ref="X21:X21">SUM(Capacity!AR21*Demand!X$3:X$25*Capacity!$DH$3:$DH$25/(TRANSPOSE(Dists!$B20:$X20)*SUM(Capacity!$DH$3:$DH$25/TRANSPOSE(Dists!$B20:$X20))))</f>
        <v>1000.78941486898</v>
      </c>
      <c r="Y21" s="4" t="n">
        <f aca="false">$L21*600*6/(90*1000*2000)</f>
        <v>3.38317182298156</v>
      </c>
      <c r="Z21" s="4" t="n">
        <f aca="false" t="array" ref="Z21:Z21">SUM(Capacity!AT21*Demand!Z$3:Z$25*Capacity!$DI$3:$DI$25/(TRANSPOSE(Dists!$B20:$X20)*SUM(Capacity!$DI$3:$DI$25/TRANSPOSE(Dists!$B20:$X20))))</f>
        <v>93.0827354754204</v>
      </c>
      <c r="AA21" s="4" t="n">
        <f aca="false" t="array" ref="AA21:AA21">SUM(Capacity!AU21*Demand!AA$3:AA$25*Capacity!$DI$3:$DI$25/(TRANSPOSE(Dists!$B20:$X20)*SUM(Capacity!$DI$3:$DI$25/TRANSPOSE(Dists!$B20:$X20))))</f>
        <v>143.895683542588</v>
      </c>
      <c r="AB21" s="4" t="n">
        <f aca="false" t="array" ref="AB21:AB21">SUM(Capacity!AV21*Demand!AB$3:AB$25*Capacity!$DI$3:$DI$25/(TRANSPOSE(Dists!$B20:$X20)*SUM(Capacity!$DI$3:$DI$25/TRANSPOSE(Dists!$B20:$X20))))</f>
        <v>137.045952205854</v>
      </c>
      <c r="AC21" s="4" t="n">
        <f aca="false" t="array" ref="AC21:AC21">SUM(Capacity!AW21*Demand!AC$3:AC$25*Capacity!$DI$3:$DI$25/(TRANSPOSE(Dists!$B20:$X20)*SUM(Capacity!$DI$3:$DI$25/TRANSPOSE(Dists!$B20:$X20))))</f>
        <v>19.3472204844759</v>
      </c>
      <c r="AD21" s="4" t="n">
        <f aca="false" t="array" ref="AD21:AD21">SUM(Capacity!AX21*Demand!AD$3:AD$25*Capacity!$DI$3:$DI$25/(TRANSPOSE(Dists!$B20:$X20)*SUM(Capacity!$DI$3:$DI$25/TRANSPOSE(Dists!$B20:$X20))))</f>
        <v>22.4358835574438</v>
      </c>
      <c r="AE21" s="4" t="n">
        <f aca="false" t="array" ref="AE21:AE21">SUM(Capacity!AY21*Demand!AE$3:AE$25*Capacity!$DI$3:$DI$25/(TRANSPOSE(Dists!$B20:$X20)*SUM(Capacity!$DI$3:$DI$25/TRANSPOSE(Dists!$B20:$X20))))</f>
        <v>17.6730202046855</v>
      </c>
      <c r="AF21" s="4" t="n">
        <f aca="false" t="array" ref="AF21:AF21">SUM(Capacity!AZ21*Demand!AF$3:AF$25*Capacity!$DI$3:$DI$25/(TRANSPOSE(Dists!$B20:$X20)*SUM(Capacity!$DI$3:$DI$25/TRANSPOSE(Dists!$B20:$X20))))</f>
        <v>3.0870506958586</v>
      </c>
      <c r="AG21" s="4" t="n">
        <f aca="false" t="array" ref="AG21:AG21">SUM(Capacity!BA21*Demand!AG$3:AG$25*Capacity!$DI$3:$DI$25/(TRANSPOSE(Dists!$B20:$X20)*SUM(Capacity!$DI$3:$DI$25/TRANSPOSE(Dists!$B20:$X20))))</f>
        <v>16.2775540621262</v>
      </c>
      <c r="AH21" s="4" t="n">
        <f aca="false" t="array" ref="AH21:AH21">SUM(Capacity!BB21*Demand!AH$3:AH$25*Capacity!$DI$3:$DI$25/(TRANSPOSE(Dists!$B20:$X20)*SUM(Capacity!$DI$3:$DI$25/TRANSPOSE(Dists!$B20:$X20))))</f>
        <v>11.4040590771</v>
      </c>
      <c r="AI21" s="4" t="n">
        <f aca="false" t="array" ref="AI21:AI21">SUM(Capacity!BC21*Demand!AI$3:AI$25*Capacity!$DI$3:$DI$25/(TRANSPOSE(Dists!$B20:$X20)*SUM(Capacity!$DI$3:$DI$25/TRANSPOSE(Dists!$B20:$X20))))</f>
        <v>1.71403926065916</v>
      </c>
      <c r="AJ21" s="4" t="n">
        <f aca="false" t="array" ref="AJ21:AJ21">SUM(Capacity!BD21*Demand!AJ$3:AJ$25*Capacity!$DI$3:$DI$25/(TRANSPOSE(Dists!$B20:$X20)*SUM(Capacity!$DI$3:$DI$25/TRANSPOSE(Dists!$B20:$X20))))</f>
        <v>5.30396808604203</v>
      </c>
      <c r="AK21" s="4" t="n">
        <f aca="false" t="array" ref="AK21:AK21">SUM(Capacity!BE21*Demand!AK$3:AK$25*Capacity!$DI$3:$DI$25/(TRANSPOSE(Dists!$B20:$X20)*SUM(Capacity!$DI$3:$DI$25/TRANSPOSE(Dists!$B20:$X20))))</f>
        <v>2.98190592283249</v>
      </c>
      <c r="AL21" s="4" t="n">
        <f aca="false" t="array" ref="AL21:AL21">SUM(Capacity!BF21*Demand!AL$3:AL$25*Capacity!$DI$3:$DI$25/(TRANSPOSE(Dists!$B20:$X20)*SUM(Capacity!$DI$3:$DI$25/TRANSPOSE(Dists!$B20:$X20))))</f>
        <v>1.91846673107099</v>
      </c>
      <c r="AM21" s="4" t="n">
        <f aca="false" t="array" ref="AM21:AM21">SUM(Capacity!BG21*Demand!AM$3:AM$25*Capacity!$DI$3:$DI$25/(TRANSPOSE(Dists!$B20:$X20)*SUM(Capacity!$DI$3:$DI$25/TRANSPOSE(Dists!$B20:$X20))))</f>
        <v>4.91181357564024</v>
      </c>
      <c r="AN21" s="4" t="n">
        <f aca="false" t="array" ref="AN21:AN21">SUM(Capacity!BH21*Demand!AN$3:AN$25*Capacity!$DI$3:$DI$25/(TRANSPOSE(Dists!$B20:$X20)*SUM(Capacity!$DI$3:$DI$25/TRANSPOSE(Dists!$B20:$X20))))</f>
        <v>3.05568270022361</v>
      </c>
      <c r="AO21" s="4" t="n">
        <f aca="false" t="array" ref="AO21:AO21">SUM(Capacity!BI21*Demand!AO$3:AO$25*Capacity!$DI$3:$DI$25/(TRANSPOSE(Dists!$B20:$X20)*SUM(Capacity!$DI$3:$DI$25/TRANSPOSE(Dists!$B20:$X20))))</f>
        <v>8.69390856087633</v>
      </c>
      <c r="AP21" s="4" t="n">
        <f aca="false" t="array" ref="AP21:AP21">SUM(Capacity!BJ21*Demand!AP$3:AP$25*Capacity!$DI$3:$DI$25/(TRANSPOSE(Dists!$B20:$X20)*SUM(Capacity!$DI$3:$DI$25/TRANSPOSE(Dists!$B20:$X20))))</f>
        <v>4.74788802646719</v>
      </c>
      <c r="AQ21" s="4" t="n">
        <f aca="false" t="array" ref="AQ21:AQ21">SUM(Capacity!BK21*Demand!AQ$3:AQ$25*Capacity!$DI$3:$DI$25/(TRANSPOSE(Dists!$B20:$X20)*SUM(Capacity!$DI$3:$DI$25/TRANSPOSE(Dists!$B20:$X20))))</f>
        <v>0.535212802903932</v>
      </c>
      <c r="AR21" s="4" t="n">
        <f aca="false" t="array" ref="AR21:AR21">SUM(Capacity!BL21*Demand!AR$3:AR$25*Capacity!$DI$3:$DI$25/(TRANSPOSE(Dists!$B20:$X20)*SUM(Capacity!$DI$3:$DI$25/TRANSPOSE(Dists!$B20:$X20))))</f>
        <v>0.748685219205736</v>
      </c>
      <c r="AS21" s="4" t="n">
        <f aca="false" t="array" ref="AS21:AS21">SUM(Capacity!BM21*Demand!AS$3:AS$25*Capacity!$DI$3:$DI$25/(TRANSPOSE(Dists!$B20:$X20)*SUM(Capacity!$DI$3:$DI$25/TRANSPOSE(Dists!$B20:$X20))))</f>
        <v>1.22405998224378</v>
      </c>
      <c r="AT21" s="4" t="n">
        <f aca="false" t="array" ref="AT21:AT21">SUM(Capacity!BN21*Demand!AT$3:AT$25*Capacity!$DI$3:$DI$25/(TRANSPOSE(Dists!$B20:$X20)*SUM(Capacity!$DI$3:$DI$25/TRANSPOSE(Dists!$B20:$X20))))</f>
        <v>14.8072333427413</v>
      </c>
      <c r="AU21" s="4" t="n">
        <f aca="false" t="array" ref="AU21:AU21">SUM(Capacity!BO21*Demand!AU$3:AU$25*Capacity!$DI$3:$DI$25/(TRANSPOSE(Dists!$B20:$X20)*SUM(Capacity!$DI$3:$DI$25/TRANSPOSE(Dists!$B20:$X20))))</f>
        <v>12.0742843300911</v>
      </c>
      <c r="AV21" s="4" t="n">
        <f aca="false" t="array" ref="AV21:AV21">SUM(Capacity!BP21*Demand!AV$3:AV$25*Capacity!$DI$3:$DI$25/(TRANSPOSE(Dists!$B20:$X20)*SUM(Capacity!$DI$3:$DI$25/TRANSPOSE(Dists!$B20:$X20))))</f>
        <v>0.545727437292911</v>
      </c>
      <c r="AW21" s="4" t="n">
        <f aca="false" t="array" ref="AW21:AW21">SUM(Capacity!BQ21*Demand!AW$3:AW$25*Capacity!$DI$3:$DI$25/(TRANSPOSE(Dists!$B20:$X20)*SUM(Capacity!$DI$3:$DI$25/TRANSPOSE(Dists!$B20:$X20))))</f>
        <v>10.4637652958995</v>
      </c>
      <c r="AX21" s="4" t="n">
        <f aca="false" t="array" ref="AX21:AX21">SUM(Capacity!BR21*Demand!AX$3:AX$25*Capacity!$DI$3:$DI$25/(TRANSPOSE(Dists!$B20:$X20)*SUM(Capacity!$DI$3:$DI$25/TRANSPOSE(Dists!$B20:$X20))))</f>
        <v>0.82871881474505</v>
      </c>
      <c r="AY21" s="4" t="n">
        <f aca="false" t="array" ref="AY21:AY21">SUM(Capacity!BS21*Demand!AY$3:AY$25*Capacity!$DI$3:$DI$25/(TRANSPOSE(Dists!$B20:$X20)*SUM(Capacity!$DI$3:$DI$25/TRANSPOSE(Dists!$B20:$X20))))</f>
        <v>1.83467699711839</v>
      </c>
      <c r="AZ21" s="4" t="n">
        <f aca="false" t="array" ref="AZ21:AZ21">SUM(Capacity!BT21*Demand!AZ$3:AZ$25*Capacity!$DI$3:$DI$25/(TRANSPOSE(Dists!$B20:$X20)*SUM(Capacity!$DI$3:$DI$25/TRANSPOSE(Dists!$B20:$X20))))</f>
        <v>11.1227238593807</v>
      </c>
      <c r="BA21" s="4" t="n">
        <f aca="false">L21*25/(2000*1000*51)</f>
        <v>0.041460439007127</v>
      </c>
      <c r="BB21" s="4" t="n">
        <f aca="false" t="array" ref="BB21:BB21">SUM(Capacity!BV21*Demand!BB$3:BB$25*Capacity!$DI$3:$DI$25/(TRANSPOSE(Dists!$B20:$X20)*SUM(Capacity!$DI$3:$DI$25/TRANSPOSE(Dists!$B20:$X20))))</f>
        <v>1.42479082253497</v>
      </c>
      <c r="BC21" s="4" t="n">
        <f aca="false" t="array" ref="BC21:BC21">SUM(Capacity!BW21*Demand!BC$3:BC$25*Capacity!$DI$3:$DI$25/(TRANSPOSE(Dists!$B20:$X20)*SUM(Capacity!$DI$3:$DI$25/TRANSPOSE(Dists!$B20:$X20))))</f>
        <v>1.06094392713723</v>
      </c>
      <c r="BD21" s="4" t="n">
        <f aca="false" t="array" ref="BD21:BD21">SUM(Capacity!BX21*Demand!BD$3:BD$25*Capacity!$DI$3:$DI$25/(TRANSPOSE(Dists!$B20:$X20)*SUM(Capacity!$DI$3:$DI$25/TRANSPOSE(Dists!$B20:$X20))))</f>
        <v>0.611604000324065</v>
      </c>
      <c r="BE21" s="4" t="n">
        <f aca="false" t="array" ref="BE21:BE21">SUM(Capacity!BY21*Demand!BE$3:BE$25*Capacity!$DI$3:$DI$25/(TRANSPOSE(Dists!$B20:$X20)*SUM(Capacity!$DI$3:$DI$25/TRANSPOSE(Dists!$B20:$X20))))</f>
        <v>0.427704463128155</v>
      </c>
      <c r="BF21" s="4" t="n">
        <f aca="false" t="array" ref="BF21:BF21">SUM(Capacity!BZ21*Demand!BF$3:BF$25*Capacity!$DI$3:$DI$25/(TRANSPOSE(Dists!$B20:$X20)*SUM(Capacity!$DI$3:$DI$25/TRANSPOSE(Dists!$B20:$X20))))</f>
        <v>7.49532836562622</v>
      </c>
      <c r="BG21" s="4" t="n">
        <f aca="false" t="array" ref="BG21:BG21">SUM(Capacity!CA21*Demand!BG$3:BG$25*Capacity!$DI$3:$DI$25/(TRANSPOSE(Dists!$B20:$X20)*SUM(Capacity!$DI$3:$DI$25/TRANSPOSE(Dists!$B20:$X20))))</f>
        <v>31.742155409284</v>
      </c>
      <c r="BH21" s="4" t="n">
        <f aca="false" t="array" ref="BH21:BH21">SUM(Capacity!CB21*Demand!BH$3:BH$25*Capacity!$DI$3:$DI$25/(TRANSPOSE(Dists!$B20:$X20)*SUM(Capacity!$DI$3:$DI$25/TRANSPOSE(Dists!$B20:$X20))))</f>
        <v>65.7579657182297</v>
      </c>
      <c r="BI21" s="4" t="n">
        <f aca="false" t="array" ref="BI21:BI21">SUM(Capacity!CC21*Demand!BI21*Capacity!$DI$3:$DI$25/(TRANSPOSE(Dists!$B20:$X20)*SUM(Capacity!$DI$3:$DI$25/TRANSPOSE(Dists!$B20:$X20))))</f>
        <v>126.597208817652</v>
      </c>
      <c r="BJ21" s="4" t="n">
        <f aca="false" t="array" ref="BJ21:BJ21">SUM(Capacity!CD21*Demand!BJ21*Capacity!$DI$3:$DI$25/(TRANSPOSE(Dists!$B20:$X20)*SUM(Capacity!$DI$3:$DI$25/TRANSPOSE(Dists!$B20:$X20))))</f>
        <v>1695.13431141348</v>
      </c>
      <c r="BK21" s="4" t="n">
        <f aca="false" t="array" ref="BK21:BK21">SUM(Capacity!CE21*Demand!BK21*Capacity!$DI$3:$DI$25/(TRANSPOSE(Dists!$B20:$X20)*SUM(Capacity!$DI$3:$DI$25/TRANSPOSE(Dists!$B20:$X20))))</f>
        <v>63.2986044088262</v>
      </c>
      <c r="BL21" s="4" t="n">
        <f aca="false" t="array" ref="BL21:BL21">SUM(Capacity!CF21*Demand!BL21*Capacity!$DI$3:$DI$25/(TRANSPOSE(Dists!$B20:$X20)*SUM(Capacity!$DI$3:$DI$25/TRANSPOSE(Dists!$B20:$X20))))</f>
        <v>63.9041328956605</v>
      </c>
      <c r="BM21" s="4" t="n">
        <f aca="false" t="array" ref="BM21:BM21">SUM(Capacity!CG21*Demand!BM21*Capacity!$DI$3:$DI$25/(TRANSPOSE(Dists!$B20:$X20)*SUM(Capacity!$DI$3:$DI$25/TRANSPOSE(Dists!$B20:$X20))))</f>
        <v>452.978094295833</v>
      </c>
      <c r="BN21" s="4" t="n">
        <f aca="false">MAX($BO21/0.006,$BP21/0.7,$BR21/0.002,$BS21/0.001)</f>
        <v>0.00130567995839793</v>
      </c>
      <c r="BO21" s="4" t="n">
        <f aca="false" t="array" ref="BO21:BO21">SUM(Capacity!CI21*Demand!BO21*Capacity!$DI$3:$DI$25/(TRANSPOSE(Dists!$B20:$X20)*SUM(Capacity!$DI$3:$DI$25/TRANSPOSE(Dists!$B20:$X20))))</f>
        <v>7.8340797503876E-006</v>
      </c>
      <c r="BP21" s="4" t="n">
        <f aca="false" t="array" ref="BP21:BP21">SUM(Capacity!CJ21*Demand!BP21*Capacity!$DI$3:$DI$25/(TRANSPOSE(Dists!$B20:$X20)*SUM(Capacity!$DI$3:$DI$25/TRANSPOSE(Dists!$B20:$X20))))</f>
        <v>9.5850610883796E-008</v>
      </c>
      <c r="BQ21" s="4" t="n">
        <f aca="false">BN21*0.65</f>
        <v>0.000848691972958657</v>
      </c>
      <c r="BR21" s="4" t="n">
        <f aca="false" t="array" ref="BR21:BR21">SUM(Capacity!CL21*Demand!BR21*Capacity!$DI$3:$DI$25/(TRANSPOSE(Dists!$B20:$X20)*SUM(Capacity!$DI$3:$DI$25/TRANSPOSE(Dists!$B20:$X20))))</f>
        <v>7.8340797503876E-007</v>
      </c>
      <c r="BS21" s="4" t="n">
        <f aca="false" t="array" ref="BS21:BS21">SUM(Capacity!CM21*Demand!BS21*Capacity!$DI$3:$DI$25/(TRANSPOSE(Dists!$B20:$X20)*SUM(Capacity!$DI$3:$DI$25/TRANSPOSE(Dists!$B20:$X20))))</f>
        <v>1.56681542670626E-007</v>
      </c>
      <c r="BT21" s="4" t="n">
        <f aca="false" t="array" ref="BT21:BT21">SUM(Capacity!CN21*Demand!BT21*Capacity!$DI$3:$DI$25/(TRANSPOSE(Dists!$B20:$X20)*SUM(Capacity!$DI$3:$DI$25/TRANSPOSE(Dists!$B20:$X20))))</f>
        <v>24.5014276018937</v>
      </c>
      <c r="BU21" s="4" t="n">
        <f aca="false" t="array" ref="BU21:BU21">SUM(Capacity!CO21*Demand!BU21*Capacity!$DI$3:$DI$25/(TRANSPOSE(Dists!$B20:$X20)*SUM(Capacity!$DI$3:$DI$25/TRANSPOSE(Dists!$B20:$X20))))</f>
        <v>2.45014276018937</v>
      </c>
      <c r="BV21" s="4" t="n">
        <f aca="false" t="array" ref="BV21:BV21">SUM(Capacity!CP21*Demand!BV21*Capacity!$DI$3:$DI$25/(TRANSPOSE(Dists!$B20:$X20)*SUM(Capacity!$DI$3:$DI$25/TRANSPOSE(Dists!$B20:$X20))))</f>
        <v>0.245014276018937</v>
      </c>
      <c r="BW21" s="4" t="n">
        <f aca="false">E49*2*8.34/6</f>
        <v>4169.37562732627</v>
      </c>
      <c r="BX21" s="4" t="n">
        <f aca="false" t="array" ref="BX21:BX21">SUM(Capacity!CR21*Demand!BX21*Capacity!$DI$3:$DI$25/(TRANSPOSE(Dists!$B20:$X20)*SUM(Capacity!$DI$3:$DI$25/TRANSPOSE(Dists!$B20:$X20))))</f>
        <v>29.9749291091377</v>
      </c>
      <c r="BY21" s="4" t="n">
        <f aca="false" t="array" ref="BY21:BY21">SUM(Capacity!CS21*Demand!BY21*Capacity!$DI$3:$DI$25/(TRANSPOSE(Dists!$B20:$X20)*SUM(Capacity!$DI$3:$DI$25/TRANSPOSE(Dists!$B20:$X20))))</f>
        <v>139.818782471488</v>
      </c>
      <c r="BZ21" s="4" t="n">
        <f aca="false" t="array" ref="BZ21:BZ21">SUM(Capacity!CT21*Demand!BZ21*Capacity!$DI$3:$DI$25/(TRANSPOSE(Dists!$B20:$X20)*SUM(Capacity!$DI$3:$DI$25/TRANSPOSE(Dists!$B20:$X20))))</f>
        <v>0.0293857742081886</v>
      </c>
      <c r="CA21" s="4" t="n">
        <f aca="false" t="array" ref="CA21:CA21">SUM(Capacity!CU21*Demand!CA21*Capacity!$DI$3:$DI$25/(TRANSPOSE(Dists!$B20:$X20)*SUM(Capacity!$DI$3:$DI$25/TRANSPOSE(Dists!$B20:$X20))))</f>
        <v>0.00885975916005457</v>
      </c>
      <c r="CB21" s="4" t="n">
        <f aca="false" t="array" ref="CB21:CB21">SUM(Capacity!CV21*Demand!CB21*Capacity!$DI$3:$DI$25/(TRANSPOSE(Dists!$B20:$X20)*SUM(Capacity!$DI$3:$DI$25/TRANSPOSE(Dists!$B20:$X20))))</f>
        <v>220.105661805338</v>
      </c>
      <c r="CC21" s="4" t="n">
        <f aca="false" t="array" ref="CC21:CC21">SUM(Capacity!CW21*Demand!CC21*Capacity!$DI$3:$DI$25/(TRANSPOSE(Dists!$B20:$X20)*SUM(Capacity!$DI$3:$DI$25/TRANSPOSE(Dists!$B20:$X20))))</f>
        <v>55.0426033013992</v>
      </c>
      <c r="CD21" s="4" t="n">
        <f aca="false">SUM($BG49,$BI49,$BK49)*Capacity!CX21/SUM(Capacity!$AM21:$AN21,Capacity!$CX21)</f>
        <v>147.523122081052</v>
      </c>
      <c r="CE21" s="4" t="n">
        <f aca="false" t="array" ref="CE21:CE21">SUM(Capacity!CY21*Demand!CE21*Capacity!$DI$3:$DI$25/(TRANSPOSE(Dists!$B20:$X20)*SUM(Capacity!$DI$3:$DI$25/TRANSPOSE(Dists!$B20:$X20))))</f>
        <v>60.6170482354904</v>
      </c>
      <c r="CF21" s="4" t="n">
        <f aca="false" t="array" ref="CF21:CF21">SUM(Capacity!CZ21*Demand!CF21*Capacity!$DI$3:$DI$25/(TRANSPOSE(Dists!$B20:$X20)*SUM(Capacity!$DI$3:$DI$25/TRANSPOSE(Dists!$B20:$X20))))</f>
        <v>12.8830467178334</v>
      </c>
      <c r="CG21" s="4" t="n">
        <f aca="false" t="array" ref="CG21:CG21">SUM(Capacity!DA21*Demand!CG21*Capacity!$DI$3:$DI$25/(TRANSPOSE(Dists!$B20:$X20)*SUM(Capacity!$DI$3:$DI$25/TRANSPOSE(Dists!$B20:$X20))))</f>
        <v>3.82660153527208E-006</v>
      </c>
      <c r="CH21" s="4" t="n">
        <f aca="false" t="array" ref="CH21:CH21">SUM(Capacity!DB21*Demand!CH21*Capacity!$DI$3:$DI$25/(TRANSPOSE(Dists!$B20:$X20)*SUM(Capacity!$DI$3:$DI$25/TRANSPOSE(Dists!$B20:$X20))))</f>
        <v>3.83348779192224E-006</v>
      </c>
      <c r="CI21" s="4" t="n">
        <f aca="false" t="array" ref="CI21:CI21">SUM(Capacity!DC21*Demand!CI21*Capacity!$DI$3:$DI$25/(TRANSPOSE(Dists!$B20:$X20)*SUM(Capacity!$DI$3:$DI$25/TRANSPOSE(Dists!$B20:$X20))))</f>
        <v>0.775625216496415</v>
      </c>
      <c r="CJ21" s="4" t="n">
        <f aca="false" t="array" ref="CJ21:CJ21">SUM(Capacity!DD21*Demand!CJ21*Capacity!$DI$3:$DI$25/(TRANSPOSE(Dists!$B20:$X20)*SUM(Capacity!$DI$3:$DI$25/TRANSPOSE(Dists!$B20:$X20))))</f>
        <v>0.210418264941412</v>
      </c>
      <c r="CK21" s="4" t="n">
        <f aca="false" t="array" ref="CK21:CK21">SUM(Capacity!DE21*Demand!CK21*Capacity!$DI$3:$DI$25/(TRANSPOSE(Dists!$B20:$X20)*SUM(Capacity!$DI$3:$DI$25/TRANSPOSE(Dists!$B20:$X20))))</f>
        <v>31.9926889188244</v>
      </c>
      <c r="CL21" s="7" t="s">
        <v>320</v>
      </c>
    </row>
    <row r="22" customFormat="false" ht="12.8" hidden="false" customHeight="false" outlineLevel="0" collapsed="false">
      <c r="A22" s="4" t="s">
        <v>157</v>
      </c>
      <c r="B22" s="7" t="s">
        <v>39</v>
      </c>
      <c r="C22" s="4" t="n">
        <f aca="false" t="array" ref="C22:C22">SUM(Capacity!S22*Demand!C22*Capacity!$DH$3:$DH$25/(TRANSPOSE(Dists!$B21:$X21)*SUM(Capacity!$DH$3:$DH$25/TRANSPOSE(Dists!$B21:$X21))))</f>
        <v>0.00300456523129678</v>
      </c>
      <c r="D22" s="4" t="n">
        <f aca="false" t="array" ref="D22:D22">SUM(Capacity!V22*Demand!D22*Capacity!$DH$3:$DH$25/(TRANSPOSE(Dists!$B21:$X21)*SUM(Capacity!$DH$3:$DH$25/TRANSPOSE(Dists!$B21:$X21))))</f>
        <v>192.952373534586</v>
      </c>
      <c r="E22" s="4" t="n">
        <f aca="false" t="array" ref="E22:E22">SUM(Capacity!Y22*Demand!E22*Capacity!$DH$3:$DH$25/(TRANSPOSE(Dists!$B21:$X21)*SUM(Capacity!$DH$3:$DH$25/TRANSPOSE(Dists!$B21:$X21))))</f>
        <v>124.792299709232</v>
      </c>
      <c r="F22" s="4" t="n">
        <f aca="false">$E22*Capacity!$M22/(2*(1-Capacity!$H$28)*Capacity!$H22)</f>
        <v>64.2003248939659</v>
      </c>
      <c r="G22" s="4" t="n">
        <f aca="false" t="array" ref="G22:G22">SUM(Capacity!AA22*Demand!G22*Capacity!$DH$3:$DH$25/(TRANSPOSE(Dists!$B21:$X21)*SUM(Capacity!$DH$3:$DH$25/TRANSPOSE(Dists!$B21:$X21))))</f>
        <v>80.6151859625048</v>
      </c>
      <c r="H22" s="4" t="n">
        <f aca="false" t="array" ref="H22:H22">SUM(Capacity!AB22*Demand!H22*Capacity!$DH$3:$DH$25/(TRANSPOSE(Dists!$B21:$X21)*SUM(Capacity!$DH$3:$DH$25/TRANSPOSE(Dists!$B21:$X21))))</f>
        <v>0.0526873752173341</v>
      </c>
      <c r="I22" s="4" t="n">
        <f aca="false" t="array" ref="I22:I22">SUM(Capacity!AC22*Demand!I$3:I$25*Capacity!$DG$3:$DG$25/(TRANSPOSE(Dists!$B21:$X21)*SUM(Capacity!$DG$3:$DG$25/TRANSPOSE(Dists!$B21:$X21))))</f>
        <v>1.99283979381894</v>
      </c>
      <c r="J22" s="4" t="n">
        <f aca="false" t="array" ref="J22:J22">SUM(Capacity!AD22*Demand!J$3:J$25*Capacity!$DG$3:$DG$25/(TRANSPOSE(Dists!$B21:$X21)*SUM(Capacity!$DG$3:$DG$25/TRANSPOSE(Dists!$B21:$X21))))</f>
        <v>2.22159182618106</v>
      </c>
      <c r="K22" s="4" t="n">
        <f aca="false">5479.45205479452*$R22</f>
        <v>378546.134030664</v>
      </c>
      <c r="L22" s="4" t="n">
        <f aca="false">17142.8571428571*$S22</f>
        <v>59340.2901745443</v>
      </c>
      <c r="M22" s="4" t="n">
        <f aca="false">IF(50420.1680672269*$T22&gt;($K22/20),50420.1680672269*$T22-($K22/20),0)</f>
        <v>78618.37577717</v>
      </c>
      <c r="N22" s="4" t="n">
        <f aca="false" t="array" ref="N22:N22">SUM(Capacity!AH22*Demand!N22*Capacity!$DH$3:$DH$25/(TRANSPOSE(Dists!$B21:$X21)*SUM(Capacity!$DH$3:$DH$25/TRANSPOSE(Dists!$B21:$X21))))</f>
        <v>80.5785579339112</v>
      </c>
      <c r="O22" s="4" t="n">
        <f aca="false">D50/0.8</f>
        <v>646.162275945161</v>
      </c>
      <c r="P22" s="4" t="n">
        <f aca="false">O22/0.8</f>
        <v>807.702844931451</v>
      </c>
      <c r="Q22" s="4" t="n">
        <f aca="false" t="array" ref="Q22:Q22">SUM(Capacity!AK22*Demand!Q22*Capacity!$DI$3:$DI$25/(TRANSPOSE(Dists!$B21:$X21)*SUM(Capacity!$DI$3:$DI$25/TRANSPOSE(Dists!$B21:$X21))))</f>
        <v>5.89430041692771</v>
      </c>
      <c r="R22" s="4" t="n">
        <f aca="false" t="array" ref="R22:R22">SUM(Capacity!AL22*Demand!R22*Capacity!$DH$3:$DH$25/(TRANSPOSE(Dists!$B21:$X21)*SUM(Capacity!$DH$3:$DH$25/TRANSPOSE(Dists!$B21:$X21))))</f>
        <v>69.0846694605961</v>
      </c>
      <c r="S22" s="4" t="n">
        <f aca="false">SUM($BG50,$BI50,$BK50)*Capacity!AM22/SUM(Capacity!$AM22:$AN22,Capacity!$CX22)</f>
        <v>3.46151692684843</v>
      </c>
      <c r="T22" s="4" t="n">
        <f aca="false">SUM($BG50,$BI50,$BK50)*Capacity!AN22/SUM(Capacity!$AM22:$AN22,Capacity!$CX22)</f>
        <v>1.93465603582761</v>
      </c>
      <c r="U22" s="4" t="n">
        <f aca="false">$M22*120*2/(16*1000*2000)</f>
        <v>0.589637818328775</v>
      </c>
      <c r="V22" s="4" t="n">
        <f aca="false" t="array" ref="V22:V22">SUM(Capacity!AP22*Demand!V$3:V$25*Capacity!$DH$3:$DH$25/(TRANSPOSE(Dists!$B21:$X21)*SUM(Capacity!$DH$3:$DH$25/TRANSPOSE(Dists!$B21:$X21))))</f>
        <v>32.7108805782173</v>
      </c>
      <c r="W22" s="4" t="n">
        <f aca="false" t="array" ref="W22:W22">SUM(Capacity!AQ22*Demand!W$3:W$25*Capacity!$DH$3:$DH$25/(TRANSPOSE(Dists!$B21:$X21)*SUM(Capacity!$DH$3:$DH$25/TRANSPOSE(Dists!$B21:$X21))))</f>
        <v>151.715058583147</v>
      </c>
      <c r="X22" s="4" t="n">
        <f aca="false" t="array" ref="X22:X22">SUM(Capacity!AR22*Demand!X$3:X$25*Capacity!$DH$3:$DH$25/(TRANSPOSE(Dists!$B21:$X21)*SUM(Capacity!$DH$3:$DH$25/TRANSPOSE(Dists!$B21:$X21))))</f>
        <v>399.255615015358</v>
      </c>
      <c r="Y22" s="4" t="n">
        <f aca="false">$L22*600*6/(90*1000*2000)</f>
        <v>1.18680580349089</v>
      </c>
      <c r="Z22" s="4" t="n">
        <f aca="false" t="array" ref="Z22:Z22">SUM(Capacity!AT22*Demand!Z$3:Z$25*Capacity!$DI$3:$DI$25/(TRANSPOSE(Dists!$B21:$X21)*SUM(Capacity!$DI$3:$DI$25/TRANSPOSE(Dists!$B21:$X21))))</f>
        <v>0.620239855868123</v>
      </c>
      <c r="AA22" s="4" t="n">
        <f aca="false" t="array" ref="AA22:AA22">SUM(Capacity!AU22*Demand!AA$3:AA$25*Capacity!$DI$3:$DI$25/(TRANSPOSE(Dists!$B21:$X21)*SUM(Capacity!$DI$3:$DI$25/TRANSPOSE(Dists!$B21:$X21))))</f>
        <v>7.709080676068</v>
      </c>
      <c r="AB22" s="4" t="n">
        <f aca="false" t="array" ref="AB22:AB22">SUM(Capacity!AV22*Demand!AB$3:AB$25*Capacity!$DI$3:$DI$25/(TRANSPOSE(Dists!$B21:$X21)*SUM(Capacity!$DI$3:$DI$25/TRANSPOSE(Dists!$B21:$X21))))</f>
        <v>8.38583332925873</v>
      </c>
      <c r="AC22" s="4" t="n">
        <f aca="false" t="array" ref="AC22:AC22">SUM(Capacity!AW22*Demand!AC$3:AC$25*Capacity!$DI$3:$DI$25/(TRANSPOSE(Dists!$B21:$X21)*SUM(Capacity!$DI$3:$DI$25/TRANSPOSE(Dists!$B21:$X21))))</f>
        <v>2.45814497553045</v>
      </c>
      <c r="AD22" s="4" t="n">
        <f aca="false" t="array" ref="AD22:AD22">SUM(Capacity!AX22*Demand!AD$3:AD$25*Capacity!$DI$3:$DI$25/(TRANSPOSE(Dists!$B21:$X21)*SUM(Capacity!$DI$3:$DI$25/TRANSPOSE(Dists!$B21:$X21))))</f>
        <v>1.37285032559571</v>
      </c>
      <c r="AE22" s="4" t="n">
        <f aca="false" t="array" ref="AE22:AE22">SUM(Capacity!AY22*Demand!AE$3:AE$25*Capacity!$DI$3:$DI$25/(TRANSPOSE(Dists!$B21:$X21)*SUM(Capacity!$DI$3:$DI$25/TRANSPOSE(Dists!$B21:$X21))))</f>
        <v>1.11310133131833</v>
      </c>
      <c r="AF22" s="4" t="n">
        <f aca="false" t="array" ref="AF22:AF22">SUM(Capacity!AZ22*Demand!AF$3:AF$25*Capacity!$DI$3:$DI$25/(TRANSPOSE(Dists!$B21:$X21)*SUM(Capacity!$DI$3:$DI$25/TRANSPOSE(Dists!$B21:$X21))))</f>
        <v>0.247890019076098</v>
      </c>
      <c r="AG22" s="4" t="n">
        <f aca="false" t="array" ref="AG22:AG22">SUM(Capacity!BA22*Demand!AG$3:AG$25*Capacity!$DI$3:$DI$25/(TRANSPOSE(Dists!$B21:$X21)*SUM(Capacity!$DI$3:$DI$25/TRANSPOSE(Dists!$B21:$X21))))</f>
        <v>1.01323460655855</v>
      </c>
      <c r="AH22" s="4" t="n">
        <f aca="false" t="array" ref="AH22:AH22">SUM(Capacity!BB22*Demand!AH$3:AH$25*Capacity!$DI$3:$DI$25/(TRANSPOSE(Dists!$B21:$X21)*SUM(Capacity!$DI$3:$DI$25/TRANSPOSE(Dists!$B21:$X21))))</f>
        <v>0.810608241865808</v>
      </c>
      <c r="AI22" s="4" t="n">
        <f aca="false" t="array" ref="AI22:AI22">SUM(Capacity!BC22*Demand!AI$3:AI$25*Capacity!$DI$3:$DI$25/(TRANSPOSE(Dists!$B21:$X21)*SUM(Capacity!$DI$3:$DI$25/TRANSPOSE(Dists!$B21:$X21))))</f>
        <v>0.108338610574219</v>
      </c>
      <c r="AJ22" s="4" t="n">
        <f aca="false" t="array" ref="AJ22:AJ22">SUM(Capacity!BD22*Demand!AJ$3:AJ$25*Capacity!$DI$3:$DI$25/(TRANSPOSE(Dists!$B21:$X21)*SUM(Capacity!$DI$3:$DI$25/TRANSPOSE(Dists!$B21:$X21))))</f>
        <v>0.332557021257257</v>
      </c>
      <c r="AK22" s="4" t="n">
        <f aca="false" t="array" ref="AK22:AK22">SUM(Capacity!BE22*Demand!AK$3:AK$25*Capacity!$DI$3:$DI$25/(TRANSPOSE(Dists!$B21:$X21)*SUM(Capacity!$DI$3:$DI$25/TRANSPOSE(Dists!$B21:$X21))))</f>
        <v>0.190450901725933</v>
      </c>
      <c r="AL22" s="4" t="n">
        <f aca="false" t="array" ref="AL22:AL22">SUM(Capacity!BF22*Demand!AL$3:AL$25*Capacity!$DI$3:$DI$25/(TRANSPOSE(Dists!$B21:$X21)*SUM(Capacity!$DI$3:$DI$25/TRANSPOSE(Dists!$B21:$X21))))</f>
        <v>0.129121854250213</v>
      </c>
      <c r="AM22" s="4" t="n">
        <f aca="false" t="array" ref="AM22:AM22">SUM(Capacity!BG22*Demand!AM$3:AM$25*Capacity!$DI$3:$DI$25/(TRANSPOSE(Dists!$B21:$X21)*SUM(Capacity!$DI$3:$DI$25/TRANSPOSE(Dists!$B21:$X21))))</f>
        <v>0.369425001208614</v>
      </c>
      <c r="AN22" s="4" t="n">
        <f aca="false" t="array" ref="AN22:AN22">SUM(Capacity!BH22*Demand!AN$3:AN$25*Capacity!$DI$3:$DI$25/(TRANSPOSE(Dists!$B21:$X21)*SUM(Capacity!$DI$3:$DI$25/TRANSPOSE(Dists!$B21:$X21))))</f>
        <v>0.196113595415279</v>
      </c>
      <c r="AO22" s="4" t="n">
        <f aca="false" t="array" ref="AO22:AO22">SUM(Capacity!BI22*Demand!AO$3:AO$25*Capacity!$DI$3:$DI$25/(TRANSPOSE(Dists!$B21:$X21)*SUM(Capacity!$DI$3:$DI$25/TRANSPOSE(Dists!$B21:$X21))))</f>
        <v>0.556963220129152</v>
      </c>
      <c r="AP22" s="4" t="n">
        <f aca="false" t="array" ref="AP22:AP22">SUM(Capacity!BJ22*Demand!AP$3:AP$25*Capacity!$DI$3:$DI$25/(TRANSPOSE(Dists!$B21:$X21)*SUM(Capacity!$DI$3:$DI$25/TRANSPOSE(Dists!$B21:$X21))))</f>
        <v>0.317556887022048</v>
      </c>
      <c r="AQ22" s="4" t="n">
        <f aca="false" t="array" ref="AQ22:AQ22">SUM(Capacity!BK22*Demand!AQ$3:AQ$25*Capacity!$DI$3:$DI$25/(TRANSPOSE(Dists!$B21:$X21)*SUM(Capacity!$DI$3:$DI$25/TRANSPOSE(Dists!$B21:$X21))))</f>
        <v>0.0319357605078413</v>
      </c>
      <c r="AR22" s="4" t="n">
        <f aca="false" t="array" ref="AR22:AR22">SUM(Capacity!BL22*Demand!AR$3:AR$25*Capacity!$DI$3:$DI$25/(TRANSPOSE(Dists!$B21:$X21)*SUM(Capacity!$DI$3:$DI$25/TRANSPOSE(Dists!$B21:$X21))))</f>
        <v>0.0543915800969833</v>
      </c>
      <c r="AS22" s="4" t="n">
        <f aca="false" t="array" ref="AS22:AS22">SUM(Capacity!BM22*Demand!AS$3:AS$25*Capacity!$DI$3:$DI$25/(TRANSPOSE(Dists!$B21:$X21)*SUM(Capacity!$DI$3:$DI$25/TRANSPOSE(Dists!$B21:$X21))))</f>
        <v>0.111832500710434</v>
      </c>
      <c r="AT22" s="4" t="n">
        <f aca="false" t="array" ref="AT22:AT22">SUM(Capacity!BN22*Demand!AT$3:AT$25*Capacity!$DI$3:$DI$25/(TRANSPOSE(Dists!$B21:$X21)*SUM(Capacity!$DI$3:$DI$25/TRANSPOSE(Dists!$B21:$X21))))</f>
        <v>1.10657105924299</v>
      </c>
      <c r="AU22" s="4" t="n">
        <f aca="false" t="array" ref="AU22:AU22">SUM(Capacity!BO22*Demand!AU$3:AU$25*Capacity!$DI$3:$DI$25/(TRANSPOSE(Dists!$B21:$X21)*SUM(Capacity!$DI$3:$DI$25/TRANSPOSE(Dists!$B21:$X21))))</f>
        <v>0.733455647543902</v>
      </c>
      <c r="AV22" s="4" t="n">
        <f aca="false" t="array" ref="AV22:AV22">SUM(Capacity!BP22*Demand!AV$3:AV$25*Capacity!$DI$3:$DI$25/(TRANSPOSE(Dists!$B21:$X21)*SUM(Capacity!$DI$3:$DI$25/TRANSPOSE(Dists!$B21:$X21))))</f>
        <v>0.0455483934212496</v>
      </c>
      <c r="AW22" s="4" t="n">
        <f aca="false" t="array" ref="AW22:AW22">SUM(Capacity!BQ22*Demand!AW$3:AW$25*Capacity!$DI$3:$DI$25/(TRANSPOSE(Dists!$B21:$X21)*SUM(Capacity!$DI$3:$DI$25/TRANSPOSE(Dists!$B21:$X21))))</f>
        <v>1.34115282640353</v>
      </c>
      <c r="AX22" s="4" t="n">
        <f aca="false" t="array" ref="AX22:AX22">SUM(Capacity!BR22*Demand!AX$3:AX$25*Capacity!$DI$3:$DI$25/(TRANSPOSE(Dists!$B21:$X21)*SUM(Capacity!$DI$3:$DI$25/TRANSPOSE(Dists!$B21:$X21))))</f>
        <v>0.141701927808682</v>
      </c>
      <c r="AY22" s="4" t="n">
        <f aca="false" t="array" ref="AY22:AY22">SUM(Capacity!BS22*Demand!AY$3:AY$25*Capacity!$DI$3:$DI$25/(TRANSPOSE(Dists!$B21:$X21)*SUM(Capacity!$DI$3:$DI$25/TRANSPOSE(Dists!$B21:$X21))))</f>
        <v>0.100889516542332</v>
      </c>
      <c r="AZ22" s="4" t="n">
        <f aca="false" t="array" ref="AZ22:AZ22">SUM(Capacity!BT22*Demand!AZ$3:AZ$25*Capacity!$DI$3:$DI$25/(TRANSPOSE(Dists!$B21:$X21)*SUM(Capacity!$DI$3:$DI$25/TRANSPOSE(Dists!$B21:$X21))))</f>
        <v>0.664465597089566</v>
      </c>
      <c r="BA22" s="4" t="n">
        <f aca="false">L22*25/(2000*1000*51)</f>
        <v>0.0145441887682707</v>
      </c>
      <c r="BB22" s="4" t="n">
        <f aca="false" t="array" ref="BB22:BB22">SUM(Capacity!BV22*Demand!BB$3:BB$25*Capacity!$DI$3:$DI$25/(TRANSPOSE(Dists!$B21:$X21)*SUM(Capacity!$DI$3:$DI$25/TRANSPOSE(Dists!$B21:$X21))))</f>
        <v>0.124607092030455</v>
      </c>
      <c r="BC22" s="4" t="n">
        <f aca="false" t="array" ref="BC22:BC22">SUM(Capacity!BW22*Demand!BC$3:BC$25*Capacity!$DI$3:$DI$25/(TRANSPOSE(Dists!$B21:$X21)*SUM(Capacity!$DI$3:$DI$25/TRANSPOSE(Dists!$B21:$X21))))</f>
        <v>0.0848922567052831</v>
      </c>
      <c r="BD22" s="4" t="n">
        <f aca="false" t="array" ref="BD22:BD22">SUM(Capacity!BX22*Demand!BD$3:BD$25*Capacity!$DI$3:$DI$25/(TRANSPOSE(Dists!$B21:$X21)*SUM(Capacity!$DI$3:$DI$25/TRANSPOSE(Dists!$B21:$X21))))</f>
        <v>0.0470488414564006</v>
      </c>
      <c r="BE22" s="4" t="n">
        <f aca="false" t="array" ref="BE22:BE22">SUM(Capacity!BY22*Demand!BE$3:BE$25*Capacity!$DI$3:$DI$25/(TRANSPOSE(Dists!$B21:$X21)*SUM(Capacity!$DI$3:$DI$25/TRANSPOSE(Dists!$B21:$X21))))</f>
        <v>0.0268238800193942</v>
      </c>
      <c r="BF22" s="4" t="n">
        <f aca="false" t="array" ref="BF22:BF22">SUM(Capacity!BZ22*Demand!BF$3:BF$25*Capacity!$DI$3:$DI$25/(TRANSPOSE(Dists!$B21:$X21)*SUM(Capacity!$DI$3:$DI$25/TRANSPOSE(Dists!$B21:$X21))))</f>
        <v>1.54548739317661</v>
      </c>
      <c r="BG22" s="4" t="n">
        <f aca="false" t="array" ref="BG22:BG22">SUM(Capacity!CA22*Demand!BG$3:BG$25*Capacity!$DI$3:$DI$25/(TRANSPOSE(Dists!$B21:$X21)*SUM(Capacity!$DI$3:$DI$25/TRANSPOSE(Dists!$B21:$X21))))</f>
        <v>4.80222235166155</v>
      </c>
      <c r="BH22" s="4" t="n">
        <f aca="false" t="array" ref="BH22:BH22">SUM(Capacity!CB22*Demand!BH$3:BH$25*Capacity!$DI$3:$DI$25/(TRANSPOSE(Dists!$B21:$X21)*SUM(Capacity!$DI$3:$DI$25/TRANSPOSE(Dists!$B21:$X21))))</f>
        <v>0.00207027143587615</v>
      </c>
      <c r="BI22" s="4" t="n">
        <f aca="false" t="array" ref="BI22:BI22">SUM(Capacity!CC22*Demand!BI22*Capacity!$DI$3:$DI$25/(TRANSPOSE(Dists!$B21:$X21)*SUM(Capacity!$DI$3:$DI$25/TRANSPOSE(Dists!$B21:$X21))))</f>
        <v>7.43606785446228</v>
      </c>
      <c r="BJ22" s="4" t="n">
        <f aca="false" t="array" ref="BJ22:BJ22">SUM(Capacity!CD22*Demand!BJ22*Capacity!$DI$3:$DI$25/(TRANSPOSE(Dists!$B21:$X21)*SUM(Capacity!$DI$3:$DI$25/TRANSPOSE(Dists!$B21:$X21))))</f>
        <v>318.503299615197</v>
      </c>
      <c r="BK22" s="4" t="n">
        <f aca="false" t="array" ref="BK22:BK22">SUM(Capacity!CE22*Demand!BK22*Capacity!$DI$3:$DI$25/(TRANSPOSE(Dists!$B21:$X21)*SUM(Capacity!$DI$3:$DI$25/TRANSPOSE(Dists!$B21:$X21))))</f>
        <v>3.71803392723114</v>
      </c>
      <c r="BL22" s="4" t="n">
        <f aca="false" t="array" ref="BL22:BL22">SUM(Capacity!CF22*Demand!BL22*Capacity!$DI$3:$DI$25/(TRANSPOSE(Dists!$B21:$X21)*SUM(Capacity!$DI$3:$DI$25/TRANSPOSE(Dists!$B21:$X21))))</f>
        <v>499.550429989965</v>
      </c>
      <c r="BM22" s="4" t="n">
        <f aca="false" t="array" ref="BM22:BM22">SUM(Capacity!CG22*Demand!BM22*Capacity!$DI$3:$DI$25/(TRANSPOSE(Dists!$B21:$X21)*SUM(Capacity!$DI$3:$DI$25/TRANSPOSE(Dists!$B21:$X21))))</f>
        <v>31.518228210504</v>
      </c>
      <c r="BN22" s="4" t="n">
        <f aca="false">MAX($BO22/0.006,$BP22/0.7,$BR22/0.002,$BS22/0.001)</f>
        <v>361.955716550224</v>
      </c>
      <c r="BO22" s="4" t="n">
        <f aca="false" t="array" ref="BO22:BO22">SUM(Capacity!CI22*Demand!BO22*Capacity!$DI$3:$DI$25/(TRANSPOSE(Dists!$B21:$X21)*SUM(Capacity!$DI$3:$DI$25/TRANSPOSE(Dists!$B21:$X21))))</f>
        <v>2.17173429930134</v>
      </c>
      <c r="BP22" s="4" t="n">
        <f aca="false" t="array" ref="BP22:BP22">SUM(Capacity!CJ22*Demand!BP22*Capacity!$DI$3:$DI$25/(TRANSPOSE(Dists!$B21:$X21)*SUM(Capacity!$DI$3:$DI$25/TRANSPOSE(Dists!$B21:$X21))))</f>
        <v>6.1342559837805</v>
      </c>
      <c r="BQ22" s="4" t="n">
        <f aca="false">BN22*0.65</f>
        <v>235.271215757645</v>
      </c>
      <c r="BR22" s="4" t="n">
        <f aca="false" t="array" ref="BR22:BR22">SUM(Capacity!CL22*Demand!BR22*Capacity!$DI$3:$DI$25/(TRANSPOSE(Dists!$B21:$X21)*SUM(Capacity!$DI$3:$DI$25/TRANSPOSE(Dists!$B21:$X21))))</f>
        <v>0.0723911433100448</v>
      </c>
      <c r="BS22" s="4" t="n">
        <f aca="false" t="array" ref="BS22:BS22">SUM(Capacity!CM22*Demand!BS22*Capacity!$DI$3:$DI$25/(TRANSPOSE(Dists!$B21:$X21)*SUM(Capacity!$DI$3:$DI$25/TRANSPOSE(Dists!$B21:$X21))))</f>
        <v>0.0072391124695618</v>
      </c>
      <c r="BT22" s="4" t="n">
        <f aca="false" t="array" ref="BT22:BT22">SUM(Capacity!CN22*Demand!BT22*Capacity!$DI$3:$DI$25/(TRANSPOSE(Dists!$B21:$X21)*SUM(Capacity!$DI$3:$DI$25/TRANSPOSE(Dists!$B21:$X21))))</f>
        <v>0.832711480691443</v>
      </c>
      <c r="BU22" s="4" t="n">
        <f aca="false" t="array" ref="BU22:BU22">SUM(Capacity!CO22*Demand!BU22*Capacity!$DI$3:$DI$25/(TRANSPOSE(Dists!$B21:$X21)*SUM(Capacity!$DI$3:$DI$25/TRANSPOSE(Dists!$B21:$X21))))</f>
        <v>0.0832711480691443</v>
      </c>
      <c r="BV22" s="4" t="n">
        <f aca="false" t="array" ref="BV22:BV22">SUM(Capacity!CP22*Demand!BV22*Capacity!$DI$3:$DI$25/(TRANSPOSE(Dists!$B21:$X21)*SUM(Capacity!$DI$3:$DI$25/TRANSPOSE(Dists!$B21:$X21))))</f>
        <v>0.00832711480691443</v>
      </c>
      <c r="BW22" s="4" t="n">
        <f aca="false">E50*2*8.34/6</f>
        <v>507.170814994494</v>
      </c>
      <c r="BX22" s="4" t="n">
        <f aca="false" t="array" ref="BX22:BX22">SUM(Capacity!CR22*Demand!BX22*Capacity!$DI$3:$DI$25/(TRANSPOSE(Dists!$B21:$X21)*SUM(Capacity!$DI$3:$DI$25/TRANSPOSE(Dists!$B21:$X21))))</f>
        <v>0.639655995463375</v>
      </c>
      <c r="BY22" s="4" t="n">
        <f aca="false" t="array" ref="BY22:BY22">SUM(Capacity!CS22*Demand!BY22*Capacity!$DI$3:$DI$25/(TRANSPOSE(Dists!$B21:$X21)*SUM(Capacity!$DI$3:$DI$25/TRANSPOSE(Dists!$B21:$X21))))</f>
        <v>4.74118595965715</v>
      </c>
      <c r="BZ22" s="4" t="n">
        <f aca="false" t="array" ref="BZ22:BZ22">SUM(Capacity!CT22*Demand!BZ22*Capacity!$DI$3:$DI$25/(TRANSPOSE(Dists!$B21:$X21)*SUM(Capacity!$DI$3:$DI$25/TRANSPOSE(Dists!$B21:$X21))))</f>
        <v>0.459932393966012</v>
      </c>
      <c r="CA22" s="4" t="n">
        <f aca="false" t="array" ref="CA22:CA22">SUM(Capacity!CU22*Demand!CA22*Capacity!$DI$3:$DI$25/(TRANSPOSE(Dists!$B21:$X21)*SUM(Capacity!$DI$3:$DI$25/TRANSPOSE(Dists!$B21:$X21))))</f>
        <v>0.0226375451058589</v>
      </c>
      <c r="CB22" s="4" t="n">
        <f aca="false" t="array" ref="CB22:CB22">SUM(Capacity!CV22*Demand!CB22*Capacity!$DI$3:$DI$25/(TRANSPOSE(Dists!$B21:$X21)*SUM(Capacity!$DI$3:$DI$25/TRANSPOSE(Dists!$B21:$X21))))</f>
        <v>266.837838424489</v>
      </c>
      <c r="CC22" s="4" t="n">
        <f aca="false" t="array" ref="CC22:CC22">SUM(Capacity!CW22*Demand!CC22*Capacity!$DI$3:$DI$25/(TRANSPOSE(Dists!$B21:$X21)*SUM(Capacity!$DI$3:$DI$25/TRANSPOSE(Dists!$B21:$X21))))</f>
        <v>694.708568261043</v>
      </c>
      <c r="CD22" s="4" t="n">
        <f aca="false">SUM($BG50,$BI50,$BK50)*Capacity!CX22/SUM(Capacity!$AM22:$AN22,Capacity!$CX22)</f>
        <v>22.3438456589468</v>
      </c>
      <c r="CE22" s="4" t="n">
        <f aca="false" t="array" ref="CE22:CE22">SUM(Capacity!CY22*Demand!CE22*Capacity!$DI$3:$DI$25/(TRANSPOSE(Dists!$B21:$X21)*SUM(Capacity!$DI$3:$DI$25/TRANSPOSE(Dists!$B21:$X21))))</f>
        <v>1.34684919405989</v>
      </c>
      <c r="CF22" s="4" t="n">
        <f aca="false" t="array" ref="CF22:CF22">SUM(Capacity!CZ22*Demand!CF22*Capacity!$DI$3:$DI$25/(TRANSPOSE(Dists!$B21:$X21)*SUM(Capacity!$DI$3:$DI$25/TRANSPOSE(Dists!$B21:$X21))))</f>
        <v>1095.42861218624</v>
      </c>
      <c r="CG22" s="4" t="n">
        <f aca="false" t="array" ref="CG22:CG22">SUM(Capacity!DA22*Demand!CG22*Capacity!$DI$3:$DI$25/(TRANSPOSE(Dists!$B21:$X21)*SUM(Capacity!$DI$3:$DI$25/TRANSPOSE(Dists!$B21:$X21))))</f>
        <v>3.57481156786943</v>
      </c>
      <c r="CH22" s="4" t="n">
        <f aca="false" t="array" ref="CH22:CH22">SUM(Capacity!DB22*Demand!CH22*Capacity!$DI$3:$DI$25/(TRANSPOSE(Dists!$B21:$X21)*SUM(Capacity!$DI$3:$DI$25/TRANSPOSE(Dists!$B21:$X21))))</f>
        <v>8.9186633747354</v>
      </c>
      <c r="CI22" s="4" t="n">
        <f aca="false" t="array" ref="CI22:CI22">SUM(Capacity!DC22*Demand!CI22*Capacity!$DI$3:$DI$25/(TRANSPOSE(Dists!$B21:$X21)*SUM(Capacity!$DI$3:$DI$25/TRANSPOSE(Dists!$B21:$X21))))</f>
        <v>0.119948532750994</v>
      </c>
      <c r="CJ22" s="4" t="n">
        <f aca="false" t="array" ref="CJ22:CJ22">SUM(Capacity!DD22*Demand!CJ22*Capacity!$DI$3:$DI$25/(TRANSPOSE(Dists!$B21:$X21)*SUM(Capacity!$DI$3:$DI$25/TRANSPOSE(Dists!$B21:$X21))))</f>
        <v>0.00516222465793917</v>
      </c>
      <c r="CK22" s="4" t="n">
        <f aca="false" t="array" ref="CK22:CK22">SUM(Capacity!DE22*Demand!CK22*Capacity!$DI$3:$DI$25/(TRANSPOSE(Dists!$B21:$X21)*SUM(Capacity!$DI$3:$DI$25/TRANSPOSE(Dists!$B21:$X21))))</f>
        <v>4.00531511362601</v>
      </c>
      <c r="CL22" s="7" t="s">
        <v>320</v>
      </c>
    </row>
    <row r="23" customFormat="false" ht="12.8" hidden="false" customHeight="false" outlineLevel="0" collapsed="false">
      <c r="A23" s="4" t="s">
        <v>158</v>
      </c>
      <c r="B23" s="7" t="s">
        <v>39</v>
      </c>
      <c r="C23" s="4" t="n">
        <f aca="false" t="array" ref="C23:C23">SUM(Capacity!S23*Demand!C23*Capacity!$DH$3:$DH$25/(TRANSPOSE(Dists!$B22:$X22)*SUM(Capacity!$DH$3:$DH$25/TRANSPOSE(Dists!$B22:$X22))))</f>
        <v>0.0230004254531308</v>
      </c>
      <c r="D23" s="4" t="n">
        <f aca="false" t="array" ref="D23:D23">SUM(Capacity!V23*Demand!D23*Capacity!$DH$3:$DH$25/(TRANSPOSE(Dists!$B22:$X22)*SUM(Capacity!$DH$3:$DH$25/TRANSPOSE(Dists!$B22:$X22))))</f>
        <v>2016.94953974268</v>
      </c>
      <c r="E23" s="4" t="n">
        <f aca="false" t="array" ref="E23:E23">SUM(Capacity!Y23*Demand!E23*Capacity!$DH$3:$DH$25/(TRANSPOSE(Dists!$B22:$X22)*SUM(Capacity!$DH$3:$DH$25/TRANSPOSE(Dists!$B22:$X22))))</f>
        <v>1247.96066675465</v>
      </c>
      <c r="F23" s="4" t="n">
        <f aca="false">$E23*Capacity!$M23/(2*(1-Capacity!$H$28)*Capacity!$H23)</f>
        <v>479.403184078737</v>
      </c>
      <c r="G23" s="4" t="n">
        <f aca="false" t="array" ref="G23:G23">SUM(Capacity!AA23*Demand!G23*Capacity!$DH$3:$DH$25/(TRANSPOSE(Dists!$B22:$X22)*SUM(Capacity!$DH$3:$DH$25/TRANSPOSE(Dists!$B22:$X22))))</f>
        <v>679.138296111932</v>
      </c>
      <c r="H23" s="4" t="n">
        <f aca="false" t="array" ref="H23:H23">SUM(Capacity!AB23*Demand!H23*Capacity!$DH$3:$DH$25/(TRANSPOSE(Dists!$B22:$X22)*SUM(Capacity!$DH$3:$DH$25/TRANSPOSE(Dists!$B22:$X22))))</f>
        <v>4.49394742128407</v>
      </c>
      <c r="I23" s="4" t="n">
        <f aca="false" t="array" ref="I23:I23">SUM(Capacity!AC23*Demand!I$3:I$25*Capacity!$DG$3:$DG$25/(TRANSPOSE(Dists!$B22:$X22)*SUM(Capacity!$DG$3:$DG$25/TRANSPOSE(Dists!$B22:$X22))))</f>
        <v>1.74096264664678</v>
      </c>
      <c r="J23" s="4" t="n">
        <f aca="false" t="array" ref="J23:J23">SUM(Capacity!AD23*Demand!J$3:J$25*Capacity!$DG$3:$DG$25/(TRANSPOSE(Dists!$B22:$X22)*SUM(Capacity!$DG$3:$DG$25/TRANSPOSE(Dists!$B22:$X22))))</f>
        <v>2.03864666335322</v>
      </c>
      <c r="K23" s="4" t="n">
        <f aca="false">5479.45205479452*$R23</f>
        <v>793564.67376339</v>
      </c>
      <c r="L23" s="4" t="n">
        <f aca="false">17142.8571428571*$S23</f>
        <v>124835.520071137</v>
      </c>
      <c r="M23" s="4" t="n">
        <f aca="false">IF(50420.1680672269*$T23&gt;($K23/20),50420.1680672269*$T23-($K23/20),0)</f>
        <v>165530.840401373</v>
      </c>
      <c r="N23" s="4" t="n">
        <f aca="false" t="array" ref="N23:N23">SUM(Capacity!AH23*Demand!N23*Capacity!$DH$3:$DH$25/(TRANSPOSE(Dists!$B22:$X22)*SUM(Capacity!$DH$3:$DH$25/TRANSPOSE(Dists!$B22:$X22))))</f>
        <v>1565.9182158243</v>
      </c>
      <c r="O23" s="4" t="n">
        <f aca="false">D51/0.8</f>
        <v>1971.55967670383</v>
      </c>
      <c r="P23" s="4" t="n">
        <f aca="false">O23/0.8</f>
        <v>2464.44959587978</v>
      </c>
      <c r="Q23" s="4" t="n">
        <f aca="false" t="array" ref="Q23:Q23">SUM(Capacity!AK23*Demand!Q23*Capacity!$DI$3:$DI$25/(TRANSPOSE(Dists!$B22:$X22)*SUM(Capacity!$DI$3:$DI$25/TRANSPOSE(Dists!$B22:$X22))))</f>
        <v>13.3690363821954</v>
      </c>
      <c r="R23" s="4" t="n">
        <f aca="false" t="array" ref="R23:R23">SUM(Capacity!AL23*Demand!R23*Capacity!$DH$3:$DH$25/(TRANSPOSE(Dists!$B22:$X22)*SUM(Capacity!$DH$3:$DH$25/TRANSPOSE(Dists!$B22:$X22))))</f>
        <v>144.825552961819</v>
      </c>
      <c r="S23" s="4" t="n">
        <f aca="false">SUM($BG51,$BI51,$BK51)*Capacity!AM23/SUM(Capacity!$AM23:$AN23,Capacity!$CX23)</f>
        <v>7.2820720041497</v>
      </c>
      <c r="T23" s="4" t="n">
        <f aca="false">SUM($BG51,$BI51,$BK51)*Capacity!AN23/SUM(Capacity!$AM23:$AN23,Capacity!$CX23)</f>
        <v>4.06997996944259</v>
      </c>
      <c r="U23" s="4" t="n">
        <f aca="false">$M23*120*2/(16*1000*2000)</f>
        <v>1.2414813030103</v>
      </c>
      <c r="V23" s="4" t="n">
        <f aca="false" t="array" ref="V23:V23">SUM(Capacity!AP23*Demand!V$3:V$25*Capacity!$DH$3:$DH$25/(TRANSPOSE(Dists!$B22:$X22)*SUM(Capacity!$DH$3:$DH$25/TRANSPOSE(Dists!$B22:$X22))))</f>
        <v>241.291843196475</v>
      </c>
      <c r="W23" s="4" t="n">
        <f aca="false" t="array" ref="W23:W23">SUM(Capacity!AQ23*Demand!W$3:W$25*Capacity!$DH$3:$DH$25/(TRANSPOSE(Dists!$B22:$X22)*SUM(Capacity!$DH$3:$DH$25/TRANSPOSE(Dists!$B22:$X22))))</f>
        <v>1063.70263893916</v>
      </c>
      <c r="X23" s="4" t="n">
        <f aca="false" t="array" ref="X23:X23">SUM(Capacity!AR23*Demand!X$3:X$25*Capacity!$DH$3:$DH$25/(TRANSPOSE(Dists!$B22:$X22)*SUM(Capacity!$DH$3:$DH$25/TRANSPOSE(Dists!$B22:$X22))))</f>
        <v>896.084839205614</v>
      </c>
      <c r="Y23" s="4" t="n">
        <f aca="false">$L23*600*6/(90*1000*2000)</f>
        <v>2.49671040142275</v>
      </c>
      <c r="Z23" s="4" t="n">
        <f aca="false" t="array" ref="Z23:Z23">SUM(Capacity!AT23*Demand!Z$3:Z$25*Capacity!$DI$3:$DI$25/(TRANSPOSE(Dists!$B22:$X22)*SUM(Capacity!$DI$3:$DI$25/TRANSPOSE(Dists!$B22:$X22))))</f>
        <v>42.5880281933431</v>
      </c>
      <c r="AA23" s="4" t="n">
        <f aca="false" t="array" ref="AA23:AA23">SUM(Capacity!AU23*Demand!AA$3:AA$25*Capacity!$DI$3:$DI$25/(TRANSPOSE(Dists!$B22:$X22)*SUM(Capacity!$DI$3:$DI$25/TRANSPOSE(Dists!$B22:$X22))))</f>
        <v>67.2608868069885</v>
      </c>
      <c r="AB23" s="4" t="n">
        <f aca="false" t="array" ref="AB23:AB23">SUM(Capacity!AV23*Demand!AB$3:AB$25*Capacity!$DI$3:$DI$25/(TRANSPOSE(Dists!$B22:$X22)*SUM(Capacity!$DI$3:$DI$25/TRANSPOSE(Dists!$B22:$X22))))</f>
        <v>63.2792290095775</v>
      </c>
      <c r="AC23" s="4" t="n">
        <f aca="false" t="array" ref="AC23:AC23">SUM(Capacity!AW23*Demand!AC$3:AC$25*Capacity!$DI$3:$DI$25/(TRANSPOSE(Dists!$B22:$X22)*SUM(Capacity!$DI$3:$DI$25/TRANSPOSE(Dists!$B22:$X22))))</f>
        <v>15.3696483313951</v>
      </c>
      <c r="AD23" s="4" t="n">
        <f aca="false" t="array" ref="AD23:AD23">SUM(Capacity!AX23*Demand!AD$3:AD$25*Capacity!$DI$3:$DI$25/(TRANSPOSE(Dists!$B22:$X22)*SUM(Capacity!$DI$3:$DI$25/TRANSPOSE(Dists!$B22:$X22))))</f>
        <v>10.3594844708084</v>
      </c>
      <c r="AE23" s="4" t="n">
        <f aca="false" t="array" ref="AE23:AE23">SUM(Capacity!AY23*Demand!AE$3:AE$25*Capacity!$DI$3:$DI$25/(TRANSPOSE(Dists!$B22:$X22)*SUM(Capacity!$DI$3:$DI$25/TRANSPOSE(Dists!$B22:$X22))))</f>
        <v>8.373871138076</v>
      </c>
      <c r="AF23" s="4" t="n">
        <f aca="false" t="array" ref="AF23:AF23">SUM(Capacity!AZ23*Demand!AF$3:AF$25*Capacity!$DI$3:$DI$25/(TRANSPOSE(Dists!$B22:$X22)*SUM(Capacity!$DI$3:$DI$25/TRANSPOSE(Dists!$B22:$X22))))</f>
        <v>1.37749683981729</v>
      </c>
      <c r="AG23" s="4" t="n">
        <f aca="false" t="array" ref="AG23:AG23">SUM(Capacity!BA23*Demand!AG$3:AG$25*Capacity!$DI$3:$DI$25/(TRANSPOSE(Dists!$B22:$X22)*SUM(Capacity!$DI$3:$DI$25/TRANSPOSE(Dists!$B22:$X22))))</f>
        <v>7.70469564875072</v>
      </c>
      <c r="AH23" s="4" t="n">
        <f aca="false" t="array" ref="AH23:AH23">SUM(Capacity!BB23*Demand!AH$3:AH$25*Capacity!$DI$3:$DI$25/(TRANSPOSE(Dists!$B22:$X22)*SUM(Capacity!$DI$3:$DI$25/TRANSPOSE(Dists!$B22:$X22))))</f>
        <v>5.11690757455362</v>
      </c>
      <c r="AI23" s="4" t="n">
        <f aca="false" t="array" ref="AI23:AI23">SUM(Capacity!BC23*Demand!AI$3:AI$25*Capacity!$DI$3:$DI$25/(TRANSPOSE(Dists!$B22:$X22)*SUM(Capacity!$DI$3:$DI$25/TRANSPOSE(Dists!$B22:$X22))))</f>
        <v>0.779707778169962</v>
      </c>
      <c r="AJ23" s="4" t="n">
        <f aca="false" t="array" ref="AJ23:AJ23">SUM(Capacity!BD23*Demand!AJ$3:AJ$25*Capacity!$DI$3:$DI$25/(TRANSPOSE(Dists!$B22:$X22)*SUM(Capacity!$DI$3:$DI$25/TRANSPOSE(Dists!$B22:$X22))))</f>
        <v>2.43440003091113</v>
      </c>
      <c r="AK23" s="4" t="n">
        <f aca="false" t="array" ref="AK23:AK23">SUM(Capacity!BE23*Demand!AK$3:AK$25*Capacity!$DI$3:$DI$25/(TRANSPOSE(Dists!$B22:$X22)*SUM(Capacity!$DI$3:$DI$25/TRANSPOSE(Dists!$B22:$X22))))</f>
        <v>1.27910842564926</v>
      </c>
      <c r="AL23" s="4" t="n">
        <f aca="false" t="array" ref="AL23:AL23">SUM(Capacity!BF23*Demand!AL$3:AL$25*Capacity!$DI$3:$DI$25/(TRANSPOSE(Dists!$B22:$X22)*SUM(Capacity!$DI$3:$DI$25/TRANSPOSE(Dists!$B22:$X22))))</f>
        <v>0.867026217826068</v>
      </c>
      <c r="AM23" s="4" t="n">
        <f aca="false" t="array" ref="AM23:AM23">SUM(Capacity!BG23*Demand!AM$3:AM$25*Capacity!$DI$3:$DI$25/(TRANSPOSE(Dists!$B22:$X22)*SUM(Capacity!$DI$3:$DI$25/TRANSPOSE(Dists!$B22:$X22))))</f>
        <v>2.24944541895015</v>
      </c>
      <c r="AN23" s="4" t="n">
        <f aca="false" t="array" ref="AN23:AN23">SUM(Capacity!BH23*Demand!AN$3:AN$25*Capacity!$DI$3:$DI$25/(TRANSPOSE(Dists!$B22:$X22)*SUM(Capacity!$DI$3:$DI$25/TRANSPOSE(Dists!$B22:$X22))))</f>
        <v>1.40763168624882</v>
      </c>
      <c r="AO23" s="4" t="n">
        <f aca="false" t="array" ref="AO23:AO23">SUM(Capacity!BI23*Demand!AO$3:AO$25*Capacity!$DI$3:$DI$25/(TRANSPOSE(Dists!$B22:$X22)*SUM(Capacity!$DI$3:$DI$25/TRANSPOSE(Dists!$B22:$X22))))</f>
        <v>3.86902048399322</v>
      </c>
      <c r="AP23" s="4" t="n">
        <f aca="false" t="array" ref="AP23:AP23">SUM(Capacity!BJ23*Demand!AP$3:AP$25*Capacity!$DI$3:$DI$25/(TRANSPOSE(Dists!$B22:$X22)*SUM(Capacity!$DI$3:$DI$25/TRANSPOSE(Dists!$B22:$X22))))</f>
        <v>2.21437173509318</v>
      </c>
      <c r="AQ23" s="4" t="n">
        <f aca="false" t="array" ref="AQ23:AQ23">SUM(Capacity!BK23*Demand!AQ$3:AQ$25*Capacity!$DI$3:$DI$25/(TRANSPOSE(Dists!$B22:$X22)*SUM(Capacity!$DI$3:$DI$25/TRANSPOSE(Dists!$B22:$X22))))</f>
        <v>0.243688933178387</v>
      </c>
      <c r="AR23" s="4" t="n">
        <f aca="false" t="array" ref="AR23:AR23">SUM(Capacity!BL23*Demand!AR$3:AR$25*Capacity!$DI$3:$DI$25/(TRANSPOSE(Dists!$B22:$X22)*SUM(Capacity!$DI$3:$DI$25/TRANSPOSE(Dists!$B22:$X22))))</f>
        <v>0.352158384176536</v>
      </c>
      <c r="AS23" s="4" t="n">
        <f aca="false" t="array" ref="AS23:AS23">SUM(Capacity!BM23*Demand!AS$3:AS$25*Capacity!$DI$3:$DI$25/(TRANSPOSE(Dists!$B22:$X22)*SUM(Capacity!$DI$3:$DI$25/TRANSPOSE(Dists!$B22:$X22))))</f>
        <v>0.52274550645837</v>
      </c>
      <c r="AT23" s="4" t="n">
        <f aca="false" t="array" ref="AT23:AT23">SUM(Capacity!BN23*Demand!AT$3:AT$25*Capacity!$DI$3:$DI$25/(TRANSPOSE(Dists!$B22:$X22)*SUM(Capacity!$DI$3:$DI$25/TRANSPOSE(Dists!$B22:$X22))))</f>
        <v>6.44628031346586</v>
      </c>
      <c r="AU23" s="4" t="n">
        <f aca="false" t="array" ref="AU23:AU23">SUM(Capacity!BO23*Demand!AU$3:AU$25*Capacity!$DI$3:$DI$25/(TRANSPOSE(Dists!$B22:$X22)*SUM(Capacity!$DI$3:$DI$25/TRANSPOSE(Dists!$B22:$X22))))</f>
        <v>5.97061525280129</v>
      </c>
      <c r="AV23" s="4" t="n">
        <f aca="false" t="array" ref="AV23:AV23">SUM(Capacity!BP23*Demand!AV$3:AV$25*Capacity!$DI$3:$DI$25/(TRANSPOSE(Dists!$B22:$X22)*SUM(Capacity!$DI$3:$DI$25/TRANSPOSE(Dists!$B22:$X22))))</f>
        <v>0.241024268873672</v>
      </c>
      <c r="AW23" s="4" t="n">
        <f aca="false" t="array" ref="AW23:AW23">SUM(Capacity!BQ23*Demand!AW$3:AW$25*Capacity!$DI$3:$DI$25/(TRANSPOSE(Dists!$B22:$X22)*SUM(Capacity!$DI$3:$DI$25/TRANSPOSE(Dists!$B22:$X22))))</f>
        <v>8.32563341831319</v>
      </c>
      <c r="AX23" s="4" t="n">
        <f aca="false" t="array" ref="AX23:AX23">SUM(Capacity!BR23*Demand!AX$3:AX$25*Capacity!$DI$3:$DI$25/(TRANSPOSE(Dists!$B22:$X22)*SUM(Capacity!$DI$3:$DI$25/TRANSPOSE(Dists!$B22:$X22))))</f>
        <v>0.658647748721557</v>
      </c>
      <c r="AY23" s="4" t="n">
        <f aca="false" t="array" ref="AY23:AY23">SUM(Capacity!BS23*Demand!AY$3:AY$25*Capacity!$DI$3:$DI$25/(TRANSPOSE(Dists!$B22:$X22)*SUM(Capacity!$DI$3:$DI$25/TRANSPOSE(Dists!$B22:$X22))))</f>
        <v>0.858644247616519</v>
      </c>
      <c r="AZ23" s="4" t="n">
        <f aca="false" t="array" ref="AZ23:AZ23">SUM(Capacity!BT23*Demand!AZ$3:AZ$25*Capacity!$DI$3:$DI$25/(TRANSPOSE(Dists!$B22:$X22)*SUM(Capacity!$DI$3:$DI$25/TRANSPOSE(Dists!$B22:$X22))))</f>
        <v>5.19291902372658</v>
      </c>
      <c r="BA23" s="4" t="n">
        <f aca="false">L23*25/(2000*1000*51)</f>
        <v>0.0305969411939062</v>
      </c>
      <c r="BB23" s="4" t="n">
        <f aca="false" t="array" ref="BB23:BB23">SUM(Capacity!BV23*Demand!BB$3:BB$25*Capacity!$DI$3:$DI$25/(TRANSPOSE(Dists!$B22:$X22)*SUM(Capacity!$DI$3:$DI$25/TRANSPOSE(Dists!$B22:$X22))))</f>
        <v>0.628497219401655</v>
      </c>
      <c r="BC23" s="4" t="n">
        <f aca="false" t="array" ref="BC23:BC23">SUM(Capacity!BW23*Demand!BC$3:BC$25*Capacity!$DI$3:$DI$25/(TRANSPOSE(Dists!$B22:$X22)*SUM(Capacity!$DI$3:$DI$25/TRANSPOSE(Dists!$B22:$X22))))</f>
        <v>0.460846325818293</v>
      </c>
      <c r="BD23" s="4" t="n">
        <f aca="false" t="array" ref="BD23:BD23">SUM(Capacity!BX23*Demand!BD$3:BD$25*Capacity!$DI$3:$DI$25/(TRANSPOSE(Dists!$B22:$X22)*SUM(Capacity!$DI$3:$DI$25/TRANSPOSE(Dists!$B22:$X22))))</f>
        <v>0.259672690470298</v>
      </c>
      <c r="BE23" s="4" t="n">
        <f aca="false" t="array" ref="BE23:BE23">SUM(Capacity!BY23*Demand!BE$3:BE$25*Capacity!$DI$3:$DI$25/(TRANSPOSE(Dists!$B22:$X22)*SUM(Capacity!$DI$3:$DI$25/TRANSPOSE(Dists!$B22:$X22))))</f>
        <v>0.192328571774642</v>
      </c>
      <c r="BF23" s="4" t="n">
        <f aca="false" t="array" ref="BF23:BF23">SUM(Capacity!BZ23*Demand!BF$3:BF$25*Capacity!$DI$3:$DI$25/(TRANSPOSE(Dists!$B22:$X22)*SUM(Capacity!$DI$3:$DI$25/TRANSPOSE(Dists!$B22:$X22))))</f>
        <v>5.51470584285393</v>
      </c>
      <c r="BG23" s="4" t="n">
        <f aca="false" t="array" ref="BG23:BG23">SUM(Capacity!CA23*Demand!BG$3:BG$25*Capacity!$DI$3:$DI$25/(TRANSPOSE(Dists!$B22:$X22)*SUM(Capacity!$DI$3:$DI$25/TRANSPOSE(Dists!$B22:$X22))))</f>
        <v>24.5085248721032</v>
      </c>
      <c r="BH23" s="4" t="n">
        <f aca="false" t="array" ref="BH23:BH23">SUM(Capacity!CB23*Demand!BH$3:BH$25*Capacity!$DI$3:$DI$25/(TRANSPOSE(Dists!$B22:$X22)*SUM(Capacity!$DI$3:$DI$25/TRANSPOSE(Dists!$B22:$X22))))</f>
        <v>51.2376281985315</v>
      </c>
      <c r="BI23" s="4" t="n">
        <f aca="false" t="array" ref="BI23:BI23">SUM(Capacity!CC23*Demand!BI23*Capacity!$DI$3:$DI$25/(TRANSPOSE(Dists!$B22:$X22)*SUM(Capacity!$DI$3:$DI$25/TRANSPOSE(Dists!$B22:$X22))))</f>
        <v>62.9351494018121</v>
      </c>
      <c r="BJ23" s="4" t="n">
        <f aca="false" t="array" ref="BJ23:BJ23">SUM(Capacity!CD23*Demand!BJ23*Capacity!$DI$3:$DI$25/(TRANSPOSE(Dists!$B22:$X22)*SUM(Capacity!$DI$3:$DI$25/TRANSPOSE(Dists!$B22:$X22))))</f>
        <v>2863.11140881904</v>
      </c>
      <c r="BK23" s="4" t="n">
        <f aca="false" t="array" ref="BK23:BK23">SUM(Capacity!CE23*Demand!BK23*Capacity!$DI$3:$DI$25/(TRANSPOSE(Dists!$B22:$X22)*SUM(Capacity!$DI$3:$DI$25/TRANSPOSE(Dists!$B22:$X22))))</f>
        <v>31.4675747009061</v>
      </c>
      <c r="BL23" s="4" t="n">
        <f aca="false" t="array" ref="BL23:BL23">SUM(Capacity!CF23*Demand!BL23*Capacity!$DI$3:$DI$25/(TRANSPOSE(Dists!$B22:$X22)*SUM(Capacity!$DI$3:$DI$25/TRANSPOSE(Dists!$B22:$X22))))</f>
        <v>1035.59469620335</v>
      </c>
      <c r="BM23" s="4" t="n">
        <f aca="false" t="array" ref="BM23:BM23">SUM(Capacity!CG23*Demand!BM23*Capacity!$DI$3:$DI$25/(TRANSPOSE(Dists!$B22:$X22)*SUM(Capacity!$DI$3:$DI$25/TRANSPOSE(Dists!$B22:$X22))))</f>
        <v>179.656626476915</v>
      </c>
      <c r="BN23" s="4" t="n">
        <f aca="false">MAX($BO23/0.006,$BP23/0.7,$BR23/0.002,$BS23/0.001)</f>
        <v>0.000516015497040069</v>
      </c>
      <c r="BO23" s="4" t="n">
        <f aca="false" t="array" ref="BO23:BO23">SUM(Capacity!CI23*Demand!BO23*Capacity!$DI$3:$DI$25/(TRANSPOSE(Dists!$B22:$X22)*SUM(Capacity!$DI$3:$DI$25/TRANSPOSE(Dists!$B22:$X22))))</f>
        <v>3.09609298224042E-006</v>
      </c>
      <c r="BP23" s="4" t="n">
        <f aca="false" t="array" ref="BP23:BP23">SUM(Capacity!CJ23*Demand!BP23*Capacity!$DI$3:$DI$25/(TRANSPOSE(Dists!$B22:$X22)*SUM(Capacity!$DI$3:$DI$25/TRANSPOSE(Dists!$B22:$X22))))</f>
        <v>5.40692425867934E-008</v>
      </c>
      <c r="BQ23" s="4" t="n">
        <f aca="false">BN23*0.65</f>
        <v>0.000335410073076045</v>
      </c>
      <c r="BR23" s="4" t="n">
        <f aca="false" t="array" ref="BR23:BR23">SUM(Capacity!CL23*Demand!BR23*Capacity!$DI$3:$DI$25/(TRANSPOSE(Dists!$B22:$X22)*SUM(Capacity!$DI$3:$DI$25/TRANSPOSE(Dists!$B22:$X22))))</f>
        <v>3.09609298224041E-007</v>
      </c>
      <c r="BS23" s="4" t="n">
        <f aca="false" t="array" ref="BS23:BS23">SUM(Capacity!CM23*Demand!BS23*Capacity!$DI$3:$DI$25/(TRANSPOSE(Dists!$B22:$X22)*SUM(Capacity!$DI$3:$DI$25/TRANSPOSE(Dists!$B22:$X22))))</f>
        <v>6.19218326423917E-008</v>
      </c>
      <c r="BT23" s="4" t="n">
        <f aca="false" t="array" ref="BT23:BT23">SUM(Capacity!CN23*Demand!BT23*Capacity!$DI$3:$DI$25/(TRANSPOSE(Dists!$B22:$X22)*SUM(Capacity!$DI$3:$DI$25/TRANSPOSE(Dists!$B22:$X22))))</f>
        <v>7.83754307870694</v>
      </c>
      <c r="BU23" s="4" t="n">
        <f aca="false" t="array" ref="BU23:BU23">SUM(Capacity!CO23*Demand!BU23*Capacity!$DI$3:$DI$25/(TRANSPOSE(Dists!$B22:$X22)*SUM(Capacity!$DI$3:$DI$25/TRANSPOSE(Dists!$B22:$X22))))</f>
        <v>0.783754307870693</v>
      </c>
      <c r="BV23" s="4" t="n">
        <f aca="false" t="array" ref="BV23:BV23">SUM(Capacity!CP23*Demand!BV23*Capacity!$DI$3:$DI$25/(TRANSPOSE(Dists!$B22:$X22)*SUM(Capacity!$DI$3:$DI$25/TRANSPOSE(Dists!$B22:$X22))))</f>
        <v>0.0783754307870694</v>
      </c>
      <c r="BW23" s="4" t="n">
        <f aca="false">E51*2*8.34/6</f>
        <v>2594.46858733823</v>
      </c>
      <c r="BX23" s="4" t="n">
        <f aca="false" t="array" ref="BX23:BX23">SUM(Capacity!CR23*Demand!BX23*Capacity!$DI$3:$DI$25/(TRANSPOSE(Dists!$B22:$X22)*SUM(Capacity!$DI$3:$DI$25/TRANSPOSE(Dists!$B22:$X22))))</f>
        <v>4.62743016805705</v>
      </c>
      <c r="BY23" s="4" t="n">
        <f aca="false" t="array" ref="BY23:BY23">SUM(Capacity!CS23*Demand!BY23*Capacity!$DI$3:$DI$25/(TRANSPOSE(Dists!$B22:$X22)*SUM(Capacity!$DI$3:$DI$25/TRANSPOSE(Dists!$B22:$X22))))</f>
        <v>111.358285773319</v>
      </c>
      <c r="BZ23" s="4" t="n">
        <f aca="false" t="array" ref="BZ23:BZ23">SUM(Capacity!CT23*Demand!BZ23*Capacity!$DI$3:$DI$25/(TRANSPOSE(Dists!$B22:$X22)*SUM(Capacity!$DI$3:$DI$25/TRANSPOSE(Dists!$B22:$X22))))</f>
        <v>1.43001692611561</v>
      </c>
      <c r="CA23" s="4" t="n">
        <f aca="false" t="array" ref="CA23:CA23">SUM(Capacity!CU23*Demand!CA23*Capacity!$DI$3:$DI$25/(TRANSPOSE(Dists!$B22:$X22)*SUM(Capacity!$DI$3:$DI$25/TRANSPOSE(Dists!$B22:$X22))))</f>
        <v>0.13727551757896</v>
      </c>
      <c r="CB23" s="4" t="n">
        <f aca="false" t="array" ref="CB23:CB23">SUM(Capacity!CV23*Demand!CB23*Capacity!$DI$3:$DI$25/(TRANSPOSE(Dists!$B22:$X22)*SUM(Capacity!$DI$3:$DI$25/TRANSPOSE(Dists!$B22:$X22))))</f>
        <v>406.024481090646</v>
      </c>
      <c r="CC23" s="4" t="n">
        <f aca="false" t="array" ref="CC23:CC23">SUM(Capacity!CW23*Demand!CC23*Capacity!$DI$3:$DI$25/(TRANSPOSE(Dists!$B22:$X22)*SUM(Capacity!$DI$3:$DI$25/TRANSPOSE(Dists!$B22:$X22))))</f>
        <v>2222.80903092724</v>
      </c>
      <c r="CD23" s="4" t="n">
        <f aca="false">SUM($BG51,$BI51,$BK51)*Capacity!CX23/SUM(Capacity!$AM23:$AN23,Capacity!$CX23)</f>
        <v>90.0189596896357</v>
      </c>
      <c r="CE23" s="4" t="n">
        <f aca="false" t="array" ref="CE23:CE23">SUM(Capacity!CY23*Demand!CE23*Capacity!$DI$3:$DI$25/(TRANSPOSE(Dists!$B22:$X22)*SUM(Capacity!$DI$3:$DI$25/TRANSPOSE(Dists!$B22:$X22))))</f>
        <v>1.2919229384182</v>
      </c>
      <c r="CF23" s="4" t="n">
        <f aca="false" t="array" ref="CF23:CF23">SUM(Capacity!CZ23*Demand!CF23*Capacity!$DI$3:$DI$25/(TRANSPOSE(Dists!$B22:$X22)*SUM(Capacity!$DI$3:$DI$25/TRANSPOSE(Dists!$B22:$X22))))</f>
        <v>1600.53564860295</v>
      </c>
      <c r="CG23" s="4" t="n">
        <f aca="false" t="array" ref="CG23:CG23">SUM(Capacity!DA23*Demand!CG23*Capacity!$DI$3:$DI$25/(TRANSPOSE(Dists!$B22:$X22)*SUM(Capacity!$DI$3:$DI$25/TRANSPOSE(Dists!$B22:$X22))))</f>
        <v>9.07799078287703E-005</v>
      </c>
      <c r="CH23" s="4" t="n">
        <f aca="false" t="array" ref="CH23:CH23">SUM(Capacity!DB23*Demand!CH23*Capacity!$DI$3:$DI$25/(TRANSPOSE(Dists!$B22:$X22)*SUM(Capacity!$DI$3:$DI$25/TRANSPOSE(Dists!$B22:$X22))))</f>
        <v>5.60230196101131E-005</v>
      </c>
      <c r="CI23" s="4" t="n">
        <f aca="false" t="array" ref="CI23:CI23">SUM(Capacity!DC23*Demand!CI23*Capacity!$DI$3:$DI$25/(TRANSPOSE(Dists!$B22:$X22)*SUM(Capacity!$DI$3:$DI$25/TRANSPOSE(Dists!$B22:$X22))))</f>
        <v>0.46845022214916</v>
      </c>
      <c r="CJ23" s="4" t="n">
        <f aca="false" t="array" ref="CJ23:CJ23">SUM(Capacity!DD23*Demand!CJ23*Capacity!$DI$3:$DI$25/(TRANSPOSE(Dists!$B22:$X22)*SUM(Capacity!$DI$3:$DI$25/TRANSPOSE(Dists!$B22:$X22))))</f>
        <v>0.210793781351652</v>
      </c>
      <c r="CK23" s="4" t="n">
        <f aca="false" t="array" ref="CK23:CK23">SUM(Capacity!DE23*Demand!CK23*Capacity!$DI$3:$DI$25/(TRANSPOSE(Dists!$B22:$X22)*SUM(Capacity!$DI$3:$DI$25/TRANSPOSE(Dists!$B22:$X22))))</f>
        <v>0.769514408866422</v>
      </c>
      <c r="CL23" s="7" t="s">
        <v>320</v>
      </c>
    </row>
    <row r="24" customFormat="false" ht="12.8" hidden="false" customHeight="false" outlineLevel="0" collapsed="false">
      <c r="A24" s="4" t="s">
        <v>159</v>
      </c>
      <c r="B24" s="7" t="s">
        <v>39</v>
      </c>
      <c r="C24" s="4" t="n">
        <f aca="false" t="array" ref="C24:C24">SUM(Capacity!S24*Demand!C24*Capacity!$DH$3:$DH$25/(TRANSPOSE(Dists!$B23:$X23)*SUM(Capacity!$DH$3:$DH$25/TRANSPOSE(Dists!$B23:$X23))))</f>
        <v>0.0033443694931165</v>
      </c>
      <c r="D24" s="4" t="n">
        <f aca="false" t="array" ref="D24:D24">SUM(Capacity!V24*Demand!D24*Capacity!$DH$3:$DH$25/(TRANSPOSE(Dists!$B23:$X23)*SUM(Capacity!$DH$3:$DH$25/TRANSPOSE(Dists!$B23:$X23))))</f>
        <v>232.018894860123</v>
      </c>
      <c r="E24" s="4" t="n">
        <f aca="false" t="array" ref="E24:E24">SUM(Capacity!Y24*Demand!E24*Capacity!$DH$3:$DH$25/(TRANSPOSE(Dists!$B23:$X23)*SUM(Capacity!$DH$3:$DH$25/TRANSPOSE(Dists!$B23:$X23))))</f>
        <v>68.2643927069403</v>
      </c>
      <c r="F24" s="4" t="n">
        <f aca="false">$E24*Capacity!$M24/(2*(1-Capacity!$H$28)*Capacity!$H24)</f>
        <v>22.2214820009571</v>
      </c>
      <c r="G24" s="4" t="n">
        <f aca="false" t="array" ref="G24:G24">SUM(Capacity!AA24*Demand!G24*Capacity!$DH$3:$DH$25/(TRANSPOSE(Dists!$B23:$X23)*SUM(Capacity!$DH$3:$DH$25/TRANSPOSE(Dists!$B23:$X23))))</f>
        <v>54.1642508214814</v>
      </c>
      <c r="H24" s="4" t="n">
        <f aca="false" t="array" ref="H24:H24">SUM(Capacity!AB24*Demand!H24*Capacity!$DH$3:$DH$25/(TRANSPOSE(Dists!$B23:$X23)*SUM(Capacity!$DH$3:$DH$25/TRANSPOSE(Dists!$B23:$X23))))</f>
        <v>0.137046869154421</v>
      </c>
      <c r="I24" s="4" t="n">
        <f aca="false" t="array" ref="I24:I24">SUM(Capacity!AC24*Demand!I$3:I$25*Capacity!$DG$3:$DG$25/(TRANSPOSE(Dists!$B23:$X23)*SUM(Capacity!$DG$3:$DG$25/TRANSPOSE(Dists!$B23:$X23))))</f>
        <v>1.71077058106135</v>
      </c>
      <c r="J24" s="4" t="n">
        <f aca="false" t="array" ref="J24:J24">SUM(Capacity!AD24*Demand!J$3:J$25*Capacity!$DG$3:$DG$25/(TRANSPOSE(Dists!$B23:$X23)*SUM(Capacity!$DG$3:$DG$25/TRANSPOSE(Dists!$B23:$X23))))</f>
        <v>1.63401641893865</v>
      </c>
      <c r="K24" s="4" t="n">
        <f aca="false">5479.45205479452*$R24</f>
        <v>272196.924099691</v>
      </c>
      <c r="L24" s="4" t="n">
        <f aca="false">17142.8571428571*$S24</f>
        <v>29912.4510192137</v>
      </c>
      <c r="M24" s="4" t="n">
        <f aca="false">IF(50420.1680672269*$T24&gt;($K24/20),50420.1680672269*$T24-($K24/20),0)</f>
        <v>35561.306155367</v>
      </c>
      <c r="N24" s="4" t="n">
        <f aca="false" t="array" ref="N24:N24">SUM(Capacity!AH24*Demand!N24*Capacity!$DH$3:$DH$25/(TRANSPOSE(Dists!$B23:$X23)*SUM(Capacity!$DH$3:$DH$25/TRANSPOSE(Dists!$B23:$X23))))</f>
        <v>94.2070961298566</v>
      </c>
      <c r="O24" s="4" t="n">
        <f aca="false">D52/0.8</f>
        <v>422.54364239915</v>
      </c>
      <c r="P24" s="4" t="n">
        <f aca="false">O24/0.8</f>
        <v>528.179552998938</v>
      </c>
      <c r="Q24" s="4" t="n">
        <f aca="false" t="array" ref="Q24:Q24">SUM(Capacity!AK24*Demand!Q24*Capacity!$DI$3:$DI$25/(TRANSPOSE(Dists!$B23:$X23)*SUM(Capacity!$DI$3:$DI$25/TRANSPOSE(Dists!$B23:$X23))))</f>
        <v>1.98544991637348</v>
      </c>
      <c r="R24" s="4" t="n">
        <f aca="false" t="array" ref="R24:R24">SUM(Capacity!AL24*Demand!R24*Capacity!$DH$3:$DH$25/(TRANSPOSE(Dists!$B23:$X23)*SUM(Capacity!$DH$3:$DH$25/TRANSPOSE(Dists!$B23:$X23))))</f>
        <v>49.6759386481936</v>
      </c>
      <c r="S24" s="4" t="n">
        <f aca="false">SUM($BG52,$BI52,$BK52)*Capacity!AM24/SUM(Capacity!$AM24:$AN24,Capacity!$CX24)</f>
        <v>1.7448929761208</v>
      </c>
      <c r="T24" s="4" t="n">
        <f aca="false">SUM($BG52,$BI52,$BK52)*Capacity!AN24/SUM(Capacity!$AM24:$AN24,Capacity!$CX24)</f>
        <v>0.975227855146972</v>
      </c>
      <c r="U24" s="4" t="n">
        <f aca="false">$M24*120*2/(16*1000*2000)</f>
        <v>0.266709796165252</v>
      </c>
      <c r="V24" s="4" t="n">
        <f aca="false" t="array" ref="V24:V24">SUM(Capacity!AP24*Demand!V$3:V$25*Capacity!$DH$3:$DH$25/(TRANSPOSE(Dists!$B23:$X23)*SUM(Capacity!$DH$3:$DH$25/TRANSPOSE(Dists!$B23:$X23))))</f>
        <v>28.0624207576243</v>
      </c>
      <c r="W24" s="4" t="n">
        <f aca="false" t="array" ref="W24:W24">SUM(Capacity!AQ24*Demand!W$3:W$25*Capacity!$DH$3:$DH$25/(TRANSPOSE(Dists!$B23:$X23)*SUM(Capacity!$DH$3:$DH$25/TRANSPOSE(Dists!$B23:$X23))))</f>
        <v>102.563604355064</v>
      </c>
      <c r="X24" s="4" t="n">
        <f aca="false" t="array" ref="X24:X24">SUM(Capacity!AR24*Demand!X$3:X$25*Capacity!$DH$3:$DH$25/(TRANSPOSE(Dists!$B23:$X23)*SUM(Capacity!$DH$3:$DH$25/TRANSPOSE(Dists!$B23:$X23))))</f>
        <v>360.606421423631</v>
      </c>
      <c r="Y24" s="4" t="n">
        <f aca="false">$L24*600*6/(90*1000*2000)</f>
        <v>0.598249020384274</v>
      </c>
      <c r="Z24" s="4" t="n">
        <f aca="false" t="array" ref="Z24:Z24">SUM(Capacity!AT24*Demand!Z$3:Z$25*Capacity!$DI$3:$DI$25/(TRANSPOSE(Dists!$B23:$X23)*SUM(Capacity!$DI$3:$DI$25/TRANSPOSE(Dists!$B23:$X23))))</f>
        <v>8.88299001361107</v>
      </c>
      <c r="AA24" s="4" t="n">
        <f aca="false" t="array" ref="AA24:AA24">SUM(Capacity!AU24*Demand!AA$3:AA$25*Capacity!$DI$3:$DI$25/(TRANSPOSE(Dists!$B23:$X23)*SUM(Capacity!$DI$3:$DI$25/TRANSPOSE(Dists!$B23:$X23))))</f>
        <v>5.34547969850028</v>
      </c>
      <c r="AB24" s="4" t="n">
        <f aca="false" t="array" ref="AB24:AB24">SUM(Capacity!AV24*Demand!AB$3:AB$25*Capacity!$DI$3:$DI$25/(TRANSPOSE(Dists!$B23:$X23)*SUM(Capacity!$DI$3:$DI$25/TRANSPOSE(Dists!$B23:$X23))))</f>
        <v>5.45603018709747</v>
      </c>
      <c r="AC24" s="4" t="n">
        <f aca="false" t="array" ref="AC24:AC24">SUM(Capacity!AW24*Demand!AC$3:AC$25*Capacity!$DI$3:$DI$25/(TRANSPOSE(Dists!$B23:$X23)*SUM(Capacity!$DI$3:$DI$25/TRANSPOSE(Dists!$B23:$X23))))</f>
        <v>1.45301065040058</v>
      </c>
      <c r="AD24" s="4" t="n">
        <f aca="false" t="array" ref="AD24:AD24">SUM(Capacity!AX24*Demand!AD$3:AD$25*Capacity!$DI$3:$DI$25/(TRANSPOSE(Dists!$B23:$X23)*SUM(Capacity!$DI$3:$DI$25/TRANSPOSE(Dists!$B23:$X23))))</f>
        <v>0.893210313718323</v>
      </c>
      <c r="AE24" s="4" t="n">
        <f aca="false" t="array" ref="AE24:AE24">SUM(Capacity!AY24*Demand!AE$3:AE$25*Capacity!$DI$3:$DI$25/(TRANSPOSE(Dists!$B23:$X23)*SUM(Capacity!$DI$3:$DI$25/TRANSPOSE(Dists!$B23:$X23))))</f>
        <v>0.676247506911706</v>
      </c>
      <c r="AF24" s="4" t="n">
        <f aca="false" t="array" ref="AF24:AF24">SUM(Capacity!AZ24*Demand!AF$3:AF$25*Capacity!$DI$3:$DI$25/(TRANSPOSE(Dists!$B23:$X23)*SUM(Capacity!$DI$3:$DI$25/TRANSPOSE(Dists!$B23:$X23))))</f>
        <v>0.154114495109159</v>
      </c>
      <c r="AG24" s="4" t="n">
        <f aca="false" t="array" ref="AG24:AG24">SUM(Capacity!BA24*Demand!AG$3:AG$25*Capacity!$DI$3:$DI$25/(TRANSPOSE(Dists!$B23:$X23)*SUM(Capacity!$DI$3:$DI$25/TRANSPOSE(Dists!$B23:$X23))))</f>
        <v>0.807816023407847</v>
      </c>
      <c r="AH24" s="4" t="n">
        <f aca="false" t="array" ref="AH24:AH24">SUM(Capacity!BB24*Demand!AH$3:AH$25*Capacity!$DI$3:$DI$25/(TRANSPOSE(Dists!$B23:$X23)*SUM(Capacity!$DI$3:$DI$25/TRANSPOSE(Dists!$B23:$X23))))</f>
        <v>0.592471233909905</v>
      </c>
      <c r="AI24" s="4" t="n">
        <f aca="false" t="array" ref="AI24:AI24">SUM(Capacity!BC24*Demand!AI$3:AI$25*Capacity!$DI$3:$DI$25/(TRANSPOSE(Dists!$B23:$X23)*SUM(Capacity!$DI$3:$DI$25/TRANSPOSE(Dists!$B23:$X23))))</f>
        <v>0.0692920884141156</v>
      </c>
      <c r="AJ24" s="4" t="n">
        <f aca="false" t="array" ref="AJ24:AJ24">SUM(Capacity!BD24*Demand!AJ$3:AJ$25*Capacity!$DI$3:$DI$25/(TRANSPOSE(Dists!$B23:$X23)*SUM(Capacity!$DI$3:$DI$25/TRANSPOSE(Dists!$B23:$X23))))</f>
        <v>0.22287559067701</v>
      </c>
      <c r="AK24" s="4" t="n">
        <f aca="false" t="array" ref="AK24:AK24">SUM(Capacity!BE24*Demand!AK$3:AK$25*Capacity!$DI$3:$DI$25/(TRANSPOSE(Dists!$B23:$X23)*SUM(Capacity!$DI$3:$DI$25/TRANSPOSE(Dists!$B23:$X23))))</f>
        <v>0.119115909812557</v>
      </c>
      <c r="AL24" s="4" t="n">
        <f aca="false" t="array" ref="AL24:AL24">SUM(Capacity!BF24*Demand!AL$3:AL$25*Capacity!$DI$3:$DI$25/(TRANSPOSE(Dists!$B23:$X23)*SUM(Capacity!$DI$3:$DI$25/TRANSPOSE(Dists!$B23:$X23))))</f>
        <v>0.0818642740363301</v>
      </c>
      <c r="AM24" s="4" t="n">
        <f aca="false" t="array" ref="AM24:AM24">SUM(Capacity!BG24*Demand!AM$3:AM$25*Capacity!$DI$3:$DI$25/(TRANSPOSE(Dists!$B23:$X23)*SUM(Capacity!$DI$3:$DI$25/TRANSPOSE(Dists!$B23:$X23))))</f>
        <v>0.195297265550246</v>
      </c>
      <c r="AN24" s="4" t="n">
        <f aca="false" t="array" ref="AN24:AN24">SUM(Capacity!BH24*Demand!AN$3:AN$25*Capacity!$DI$3:$DI$25/(TRANSPOSE(Dists!$B23:$X23)*SUM(Capacity!$DI$3:$DI$25/TRANSPOSE(Dists!$B23:$X23))))</f>
        <v>0.167030352638535</v>
      </c>
      <c r="AO24" s="4" t="n">
        <f aca="false" t="array" ref="AO24:AO24">SUM(Capacity!BI24*Demand!AO$3:AO$25*Capacity!$DI$3:$DI$25/(TRANSPOSE(Dists!$B23:$X23)*SUM(Capacity!$DI$3:$DI$25/TRANSPOSE(Dists!$B23:$X23))))</f>
        <v>0.389522842852371</v>
      </c>
      <c r="AP24" s="4" t="n">
        <f aca="false" t="array" ref="AP24:AP24">SUM(Capacity!BJ24*Demand!AP$3:AP$25*Capacity!$DI$3:$DI$25/(TRANSPOSE(Dists!$B23:$X23)*SUM(Capacity!$DI$3:$DI$25/TRANSPOSE(Dists!$B23:$X23))))</f>
        <v>0.234146424198358</v>
      </c>
      <c r="AQ24" s="4" t="n">
        <f aca="false" t="array" ref="AQ24:AQ24">SUM(Capacity!BK24*Demand!AQ$3:AQ$25*Capacity!$DI$3:$DI$25/(TRANSPOSE(Dists!$B23:$X23)*SUM(Capacity!$DI$3:$DI$25/TRANSPOSE(Dists!$B23:$X23))))</f>
        <v>0.0230505708816051</v>
      </c>
      <c r="AR24" s="4" t="n">
        <f aca="false" t="array" ref="AR24:AR24">SUM(Capacity!BL24*Demand!AR$3:AR$25*Capacity!$DI$3:$DI$25/(TRANSPOSE(Dists!$B23:$X23)*SUM(Capacity!$DI$3:$DI$25/TRANSPOSE(Dists!$B23:$X23))))</f>
        <v>0.031452927955135</v>
      </c>
      <c r="AS24" s="4" t="n">
        <f aca="false" t="array" ref="AS24:AS24">SUM(Capacity!BM24*Demand!AS$3:AS$25*Capacity!$DI$3:$DI$25/(TRANSPOSE(Dists!$B23:$X23)*SUM(Capacity!$DI$3:$DI$25/TRANSPOSE(Dists!$B23:$X23))))</f>
        <v>0.065113160471157</v>
      </c>
      <c r="AT24" s="4" t="n">
        <f aca="false" t="array" ref="AT24:AT24">SUM(Capacity!BN24*Demand!AT$3:AT$25*Capacity!$DI$3:$DI$25/(TRANSPOSE(Dists!$B23:$X23)*SUM(Capacity!$DI$3:$DI$25/TRANSPOSE(Dists!$B23:$X23))))</f>
        <v>0.792507835964671</v>
      </c>
      <c r="AU24" s="4" t="n">
        <f aca="false" t="array" ref="AU24:AU24">SUM(Capacity!BO24*Demand!AU$3:AU$25*Capacity!$DI$3:$DI$25/(TRANSPOSE(Dists!$B23:$X23)*SUM(Capacity!$DI$3:$DI$25/TRANSPOSE(Dists!$B23:$X23))))</f>
        <v>0.77453898542872</v>
      </c>
      <c r="AV24" s="4" t="n">
        <f aca="false" t="array" ref="AV24:AV24">SUM(Capacity!BP24*Demand!AV$3:AV$25*Capacity!$DI$3:$DI$25/(TRANSPOSE(Dists!$B23:$X23)*SUM(Capacity!$DI$3:$DI$25/TRANSPOSE(Dists!$B23:$X23))))</f>
        <v>0.0239915769489789</v>
      </c>
      <c r="AW24" s="4" t="n">
        <f aca="false" t="array" ref="AW24:AW24">SUM(Capacity!BQ24*Demand!AW$3:AW$25*Capacity!$DI$3:$DI$25/(TRANSPOSE(Dists!$B23:$X23)*SUM(Capacity!$DI$3:$DI$25/TRANSPOSE(Dists!$B23:$X23))))</f>
        <v>0.792641486965742</v>
      </c>
      <c r="AX24" s="4" t="n">
        <f aca="false" t="array" ref="AX24:AX24">SUM(Capacity!BR24*Demand!AX$3:AX$25*Capacity!$DI$3:$DI$25/(TRANSPOSE(Dists!$B23:$X23)*SUM(Capacity!$DI$3:$DI$25/TRANSPOSE(Dists!$B23:$X23))))</f>
        <v>0.0895848480985091</v>
      </c>
      <c r="AY24" s="4" t="n">
        <f aca="false" t="array" ref="AY24:AY24">SUM(Capacity!BS24*Demand!AY$3:AY$25*Capacity!$DI$3:$DI$25/(TRANSPOSE(Dists!$B23:$X23)*SUM(Capacity!$DI$3:$DI$25/TRANSPOSE(Dists!$B23:$X23))))</f>
        <v>0.0687114233775392</v>
      </c>
      <c r="AZ24" s="4" t="n">
        <f aca="false" t="array" ref="AZ24:AZ24">SUM(Capacity!BT24*Demand!AZ$3:AZ$25*Capacity!$DI$3:$DI$25/(TRANSPOSE(Dists!$B23:$X23)*SUM(Capacity!$DI$3:$DI$25/TRANSPOSE(Dists!$B23:$X23))))</f>
        <v>0.43832817563065</v>
      </c>
      <c r="BA24" s="4" t="n">
        <f aca="false">L24*25/(2000*1000*51)</f>
        <v>0.00733148309294453</v>
      </c>
      <c r="BB24" s="4" t="n">
        <f aca="false" t="array" ref="BB24:BB24">SUM(Capacity!BV24*Demand!BB$3:BB$25*Capacity!$DI$3:$DI$25/(TRANSPOSE(Dists!$B23:$X23)*SUM(Capacity!$DI$3:$DI$25/TRANSPOSE(Dists!$B23:$X23))))</f>
        <v>0.0646706717589268</v>
      </c>
      <c r="BC24" s="4" t="n">
        <f aca="false" t="array" ref="BC24:BC24">SUM(Capacity!BW24*Demand!BC$3:BC$25*Capacity!$DI$3:$DI$25/(TRANSPOSE(Dists!$B23:$X23)*SUM(Capacity!$DI$3:$DI$25/TRANSPOSE(Dists!$B23:$X23))))</f>
        <v>0.0523715688253335</v>
      </c>
      <c r="BD24" s="4" t="n">
        <f aca="false" t="array" ref="BD24:BD24">SUM(Capacity!BX24*Demand!BD$3:BD$25*Capacity!$DI$3:$DI$25/(TRANSPOSE(Dists!$B23:$X23)*SUM(Capacity!$DI$3:$DI$25/TRANSPOSE(Dists!$B23:$X23))))</f>
        <v>0.0267176781145097</v>
      </c>
      <c r="BE24" s="4" t="n">
        <f aca="false" t="array" ref="BE24:BE24">SUM(Capacity!BY24*Demand!BE$3:BE$25*Capacity!$DI$3:$DI$25/(TRANSPOSE(Dists!$B23:$X23)*SUM(Capacity!$DI$3:$DI$25/TRANSPOSE(Dists!$B23:$X23))))</f>
        <v>0.0226230758830506</v>
      </c>
      <c r="BF24" s="4" t="n">
        <f aca="false" t="array" ref="BF24:BF24">SUM(Capacity!BZ24*Demand!BF$3:BF$25*Capacity!$DI$3:$DI$25/(TRANSPOSE(Dists!$B23:$X23)*SUM(Capacity!$DI$3:$DI$25/TRANSPOSE(Dists!$B23:$X23))))</f>
        <v>0.708833832833415</v>
      </c>
      <c r="BG24" s="4" t="n">
        <f aca="false" t="array" ref="BG24:BG24">SUM(Capacity!CA24*Demand!BG$3:BG$25*Capacity!$DI$3:$DI$25/(TRANSPOSE(Dists!$B23:$X23)*SUM(Capacity!$DI$3:$DI$25/TRANSPOSE(Dists!$B23:$X23))))</f>
        <v>2.61083936033237</v>
      </c>
      <c r="BH24" s="4" t="n">
        <f aca="false" t="array" ref="BH24:BH24">SUM(Capacity!CB24*Demand!BH$3:BH$25*Capacity!$DI$3:$DI$25/(TRANSPOSE(Dists!$B23:$X23)*SUM(Capacity!$DI$3:$DI$25/TRANSPOSE(Dists!$B23:$X23))))</f>
        <v>5.14550861073004</v>
      </c>
      <c r="BI24" s="4" t="n">
        <f aca="false" t="array" ref="BI24:BI24">SUM(Capacity!CC24*Demand!BI24*Capacity!$DI$3:$DI$25/(TRANSPOSE(Dists!$B23:$X23)*SUM(Capacity!$DI$3:$DI$25/TRANSPOSE(Dists!$B23:$X23))))</f>
        <v>1.84703953151313</v>
      </c>
      <c r="BJ24" s="4" t="n">
        <f aca="false" t="array" ref="BJ24:BJ24">SUM(Capacity!CD24*Demand!BJ24*Capacity!$DI$3:$DI$25/(TRANSPOSE(Dists!$B23:$X23)*SUM(Capacity!$DI$3:$DI$25/TRANSPOSE(Dists!$B23:$X23))))</f>
        <v>178.373106661745</v>
      </c>
      <c r="BK24" s="4" t="n">
        <f aca="false" t="array" ref="BK24:BK24">SUM(Capacity!CE24*Demand!BK24*Capacity!$DI$3:$DI$25/(TRANSPOSE(Dists!$B23:$X23)*SUM(Capacity!$DI$3:$DI$25/TRANSPOSE(Dists!$B23:$X23))))</f>
        <v>0.923519765756564</v>
      </c>
      <c r="BL24" s="4" t="n">
        <f aca="false" t="array" ref="BL24:BL24">SUM(Capacity!CF24*Demand!BL24*Capacity!$DI$3:$DI$25/(TRANSPOSE(Dists!$B23:$X23)*SUM(Capacity!$DI$3:$DI$25/TRANSPOSE(Dists!$B23:$X23))))</f>
        <v>218.103431510533</v>
      </c>
      <c r="BM24" s="4" t="n">
        <f aca="false" t="array" ref="BM24:BM24">SUM(Capacity!CG24*Demand!BM24*Capacity!$DI$3:$DI$25/(TRANSPOSE(Dists!$B23:$X23)*SUM(Capacity!$DI$3:$DI$25/TRANSPOSE(Dists!$B23:$X23))))</f>
        <v>6.12966106752454</v>
      </c>
      <c r="BN24" s="4" t="n">
        <f aca="false">MAX($BO24/0.006,$BP24/0.7,$BR24/0.002,$BS24/0.001)</f>
        <v>3.75915732174716E-005</v>
      </c>
      <c r="BO24" s="4" t="n">
        <f aca="false" t="array" ref="BO24:BO24">SUM(Capacity!CI24*Demand!BO24*Capacity!$DI$3:$DI$25/(TRANSPOSE(Dists!$B23:$X23)*SUM(Capacity!$DI$3:$DI$25/TRANSPOSE(Dists!$B23:$X23))))</f>
        <v>2.2554943930483E-007</v>
      </c>
      <c r="BP24" s="4" t="n">
        <f aca="false" t="array" ref="BP24:BP24">SUM(Capacity!CJ24*Demand!BP24*Capacity!$DI$3:$DI$25/(TRANSPOSE(Dists!$B23:$X23)*SUM(Capacity!$DI$3:$DI$25/TRANSPOSE(Dists!$B23:$X23))))</f>
        <v>8.59908431852102E-009</v>
      </c>
      <c r="BQ24" s="4" t="n">
        <f aca="false">BN24*0.65</f>
        <v>2.44345225913566E-005</v>
      </c>
      <c r="BR24" s="4" t="n">
        <f aca="false" t="array" ref="BR24:BR24">SUM(Capacity!CL24*Demand!BR24*Capacity!$DI$3:$DI$25/(TRANSPOSE(Dists!$B23:$X23)*SUM(Capacity!$DI$3:$DI$25/TRANSPOSE(Dists!$B23:$X23))))</f>
        <v>2.2554943930483E-008</v>
      </c>
      <c r="BS24" s="4" t="n">
        <f aca="false" t="array" ref="BS24:BS24">SUM(Capacity!CM24*Demand!BS24*Capacity!$DI$3:$DI$25/(TRANSPOSE(Dists!$B23:$X23)*SUM(Capacity!$DI$3:$DI$25/TRANSPOSE(Dists!$B23:$X23))))</f>
        <v>4.51098625083618E-009</v>
      </c>
      <c r="BT24" s="4" t="n">
        <f aca="false" t="array" ref="BT24:BT24">SUM(Capacity!CN24*Demand!BT24*Capacity!$DI$3:$DI$25/(TRANSPOSE(Dists!$B23:$X23)*SUM(Capacity!$DI$3:$DI$25/TRANSPOSE(Dists!$B23:$X23))))</f>
        <v>0.372031862293047</v>
      </c>
      <c r="BU24" s="4" t="n">
        <f aca="false" t="array" ref="BU24:BU24">SUM(Capacity!CO24*Demand!BU24*Capacity!$DI$3:$DI$25/(TRANSPOSE(Dists!$B23:$X23)*SUM(Capacity!$DI$3:$DI$25/TRANSPOSE(Dists!$B23:$X23))))</f>
        <v>0.0372031862293047</v>
      </c>
      <c r="BV24" s="4" t="n">
        <f aca="false" t="array" ref="BV24:BV24">SUM(Capacity!CP24*Demand!BV24*Capacity!$DI$3:$DI$25/(TRANSPOSE(Dists!$B23:$X23)*SUM(Capacity!$DI$3:$DI$25/TRANSPOSE(Dists!$B23:$X23))))</f>
        <v>0.00372031862293047</v>
      </c>
      <c r="BW24" s="4" t="n">
        <f aca="false">E52*2*8.34/6</f>
        <v>301.344156897245</v>
      </c>
      <c r="BX24" s="4" t="n">
        <f aca="false" t="array" ref="BX24:BX24">SUM(Capacity!CR24*Demand!BX24*Capacity!$DI$3:$DI$25/(TRANSPOSE(Dists!$B23:$X23)*SUM(Capacity!$DI$3:$DI$25/TRANSPOSE(Dists!$B23:$X23))))</f>
        <v>1.17750914423415</v>
      </c>
      <c r="BY24" s="4" t="n">
        <f aca="false" t="array" ref="BY24:BY24">SUM(Capacity!CS24*Demand!BY24*Capacity!$DI$3:$DI$25/(TRANSPOSE(Dists!$B23:$X23)*SUM(Capacity!$DI$3:$DI$25/TRANSPOSE(Dists!$B23:$X23))))</f>
        <v>33.8273714809378</v>
      </c>
      <c r="BZ24" s="4" t="n">
        <f aca="false" t="array" ref="BZ24:BZ24">SUM(Capacity!CT24*Demand!BZ24*Capacity!$DI$3:$DI$25/(TRANSPOSE(Dists!$B23:$X23)*SUM(Capacity!$DI$3:$DI$25/TRANSPOSE(Dists!$B23:$X23))))</f>
        <v>0.174810812267024</v>
      </c>
      <c r="CA24" s="4" t="n">
        <f aca="false" t="array" ref="CA24:CA24">SUM(Capacity!CU24*Demand!CA24*Capacity!$DI$3:$DI$25/(TRANSPOSE(Dists!$B23:$X23)*SUM(Capacity!$DI$3:$DI$25/TRANSPOSE(Dists!$B23:$X23))))</f>
        <v>0.0583080142974111</v>
      </c>
      <c r="CB24" s="4" t="n">
        <f aca="false" t="array" ref="CB24:CB24">SUM(Capacity!CV24*Demand!CB24*Capacity!$DI$3:$DI$25/(TRANSPOSE(Dists!$B23:$X23)*SUM(Capacity!$DI$3:$DI$25/TRANSPOSE(Dists!$B23:$X23))))</f>
        <v>143.707573276724</v>
      </c>
      <c r="CC24" s="4" t="n">
        <f aca="false" t="array" ref="CC24:CC24">SUM(Capacity!CW24*Demand!CC24*Capacity!$DI$3:$DI$25/(TRANSPOSE(Dists!$B23:$X23)*SUM(Capacity!$DI$3:$DI$25/TRANSPOSE(Dists!$B23:$X23))))</f>
        <v>723.521933549533</v>
      </c>
      <c r="CD24" s="4" t="n">
        <f aca="false">SUM($BG52,$BI52,$BK52)*Capacity!CX24/SUM(Capacity!$AM24:$AN24,Capacity!$CX24)</f>
        <v>9.05399051953342</v>
      </c>
      <c r="CE24" s="4" t="n">
        <f aca="false" t="array" ref="CE24:CE24">SUM(Capacity!CY24*Demand!CE24*Capacity!$DI$3:$DI$25/(TRANSPOSE(Dists!$B23:$X23)*SUM(Capacity!$DI$3:$DI$25/TRANSPOSE(Dists!$B23:$X23))))</f>
        <v>0.0378455316174418</v>
      </c>
      <c r="CF24" s="4" t="n">
        <f aca="false" t="array" ref="CF24:CF24">SUM(Capacity!CZ24*Demand!CF24*Capacity!$DI$3:$DI$25/(TRANSPOSE(Dists!$B23:$X23)*SUM(Capacity!$DI$3:$DI$25/TRANSPOSE(Dists!$B23:$X23))))</f>
        <v>1001.32261177652</v>
      </c>
      <c r="CG24" s="4" t="n">
        <f aca="false" t="array" ref="CG24:CG24">SUM(Capacity!DA24*Demand!CG24*Capacity!$DI$3:$DI$25/(TRANSPOSE(Dists!$B23:$X23)*SUM(Capacity!$DI$3:$DI$25/TRANSPOSE(Dists!$B23:$X23))))</f>
        <v>1.3516544942795E-005</v>
      </c>
      <c r="CH24" s="4" t="n">
        <f aca="false" t="array" ref="CH24:CH24">SUM(Capacity!DB24*Demand!CH24*Capacity!$DI$3:$DI$25/(TRANSPOSE(Dists!$B23:$X23)*SUM(Capacity!$DI$3:$DI$25/TRANSPOSE(Dists!$B23:$X23))))</f>
        <v>5.0414042976233E-005</v>
      </c>
      <c r="CI24" s="4" t="n">
        <f aca="false" t="array" ref="CI24:CI24">SUM(Capacity!DC24*Demand!CI24*Capacity!$DI$3:$DI$25/(TRANSPOSE(Dists!$B23:$X23)*SUM(Capacity!$DI$3:$DI$25/TRANSPOSE(Dists!$B23:$X23))))</f>
        <v>0.057869248596423</v>
      </c>
      <c r="CJ24" s="4" t="n">
        <f aca="false" t="array" ref="CJ24:CJ24">SUM(Capacity!DD24*Demand!CJ24*Capacity!$DI$3:$DI$25/(TRANSPOSE(Dists!$B23:$X23)*SUM(Capacity!$DI$3:$DI$25/TRANSPOSE(Dists!$B23:$X23))))</f>
        <v>0.0234273326202863</v>
      </c>
      <c r="CK24" s="4" t="n">
        <f aca="false" t="array" ref="CK24:CK24">SUM(Capacity!DE24*Demand!CK24*Capacity!$DI$3:$DI$25/(TRANSPOSE(Dists!$B23:$X23)*SUM(Capacity!$DI$3:$DI$25/TRANSPOSE(Dists!$B23:$X23))))</f>
        <v>0.103862552642386</v>
      </c>
      <c r="CL24" s="7" t="s">
        <v>320</v>
      </c>
    </row>
    <row r="25" customFormat="false" ht="12.8" hidden="false" customHeight="false" outlineLevel="0" collapsed="false">
      <c r="A25" s="4" t="s">
        <v>160</v>
      </c>
      <c r="B25" s="7" t="s">
        <v>39</v>
      </c>
      <c r="C25" s="4" t="n">
        <f aca="false" t="array" ref="C25:C25">SUM(Capacity!S25*Demand!C25*Capacity!$DH$3:$DH$25/(TRANSPOSE(Dists!$B24:$X24)*SUM(Capacity!$DH$3:$DH$25/TRANSPOSE(Dists!$B24:$X24))))</f>
        <v>0.00734073192040569</v>
      </c>
      <c r="D25" s="4" t="n">
        <f aca="false" t="array" ref="D25:D25">SUM(Capacity!V25*Demand!D25*Capacity!$DH$3:$DH$25/(TRANSPOSE(Dists!$B24:$X24)*SUM(Capacity!$DH$3:$DH$25/TRANSPOSE(Dists!$B24:$X24))))</f>
        <v>494.79874497371</v>
      </c>
      <c r="E25" s="4" t="n">
        <f aca="false" t="array" ref="E25:E25">SUM(Capacity!Y25*Demand!E25*Capacity!$DH$3:$DH$25/(TRANSPOSE(Dists!$B24:$X24)*SUM(Capacity!$DH$3:$DH$25/TRANSPOSE(Dists!$B24:$X24))))</f>
        <v>145.259669872062</v>
      </c>
      <c r="F25" s="4" t="n">
        <f aca="false">$E25*Capacity!$M25/(2*(1-Capacity!$H$28)*Capacity!$H25)</f>
        <v>47.2850487864784</v>
      </c>
      <c r="G25" s="4" t="n">
        <f aca="false" t="array" ref="G25:G25">SUM(Capacity!AA25*Demand!G25*Capacity!$DH$3:$DH$25/(TRANSPOSE(Dists!$B24:$X24)*SUM(Capacity!$DH$3:$DH$25/TRANSPOSE(Dists!$B24:$X24))))</f>
        <v>144.871137457886</v>
      </c>
      <c r="H25" s="4" t="n">
        <f aca="false" t="array" ref="H25:H25">SUM(Capacity!AB25*Demand!H25*Capacity!$DH$3:$DH$25/(TRANSPOSE(Dists!$B24:$X24)*SUM(Capacity!$DH$3:$DH$25/TRANSPOSE(Dists!$B24:$X24))))</f>
        <v>0.224636211176292</v>
      </c>
      <c r="I25" s="4" t="n">
        <f aca="false" t="array" ref="I25:I25">SUM(Capacity!AC25*Demand!I$3:I$25*Capacity!$DG$3:$DG$25/(TRANSPOSE(Dists!$B24:$X24)*SUM(Capacity!$DG$3:$DG$25/TRANSPOSE(Dists!$B24:$X24))))</f>
        <v>2.1194407032869</v>
      </c>
      <c r="J25" s="4" t="n">
        <f aca="false" t="array" ref="J25:J25">SUM(Capacity!AD25*Demand!J$3:J$25*Capacity!$DG$3:$DG$25/(TRANSPOSE(Dists!$B24:$X24)*SUM(Capacity!$DG$3:$DG$25/TRANSPOSE(Dists!$B24:$X24))))</f>
        <v>2.9311876667131</v>
      </c>
      <c r="K25" s="4" t="n">
        <f aca="false">5479.45205479452*$R25</f>
        <v>421301.685617209</v>
      </c>
      <c r="L25" s="4" t="n">
        <f aca="false">17142.8571428571*$S25</f>
        <v>45944.018003213</v>
      </c>
      <c r="M25" s="4" t="n">
        <f aca="false">IF(50420.1680672269*$T25&gt;($K25/20),50420.1680672269*$T25-($K25/20),0)</f>
        <v>54459.3288751065</v>
      </c>
      <c r="N25" s="4" t="n">
        <f aca="false" t="array" ref="N25:N25">SUM(Capacity!AH25*Demand!N25*Capacity!$DH$3:$DH$25/(TRANSPOSE(Dists!$B24:$X24)*SUM(Capacity!$DH$3:$DH$25/TRANSPOSE(Dists!$B24:$X24))))</f>
        <v>227.640064794361</v>
      </c>
      <c r="O25" s="4" t="n">
        <f aca="false">D53/0.8</f>
        <v>632.897641145707</v>
      </c>
      <c r="P25" s="4" t="n">
        <f aca="false">O25/0.8</f>
        <v>791.122051432134</v>
      </c>
      <c r="Q25" s="4" t="n">
        <f aca="false" t="array" ref="Q25:Q25">SUM(Capacity!AK25*Demand!Q25*Capacity!$DI$3:$DI$25/(TRANSPOSE(Dists!$B24:$X24)*SUM(Capacity!$DI$3:$DI$25/TRANSPOSE(Dists!$B24:$X24))))</f>
        <v>3.72257350747989</v>
      </c>
      <c r="R25" s="4" t="n">
        <f aca="false" t="array" ref="R25:R25">SUM(Capacity!AL25*Demand!R25*Capacity!$DH$3:$DH$25/(TRANSPOSE(Dists!$B24:$X24)*SUM(Capacity!$DH$3:$DH$25/TRANSPOSE(Dists!$B24:$X24))))</f>
        <v>76.8875576251406</v>
      </c>
      <c r="S25" s="4" t="n">
        <f aca="false">SUM($BG53,$BI53,$BK53)*Capacity!AM25/SUM(Capacity!$AM25:$AN25,Capacity!$CX25)</f>
        <v>2.6800677168541</v>
      </c>
      <c r="T25" s="4" t="n">
        <f aca="false">SUM($BG53,$BI53,$BK53)*Capacity!AN25/SUM(Capacity!$AM25:$AN25,Capacity!$CX25)</f>
        <v>1.49790086092668</v>
      </c>
      <c r="U25" s="4" t="n">
        <f aca="false">$M25*120*2/(16*1000*2000)</f>
        <v>0.408444966563299</v>
      </c>
      <c r="V25" s="4" t="n">
        <f aca="false" t="array" ref="V25:V25">SUM(Capacity!AP25*Demand!V$3:V$25*Capacity!$DH$3:$DH$25/(TRANSPOSE(Dists!$B24:$X24)*SUM(Capacity!$DH$3:$DH$25/TRANSPOSE(Dists!$B24:$X24))))</f>
        <v>50.964754427967</v>
      </c>
      <c r="W25" s="4" t="n">
        <f aca="false" t="array" ref="W25:W25">SUM(Capacity!AQ25*Demand!W$3:W$25*Capacity!$DH$3:$DH$25/(TRANSPOSE(Dists!$B24:$X24)*SUM(Capacity!$DH$3:$DH$25/TRANSPOSE(Dists!$B24:$X24))))</f>
        <v>175.13305343818</v>
      </c>
      <c r="X25" s="4" t="n">
        <f aca="false" t="array" ref="X25:X25">SUM(Capacity!AR25*Demand!X$3:X$25*Capacity!$DH$3:$DH$25/(TRANSPOSE(Dists!$B24:$X24)*SUM(Capacity!$DH$3:$DH$25/TRANSPOSE(Dists!$B24:$X24))))</f>
        <v>507.004439666413</v>
      </c>
      <c r="Y25" s="4" t="n">
        <f aca="false">$L25*600*6/(90*1000*2000)</f>
        <v>0.91888036006426</v>
      </c>
      <c r="Z25" s="4" t="n">
        <f aca="false" t="array" ref="Z25:Z25">SUM(Capacity!AT25*Demand!Z$3:Z$25*Capacity!$DI$3:$DI$25/(TRANSPOSE(Dists!$B24:$X24)*SUM(Capacity!$DI$3:$DI$25/TRANSPOSE(Dists!$B24:$X24))))</f>
        <v>12.0387188051133</v>
      </c>
      <c r="AA25" s="4" t="n">
        <f aca="false" t="array" ref="AA25:AA25">SUM(Capacity!AU25*Demand!AA$3:AA$25*Capacity!$DI$3:$DI$25/(TRANSPOSE(Dists!$B24:$X24)*SUM(Capacity!$DI$3:$DI$25/TRANSPOSE(Dists!$B24:$X24))))</f>
        <v>8.70123285575468</v>
      </c>
      <c r="AB25" s="4" t="n">
        <f aca="false" t="array" ref="AB25:AB25">SUM(Capacity!AV25*Demand!AB$3:AB$25*Capacity!$DI$3:$DI$25/(TRANSPOSE(Dists!$B24:$X24)*SUM(Capacity!$DI$3:$DI$25/TRANSPOSE(Dists!$B24:$X24))))</f>
        <v>9.45123107187057</v>
      </c>
      <c r="AC25" s="4" t="n">
        <f aca="false" t="array" ref="AC25:AC25">SUM(Capacity!AW25*Demand!AC$3:AC$25*Capacity!$DI$3:$DI$25/(TRANSPOSE(Dists!$B24:$X24)*SUM(Capacity!$DI$3:$DI$25/TRANSPOSE(Dists!$B24:$X24))))</f>
        <v>2.12315917009783</v>
      </c>
      <c r="AD25" s="4" t="n">
        <f aca="false" t="array" ref="AD25:AD25">SUM(Capacity!AX25*Demand!AD$3:AD$25*Capacity!$DI$3:$DI$25/(TRANSPOSE(Dists!$B24:$X24)*SUM(Capacity!$DI$3:$DI$25/TRANSPOSE(Dists!$B24:$X24))))</f>
        <v>1.54726729531181</v>
      </c>
      <c r="AE25" s="4" t="n">
        <f aca="false" t="array" ref="AE25:AE25">SUM(Capacity!AY25*Demand!AE$3:AE$25*Capacity!$DI$3:$DI$25/(TRANSPOSE(Dists!$B24:$X24)*SUM(Capacity!$DI$3:$DI$25/TRANSPOSE(Dists!$B24:$X24))))</f>
        <v>1.24683923968399</v>
      </c>
      <c r="AF25" s="4" t="n">
        <f aca="false" t="array" ref="AF25:AF25">SUM(Capacity!AZ25*Demand!AF$3:AF$25*Capacity!$DI$3:$DI$25/(TRANSPOSE(Dists!$B24:$X24)*SUM(Capacity!$DI$3:$DI$25/TRANSPOSE(Dists!$B24:$X24))))</f>
        <v>0.239396776051174</v>
      </c>
      <c r="AG25" s="4" t="n">
        <f aca="false" t="array" ref="AG25:AG25">SUM(Capacity!BA25*Demand!AG$3:AG$25*Capacity!$DI$3:$DI$25/(TRANSPOSE(Dists!$B24:$X24)*SUM(Capacity!$DI$3:$DI$25/TRANSPOSE(Dists!$B24:$X24))))</f>
        <v>1.14360622098016</v>
      </c>
      <c r="AH25" s="4" t="n">
        <f aca="false" t="array" ref="AH25:AH25">SUM(Capacity!BB25*Demand!AH$3:AH$25*Capacity!$DI$3:$DI$25/(TRANSPOSE(Dists!$B24:$X24)*SUM(Capacity!$DI$3:$DI$25/TRANSPOSE(Dists!$B24:$X24))))</f>
        <v>0.996552445255247</v>
      </c>
      <c r="AI25" s="4" t="n">
        <f aca="false" t="array" ref="AI25:AI25">SUM(Capacity!BC25*Demand!AI$3:AI$25*Capacity!$DI$3:$DI$25/(TRANSPOSE(Dists!$B24:$X24)*SUM(Capacity!$DI$3:$DI$25/TRANSPOSE(Dists!$B24:$X24))))</f>
        <v>0.127667743720151</v>
      </c>
      <c r="AJ25" s="4" t="n">
        <f aca="false" t="array" ref="AJ25:AJ25">SUM(Capacity!BD25*Demand!AJ$3:AJ$25*Capacity!$DI$3:$DI$25/(TRANSPOSE(Dists!$B24:$X24)*SUM(Capacity!$DI$3:$DI$25/TRANSPOSE(Dists!$B24:$X24))))</f>
        <v>0.420838174196073</v>
      </c>
      <c r="AK25" s="4" t="n">
        <f aca="false" t="array" ref="AK25:AK25">SUM(Capacity!BE25*Demand!AK$3:AK$25*Capacity!$DI$3:$DI$25/(TRANSPOSE(Dists!$B24:$X24)*SUM(Capacity!$DI$3:$DI$25/TRANSPOSE(Dists!$B24:$X24))))</f>
        <v>0.259349868163079</v>
      </c>
      <c r="AL25" s="4" t="n">
        <f aca="false" t="array" ref="AL25:AL25">SUM(Capacity!BF25*Demand!AL$3:AL$25*Capacity!$DI$3:$DI$25/(TRANSPOSE(Dists!$B24:$X24)*SUM(Capacity!$DI$3:$DI$25/TRANSPOSE(Dists!$B24:$X24))))</f>
        <v>0.139363206900531</v>
      </c>
      <c r="AM25" s="4" t="n">
        <f aca="false" t="array" ref="AM25:AM25">SUM(Capacity!BG25*Demand!AM$3:AM$25*Capacity!$DI$3:$DI$25/(TRANSPOSE(Dists!$B24:$X24)*SUM(Capacity!$DI$3:$DI$25/TRANSPOSE(Dists!$B24:$X24))))</f>
        <v>0.460663956901403</v>
      </c>
      <c r="AN25" s="4" t="n">
        <f aca="false" t="array" ref="AN25:AN25">SUM(Capacity!BH25*Demand!AN$3:AN$25*Capacity!$DI$3:$DI$25/(TRANSPOSE(Dists!$B24:$X24)*SUM(Capacity!$DI$3:$DI$25/TRANSPOSE(Dists!$B24:$X24))))</f>
        <v>0.261775784965528</v>
      </c>
      <c r="AO25" s="4" t="n">
        <f aca="false" t="array" ref="AO25:AO25">SUM(Capacity!BI25*Demand!AO$3:AO$25*Capacity!$DI$3:$DI$25/(TRANSPOSE(Dists!$B24:$X24)*SUM(Capacity!$DI$3:$DI$25/TRANSPOSE(Dists!$B24:$X24))))</f>
        <v>0.611633698803789</v>
      </c>
      <c r="AP25" s="4" t="n">
        <f aca="false" t="array" ref="AP25:AP25">SUM(Capacity!BJ25*Demand!AP$3:AP$25*Capacity!$DI$3:$DI$25/(TRANSPOSE(Dists!$B24:$X24)*SUM(Capacity!$DI$3:$DI$25/TRANSPOSE(Dists!$B24:$X24))))</f>
        <v>0.311400846828953</v>
      </c>
      <c r="AQ25" s="4" t="n">
        <f aca="false" t="array" ref="AQ25:AQ25">SUM(Capacity!BK25*Demand!AQ$3:AQ$25*Capacity!$DI$3:$DI$25/(TRANSPOSE(Dists!$B24:$X24)*SUM(Capacity!$DI$3:$DI$25/TRANSPOSE(Dists!$B24:$X24))))</f>
        <v>0.0361385333212829</v>
      </c>
      <c r="AR25" s="4" t="n">
        <f aca="false" t="array" ref="AR25:AR25">SUM(Capacity!BL25*Demand!AR$3:AR$25*Capacity!$DI$3:$DI$25/(TRANSPOSE(Dists!$B24:$X24)*SUM(Capacity!$DI$3:$DI$25/TRANSPOSE(Dists!$B24:$X24))))</f>
        <v>0.0545262113225238</v>
      </c>
      <c r="AS25" s="4" t="n">
        <f aca="false" t="array" ref="AS25:AS25">SUM(Capacity!BM25*Demand!AS$3:AS$25*Capacity!$DI$3:$DI$25/(TRANSPOSE(Dists!$B24:$X24)*SUM(Capacity!$DI$3:$DI$25/TRANSPOSE(Dists!$B24:$X24))))</f>
        <v>0.122033718944312</v>
      </c>
      <c r="AT25" s="4" t="n">
        <f aca="false" t="array" ref="AT25:AT25">SUM(Capacity!BN25*Demand!AT$3:AT$25*Capacity!$DI$3:$DI$25/(TRANSPOSE(Dists!$B24:$X24)*SUM(Capacity!$DI$3:$DI$25/TRANSPOSE(Dists!$B24:$X24))))</f>
        <v>1.47559739934163</v>
      </c>
      <c r="AU25" s="4" t="n">
        <f aca="false" t="array" ref="AU25:AU25">SUM(Capacity!BO25*Demand!AU$3:AU$25*Capacity!$DI$3:$DI$25/(TRANSPOSE(Dists!$B24:$X24)*SUM(Capacity!$DI$3:$DI$25/TRANSPOSE(Dists!$B24:$X24))))</f>
        <v>1.05318972948232</v>
      </c>
      <c r="AV25" s="4" t="n">
        <f aca="false" t="array" ref="AV25:AV25">SUM(Capacity!BP25*Demand!AV$3:AV$25*Capacity!$DI$3:$DI$25/(TRANSPOSE(Dists!$B24:$X24)*SUM(Capacity!$DI$3:$DI$25/TRANSPOSE(Dists!$B24:$X24))))</f>
        <v>0.0587048264001973</v>
      </c>
      <c r="AW25" s="4" t="n">
        <f aca="false" t="array" ref="AW25:AW25">SUM(Capacity!BQ25*Demand!AW$3:AW$25*Capacity!$DI$3:$DI$25/(TRANSPOSE(Dists!$B24:$X24)*SUM(Capacity!$DI$3:$DI$25/TRANSPOSE(Dists!$B24:$X24))))</f>
        <v>1.16090225611813</v>
      </c>
      <c r="AX25" s="4" t="n">
        <f aca="false" t="array" ref="AX25:AX25">SUM(Capacity!BR25*Demand!AX$3:AX$25*Capacity!$DI$3:$DI$25/(TRANSPOSE(Dists!$B24:$X24)*SUM(Capacity!$DI$3:$DI$25/TRANSPOSE(Dists!$B24:$X24))))</f>
        <v>0.122987812366221</v>
      </c>
      <c r="AY25" s="4" t="n">
        <f aca="false" t="array" ref="AY25:AY25">SUM(Capacity!BS25*Demand!AY$3:AY$25*Capacity!$DI$3:$DI$25/(TRANSPOSE(Dists!$B24:$X24)*SUM(Capacity!$DI$3:$DI$25/TRANSPOSE(Dists!$B24:$X24))))</f>
        <v>0.115143750724099</v>
      </c>
      <c r="AZ25" s="4" t="n">
        <f aca="false" t="array" ref="AZ25:AZ25">SUM(Capacity!BT25*Demand!AZ$3:AZ$25*Capacity!$DI$3:$DI$25/(TRANSPOSE(Dists!$B24:$X24)*SUM(Capacity!$DI$3:$DI$25/TRANSPOSE(Dists!$B24:$X24))))</f>
        <v>0.763986923314647</v>
      </c>
      <c r="BA25" s="4" t="n">
        <f aca="false">L25*25/(2000*1000*51)</f>
        <v>0.0112607887262777</v>
      </c>
      <c r="BB25" s="4" t="n">
        <f aca="false" t="array" ref="BB25:BB25">SUM(Capacity!BV25*Demand!BB$3:BB$25*Capacity!$DI$3:$DI$25/(TRANSPOSE(Dists!$B24:$X24)*SUM(Capacity!$DI$3:$DI$25/TRANSPOSE(Dists!$B24:$X24))))</f>
        <v>0.142331618652717</v>
      </c>
      <c r="BC25" s="4" t="n">
        <f aca="false" t="array" ref="BC25:BC25">SUM(Capacity!BW25*Demand!BC$3:BC$25*Capacity!$DI$3:$DI$25/(TRANSPOSE(Dists!$B24:$X24)*SUM(Capacity!$DI$3:$DI$25/TRANSPOSE(Dists!$B24:$X24))))</f>
        <v>0.0842857883234099</v>
      </c>
      <c r="BD25" s="4" t="n">
        <f aca="false" t="array" ref="BD25:BD25">SUM(Capacity!BX25*Demand!BD$3:BD$25*Capacity!$DI$3:$DI$25/(TRANSPOSE(Dists!$B24:$X24)*SUM(Capacity!$DI$3:$DI$25/TRANSPOSE(Dists!$B24:$X24))))</f>
        <v>0.0435760945517151</v>
      </c>
      <c r="BE25" s="4" t="n">
        <f aca="false" t="array" ref="BE25:BE25">SUM(Capacity!BY25*Demand!BE$3:BE$25*Capacity!$DI$3:$DI$25/(TRANSPOSE(Dists!$B24:$X24)*SUM(Capacity!$DI$3:$DI$25/TRANSPOSE(Dists!$B24:$X24))))</f>
        <v>0.0327527214647952</v>
      </c>
      <c r="BF25" s="4" t="n">
        <f aca="false" t="array" ref="BF25:BF25">SUM(Capacity!BZ25*Demand!BF$3:BF$25*Capacity!$DI$3:$DI$25/(TRANSPOSE(Dists!$B24:$X24)*SUM(Capacity!$DI$3:$DI$25/TRANSPOSE(Dists!$B24:$X24))))</f>
        <v>1.30009450133441</v>
      </c>
      <c r="BG25" s="4" t="n">
        <f aca="false" t="array" ref="BG25:BG25">SUM(Capacity!CA25*Demand!BG$3:BG$25*Capacity!$DI$3:$DI$25/(TRANSPOSE(Dists!$B24:$X24)*SUM(Capacity!$DI$3:$DI$25/TRANSPOSE(Dists!$B24:$X24))))</f>
        <v>4.03394231905113</v>
      </c>
      <c r="BH25" s="4" t="n">
        <f aca="false" t="array" ref="BH25:BH25">SUM(Capacity!CB25*Demand!BH$3:BH$25*Capacity!$DI$3:$DI$25/(TRANSPOSE(Dists!$B24:$X24)*SUM(Capacity!$DI$3:$DI$25/TRANSPOSE(Dists!$B24:$X24))))</f>
        <v>7.97411061948848</v>
      </c>
      <c r="BI25" s="4" t="n">
        <f aca="false" t="array" ref="BI25:BI25">SUM(Capacity!CC25*Demand!BI25*Capacity!$DI$3:$DI$25/(TRANSPOSE(Dists!$B24:$X24)*SUM(Capacity!$DI$3:$DI$25/TRANSPOSE(Dists!$B24:$X24))))</f>
        <v>3.93412424633831</v>
      </c>
      <c r="BJ25" s="4" t="n">
        <f aca="false" t="array" ref="BJ25:BJ25">SUM(Capacity!CD25*Demand!BJ25*Capacity!$DI$3:$DI$25/(TRANSPOSE(Dists!$B24:$X24)*SUM(Capacity!$DI$3:$DI$25/TRANSPOSE(Dists!$B24:$X24))))</f>
        <v>363.904583162527</v>
      </c>
      <c r="BK25" s="4" t="n">
        <f aca="false" t="array" ref="BK25:BK25">SUM(Capacity!CE25*Demand!BK25*Capacity!$DI$3:$DI$25/(TRANSPOSE(Dists!$B24:$X24)*SUM(Capacity!$DI$3:$DI$25/TRANSPOSE(Dists!$B24:$X24))))</f>
        <v>1.96706212316916</v>
      </c>
      <c r="BL25" s="4" t="n">
        <f aca="false" t="array" ref="BL25:BL25">SUM(Capacity!CF25*Demand!BL25*Capacity!$DI$3:$DI$25/(TRANSPOSE(Dists!$B24:$X24)*SUM(Capacity!$DI$3:$DI$25/TRANSPOSE(Dists!$B24:$X24))))</f>
        <v>310.271602186188</v>
      </c>
      <c r="BM25" s="4" t="n">
        <f aca="false" t="array" ref="BM25:BM25">SUM(Capacity!CG25*Demand!BM25*Capacity!$DI$3:$DI$25/(TRANSPOSE(Dists!$B24:$X24)*SUM(Capacity!$DI$3:$DI$25/TRANSPOSE(Dists!$B24:$X24))))</f>
        <v>17.2917582627953</v>
      </c>
      <c r="BN25" s="4" t="n">
        <f aca="false">MAX($BO25/0.006,$BP25/0.7,$BR25/0.002,$BS25/0.001)</f>
        <v>8.75028245353936E-005</v>
      </c>
      <c r="BO25" s="4" t="n">
        <f aca="false" t="array" ref="BO25:BO25">SUM(Capacity!CI25*Demand!BO25*Capacity!$DI$3:$DI$25/(TRANSPOSE(Dists!$B24:$X24)*SUM(Capacity!$DI$3:$DI$25/TRANSPOSE(Dists!$B24:$X24))))</f>
        <v>5.25016947212362E-007</v>
      </c>
      <c r="BP25" s="4" t="n">
        <f aca="false" t="array" ref="BP25:BP25">SUM(Capacity!CJ25*Demand!BP25*Capacity!$DI$3:$DI$25/(TRANSPOSE(Dists!$B24:$X24)*SUM(Capacity!$DI$3:$DI$25/TRANSPOSE(Dists!$B24:$X24))))</f>
        <v>1.39761495568359E-008</v>
      </c>
      <c r="BQ25" s="4" t="n">
        <f aca="false">BN25*0.65</f>
        <v>5.68768359480059E-005</v>
      </c>
      <c r="BR25" s="4" t="n">
        <f aca="false" t="array" ref="BR25:BR25">SUM(Capacity!CL25*Demand!BR25*Capacity!$DI$3:$DI$25/(TRANSPOSE(Dists!$B24:$X24)*SUM(Capacity!$DI$3:$DI$25/TRANSPOSE(Dists!$B24:$X24))))</f>
        <v>5.25016947212362E-008</v>
      </c>
      <c r="BS25" s="4" t="n">
        <f aca="false" t="array" ref="BS25:BS25">SUM(Capacity!CM25*Demand!BS25*Capacity!$DI$3:$DI$25/(TRANSPOSE(Dists!$B24:$X24)*SUM(Capacity!$DI$3:$DI$25/TRANSPOSE(Dists!$B24:$X24))))</f>
        <v>1.05003330834298E-008</v>
      </c>
      <c r="BT25" s="4" t="n">
        <f aca="false" t="array" ref="BT25:BT25">SUM(Capacity!CN25*Demand!BT25*Capacity!$DI$3:$DI$25/(TRANSPOSE(Dists!$B24:$X24)*SUM(Capacity!$DI$3:$DI$25/TRANSPOSE(Dists!$B24:$X24))))</f>
        <v>0.879370452869086</v>
      </c>
      <c r="BU25" s="4" t="n">
        <f aca="false" t="array" ref="BU25:BU25">SUM(Capacity!CO25*Demand!BU25*Capacity!$DI$3:$DI$25/(TRANSPOSE(Dists!$B24:$X24)*SUM(Capacity!$DI$3:$DI$25/TRANSPOSE(Dists!$B24:$X24))))</f>
        <v>0.0879370452869087</v>
      </c>
      <c r="BV25" s="4" t="n">
        <f aca="false" t="array" ref="BV25:BV25">SUM(Capacity!CP25*Demand!BV25*Capacity!$DI$3:$DI$25/(TRANSPOSE(Dists!$B24:$X24)*SUM(Capacity!$DI$3:$DI$25/TRANSPOSE(Dists!$B24:$X24))))</f>
        <v>0.00879370452869087</v>
      </c>
      <c r="BW25" s="4" t="n">
        <f aca="false">E53*2*8.34/6</f>
        <v>460.275812085257</v>
      </c>
      <c r="BX25" s="4" t="n">
        <f aca="false" t="array" ref="BX25:BX25">SUM(Capacity!CR25*Demand!BX25*Capacity!$DI$3:$DI$25/(TRANSPOSE(Dists!$B24:$X24)*SUM(Capacity!$DI$3:$DI$25/TRANSPOSE(Dists!$B24:$X24))))</f>
        <v>2.16849269607049</v>
      </c>
      <c r="BY25" s="4" t="n">
        <f aca="false" t="array" ref="BY25:BY25">SUM(Capacity!CS25*Demand!BY25*Capacity!$DI$3:$DI$25/(TRANSPOSE(Dists!$B24:$X24)*SUM(Capacity!$DI$3:$DI$25/TRANSPOSE(Dists!$B24:$X24))))</f>
        <v>24.9900366346022</v>
      </c>
      <c r="BZ25" s="4" t="n">
        <f aca="false" t="array" ref="BZ25:BZ25">SUM(Capacity!CT25*Demand!BZ25*Capacity!$DI$3:$DI$25/(TRANSPOSE(Dists!$B24:$X24)*SUM(Capacity!$DI$3:$DI$25/TRANSPOSE(Dists!$B24:$X24))))</f>
        <v>0.376255498464472</v>
      </c>
      <c r="CA25" s="4" t="n">
        <f aca="false" t="array" ref="CA25:CA25">SUM(Capacity!CU25*Demand!CA25*Capacity!$DI$3:$DI$25/(TRANSPOSE(Dists!$B24:$X24)*SUM(Capacity!$DI$3:$DI$25/TRANSPOSE(Dists!$B24:$X24))))</f>
        <v>0.0354465153007243</v>
      </c>
      <c r="CB25" s="4" t="n">
        <f aca="false" t="array" ref="CB25:CB25">SUM(Capacity!CV25*Demand!CB25*Capacity!$DI$3:$DI$25/(TRANSPOSE(Dists!$B24:$X24)*SUM(Capacity!$DI$3:$DI$25/TRANSPOSE(Dists!$B24:$X24))))</f>
        <v>135.081965464644</v>
      </c>
      <c r="CC25" s="4" t="n">
        <f aca="false" t="array" ref="CC25:CC25">SUM(Capacity!CW25*Demand!CC25*Capacity!$DI$3:$DI$25/(TRANSPOSE(Dists!$B24:$X24)*SUM(Capacity!$DI$3:$DI$25/TRANSPOSE(Dists!$B24:$X24))))</f>
        <v>603.595036846912</v>
      </c>
      <c r="CD25" s="4" t="n">
        <f aca="false">SUM($BG53,$BI53,$BK53)*Capacity!CX25/SUM(Capacity!$AM25:$AN25,Capacity!$CX25)</f>
        <v>13.8059164239125</v>
      </c>
      <c r="CE25" s="4" t="n">
        <f aca="false" t="array" ref="CE25:CE25">SUM(Capacity!CY25*Demand!CE25*Capacity!$DI$3:$DI$25/(TRANSPOSE(Dists!$B24:$X24)*SUM(Capacity!$DI$3:$DI$25/TRANSPOSE(Dists!$B24:$X24))))</f>
        <v>0.469307519259128</v>
      </c>
      <c r="CF25" s="4" t="n">
        <f aca="false" t="array" ref="CF25:CF25">SUM(Capacity!CZ25*Demand!CF25*Capacity!$DI$3:$DI$25/(TRANSPOSE(Dists!$B24:$X24)*SUM(Capacity!$DI$3:$DI$25/TRANSPOSE(Dists!$B24:$X24))))</f>
        <v>981.381416324055</v>
      </c>
      <c r="CG25" s="4" t="n">
        <f aca="false" t="array" ref="CG25:CG25">SUM(Capacity!DA25*Demand!CG25*Capacity!$DI$3:$DI$25/(TRANSPOSE(Dists!$B24:$X24)*SUM(Capacity!$DI$3:$DI$25/TRANSPOSE(Dists!$B24:$X24))))</f>
        <v>6.9679315883734E-005</v>
      </c>
      <c r="CH25" s="4" t="n">
        <f aca="false" t="array" ref="CH25:CH25">SUM(Capacity!DB25*Demand!CH25*Capacity!$DI$3:$DI$25/(TRANSPOSE(Dists!$B24:$X24)*SUM(Capacity!$DI$3:$DI$25/TRANSPOSE(Dists!$B24:$X24))))</f>
        <v>0.000196788109138377</v>
      </c>
      <c r="CI25" s="4" t="n">
        <f aca="false" t="array" ref="CI25:CI25">SUM(Capacity!DC25*Demand!CI25*Capacity!$DI$3:$DI$25/(TRANSPOSE(Dists!$B24:$X24)*SUM(Capacity!$DI$3:$DI$25/TRANSPOSE(Dists!$B24:$X24))))</f>
        <v>0.0395313059263647</v>
      </c>
      <c r="CJ25" s="4" t="n">
        <f aca="false" t="array" ref="CJ25:CJ25">SUM(Capacity!DD25*Demand!CJ25*Capacity!$DI$3:$DI$25/(TRANSPOSE(Dists!$B24:$X24)*SUM(Capacity!$DI$3:$DI$25/TRANSPOSE(Dists!$B24:$X24))))</f>
        <v>0.0106470804974509</v>
      </c>
      <c r="CK25" s="4" t="n">
        <f aca="false" t="array" ref="CK25:CK25">SUM(Capacity!DE25*Demand!CK25*Capacity!$DI$3:$DI$25/(TRANSPOSE(Dists!$B24:$X24)*SUM(Capacity!$DI$3:$DI$25/TRANSPOSE(Dists!$B24:$X24))))</f>
        <v>1.03244963111049</v>
      </c>
      <c r="CL25" s="7" t="s">
        <v>320</v>
      </c>
    </row>
    <row r="26" customFormat="false" ht="12.8" hidden="false" customHeight="false" outlineLevel="0" collapsed="false">
      <c r="B26" s="7" t="s">
        <v>39</v>
      </c>
      <c r="CL26" s="7" t="s">
        <v>320</v>
      </c>
    </row>
    <row r="27" customFormat="false" ht="12.8" hidden="false" customHeight="false" outlineLevel="0" collapsed="false">
      <c r="A27" s="4" t="s">
        <v>322</v>
      </c>
      <c r="B27" s="7" t="s">
        <v>39</v>
      </c>
      <c r="C27" s="4" t="n">
        <f aca="false">SUM(C3:C25)</f>
        <v>0.399438545781014</v>
      </c>
      <c r="D27" s="4" t="n">
        <f aca="false">SUM(D3:D25)</f>
        <v>33225.4552027124</v>
      </c>
      <c r="E27" s="4" t="n">
        <f aca="false">SUM(E3:E25)</f>
        <v>18451.7047041224</v>
      </c>
      <c r="F27" s="4" t="n">
        <f aca="false">SUM(F3:F25)</f>
        <v>6728.58395981961</v>
      </c>
      <c r="G27" s="4" t="n">
        <f aca="false">SUM(G3:G25)</f>
        <v>21329.9947275729</v>
      </c>
      <c r="H27" s="4" t="n">
        <f aca="false">SUM(H3:H25)</f>
        <v>70.3156009251594</v>
      </c>
      <c r="I27" s="4" t="n">
        <f aca="false">SUM(I3:I25)</f>
        <v>56.0473664615267</v>
      </c>
      <c r="J27" s="4" t="n">
        <f aca="false">SUM(J3:J25)</f>
        <v>48.6779145084733</v>
      </c>
      <c r="K27" s="4" t="n">
        <f aca="false">SUM(K3:K25)</f>
        <v>13847825.2256962</v>
      </c>
      <c r="L27" s="4" t="n">
        <f aca="false">SUM(L3:L25)</f>
        <v>2326181.2979168</v>
      </c>
      <c r="M27" s="4" t="n">
        <f aca="false">SUM(M3:M25)</f>
        <v>3131468.40652363</v>
      </c>
      <c r="N27" s="4" t="n">
        <f aca="false">SUM(N3:N25)</f>
        <v>28723.4346931708</v>
      </c>
      <c r="O27" s="4" t="n">
        <f aca="false">SUM(O3:O25)</f>
        <v>33148.6808940859</v>
      </c>
      <c r="P27" s="4" t="n">
        <f aca="false">SUM(P3:P25)</f>
        <v>41435.8511176073</v>
      </c>
      <c r="Q27" s="4" t="n">
        <f aca="false">SUM(Q3:Q25)</f>
        <v>346.788243070416</v>
      </c>
      <c r="R27" s="4" t="n">
        <f aca="false">SUM(R3:R25)</f>
        <v>2527.22810368956</v>
      </c>
      <c r="S27" s="4" t="n">
        <f aca="false">SUM(S3:S25)</f>
        <v>135.693909045147</v>
      </c>
      <c r="T27" s="4" t="n">
        <f aca="false">SUM(T3:T25)</f>
        <v>75.8398834115342</v>
      </c>
      <c r="U27" s="4" t="n">
        <f aca="false">SUM(U3:U25)</f>
        <v>23.4860130489273</v>
      </c>
      <c r="V27" s="4" t="n">
        <f aca="false">SUM(V3:V25)</f>
        <v>3958.8661179519</v>
      </c>
      <c r="W27" s="4" t="n">
        <f aca="false">SUM(W3:W25)</f>
        <v>17245.0071838527</v>
      </c>
      <c r="X27" s="4" t="n">
        <f aca="false">SUM(X3:X25)</f>
        <v>18148.8472208826</v>
      </c>
      <c r="Y27" s="4" t="n">
        <f aca="false">SUM(Y3:Y25)</f>
        <v>46.523625958336</v>
      </c>
      <c r="Z27" s="4" t="n">
        <f aca="false">SUM(Z3:Z25)</f>
        <v>1075.31315160354</v>
      </c>
      <c r="AA27" s="4" t="n">
        <f aca="false">SUM(AA3:AA25)</f>
        <v>958.512251171874</v>
      </c>
      <c r="AB27" s="4" t="n">
        <f aca="false">SUM(AB3:AB25)</f>
        <v>967.093400911323</v>
      </c>
      <c r="AC27" s="4" t="n">
        <f aca="false">SUM(AC3:AC25)</f>
        <v>185.079568916441</v>
      </c>
      <c r="AD27" s="4" t="n">
        <f aca="false">SUM(AD3:AD25)</f>
        <v>158.323500860698</v>
      </c>
      <c r="AE27" s="4" t="n">
        <f aca="false">SUM(AE3:AE25)</f>
        <v>116.125817087814</v>
      </c>
      <c r="AF27" s="4" t="n">
        <f aca="false">SUM(AF3:AF25)</f>
        <v>21.21151383336</v>
      </c>
      <c r="AG27" s="4" t="n">
        <f aca="false">SUM(AG3:AG25)</f>
        <v>103.458806158422</v>
      </c>
      <c r="AH27" s="4" t="n">
        <f aca="false">SUM(AH3:AH25)</f>
        <v>85.9604053014134</v>
      </c>
      <c r="AI27" s="4" t="n">
        <f aca="false">SUM(AI3:AI25)</f>
        <v>12.2902079180491</v>
      </c>
      <c r="AJ27" s="4" t="n">
        <f aca="false">SUM(AJ3:AJ25)</f>
        <v>35.7454113088654</v>
      </c>
      <c r="AK27" s="4" t="n">
        <f aca="false">SUM(AK3:AK25)</f>
        <v>21.7064865582499</v>
      </c>
      <c r="AL27" s="4" t="n">
        <f aca="false">SUM(AL3:AL25)</f>
        <v>13.4757967502316</v>
      </c>
      <c r="AM27" s="4" t="n">
        <f aca="false">SUM(AM3:AM25)</f>
        <v>33.497774343407</v>
      </c>
      <c r="AN27" s="4" t="n">
        <f aca="false">SUM(AN3:AN25)</f>
        <v>21.6465953477104</v>
      </c>
      <c r="AO27" s="4" t="n">
        <f aca="false">SUM(AO3:AO25)</f>
        <v>58.5869519755793</v>
      </c>
      <c r="AP27" s="4" t="n">
        <f aca="false">SUM(AP3:AP25)</f>
        <v>32.8431046138052</v>
      </c>
      <c r="AQ27" s="4" t="n">
        <f aca="false">SUM(AQ3:AQ25)</f>
        <v>3.40772043801718</v>
      </c>
      <c r="AR27" s="4" t="n">
        <f aca="false">SUM(AR3:AR25)</f>
        <v>5.00804566797273</v>
      </c>
      <c r="AS27" s="4" t="n">
        <f aca="false">SUM(AS3:AS25)</f>
        <v>9.91349021227799</v>
      </c>
      <c r="AT27" s="4" t="n">
        <f aca="false">SUM(AT3:AT25)</f>
        <v>113.23223747863</v>
      </c>
      <c r="AU27" s="4" t="n">
        <f aca="false">SUM(AU3:AU25)</f>
        <v>83.0689031242514</v>
      </c>
      <c r="AV27" s="4" t="n">
        <f aca="false">SUM(AV3:AV25)</f>
        <v>4.05096518561069</v>
      </c>
      <c r="AW27" s="4" t="n">
        <f aca="false">SUM(AW3:AW25)</f>
        <v>100.678730213892</v>
      </c>
      <c r="AX27" s="4" t="n">
        <f aca="false">SUM(AX3:AX25)</f>
        <v>8.53733406813835</v>
      </c>
      <c r="AY27" s="4" t="n">
        <f aca="false">SUM(AY3:AY25)</f>
        <v>12.3551591686476</v>
      </c>
      <c r="AZ27" s="4" t="n">
        <f aca="false">SUM(AZ3:AZ25)</f>
        <v>77.9603116783408</v>
      </c>
      <c r="BA27" s="4" t="n">
        <f aca="false">SUM(BA3:BA25)</f>
        <v>0.570142474979607</v>
      </c>
      <c r="BB27" s="4" t="n">
        <f aca="false">SUM(BB3:BB25)</f>
        <v>11.3129684820309</v>
      </c>
      <c r="BC27" s="4" t="n">
        <f aca="false">SUM(BC3:BC25)</f>
        <v>7.59577305358156</v>
      </c>
      <c r="BD27" s="4" t="n">
        <f aca="false">SUM(BD3:BD25)</f>
        <v>4.67462936125842</v>
      </c>
      <c r="BE27" s="4" t="n">
        <f aca="false">SUM(BE3:BE25)</f>
        <v>3.10942303142784</v>
      </c>
      <c r="BF27" s="4" t="n">
        <f aca="false">SUM(BF3:BF25)</f>
        <v>99.6778909410485</v>
      </c>
      <c r="BG27" s="4" t="n">
        <f aca="false">SUM(BG3:BG25)</f>
        <v>339.343889184963</v>
      </c>
      <c r="BH27" s="4" t="n">
        <f aca="false">SUM(BH3:BH25)</f>
        <v>470.666256657929</v>
      </c>
      <c r="BI27" s="4" t="n">
        <f aca="false">SUM(BI3:BI25)</f>
        <v>1133.03151687014</v>
      </c>
      <c r="BJ27" s="4" t="n">
        <f aca="false">SUM(BJ3:BJ25)</f>
        <v>23908.294627365</v>
      </c>
      <c r="BK27" s="4" t="n">
        <f aca="false">SUM(BK3:BK25)</f>
        <v>566.515758435072</v>
      </c>
      <c r="BL27" s="4" t="n">
        <f aca="false">SUM(BL3:BL25)</f>
        <v>15456.2001775555</v>
      </c>
      <c r="BM27" s="4" t="n">
        <f aca="false">SUM(BM3:BM25)</f>
        <v>2171.886539582</v>
      </c>
      <c r="BN27" s="4" t="n">
        <f aca="false">SUM(BN3:BN25)</f>
        <v>23768.9557913461</v>
      </c>
      <c r="BO27" s="4" t="n">
        <f aca="false">SUM(BO3:BO25)</f>
        <v>142.613734748077</v>
      </c>
      <c r="BP27" s="4" t="n">
        <f aca="false">SUM(BP3:BP25)</f>
        <v>215.917548510514</v>
      </c>
      <c r="BQ27" s="4" t="n">
        <f aca="false">SUM(BQ3:BQ25)</f>
        <v>15449.821264375</v>
      </c>
      <c r="BR27" s="4" t="n">
        <f aca="false">SUM(BR3:BR25)</f>
        <v>4.75379503822658</v>
      </c>
      <c r="BS27" s="4" t="n">
        <f aca="false">SUM(BS3:BS25)</f>
        <v>0.475379974475666</v>
      </c>
      <c r="BT27" s="4" t="n">
        <f aca="false">SUM(BT3:BT25)</f>
        <v>156.210288258313</v>
      </c>
      <c r="BU27" s="4" t="n">
        <f aca="false">SUM(BU3:BU25)</f>
        <v>15.6210288258313</v>
      </c>
      <c r="BV27" s="4" t="n">
        <f aca="false">SUM(BV3:BV25)</f>
        <v>1.56210288258313</v>
      </c>
      <c r="BW27" s="4" t="n">
        <f aca="false">SUM(BW3:BW25)</f>
        <v>39675.8819233043</v>
      </c>
      <c r="BX27" s="4" t="n">
        <f aca="false">SUM(BX3:BX25)</f>
        <v>154.645748875441</v>
      </c>
      <c r="BY27" s="4" t="n">
        <f aca="false">SUM(BY3:BY25)</f>
        <v>3248.31339366663</v>
      </c>
      <c r="BZ27" s="4" t="n">
        <f aca="false">SUM(BZ3:BZ25)</f>
        <v>14.1710730715153</v>
      </c>
      <c r="CA27" s="4" t="n">
        <f aca="false">SUM(CA3:CA25)</f>
        <v>3.03618570204994</v>
      </c>
      <c r="CB27" s="4" t="n">
        <f aca="false">SUM(CB3:CB25)</f>
        <v>17862.9685688453</v>
      </c>
      <c r="CC27" s="4" t="n">
        <f aca="false">SUM(CC3:CC25)</f>
        <v>20698.227038807</v>
      </c>
      <c r="CD27" s="4" t="n">
        <f aca="false">SUM(CD3:CD25)</f>
        <v>1488.60023322374</v>
      </c>
      <c r="CE27" s="4" t="n">
        <f aca="false">SUM(CE3:CE25)</f>
        <v>235.828174724096</v>
      </c>
      <c r="CF27" s="4" t="n">
        <f aca="false">SUM(CF3:CF25)</f>
        <v>23030.3036229802</v>
      </c>
      <c r="CG27" s="4" t="n">
        <f aca="false">SUM(CG3:CG25)</f>
        <v>70.0510066265729</v>
      </c>
      <c r="CH27" s="4" t="n">
        <f aca="false">SUM(CH3:CH25)</f>
        <v>88.607224656503</v>
      </c>
      <c r="CI27" s="4" t="n">
        <f aca="false">SUM(CI3:CI25)</f>
        <v>5.38037650235666</v>
      </c>
      <c r="CJ27" s="4" t="n">
        <f aca="false">SUM(CJ3:CJ25)</f>
        <v>1.67876207132054</v>
      </c>
      <c r="CK27" s="4" t="n">
        <f aca="false">SUM(CK3:CK25)</f>
        <v>165.924504248525</v>
      </c>
      <c r="CL27" s="7" t="s">
        <v>320</v>
      </c>
    </row>
    <row r="28" s="4" customFormat="true" ht="12.8" hidden="false" customHeight="false" outlineLevel="0" collapsed="false">
      <c r="B28" s="7" t="s">
        <v>39</v>
      </c>
      <c r="CL28" s="7" t="s">
        <v>320</v>
      </c>
    </row>
    <row r="29" customFormat="false" ht="12.8" hidden="false" customHeight="false" outlineLevel="0" collapsed="false">
      <c r="B29" s="7" t="s">
        <v>39</v>
      </c>
      <c r="CL29" s="7" t="s">
        <v>320</v>
      </c>
    </row>
    <row r="30" customFormat="false" ht="12.8" hidden="false" customHeight="false" outlineLevel="0" collapsed="false">
      <c r="A30" s="7" t="s">
        <v>323</v>
      </c>
      <c r="B30" s="7" t="s">
        <v>39</v>
      </c>
      <c r="C30" s="19" t="n">
        <v>1</v>
      </c>
      <c r="D30" s="19" t="n">
        <v>2</v>
      </c>
      <c r="E30" s="19" t="n">
        <v>3</v>
      </c>
      <c r="F30" s="19" t="n">
        <v>4</v>
      </c>
      <c r="G30" s="19" t="n">
        <v>5</v>
      </c>
      <c r="H30" s="19" t="n">
        <v>6</v>
      </c>
      <c r="I30" s="19" t="n">
        <v>7</v>
      </c>
      <c r="J30" s="19" t="n">
        <v>8</v>
      </c>
      <c r="K30" s="19" t="n">
        <v>9</v>
      </c>
      <c r="L30" s="19" t="n">
        <v>10</v>
      </c>
      <c r="M30" s="19" t="n">
        <v>11</v>
      </c>
      <c r="N30" s="19" t="n">
        <v>12</v>
      </c>
      <c r="O30" s="19" t="n">
        <v>13</v>
      </c>
      <c r="P30" s="19" t="n">
        <v>14</v>
      </c>
      <c r="Q30" s="19" t="n">
        <v>15</v>
      </c>
      <c r="R30" s="19" t="n">
        <v>16</v>
      </c>
      <c r="S30" s="19" t="n">
        <v>17</v>
      </c>
      <c r="T30" s="19" t="n">
        <v>18</v>
      </c>
      <c r="U30" s="19" t="n">
        <v>19</v>
      </c>
      <c r="V30" s="19" t="n">
        <v>20</v>
      </c>
      <c r="W30" s="19" t="n">
        <v>21</v>
      </c>
      <c r="X30" s="19" t="n">
        <v>22</v>
      </c>
      <c r="Y30" s="19" t="n">
        <v>23</v>
      </c>
      <c r="Z30" s="19" t="n">
        <v>24</v>
      </c>
      <c r="AA30" s="19" t="n">
        <v>25</v>
      </c>
      <c r="AB30" s="19" t="n">
        <v>26</v>
      </c>
      <c r="AC30" s="19" t="n">
        <v>27</v>
      </c>
      <c r="AD30" s="19" t="n">
        <v>28</v>
      </c>
      <c r="AE30" s="19" t="n">
        <v>29</v>
      </c>
      <c r="AF30" s="19" t="n">
        <v>30</v>
      </c>
      <c r="AG30" s="19" t="n">
        <v>31</v>
      </c>
      <c r="AH30" s="19" t="n">
        <v>32</v>
      </c>
      <c r="AI30" s="19" t="n">
        <v>33</v>
      </c>
      <c r="AJ30" s="19" t="n">
        <v>34</v>
      </c>
      <c r="AK30" s="19" t="n">
        <v>35</v>
      </c>
      <c r="AL30" s="19" t="n">
        <v>36</v>
      </c>
      <c r="AM30" s="19" t="n">
        <v>37</v>
      </c>
      <c r="AN30" s="19" t="n">
        <v>38</v>
      </c>
      <c r="AO30" s="19" t="n">
        <v>39</v>
      </c>
      <c r="AP30" s="19" t="n">
        <v>40</v>
      </c>
      <c r="AQ30" s="19" t="n">
        <v>41</v>
      </c>
      <c r="AR30" s="19" t="n">
        <v>42</v>
      </c>
      <c r="AS30" s="19" t="n">
        <v>43</v>
      </c>
      <c r="AT30" s="19" t="n">
        <v>44</v>
      </c>
      <c r="AU30" s="19" t="n">
        <v>45</v>
      </c>
      <c r="AV30" s="19" t="n">
        <v>46</v>
      </c>
      <c r="AW30" s="19" t="n">
        <v>47</v>
      </c>
      <c r="AX30" s="19" t="n">
        <v>48</v>
      </c>
      <c r="AY30" s="19" t="n">
        <v>49</v>
      </c>
      <c r="AZ30" s="19" t="n">
        <v>50</v>
      </c>
      <c r="BA30" s="19" t="n">
        <v>51</v>
      </c>
      <c r="BB30" s="19" t="n">
        <v>52</v>
      </c>
      <c r="BC30" s="19" t="n">
        <v>53</v>
      </c>
      <c r="BD30" s="19" t="n">
        <v>54</v>
      </c>
      <c r="BE30" s="19" t="n">
        <v>55</v>
      </c>
      <c r="BF30" s="19" t="n">
        <v>56</v>
      </c>
      <c r="BG30" s="19" t="n">
        <v>57</v>
      </c>
      <c r="BH30" s="19" t="n">
        <v>58</v>
      </c>
      <c r="BI30" s="19" t="n">
        <v>59</v>
      </c>
      <c r="BJ30" s="19" t="n">
        <v>60</v>
      </c>
      <c r="BK30" s="19" t="n">
        <v>61</v>
      </c>
      <c r="BL30" s="19" t="n">
        <v>62</v>
      </c>
      <c r="BM30" s="19" t="n">
        <v>63</v>
      </c>
      <c r="BN30" s="19" t="n">
        <v>64</v>
      </c>
      <c r="BO30" s="19" t="n">
        <v>65</v>
      </c>
      <c r="BP30" s="19" t="n">
        <v>66</v>
      </c>
      <c r="BQ30" s="19" t="n">
        <v>67</v>
      </c>
      <c r="BR30" s="19" t="n">
        <v>68</v>
      </c>
      <c r="BS30" s="19" t="n">
        <v>69</v>
      </c>
      <c r="BT30" s="19" t="n">
        <v>70</v>
      </c>
      <c r="BU30" s="19" t="n">
        <v>71</v>
      </c>
      <c r="BV30" s="19" t="n">
        <v>72</v>
      </c>
      <c r="BW30" s="19" t="n">
        <v>73</v>
      </c>
      <c r="BX30" s="19" t="n">
        <v>74</v>
      </c>
      <c r="BY30" s="19" t="n">
        <v>75</v>
      </c>
      <c r="BZ30" s="19" t="n">
        <v>76</v>
      </c>
      <c r="CA30" s="19" t="n">
        <v>77</v>
      </c>
      <c r="CB30" s="19" t="n">
        <v>78</v>
      </c>
      <c r="CC30" s="19" t="n">
        <v>79</v>
      </c>
      <c r="CD30" s="19" t="n">
        <v>80</v>
      </c>
      <c r="CE30" s="19" t="n">
        <v>81</v>
      </c>
      <c r="CF30" s="19" t="n">
        <v>82</v>
      </c>
      <c r="CG30" s="19" t="n">
        <v>83</v>
      </c>
      <c r="CH30" s="19" t="n">
        <v>84</v>
      </c>
      <c r="CI30" s="19" t="n">
        <v>85</v>
      </c>
      <c r="CJ30" s="19" t="n">
        <v>86</v>
      </c>
      <c r="CK30" s="19" t="n">
        <v>87</v>
      </c>
      <c r="CL30" s="7" t="s">
        <v>320</v>
      </c>
    </row>
    <row r="31" customFormat="false" ht="12.8" hidden="false" customHeight="false" outlineLevel="0" collapsed="false">
      <c r="A31" s="4" t="s">
        <v>131</v>
      </c>
      <c r="B31" s="7" t="s">
        <v>39</v>
      </c>
      <c r="C31" s="4" t="n">
        <f aca="false" t="array" ref="C31:C31">SUM(Demand!C3*Capacity!S$3:S$25*Capacity!$DH3/(TRANSPOSE(Dists!$B2:$X2)*MMULT(1/Dists!$B2:$X2,Capacity!$DH$3:$DH$25)))</f>
        <v>0.00639406163138684</v>
      </c>
      <c r="D31" s="4" t="n">
        <f aca="false" t="array" ref="D31:D31">SUM(Demand!D3*Capacity!V$3:V$25*Capacity!$DH3/(TRANSPOSE(Dists!$B2:$X2)*MMULT(1/Dists!$B2:$X2,Capacity!$DH$3:$DH$25)))</f>
        <v>427.305272512853</v>
      </c>
      <c r="E31" s="4" t="n">
        <f aca="false" t="array" ref="E31:E31">SUM(Demand!E3*Capacity!Y$3:Y$25*Capacity!$DH3/(TRANSPOSE(Dists!$B2:$X2)*MMULT(1/Dists!$B2:$X2,Capacity!$DH$3:$DH$25)))</f>
        <v>139.415738414214</v>
      </c>
      <c r="F31" s="4" t="n">
        <f aca="false">$E3*Capacity!$M3/(2*(1-Capacity!$H$28)*Capacity!$H3)</f>
        <v>31.703314133797</v>
      </c>
      <c r="G31" s="4" t="n">
        <f aca="false" t="array" ref="G31:G31">SUM(Demand!G3*Capacity!AA$3:AA$25*Capacity!$DH3/(TRANSPOSE(Dists!$B2:$X2)*MMULT(1/Dists!$B2:$X2,Capacity!$DH$3:$DH$25)))</f>
        <v>1.56071675872869</v>
      </c>
      <c r="H31" s="4" t="n">
        <f aca="false" t="array" ref="H31:H31">SUM(Demand!H3*Capacity!AB$3:AB$25*Capacity!$DH3/(TRANSPOSE(Dists!$B2:$X2)*MMULT(1/Dists!$B2:$X2,Capacity!$DH$3:$DH$25)))</f>
        <v>0.226259862920457</v>
      </c>
      <c r="I31" s="4" t="n">
        <f aca="false" t="array" ref="I31:I31">SUM(Capacity!AC$3:AC$25*Demand!I3*Capacity!$DG3/(TRANSPOSE(Dists!$B2:$X2)*MMULT(1/Dists!$B2:$X2,Capacity!$DG$3:$DG$25)))</f>
        <v>0.834604139592343</v>
      </c>
      <c r="J31" s="4" t="n">
        <f aca="false" t="array" ref="J31:J31">SUM(Demand!J3*Capacity!AD$3:AD$25*Capacity!$DG3/(TRANSPOSE(Dists!$B2:$X2)*MMULT(1/Dists!$B2:$X2,Capacity!$DG$3:$DG$25)))</f>
        <v>2.13673232437123</v>
      </c>
      <c r="K31" s="4" t="n">
        <f aca="false">5479.45205479452*$R3</f>
        <v>342906.896477852</v>
      </c>
      <c r="L31" s="4" t="n">
        <f aca="false">17142.8571428571*$S3</f>
        <v>38137.3531113157</v>
      </c>
      <c r="M31" s="4" t="n">
        <f aca="false">IF(50420.1680672269*$T3&gt;($K3/20),50420.1680672269*$T3-($K3/20),0)</f>
        <v>45546.1945371744</v>
      </c>
      <c r="N31" s="4" t="n">
        <f aca="false" t="array" ref="N31:N31">SUM(Demand!N3*Capacity!AH$3:AH$25*Capacity!$DH3/(TRANSPOSE(Dists!$B2:$X2)*MMULT(1/Dists!$B2:$X2,Capacity!$DH$3:$DH$25)))</f>
        <v>138.922977735287</v>
      </c>
      <c r="O31" s="4" t="n">
        <f aca="false">D31/0.8</f>
        <v>534.131590641067</v>
      </c>
      <c r="P31" s="4" t="n">
        <f aca="false">O31/0.8</f>
        <v>667.664488301333</v>
      </c>
      <c r="Q31" s="4" t="n">
        <f aca="false" t="array" ref="Q31:Q31">SUM(Demand!Q3*Capacity!AK$3:AK$25*Capacity!$DI3/(TRANSPOSE(Dists!$B2:$X2)*MMULT(1/Dists!$B2:$X2,Capacity!$DI$3:$DI$25)))</f>
        <v>0.164643266552163</v>
      </c>
      <c r="R31" s="4" t="n">
        <f aca="false" t="array" ref="R31:R31">SUM(Demand!R3*Capacity!AL$3:AL$25*Capacity!$DH3/(TRANSPOSE(Dists!$B2:$X2)*MMULT(1/Dists!$B2:$X2,Capacity!$DH$3:$DH$25)))</f>
        <v>87.4352470816181</v>
      </c>
      <c r="S31" s="4" t="n">
        <f aca="false">SUM($BG31,$BI31,$BK31)*Capacity!AM3/SUM(Capacity!$AM3:$AN3,Capacity!$CX3)</f>
        <v>2.22467893149342</v>
      </c>
      <c r="T31" s="4" t="n">
        <f aca="false">SUM($BG31,$BI31,$BK31)*Capacity!AN3/SUM(Capacity!$AM3:$AN3,Capacity!$CX3)</f>
        <v>1.24338219732783</v>
      </c>
      <c r="U31" s="4" t="n">
        <f aca="false">$M3*120*2/(16*1000*2000)</f>
        <v>0.341596459028808</v>
      </c>
      <c r="V31" s="4" t="n">
        <f aca="false" t="array" ref="V31:V31">SUM(Demand!V3*Capacity!AP$3:AP$25*Capacity!$DH3/(TRANSPOSE(Dists!$B2:$X2)*MMULT(1/Dists!$B2:$X2,Capacity!$DH$3:$DH$25)))</f>
        <v>48.8493590104044</v>
      </c>
      <c r="W31" s="4" t="n">
        <f aca="false" t="array" ref="W31:W31">SUM(Demand!W3*Capacity!AQ$3:AQ$25*Capacity!$DH3/(TRANSPOSE(Dists!$B2:$X2)*MMULT(1/Dists!$B2:$X2,Capacity!$DH$3:$DH$25)))</f>
        <v>138.425086647594</v>
      </c>
      <c r="X31" s="4" t="n">
        <f aca="false" t="array" ref="X31:X31">SUM(Demand!X3*Capacity!AR$3:AR$25*Capacity!$DH3/(TRANSPOSE(Dists!$B2:$X2)*MMULT(1/Dists!$B2:$X2,Capacity!$DH$3:$DH$25)))</f>
        <v>1843.18723928879</v>
      </c>
      <c r="Y31" s="4" t="n">
        <f aca="false">$L3*600*6/(90*1000*2000)</f>
        <v>0.762747062226315</v>
      </c>
      <c r="Z31" s="4" t="n">
        <f aca="false" t="array" ref="Z31:Z31">SUM(Demand!Z3*Capacity!AT$3:AT$25*Capacity!$DI3/(TRANSPOSE(Dists!$B2:$X2)*MMULT(1/Dists!$B2:$X2,Capacity!$DI$3:$DI$25)))</f>
        <v>6.24890134912692</v>
      </c>
      <c r="AA31" s="4" t="n">
        <f aca="false" t="array" ref="AA31:AA31">SUM(Demand!AA3*Capacity!AU$3:AU$25*Capacity!$DI3/(TRANSPOSE(Dists!$B2:$X2)*MMULT(1/Dists!$B2:$X2,Capacity!$DI$3:$DI$25)))</f>
        <v>6.48043229659495</v>
      </c>
      <c r="AB31" s="4" t="n">
        <f aca="false" t="array" ref="AB31:AB31">SUM(Demand!AB3*Capacity!AV$3:AV$25*Capacity!$DI3/(TRANSPOSE(Dists!$B2:$X2)*MMULT(1/Dists!$B2:$X2,Capacity!$DI$3:$DI$25)))</f>
        <v>9.75692268363443</v>
      </c>
      <c r="AC31" s="4" t="n">
        <f aca="false" t="array" ref="AC31:AC31">SUM(Demand!AC3*Capacity!AW$3:AW$25*Capacity!$DI3/(TRANSPOSE(Dists!$B2:$X2)*MMULT(1/Dists!$B2:$X2,Capacity!$DI$3:$DI$25)))</f>
        <v>1.09858960656462</v>
      </c>
      <c r="AD31" s="4" t="n">
        <f aca="false" t="array" ref="AD31:AD31">SUM(Demand!AD3*Capacity!AX$3:AX$25*Capacity!$DI3/(TRANSPOSE(Dists!$B2:$X2)*MMULT(1/Dists!$B2:$X2,Capacity!$DI$3:$DI$25)))</f>
        <v>1.59731227143572</v>
      </c>
      <c r="AE31" s="4" t="n">
        <f aca="false" t="array" ref="AE31:AE31">SUM(Demand!AE3*Capacity!AY$3:AY$25*Capacity!$DI3/(TRANSPOSE(Dists!$B2:$X2)*MMULT(1/Dists!$B2:$X2,Capacity!$DI$3:$DI$25)))</f>
        <v>1.94451738868521</v>
      </c>
      <c r="AF31" s="4" t="n">
        <f aca="false" t="array" ref="AF31:AF31">SUM(Demand!AF3*Capacity!AZ$3:AZ$25*Capacity!$DI3/(TRANSPOSE(Dists!$B2:$X2)*MMULT(1/Dists!$B2:$X2,Capacity!$DI$3:$DI$25)))</f>
        <v>1.02743419000118</v>
      </c>
      <c r="AG31" s="4" t="n">
        <f aca="false" t="array" ref="AG31:AG31">SUM(Demand!AG3*Capacity!BA$3:BA$25*Capacity!$DI3/(TRANSPOSE(Dists!$B2:$X2)*MMULT(1/Dists!$B2:$X2,Capacity!$DI$3:$DI$25)))</f>
        <v>1.55304619929834</v>
      </c>
      <c r="AH31" s="4" t="n">
        <f aca="false" t="array" ref="AH31:AH31">SUM(Demand!AH3*Capacity!BB$3:BB$25*Capacity!$DI3/(TRANSPOSE(Dists!$B2:$X2)*MMULT(1/Dists!$B2:$X2,Capacity!$DI$3:$DI$25)))</f>
        <v>4.28171629666197</v>
      </c>
      <c r="AI31" s="4" t="n">
        <f aca="false" t="array" ref="AI31:AI31">SUM(Demand!AI3*Capacity!BC$3:BC$25*Capacity!$DI3/(TRANSPOSE(Dists!$B2:$X2)*MMULT(1/Dists!$B2:$X2,Capacity!$DI$3:$DI$25)))</f>
        <v>0.676076197598564</v>
      </c>
      <c r="AJ31" s="4" t="n">
        <f aca="false" t="array" ref="AJ31:AJ31">SUM(Demand!AJ3*Capacity!BD$3:BD$25*Capacity!$DI3/(TRANSPOSE(Dists!$B2:$X2)*MMULT(1/Dists!$B2:$X2,Capacity!$DI$3:$DI$25)))</f>
        <v>1.45878705402868</v>
      </c>
      <c r="AK31" s="4" t="n">
        <f aca="false" t="array" ref="AK31:AK31">SUM(Demand!AK3*Capacity!BE$3:BE$25*Capacity!$DI3/(TRANSPOSE(Dists!$B2:$X2)*MMULT(1/Dists!$B2:$X2,Capacity!$DI$3:$DI$25)))</f>
        <v>0.622042029206573</v>
      </c>
      <c r="AL31" s="4" t="n">
        <f aca="false" t="array" ref="AL31:AL31">SUM(Demand!AL3*Capacity!BF$3:BF$25*Capacity!$DI3/(TRANSPOSE(Dists!$B2:$X2)*MMULT(1/Dists!$B2:$X2,Capacity!$DI$3:$DI$25)))</f>
        <v>0.498987414912544</v>
      </c>
      <c r="AM31" s="4" t="n">
        <f aca="false" t="array" ref="AM31:AM31">SUM(Demand!AM3*Capacity!BG$3:BG$25*Capacity!$DI3/(TRANSPOSE(Dists!$B2:$X2)*MMULT(1/Dists!$B2:$X2,Capacity!$DI$3:$DI$25)))</f>
        <v>0.248394799806867</v>
      </c>
      <c r="AN31" s="4" t="n">
        <f aca="false" t="array" ref="AN31:AN31">SUM(Demand!AN3*Capacity!BH$3:BH$25*Capacity!$DI3/(TRANSPOSE(Dists!$B2:$X2)*MMULT(1/Dists!$B2:$X2,Capacity!$DI$3:$DI$25)))</f>
        <v>0.0890451428210398</v>
      </c>
      <c r="AO31" s="4" t="n">
        <f aca="false" t="array" ref="AO31:AO31">SUM(Demand!AO3*Capacity!BI$3:BI$25*Capacity!$DI3/(TRANSPOSE(Dists!$B2:$X2)*MMULT(1/Dists!$B2:$X2,Capacity!$DI$3:$DI$25)))</f>
        <v>0.246411921611965</v>
      </c>
      <c r="AP31" s="4" t="n">
        <f aca="false" t="array" ref="AP31:AP31">SUM(Demand!AP3*Capacity!BJ$3:BJ$25*Capacity!$DI3/(TRANSPOSE(Dists!$B2:$X2)*MMULT(1/Dists!$B2:$X2,Capacity!$DI$3:$DI$25)))</f>
        <v>1.17136814022724</v>
      </c>
      <c r="AQ31" s="4" t="n">
        <f aca="false" t="array" ref="AQ31:AQ31">SUM(Demand!AQ3*Capacity!BK$3:BK$25*Capacity!$DI3/(TRANSPOSE(Dists!$B2:$X2)*MMULT(1/Dists!$B2:$X2,Capacity!$DI$3:$DI$25)))</f>
        <v>0.0334875391262339</v>
      </c>
      <c r="AR31" s="4" t="n">
        <f aca="false" t="array" ref="AR31:AR31">SUM(Demand!AR3*Capacity!BL$3:BL$25*Capacity!$DI3/(TRANSPOSE(Dists!$B2:$X2)*MMULT(1/Dists!$B2:$X2,Capacity!$DI$3:$DI$25)))</f>
        <v>0.102149809356813</v>
      </c>
      <c r="AS31" s="4" t="n">
        <f aca="false" t="array" ref="AS31:AS31">SUM(Demand!AS3*Capacity!BM$3:BM$25*Capacity!$DI3/(TRANSPOSE(Dists!$B2:$X2)*MMULT(1/Dists!$B2:$X2,Capacity!$DI$3:$DI$25)))</f>
        <v>0.0400955822687513</v>
      </c>
      <c r="AT31" s="4" t="n">
        <f aca="false" t="array" ref="AT31:AT31">SUM(Demand!AT3*Capacity!BN$3:BN$25*Capacity!$DI3/(TRANSPOSE(Dists!$B2:$X2)*MMULT(1/Dists!$B2:$X2,Capacity!$DI$3:$DI$25)))</f>
        <v>1.23476844513238</v>
      </c>
      <c r="AU31" s="4" t="n">
        <f aca="false" t="array" ref="AU31:AU31">SUM(Demand!AU3*Capacity!BO$3:BO$25*Capacity!$DI3/(TRANSPOSE(Dists!$B2:$X2)*MMULT(1/Dists!$B2:$X2,Capacity!$DI$3:$DI$25)))</f>
        <v>4.944961007222</v>
      </c>
      <c r="AV31" s="4" t="n">
        <f aca="false" t="array" ref="AV31:AV31">SUM(Demand!AV3*Capacity!BP$3:BP$25*Capacity!$DI3/(TRANSPOSE(Dists!$B2:$X2)*MMULT(1/Dists!$B2:$X2,Capacity!$DI$3:$DI$25)))</f>
        <v>0.179082149781849</v>
      </c>
      <c r="AW31" s="4" t="n">
        <f aca="false" t="array" ref="AW31:AW31">SUM(Demand!AW3*Capacity!BQ$3:BQ$25*Capacity!$DI3/(TRANSPOSE(Dists!$B2:$X2)*MMULT(1/Dists!$B2:$X2,Capacity!$DI$3:$DI$25)))</f>
        <v>0.664176792890453</v>
      </c>
      <c r="AX31" s="4" t="n">
        <f aca="false" t="array" ref="AX31:AX31">SUM(Demand!AX3*Capacity!BR$3:BR$25*Capacity!$DI3/(TRANSPOSE(Dists!$B2:$X2)*MMULT(1/Dists!$B2:$X2,Capacity!$DI$3:$DI$25)))</f>
        <v>0.511904978403867</v>
      </c>
      <c r="AY31" s="4" t="n">
        <f aca="false" t="array" ref="AY31:AY31">SUM(Demand!AY3*Capacity!BS$3:BS$25*Capacity!$DI3/(TRANSPOSE(Dists!$B2:$X2)*MMULT(1/Dists!$B2:$X2,Capacity!$DI$3:$DI$25)))</f>
        <v>0.0947476437470825</v>
      </c>
      <c r="AZ31" s="4" t="n">
        <f aca="false" t="array" ref="AZ31:AZ31">SUM(Demand!AZ3*Capacity!BT$3:BT$25*Capacity!$DI3/(TRANSPOSE(Dists!$B2:$X2)*MMULT(1/Dists!$B2:$X2,Capacity!$DI$3:$DI$25)))</f>
        <v>0.736020632365092</v>
      </c>
      <c r="BA31" s="4" t="n">
        <f aca="false">BA3</f>
        <v>0.00934739046845974</v>
      </c>
      <c r="BB31" s="4" t="n">
        <f aca="false" t="array" ref="BB31:BB31">SUM(Demand!BB3*Capacity!BV$3:BV$25*Capacity!$DI3/(TRANSPOSE(Dists!$B2:$X2)*MMULT(1/Dists!$B2:$X2,Capacity!$DI$3:$DI$25)))</f>
        <v>0.408676530632595</v>
      </c>
      <c r="BC31" s="4" t="n">
        <f aca="false" t="array" ref="BC31:BC31">SUM(Demand!BC3*Capacity!BW$3:BW$25*Capacity!$DI3/(TRANSPOSE(Dists!$B2:$X2)*MMULT(1/Dists!$B2:$X2,Capacity!$DI$3:$DI$25)))</f>
        <v>0.352429175056143</v>
      </c>
      <c r="BD31" s="4" t="n">
        <f aca="false" t="array" ref="BD31:BD31">SUM(Demand!BD3*Capacity!BX$3:BX$25*Capacity!$DI3/(TRANSPOSE(Dists!$B2:$X2)*MMULT(1/Dists!$B2:$X2,Capacity!$DI$3:$DI$25)))</f>
        <v>0.215120609243269</v>
      </c>
      <c r="BE31" s="4" t="n">
        <f aca="false" t="array" ref="BE31:BE31">SUM(Demand!BE3*Capacity!BY$3:BY$25*Capacity!$DI3/(TRANSPOSE(Dists!$B2:$X2)*MMULT(1/Dists!$B2:$X2,Capacity!$DI$3:$DI$25)))</f>
        <v>0.0473435773572434</v>
      </c>
      <c r="BF31" s="4" t="n">
        <f aca="false" t="array" ref="BF31:BF31">SUM(Demand!BF3*Capacity!BZ$3:BZ$25*Capacity!$DI3/(TRANSPOSE(Dists!$B2:$X2)*MMULT(1/Dists!$B2:$X2,Capacity!$DI$3:$DI$25)))</f>
        <v>1.39292772171249</v>
      </c>
      <c r="BG31" s="4" t="n">
        <f aca="false" t="array" ref="BG31:BG31">SUM(Demand!BG3*Capacity!CA$3:CA$25*Capacity!$DI3/(TRANSPOSE(Dists!$B2:$X2)*MMULT(1/Dists!$B2:$X2,Capacity!$DI$3:$DI$25)))</f>
        <v>3.02867002116384</v>
      </c>
      <c r="BH31" s="4" t="n">
        <f aca="false" t="array" ref="BH31:BH31">SUM(Demand!BH3*Capacity!CB$3:CB$25*Capacity!$DI3/(TRANSPOSE(Dists!$B2:$X2)*MMULT(1/Dists!$B2:$X2,Capacity!$DI$3:$DI$25)))</f>
        <v>6.05734004232768</v>
      </c>
      <c r="BI31" s="4" t="n">
        <f aca="false" t="array" ref="BI31:BI31">SUM(Demand!BI3*Capacity!CC$3:CC$25*Capacity!$DI3/(TRANSPOSE(Dists!$B2:$X2)*MMULT(1/Dists!$B2:$X2,Capacity!$DI$3:$DI$25)))</f>
        <v>8.07645338977023</v>
      </c>
      <c r="BJ31" s="4" t="n">
        <f aca="false" t="array" ref="BJ31:BJ31">SUM(Demand!BJ3*Capacity!CD$3:CD$25*Capacity!$DI3/(TRANSPOSE(Dists!$B2:$X2)*MMULT(1/Dists!$B2:$X2,Capacity!$DI$3:$DI$25)))</f>
        <v>1298.88629838901</v>
      </c>
      <c r="BK31" s="4" t="n">
        <f aca="false" t="array" ref="BK31:BK31">SUM(Demand!BK3*Capacity!CE$3:CE$25*Capacity!$DI3/(TRANSPOSE(Dists!$B2:$X2)*MMULT(1/Dists!$B2:$X2,Capacity!$DI$3:$DI$25)))</f>
        <v>4.03822669488512</v>
      </c>
      <c r="BL31" s="4" t="n">
        <f aca="false" t="array" ref="BL31:BL31">SUM(Demand!BL3*Capacity!CF$3:CF$25*Capacity!$DI3/(TRANSPOSE(Dists!$B2:$X2)*MMULT(1/Dists!$B2:$X2,Capacity!$DI$3:$DI$25)))</f>
        <v>1263.19010199878</v>
      </c>
      <c r="BM31" s="4" t="n">
        <f aca="false" t="array" ref="BM31:BM31">SUM(Demand!BM3*Capacity!CG$3:CG$25*Capacity!$DI3/(TRANSPOSE(Dists!$B2:$X2)*MMULT(1/Dists!$B2:$X2,Capacity!$DI$3:$DI$25)))</f>
        <v>24.6654973583743</v>
      </c>
      <c r="BN31" s="4" t="n">
        <f aca="false">BN3</f>
        <v>6.44110203876868E-005</v>
      </c>
      <c r="BO31" s="4" t="n">
        <f aca="false" t="array" ref="BO31:BO31">SUM(Demand!BO3*Capacity!CI$3:CI$25*Capacity!$DI3/(TRANSPOSE(Dists!$B2:$X2)*MMULT(1/Dists!$B2:$X2,Capacity!$DI$3:$DI$25)))</f>
        <v>1.07377346535179</v>
      </c>
      <c r="BP31" s="4" t="n">
        <f aca="false" t="array" ref="BP31:BP31">SUM(Demand!BP3*Capacity!CJ$3:CJ$25*Capacity!$DI3/(TRANSPOSE(Dists!$B2:$X2)*MMULT(1/Dists!$B2:$X2,Capacity!$DI$3:$DI$25)))</f>
        <v>3.50812530191728</v>
      </c>
      <c r="BQ31" s="4" t="n">
        <f aca="false">BQ3</f>
        <v>4.18671632519964E-005</v>
      </c>
      <c r="BR31" s="4" t="n">
        <f aca="false" t="array" ref="BR31:BR31">SUM(Demand!BR3*Capacity!CL$3:CL$25*Capacity!$DI3/(TRANSPOSE(Dists!$B2:$X2)*MMULT(1/Dists!$B2:$X2,Capacity!$DI$3:$DI$25)))</f>
        <v>0.0357924663718024</v>
      </c>
      <c r="BS31" s="4" t="n">
        <f aca="false" t="array" ref="BS31:BS31">SUM(Demand!BS3*Capacity!CM$3:CM$25*Capacity!$DI3/(TRANSPOSE(Dists!$B2:$X2)*MMULT(1/Dists!$B2:$X2,Capacity!$DI$3:$DI$25)))</f>
        <v>0.00357924663718023</v>
      </c>
      <c r="BT31" s="4" t="n">
        <f aca="false">BT3</f>
        <v>0.540078772625382</v>
      </c>
      <c r="BU31" s="4" t="n">
        <f aca="false">BU3</f>
        <v>0.0540078772625382</v>
      </c>
      <c r="BV31" s="4" t="n">
        <f aca="false">BV3</f>
        <v>0.00540078772625381</v>
      </c>
      <c r="BW31" s="4" t="n">
        <f aca="false">BW3</f>
        <v>387.575752791514</v>
      </c>
      <c r="BX31" s="4" t="n">
        <f aca="false" t="array" ref="BX31:BX31">SUM(Demand!BX3*Capacity!CR$3:CR$25*Capacity!$DI3/(TRANSPOSE(Dists!$B2:$X2)*MMULT(1/Dists!$B2:$X2,Capacity!$DI$3:$DI$25)))</f>
        <v>3.02128303177565</v>
      </c>
      <c r="BY31" s="4" t="n">
        <f aca="false" t="array" ref="BY31:BY31">SUM(Demand!BY3*Capacity!CS$3:CS$25*Capacity!$DI3/(TRANSPOSE(Dists!$B2:$X2)*MMULT(1/Dists!$B2:$X2,Capacity!$DI$3:$DI$25)))</f>
        <v>273.629763785192</v>
      </c>
      <c r="BZ31" s="4" t="n">
        <f aca="false" t="array" ref="BZ31:BZ31">SUM(Demand!BZ3*Capacity!CT$3:CT$25*Capacity!$DI3/(TRANSPOSE(Dists!$B2:$X2)*MMULT(1/Dists!$B2:$X2,Capacity!$DI$3:$DI$25)))</f>
        <v>1.17964783561682</v>
      </c>
      <c r="CA31" s="4" t="n">
        <f aca="false" t="array" ref="CA31:CA31">SUM(Demand!CA3*Capacity!CU$3:CU$25*Capacity!$DI3/(TRANSPOSE(Dists!$B2:$X2)*MMULT(1/Dists!$B2:$X2,Capacity!$DI$3:$DI$25)))</f>
        <v>0.455959961826331</v>
      </c>
      <c r="CB31" s="4" t="n">
        <f aca="false" t="array" ref="CB31:CB31">SUM(Demand!CB3*Capacity!CV$3:CV$25*Capacity!$DI3/(TRANSPOSE(Dists!$B2:$X2)*MMULT(1/Dists!$B2:$X2,Capacity!$DI$3:$DI$25)))</f>
        <v>509.230681253519</v>
      </c>
      <c r="CC31" s="4" t="n">
        <f aca="false" t="array" ref="CC31:CC31">SUM(Demand!CC3*Capacity!CW$3:CW$25*Capacity!$DI3/(TRANSPOSE(Dists!$B2:$X2)*MMULT(1/Dists!$B2:$X2,Capacity!$DI$3:$DI$25)))</f>
        <v>1666.86429129898</v>
      </c>
      <c r="CD31" s="4" t="n">
        <f aca="false">SUM($BG31,$BI31,$BK31)*Capacity!CX3/SUM(Capacity!$AM3:$AN3,Capacity!$CX3)</f>
        <v>11.6752889769979</v>
      </c>
      <c r="CE31" s="4" t="n">
        <f aca="false" t="array" ref="CE31:CE31">SUM(Demand!CE3*Capacity!CY$3:CY$25*Capacity!$DI3/(TRANSPOSE(Dists!$B2:$X2)*MMULT(1/Dists!$B2:$X2,Capacity!$DI$3:$DI$25)))</f>
        <v>2.01534531028621</v>
      </c>
      <c r="CF31" s="4" t="n">
        <f aca="false" t="array" ref="CF31:CF31">SUM(Demand!CF3*Capacity!CZ$3:CZ$25*Capacity!$DI3/(TRANSPOSE(Dists!$B2:$X2)*MMULT(1/Dists!$B2:$X2,Capacity!$DI$3:$DI$25)))</f>
        <v>295.301591255801</v>
      </c>
      <c r="CG31" s="4" t="n">
        <f aca="false" t="array" ref="CG31:CG31">SUM(Demand!CG3*Capacity!DA$3:DA$25*Capacity!$DI3/(TRANSPOSE(Dists!$B2:$X2)*MMULT(1/Dists!$B2:$X2,Capacity!$DI$3:$DI$25)))</f>
        <v>0.114961015339646</v>
      </c>
      <c r="CH31" s="4" t="n">
        <f aca="false" t="array" ref="CH31:CH31">SUM(Demand!CH3*Capacity!DB$3:DB$25*Capacity!$DI3/(TRANSPOSE(Dists!$B2:$X2)*MMULT(1/Dists!$B2:$X2,Capacity!$DI$3:$DI$25)))</f>
        <v>0.626473306631524</v>
      </c>
      <c r="CI31" s="4" t="n">
        <f aca="false" t="array" ref="CI31:CI31">SUM(Demand!CI3*Capacity!DC$3:DC$25*Capacity!$DI3/(TRANSPOSE(Dists!$B2:$X2)*MMULT(1/Dists!$B2:$X2,Capacity!$DI$3:$DI$25)))</f>
        <v>0.265693349666085</v>
      </c>
      <c r="CJ31" s="4" t="n">
        <f aca="false" t="array" ref="CJ31:CJ31">SUM(Demand!CJ3*Capacity!DD$3:DD$25*Capacity!$DI3/(TRANSPOSE(Dists!$B2:$X2)*MMULT(1/Dists!$B2:$X2,Capacity!$DI$3:$DI$25)))</f>
        <v>0.0651982572453036</v>
      </c>
      <c r="CK31" s="4" t="n">
        <f aca="false" t="array" ref="CK31:CK31">SUM(Demand!CK3*Capacity!DE$3:DE$25*Capacity!$DI3/(TRANSPOSE(Dists!$B2:$X2)*MMULT(1/Dists!$B2:$X2,Capacity!$DI$3:$DI$25)))</f>
        <v>8.18673369873545</v>
      </c>
      <c r="CL31" s="7" t="s">
        <v>320</v>
      </c>
    </row>
    <row r="32" customFormat="false" ht="12.8" hidden="false" customHeight="false" outlineLevel="0" collapsed="false">
      <c r="A32" s="4" t="s">
        <v>133</v>
      </c>
      <c r="B32" s="7" t="s">
        <v>39</v>
      </c>
      <c r="C32" s="4" t="n">
        <f aca="false" t="array" ref="C32:C32">SUM(Demand!C4*Capacity!S$3:S$25*Capacity!$DH4/(TRANSPOSE(Dists!$B3:$X3)*MMULT(1/Dists!$B3:$X3,Capacity!$DH$3:$DH$25)))</f>
        <v>0.00952022779089233</v>
      </c>
      <c r="D32" s="4" t="n">
        <f aca="false" t="array" ref="D32:D32">SUM(Demand!D4*Capacity!V$3:V$25*Capacity!$DH4/(TRANSPOSE(Dists!$B3:$X3)*MMULT(1/Dists!$B3:$X3,Capacity!$DH$3:$DH$25)))</f>
        <v>767.576195586771</v>
      </c>
      <c r="E32" s="4" t="n">
        <f aca="false" t="array" ref="E32:E32">SUM(Demand!E4*Capacity!Y$3:Y$25*Capacity!$DH4/(TRANSPOSE(Dists!$B3:$X3)*MMULT(1/Dists!$B3:$X3,Capacity!$DH$3:$DH$25)))</f>
        <v>296.531155619297</v>
      </c>
      <c r="F32" s="4" t="n">
        <f aca="false">$E4*Capacity!$M4/(2*(1-Capacity!$H$28)*Capacity!$H4)</f>
        <v>164.329839506618</v>
      </c>
      <c r="G32" s="4" t="n">
        <f aca="false" t="array" ref="G32:G32">SUM(Demand!G4*Capacity!AA$3:AA$25*Capacity!$DH4/(TRANSPOSE(Dists!$B3:$X3)*MMULT(1/Dists!$B3:$X3,Capacity!$DH$3:$DH$25)))</f>
        <v>151.073100076137</v>
      </c>
      <c r="H32" s="4" t="n">
        <f aca="false" t="array" ref="H32:H32">SUM(Demand!H4*Capacity!AB$3:AB$25*Capacity!$DH4/(TRANSPOSE(Dists!$B3:$X3)*MMULT(1/Dists!$B3:$X3,Capacity!$DH$3:$DH$25)))</f>
        <v>0.139964636679121</v>
      </c>
      <c r="I32" s="4" t="n">
        <f aca="false" t="array" ref="I32:I32">SUM(Demand!I4*Capacity!AC$3:AC$25*Capacity!$DG4/(TRANSPOSE(Dists!$B3:$X3)*MMULT(1/Dists!$B3:$X3,Capacity!$DG$3:$DG$25)))</f>
        <v>4.83059229549799</v>
      </c>
      <c r="J32" s="4" t="n">
        <f aca="false" t="array" ref="J32:J32">SUM(Demand!J4*Capacity!AD$3:AD$25*Capacity!$DG4/(TRANSPOSE(Dists!$B3:$X3)*MMULT(1/Dists!$B3:$X3,Capacity!$DG$3:$DG$25)))</f>
        <v>4.43092682660132</v>
      </c>
      <c r="K32" s="4" t="n">
        <f aca="false">5479.45205479452*$R4</f>
        <v>595656.313278318</v>
      </c>
      <c r="L32" s="4" t="n">
        <f aca="false">17142.8571428571*$S4</f>
        <v>95089.4012129015</v>
      </c>
      <c r="M32" s="4" t="n">
        <f aca="false">IF(50420.1680672269*$T4&gt;($K4/20),50420.1680672269*$T4-($K4/20),0)</f>
        <v>126528.528795649</v>
      </c>
      <c r="N32" s="4" t="n">
        <f aca="false" t="array" ref="N32:N32">SUM(Demand!N4*Capacity!AH$3:AH$25*Capacity!$DH4/(TRANSPOSE(Dists!$B3:$X3)*MMULT(1/Dists!$B3:$X3,Capacity!$DH$3:$DH$25)))</f>
        <v>254.620194214576</v>
      </c>
      <c r="O32" s="4" t="n">
        <f aca="false">D32/0.8</f>
        <v>959.470244483464</v>
      </c>
      <c r="P32" s="4" t="n">
        <f aca="false">O32/0.8</f>
        <v>1199.33780560433</v>
      </c>
      <c r="Q32" s="4" t="n">
        <f aca="false" t="array" ref="Q32:Q32">SUM(Demand!Q4*Capacity!AK$3:AK$25*Capacity!$DI4/(TRANSPOSE(Dists!$B3:$X3)*MMULT(1/Dists!$B3:$X3,Capacity!$DI$3:$DI$25)))</f>
        <v>8.78080230384826</v>
      </c>
      <c r="R32" s="4" t="n">
        <f aca="false" t="array" ref="R32:R32">SUM(Demand!R4*Capacity!AL$3:AL$25*Capacity!$DH4/(TRANSPOSE(Dists!$B3:$X3)*MMULT(1/Dists!$B3:$X3,Capacity!$DH$3:$DH$25)))</f>
        <v>122.095828732933</v>
      </c>
      <c r="S32" s="4" t="n">
        <f aca="false">SUM($BG32,$BI32,$BK32)*Capacity!AM4/SUM(Capacity!$AM4:$AN4,Capacity!$CX4)</f>
        <v>5.54688173741927</v>
      </c>
      <c r="T32" s="4" t="n">
        <f aca="false">SUM($BG32,$BI32,$BK32)*Capacity!AN4/SUM(Capacity!$AM4:$AN4,Capacity!$CX4)</f>
        <v>3.10017499844803</v>
      </c>
      <c r="U32" s="4" t="n">
        <f aca="false">$M4*120*2/(16*1000*2000)</f>
        <v>0.948963965967364</v>
      </c>
      <c r="V32" s="4" t="n">
        <f aca="false" t="array" ref="V32:V32">SUM(Demand!V4*Capacity!AP$3:AP$25*Capacity!$DH4/(TRANSPOSE(Dists!$B3:$X3)*MMULT(1/Dists!$B3:$X3,Capacity!$DH$3:$DH$25)))</f>
        <v>246.900167403846</v>
      </c>
      <c r="W32" s="4" t="n">
        <f aca="false" t="array" ref="W32:W32">SUM(Demand!W4*Capacity!AQ$3:AQ$25*Capacity!$DH4/(TRANSPOSE(Dists!$B3:$X3)*MMULT(1/Dists!$B3:$X3,Capacity!$DH$3:$DH$25)))</f>
        <v>713.646181401327</v>
      </c>
      <c r="X32" s="4" t="n">
        <f aca="false" t="array" ref="X32:X32">SUM(Demand!X4*Capacity!AR$3:AR$25*Capacity!$DH4/(TRANSPOSE(Dists!$B3:$X3)*MMULT(1/Dists!$B3:$X3,Capacity!$DH$3:$DH$25)))</f>
        <v>952.659091170248</v>
      </c>
      <c r="Y32" s="4" t="n">
        <f aca="false">$L4*600*6/(90*1000*2000)</f>
        <v>1.90178802425803</v>
      </c>
      <c r="Z32" s="4" t="n">
        <f aca="false" t="array" ref="Z32:Z32">SUM(Demand!Z4*Capacity!AT$3:AT$25*Capacity!$DI4/(TRANSPOSE(Dists!$B3:$X3)*MMULT(1/Dists!$B3:$X3,Capacity!$DI$3:$DI$25)))</f>
        <v>5.90208426290948</v>
      </c>
      <c r="AA32" s="4" t="n">
        <f aca="false" t="array" ref="AA32:AA32">SUM(Demand!AA4*Capacity!AU$3:AU$25*Capacity!$DI4/(TRANSPOSE(Dists!$B3:$X3)*MMULT(1/Dists!$B3:$X3,Capacity!$DI$3:$DI$25)))</f>
        <v>10.4398796782034</v>
      </c>
      <c r="AB32" s="4" t="n">
        <f aca="false" t="array" ref="AB32:AB32">SUM(Demand!AB4*Capacity!AV$3:AV$25*Capacity!$DI4/(TRANSPOSE(Dists!$B3:$X3)*MMULT(1/Dists!$B3:$X3,Capacity!$DI$3:$DI$25)))</f>
        <v>20.7525462446016</v>
      </c>
      <c r="AC32" s="4" t="n">
        <f aca="false" t="array" ref="AC32:AC32">SUM(Demand!AC4*Capacity!AW$3:AW$25*Capacity!$DI4/(TRANSPOSE(Dists!$B3:$X3)*MMULT(1/Dists!$B3:$X3,Capacity!$DI$3:$DI$25)))</f>
        <v>1.15714827136353</v>
      </c>
      <c r="AD32" s="4" t="n">
        <f aca="false" t="array" ref="AD32:AD32">SUM(Demand!AD4*Capacity!AX$3:AX$25*Capacity!$DI4/(TRANSPOSE(Dists!$B3:$X3)*MMULT(1/Dists!$B3:$X3,Capacity!$DI$3:$DI$25)))</f>
        <v>3.39741308349609</v>
      </c>
      <c r="AE32" s="4" t="n">
        <f aca="false" t="array" ref="AE32:AE32">SUM(Demand!AE4*Capacity!AY$3:AY$25*Capacity!$DI4/(TRANSPOSE(Dists!$B3:$X3)*MMULT(1/Dists!$B3:$X3,Capacity!$DI$3:$DI$25)))</f>
        <v>6.52243721644907</v>
      </c>
      <c r="AF32" s="4" t="n">
        <f aca="false" t="array" ref="AF32:AF32">SUM(Demand!AF4*Capacity!AZ$3:AZ$25*Capacity!$DI4/(TRANSPOSE(Dists!$B3:$X3)*MMULT(1/Dists!$B3:$X3,Capacity!$DI$3:$DI$25)))</f>
        <v>0.482304295248973</v>
      </c>
      <c r="AG32" s="4" t="n">
        <f aca="false" t="array" ref="AG32:AG32">SUM(Demand!AG4*Capacity!BA$3:BA$25*Capacity!$DI4/(TRANSPOSE(Dists!$B3:$X3)*MMULT(1/Dists!$B3:$X3,Capacity!$DI$3:$DI$25)))</f>
        <v>4.14669049965946</v>
      </c>
      <c r="AH32" s="4" t="n">
        <f aca="false" t="array" ref="AH32:AH32">SUM(Demand!AH4*Capacity!BB$3:BB$25*Capacity!$DI4/(TRANSPOSE(Dists!$B3:$X3)*MMULT(1/Dists!$B3:$X3,Capacity!$DI$3:$DI$25)))</f>
        <v>1.85842169909218</v>
      </c>
      <c r="AI32" s="4" t="n">
        <f aca="false" t="array" ref="AI32:AI32">SUM(Demand!AI4*Capacity!BC$3:BC$25*Capacity!$DI4/(TRANSPOSE(Dists!$B3:$X3)*MMULT(1/Dists!$B3:$X3,Capacity!$DI$3:$DI$25)))</f>
        <v>0.680360925039949</v>
      </c>
      <c r="AJ32" s="4" t="n">
        <f aca="false" t="array" ref="AJ32:AJ32">SUM(Demand!AJ4*Capacity!BD$3:BD$25*Capacity!$DI4/(TRANSPOSE(Dists!$B3:$X3)*MMULT(1/Dists!$B3:$X3,Capacity!$DI$3:$DI$25)))</f>
        <v>0.290539965221806</v>
      </c>
      <c r="AK32" s="4" t="n">
        <f aca="false" t="array" ref="AK32:AK32">SUM(Demand!AK4*Capacity!BE$3:BE$25*Capacity!$DI4/(TRANSPOSE(Dists!$B3:$X3)*MMULT(1/Dists!$B3:$X3,Capacity!$DI$3:$DI$25)))</f>
        <v>0.429397204493347</v>
      </c>
      <c r="AL32" s="4" t="n">
        <f aca="false" t="array" ref="AL32:AL32">SUM(Demand!AL4*Capacity!BF$3:BF$25*Capacity!$DI4/(TRANSPOSE(Dists!$B3:$X3)*MMULT(1/Dists!$B3:$X3,Capacity!$DI$3:$DI$25)))</f>
        <v>0.0263800662020678</v>
      </c>
      <c r="AM32" s="4" t="n">
        <f aca="false" t="array" ref="AM32:AM32">SUM(Demand!AM4*Capacity!BG$3:BG$25*Capacity!$DI4/(TRANSPOSE(Dists!$B3:$X3)*MMULT(1/Dists!$B3:$X3,Capacity!$DI$3:$DI$25)))</f>
        <v>1.12424260218311</v>
      </c>
      <c r="AN32" s="4" t="n">
        <f aca="false" t="array" ref="AN32:AN32">SUM(Demand!AN4*Capacity!BH$3:BH$25*Capacity!$DI4/(TRANSPOSE(Dists!$B3:$X3)*MMULT(1/Dists!$B3:$X3,Capacity!$DI$3:$DI$25)))</f>
        <v>0.923203173065524</v>
      </c>
      <c r="AO32" s="4" t="n">
        <f aca="false" t="array" ref="AO32:AO32">SUM(Demand!AO4*Capacity!BI$3:BI$25*Capacity!$DI4/(TRANSPOSE(Dists!$B3:$X3)*MMULT(1/Dists!$B3:$X3,Capacity!$DI$3:$DI$25)))</f>
        <v>0.26154799295906</v>
      </c>
      <c r="AP32" s="4" t="n">
        <f aca="false" t="array" ref="AP32:AP32">SUM(Demand!AP4*Capacity!BJ$3:BJ$25*Capacity!$DI4/(TRANSPOSE(Dists!$B3:$X3)*MMULT(1/Dists!$B3:$X3,Capacity!$DI$3:$DI$25)))</f>
        <v>1.31125978848282</v>
      </c>
      <c r="AQ32" s="4" t="n">
        <f aca="false" t="array" ref="AQ32:AQ32">SUM(Demand!AQ4*Capacity!BK$3:BK$25*Capacity!$DI4/(TRANSPOSE(Dists!$B3:$X3)*MMULT(1/Dists!$B3:$X3,Capacity!$DI$3:$DI$25)))</f>
        <v>0.146187600502695</v>
      </c>
      <c r="AR32" s="4" t="n">
        <f aca="false" t="array" ref="AR32:AR32">SUM(Demand!AR4*Capacity!BL$3:BL$25*Capacity!$DI4/(TRANSPOSE(Dists!$B3:$X3)*MMULT(1/Dists!$B3:$X3,Capacity!$DI$3:$DI$25)))</f>
        <v>0.113226498893244</v>
      </c>
      <c r="AS32" s="4" t="n">
        <f aca="false" t="array" ref="AS32:AS32">SUM(Demand!AS4*Capacity!BM$3:BM$25*Capacity!$DI4/(TRANSPOSE(Dists!$B3:$X3)*MMULT(1/Dists!$B3:$X3,Capacity!$DI$3:$DI$25)))</f>
        <v>0.256014721003829</v>
      </c>
      <c r="AT32" s="4" t="n">
        <f aca="false" t="array" ref="AT32:AT32">SUM(Demand!AT4*Capacity!BN$3:BN$25*Capacity!$DI4/(TRANSPOSE(Dists!$B3:$X3)*MMULT(1/Dists!$B3:$X3,Capacity!$DI$3:$DI$25)))</f>
        <v>4.35077120510974</v>
      </c>
      <c r="AU32" s="4" t="n">
        <f aca="false" t="array" ref="AU32:AU32">SUM(Demand!AU4*Capacity!BO$3:BO$25*Capacity!$DI4/(TRANSPOSE(Dists!$B3:$X3)*MMULT(1/Dists!$B3:$X3,Capacity!$DI$3:$DI$25)))</f>
        <v>0.0107999203018121</v>
      </c>
      <c r="AV32" s="4" t="n">
        <f aca="false" t="array" ref="AV32:AV32">SUM(Demand!AV4*Capacity!BP$3:BP$25*Capacity!$DI4/(TRANSPOSE(Dists!$B3:$X3)*MMULT(1/Dists!$B3:$X3,Capacity!$DI$3:$DI$25)))</f>
        <v>0.214171300006957</v>
      </c>
      <c r="AW32" s="4" t="n">
        <f aca="false" t="array" ref="AW32:AW32">SUM(Demand!AW4*Capacity!BQ$3:BQ$25*Capacity!$DI4/(TRANSPOSE(Dists!$B3:$X3)*MMULT(1/Dists!$B3:$X3,Capacity!$DI$3:$DI$25)))</f>
        <v>0.704440081061349</v>
      </c>
      <c r="AX32" s="4" t="n">
        <f aca="false" t="array" ref="AX32:AX32">SUM(Demand!AX4*Capacity!BR$3:BR$25*Capacity!$DI4/(TRANSPOSE(Dists!$B3:$X3)*MMULT(1/Dists!$B3:$X3,Capacity!$DI$3:$DI$25)))</f>
        <v>0.278419168322314</v>
      </c>
      <c r="AY32" s="4" t="n">
        <f aca="false" t="array" ref="AY32:AY32">SUM(Demand!AY4*Capacity!BS$3:BS$25*Capacity!$DI4/(TRANSPOSE(Dists!$B3:$X3)*MMULT(1/Dists!$B3:$X3,Capacity!$DI$3:$DI$25)))</f>
        <v>0.0831754840412746</v>
      </c>
      <c r="AZ32" s="4" t="n">
        <f aca="false" t="array" ref="AZ32:AZ32">SUM(Demand!AZ4*Capacity!BT$3:BT$25*Capacity!$DI4/(TRANSPOSE(Dists!$B3:$X3)*MMULT(1/Dists!$B3:$X3,Capacity!$DI$3:$DI$25)))</f>
        <v>0.982126423690358</v>
      </c>
      <c r="BA32" s="4" t="n">
        <f aca="false">BA4</f>
        <v>0.0233062257874759</v>
      </c>
      <c r="BB32" s="4" t="n">
        <f aca="false" t="array" ref="BB32:BB32">SUM(Demand!BB4*Capacity!BV$3:BV$25*Capacity!$DI4/(TRANSPOSE(Dists!$B3:$X3)*MMULT(1/Dists!$B3:$X3,Capacity!$DI$3:$DI$25)))</f>
        <v>0.128992545232742</v>
      </c>
      <c r="BC32" s="4" t="n">
        <f aca="false" t="array" ref="BC32:BC32">SUM(Demand!BC4*Capacity!BW$3:BW$25*Capacity!$DI4/(TRANSPOSE(Dists!$B3:$X3)*MMULT(1/Dists!$B3:$X3,Capacity!$DI$3:$DI$25)))</f>
        <v>0.127504511926916</v>
      </c>
      <c r="BD32" s="4" t="n">
        <f aca="false" t="array" ref="BD32:BD32">SUM(Demand!BD4*Capacity!BX$3:BX$25*Capacity!$DI4/(TRANSPOSE(Dists!$B3:$X3)*MMULT(1/Dists!$B3:$X3,Capacity!$DI$3:$DI$25)))</f>
        <v>0.0305252848368889</v>
      </c>
      <c r="BE32" s="4" t="n">
        <f aca="false" t="array" ref="BE32:BE32">SUM(Demand!BE4*Capacity!BY$3:BY$25*Capacity!$DI4/(TRANSPOSE(Dists!$B3:$X3)*MMULT(1/Dists!$B3:$X3,Capacity!$DI$3:$DI$25)))</f>
        <v>0.116156069989524</v>
      </c>
      <c r="BF32" s="4" t="n">
        <f aca="false" t="array" ref="BF32:BF32">SUM(Demand!BF4*Capacity!BZ$3:BZ$25*Capacity!$DI4/(TRANSPOSE(Dists!$B3:$X3)*MMULT(1/Dists!$B3:$X3,Capacity!$DI$3:$DI$25)))</f>
        <v>3.92432493442221</v>
      </c>
      <c r="BG32" s="4" t="n">
        <f aca="false" t="array" ref="BG32:BG32">SUM(Demand!BG4*Capacity!CA$3:CA$25*Capacity!$DI4/(TRANSPOSE(Dists!$B3:$X3)*MMULT(1/Dists!$B3:$X3,Capacity!$DI$3:$DI$25)))</f>
        <v>9.01808909914589</v>
      </c>
      <c r="BH32" s="4" t="n">
        <f aca="false" t="array" ref="BH32:BH32">SUM(Demand!BH4*Capacity!CB$3:CB$25*Capacity!$DI4/(TRANSPOSE(Dists!$B3:$X3)*MMULT(1/Dists!$B3:$X3,Capacity!$DI$3:$DI$25)))</f>
        <v>0.00249179430961177</v>
      </c>
      <c r="BI32" s="4" t="n">
        <f aca="false" t="array" ref="BI32:BI32">SUM(Demand!BI4*Capacity!CC$3:CC$25*Capacity!$DI4/(TRANSPOSE(Dists!$B3:$X3)*MMULT(1/Dists!$B3:$X3,Capacity!$DI$3:$DI$25)))</f>
        <v>24.0482375977224</v>
      </c>
      <c r="BJ32" s="4" t="n">
        <f aca="false" t="array" ref="BJ32:BJ32">SUM(Demand!BJ4*Capacity!CD$3:CD$25*Capacity!$DI4/(TRANSPOSE(Dists!$B3:$X3)*MMULT(1/Dists!$B3:$X3,Capacity!$DI$3:$DI$25)))</f>
        <v>1140.90754197491</v>
      </c>
      <c r="BK32" s="4" t="n">
        <f aca="false" t="array" ref="BK32:BK32">SUM(Demand!BK4*Capacity!CE$3:CE$25*Capacity!$DI4/(TRANSPOSE(Dists!$B3:$X3)*MMULT(1/Dists!$B3:$X3,Capacity!$DI$3:$DI$25)))</f>
        <v>12.0241187988612</v>
      </c>
      <c r="BL32" s="4" t="n">
        <f aca="false" t="array" ref="BL32:BL32">SUM(Demand!BL4*Capacity!CF$3:CF$25*Capacity!$DI4/(TRANSPOSE(Dists!$B3:$X3)*MMULT(1/Dists!$B3:$X3,Capacity!$DI$3:$DI$25)))</f>
        <v>799.457858019638</v>
      </c>
      <c r="BM32" s="4" t="n">
        <f aca="false" t="array" ref="BM32:BM32">SUM(Demand!BM4*Capacity!CG$3:CG$25*Capacity!$DI4/(TRANSPOSE(Dists!$B3:$X3)*MMULT(1/Dists!$B3:$X3,Capacity!$DI$3:$DI$25)))</f>
        <v>34.0257024757699</v>
      </c>
      <c r="BN32" s="4" t="n">
        <f aca="false">BN4</f>
        <v>1089.2043830494</v>
      </c>
      <c r="BO32" s="4" t="n">
        <f aca="false" t="array" ref="BO32:BO32">SUM(Demand!BO4*Capacity!CI$3:CI$25*Capacity!$DI4/(TRANSPOSE(Dists!$B3:$X3)*MMULT(1/Dists!$B3:$X3,Capacity!$DI$3:$DI$25)))</f>
        <v>2.28892147667902</v>
      </c>
      <c r="BP32" s="4" t="n">
        <f aca="false" t="array" ref="BP32:BP32">SUM(Demand!BP4*Capacity!CJ$3:CJ$25*Capacity!$DI4/(TRANSPOSE(Dists!$B3:$X3)*MMULT(1/Dists!$B3:$X3,Capacity!$DI$3:$DI$25)))</f>
        <v>3.78629637085279</v>
      </c>
      <c r="BQ32" s="4" t="n">
        <f aca="false">BQ4</f>
        <v>707.982848982107</v>
      </c>
      <c r="BR32" s="4" t="n">
        <f aca="false" t="array" ref="BR32:BR32">SUM(Demand!BR4*Capacity!CL$3:CL$25*Capacity!$DI4/(TRANSPOSE(Dists!$B3:$X3)*MMULT(1/Dists!$B3:$X3,Capacity!$DI$3:$DI$25)))</f>
        <v>0.076297393756413</v>
      </c>
      <c r="BS32" s="4" t="n">
        <f aca="false" t="array" ref="BS32:BS32">SUM(Demand!BS4*Capacity!CM$3:CM$25*Capacity!$DI4/(TRANSPOSE(Dists!$B3:$X3)*MMULT(1/Dists!$B3:$X3,Capacity!$DI$3:$DI$25)))</f>
        <v>0.00762973937564131</v>
      </c>
      <c r="BT32" s="4" t="n">
        <f aca="false">BT4</f>
        <v>1.76081275794309</v>
      </c>
      <c r="BU32" s="4" t="n">
        <f aca="false">BU4</f>
        <v>0.176081275794309</v>
      </c>
      <c r="BV32" s="4" t="n">
        <f aca="false">BV4</f>
        <v>0.0176081275794309</v>
      </c>
      <c r="BW32" s="4" t="n">
        <f aca="false">BW4</f>
        <v>824.356612621646</v>
      </c>
      <c r="BX32" s="4" t="n">
        <f aca="false" t="array" ref="BX32:BX32">SUM(Demand!BX4*Capacity!CR$3:CR$25*Capacity!$DI4/(TRANSPOSE(Dists!$B3:$X3)*MMULT(1/Dists!$B3:$X3,Capacity!$DI$3:$DI$25)))</f>
        <v>6.32106871943357</v>
      </c>
      <c r="BY32" s="4" t="n">
        <f aca="false" t="array" ref="BY32:BY32">SUM(Demand!BY4*Capacity!CS$3:CS$25*Capacity!$DI4/(TRANSPOSE(Dists!$B3:$X3)*MMULT(1/Dists!$B3:$X3,Capacity!$DI$3:$DI$25)))</f>
        <v>94.4571526488362</v>
      </c>
      <c r="BZ32" s="4" t="n">
        <f aca="false" t="array" ref="BZ32:BZ32">SUM(Demand!BZ4*Capacity!CT$3:CT$25*Capacity!$DI4/(TRANSPOSE(Dists!$B3:$X3)*MMULT(1/Dists!$B3:$X3,Capacity!$DI$3:$DI$25)))</f>
        <v>1.16882497646503</v>
      </c>
      <c r="CA32" s="4" t="n">
        <f aca="false" t="array" ref="CA32:CA32">SUM(Demand!CA4*Capacity!CU$3:CU$25*Capacity!$DI4/(TRANSPOSE(Dists!$B3:$X3)*MMULT(1/Dists!$B3:$X3,Capacity!$DI$3:$DI$25)))</f>
        <v>0.283179464413149</v>
      </c>
      <c r="CB32" s="4" t="n">
        <f aca="false" t="array" ref="CB32:CB32">SUM(Demand!CB4*Capacity!CV$3:CV$25*Capacity!$DI4/(TRANSPOSE(Dists!$B3:$X3)*MMULT(1/Dists!$B3:$X3,Capacity!$DI$3:$DI$25)))</f>
        <v>164.296826188856</v>
      </c>
      <c r="CC32" s="4" t="n">
        <f aca="false" t="array" ref="CC32:CC32">SUM(Demand!CC4*Capacity!CW$3:CW$25*Capacity!$DI4/(TRANSPOSE(Dists!$B3:$X3)*MMULT(1/Dists!$B3:$X3,Capacity!$DI$3:$DI$25)))</f>
        <v>4.56546354078839</v>
      </c>
      <c r="CD32" s="4" t="n">
        <f aca="false">SUM($BG32,$BI32,$BK32)*Capacity!CX4/SUM(Capacity!$AM4:$AN4,Capacity!$CX4)</f>
        <v>36.4433887598622</v>
      </c>
      <c r="CE32" s="4" t="n">
        <f aca="false" t="array" ref="CE32:CE32">SUM(Demand!CE4*Capacity!CY$3:CY$25*Capacity!$DI4/(TRANSPOSE(Dists!$B3:$X3)*MMULT(1/Dists!$B3:$X3,Capacity!$DI$3:$DI$25)))</f>
        <v>3.00257684813108</v>
      </c>
      <c r="CF32" s="4" t="n">
        <f aca="false" t="array" ref="CF32:CF32">SUM(Demand!CF4*Capacity!CZ$3:CZ$25*Capacity!$DI4/(TRANSPOSE(Dists!$B3:$X3)*MMULT(1/Dists!$B3:$X3,Capacity!$DI$3:$DI$25)))</f>
        <v>1396.45454878561</v>
      </c>
      <c r="CG32" s="4" t="n">
        <f aca="false" t="array" ref="CG32:CG32">SUM(Demand!CG4*Capacity!DA$3:DA$25*Capacity!$DI4/(TRANSPOSE(Dists!$B3:$X3)*MMULT(1/Dists!$B3:$X3,Capacity!$DI$3:$DI$25)))</f>
        <v>5.79884055800715</v>
      </c>
      <c r="CH32" s="4" t="n">
        <f aca="false" t="array" ref="CH32:CH32">SUM(Demand!CH4*Capacity!DB$3:DB$25*Capacity!$DI4/(TRANSPOSE(Dists!$B3:$X3)*MMULT(1/Dists!$B3:$X3,Capacity!$DI$3:$DI$25)))</f>
        <v>2.47972460452103</v>
      </c>
      <c r="CI32" s="4" t="n">
        <f aca="false" t="array" ref="CI32:CI32">SUM(Demand!CI4*Capacity!DC$3:DC$25*Capacity!$DI4/(TRANSPOSE(Dists!$B3:$X3)*MMULT(1/Dists!$B3:$X3,Capacity!$DI$3:$DI$25)))</f>
        <v>0.134608255599619</v>
      </c>
      <c r="CJ32" s="4" t="n">
        <f aca="false" t="array" ref="CJ32:CJ32">SUM(Demand!CJ4*Capacity!DD$3:DD$25*Capacity!$DI4/(TRANSPOSE(Dists!$B3:$X3)*MMULT(1/Dists!$B3:$X3,Capacity!$DI$3:$DI$25)))</f>
        <v>0.0335906707260095</v>
      </c>
      <c r="CK32" s="4" t="n">
        <f aca="false" t="array" ref="CK32:CK32">SUM(Demand!CK4*Capacity!DE$3:DE$25*Capacity!$DI4/(TRANSPOSE(Dists!$B3:$X3)*MMULT(1/Dists!$B3:$X3,Capacity!$DI$3:$DI$25)))</f>
        <v>10.3312106860551</v>
      </c>
      <c r="CL32" s="7" t="s">
        <v>320</v>
      </c>
    </row>
    <row r="33" customFormat="false" ht="12.8" hidden="false" customHeight="false" outlineLevel="0" collapsed="false">
      <c r="A33" s="4" t="s">
        <v>135</v>
      </c>
      <c r="B33" s="7" t="s">
        <v>39</v>
      </c>
      <c r="C33" s="4" t="n">
        <f aca="false" t="array" ref="C33:C33">SUM(Demand!C5*Capacity!S$3:S$25*Capacity!$DH5/(TRANSPOSE(Dists!$B4:$X4)*MMULT(1/Dists!$B4:$X4,Capacity!$DH$3:$DH$25)))</f>
        <v>0.0162168845666203</v>
      </c>
      <c r="D33" s="4" t="n">
        <f aca="false" t="array" ref="D33:D33">SUM(Demand!D5*Capacity!V$3:V$25*Capacity!$DH5/(TRANSPOSE(Dists!$B4:$X4)*MMULT(1/Dists!$B4:$X4,Capacity!$DH$3:$DH$25)))</f>
        <v>1592.27642356866</v>
      </c>
      <c r="E33" s="4" t="n">
        <f aca="false" t="array" ref="E33:E33">SUM(Demand!E5*Capacity!Y$3:Y$25*Capacity!$DH5/(TRANSPOSE(Dists!$B4:$X4)*MMULT(1/Dists!$B4:$X4,Capacity!$DH$3:$DH$25)))</f>
        <v>808.945933268453</v>
      </c>
      <c r="F33" s="4" t="n">
        <f aca="false">$E5*Capacity!$M5/(2*(1-Capacity!$H$28)*Capacity!$H5)</f>
        <v>245.640954806028</v>
      </c>
      <c r="G33" s="4" t="n">
        <f aca="false" t="array" ref="G33:G33">SUM(Demand!G5*Capacity!AA$3:AA$25*Capacity!$DH5/(TRANSPOSE(Dists!$B4:$X4)*MMULT(1/Dists!$B4:$X4,Capacity!$DH$3:$DH$25)))</f>
        <v>1015.2867969054</v>
      </c>
      <c r="H33" s="4" t="n">
        <f aca="false" t="array" ref="H33:H33">SUM(Demand!H5*Capacity!AB$3:AB$25*Capacity!$DH5/(TRANSPOSE(Dists!$B4:$X4)*MMULT(1/Dists!$B4:$X4,Capacity!$DH$3:$DH$25)))</f>
        <v>3.43040620749989</v>
      </c>
      <c r="I33" s="4" t="n">
        <f aca="false" t="array" ref="I33:I33">SUM(Demand!I5*Capacity!AC$3:AC$25*Capacity!$DG5/(TRANSPOSE(Dists!$B4:$X4)*MMULT(1/Dists!$B4:$X4,Capacity!$DG$3:$DG$25)))</f>
        <v>0.982004010847792</v>
      </c>
      <c r="J33" s="4" t="n">
        <f aca="false" t="array" ref="J33:J33">SUM(Demand!J5*Capacity!AD$3:AD$25*Capacity!$DG5/(TRANSPOSE(Dists!$B4:$X4)*MMULT(1/Dists!$B4:$X4,Capacity!$DG$3:$DG$25)))</f>
        <v>0.548177052248386</v>
      </c>
      <c r="K33" s="4" t="n">
        <f aca="false">5479.45205479452*$R5</f>
        <v>769671.653660856</v>
      </c>
      <c r="L33" s="4" t="n">
        <f aca="false">17142.8571428571*$S5</f>
        <v>115246.102302391</v>
      </c>
      <c r="M33" s="4" t="n">
        <f aca="false">IF(50420.1680672269*$T5&gt;($K5/20),50420.1680672269*$T5-($K5/20),0)</f>
        <v>150962.064937326</v>
      </c>
      <c r="N33" s="4" t="n">
        <f aca="false" t="array" ref="N33:N33">SUM(Demand!N5*Capacity!AH$3:AH$25*Capacity!$DH5/(TRANSPOSE(Dists!$B4:$X4)*MMULT(1/Dists!$B4:$X4,Capacity!$DH$3:$DH$25)))</f>
        <v>1159.04436861687</v>
      </c>
      <c r="O33" s="4" t="n">
        <f aca="false">D33/0.8</f>
        <v>1990.34552946083</v>
      </c>
      <c r="P33" s="4" t="n">
        <f aca="false">O33/0.8</f>
        <v>2487.93191182604</v>
      </c>
      <c r="Q33" s="4" t="n">
        <f aca="false" t="array" ref="Q33:Q33">SUM(Demand!Q5*Capacity!AK$3:AK$25*Capacity!$DI5/(TRANSPOSE(Dists!$B4:$X4)*MMULT(1/Dists!$B4:$X4,Capacity!$DI$3:$DI$25)))</f>
        <v>29.1120952134089</v>
      </c>
      <c r="R33" s="4" t="n">
        <f aca="false" t="array" ref="R33:R33">SUM(Demand!R5*Capacity!AL$3:AL$25*Capacity!$DH5/(TRANSPOSE(Dists!$B4:$X4)*MMULT(1/Dists!$B4:$X4,Capacity!$DH$3:$DH$25)))</f>
        <v>150.45144064791</v>
      </c>
      <c r="S33" s="4" t="n">
        <f aca="false">SUM($BG33,$BI33,$BK33)*Capacity!AM5/SUM(Capacity!$AM5:$AN5,Capacity!$CX5)</f>
        <v>6.72268930097282</v>
      </c>
      <c r="T33" s="4" t="n">
        <f aca="false">SUM($BG33,$BI33,$BK33)*Capacity!AN5/SUM(Capacity!$AM5:$AN5,Capacity!$CX5)</f>
        <v>3.75733867780398</v>
      </c>
      <c r="U33" s="4" t="n">
        <f aca="false">$M5*120*2/(16*1000*2000)</f>
        <v>1.13221548702995</v>
      </c>
      <c r="V33" s="4" t="n">
        <f aca="false" t="array" ref="V33:V33">SUM(Demand!V5*Capacity!AP$3:AP$25*Capacity!$DH5/(TRANSPOSE(Dists!$B4:$X4)*MMULT(1/Dists!$B4:$X4,Capacity!$DH$3:$DH$25)))</f>
        <v>50.0582087707586</v>
      </c>
      <c r="W33" s="4" t="n">
        <f aca="false" t="array" ref="W33:W33">SUM(Demand!W5*Capacity!AQ$3:AQ$25*Capacity!$DH5/(TRANSPOSE(Dists!$B4:$X4)*MMULT(1/Dists!$B4:$X4,Capacity!$DH$3:$DH$25)))</f>
        <v>1428.87235951917</v>
      </c>
      <c r="X33" s="4" t="n">
        <f aca="false" t="array" ref="X33:X33">SUM(Demand!X5*Capacity!AR$3:AR$25*Capacity!$DH5/(TRANSPOSE(Dists!$B4:$X4)*MMULT(1/Dists!$B4:$X4,Capacity!$DH$3:$DH$25)))</f>
        <v>1489.93420962507</v>
      </c>
      <c r="Y33" s="4" t="n">
        <f aca="false">$L5*600*6/(90*1000*2000)</f>
        <v>2.30492204604782</v>
      </c>
      <c r="Z33" s="4" t="n">
        <f aca="false" t="array" ref="Z33:Z33">SUM(Demand!Z5*Capacity!AT$3:AT$25*Capacity!$DI5/(TRANSPOSE(Dists!$B4:$X4)*MMULT(1/Dists!$B4:$X4,Capacity!$DI$3:$DI$25)))</f>
        <v>60.7448187541972</v>
      </c>
      <c r="AA33" s="4" t="n">
        <f aca="false" t="array" ref="AA33:AA33">SUM(Demand!AA5*Capacity!AU$3:AU$25*Capacity!$DI5/(TRANSPOSE(Dists!$B4:$X4)*MMULT(1/Dists!$B4:$X4,Capacity!$DI$3:$DI$25)))</f>
        <v>57.1706481767557</v>
      </c>
      <c r="AB33" s="4" t="n">
        <f aca="false" t="array" ref="AB33:AB33">SUM(Demand!AB5*Capacity!AV$3:AV$25*Capacity!$DI5/(TRANSPOSE(Dists!$B4:$X4)*MMULT(1/Dists!$B4:$X4,Capacity!$DI$3:$DI$25)))</f>
        <v>56.6135718672641</v>
      </c>
      <c r="AC33" s="4" t="n">
        <f aca="false" t="array" ref="AC33:AC33">SUM(Demand!AC5*Capacity!AW$3:AW$25*Capacity!$DI5/(TRANSPOSE(Dists!$B4:$X4)*MMULT(1/Dists!$B4:$X4,Capacity!$DI$3:$DI$25)))</f>
        <v>10.360913620144</v>
      </c>
      <c r="AD33" s="4" t="n">
        <f aca="false" t="array" ref="AD33:AD33">SUM(Demand!AD5*Capacity!AX$3:AX$25*Capacity!$DI5/(TRANSPOSE(Dists!$B4:$X4)*MMULT(1/Dists!$B4:$X4,Capacity!$DI$3:$DI$25)))</f>
        <v>9.26824532750161</v>
      </c>
      <c r="AE33" s="4" t="n">
        <f aca="false" t="array" ref="AE33:AE33">SUM(Demand!AE5*Capacity!AY$3:AY$25*Capacity!$DI5/(TRANSPOSE(Dists!$B4:$X4)*MMULT(1/Dists!$B4:$X4,Capacity!$DI$3:$DI$25)))</f>
        <v>7.2340688740632</v>
      </c>
      <c r="AF33" s="4" t="n">
        <f aca="false" t="array" ref="AF33:AF33">SUM(Demand!AF5*Capacity!AZ$3:AZ$25*Capacity!$DI5/(TRANSPOSE(Dists!$B4:$X4)*MMULT(1/Dists!$B4:$X4,Capacity!$DI$3:$DI$25)))</f>
        <v>0.400838761096415</v>
      </c>
      <c r="AG33" s="4" t="n">
        <f aca="false" t="array" ref="AG33:AG33">SUM(Demand!AG5*Capacity!BA$3:BA$25*Capacity!$DI5/(TRANSPOSE(Dists!$B4:$X4)*MMULT(1/Dists!$B4:$X4,Capacity!$DI$3:$DI$25)))</f>
        <v>9.08138336042401</v>
      </c>
      <c r="AH33" s="4" t="n">
        <f aca="false" t="array" ref="AH33:AH33">SUM(Demand!AH5*Capacity!BB$3:BB$25*Capacity!$DI5/(TRANSPOSE(Dists!$B4:$X4)*MMULT(1/Dists!$B4:$X4,Capacity!$DI$3:$DI$25)))</f>
        <v>8.24063921442143</v>
      </c>
      <c r="AI33" s="4" t="n">
        <f aca="false" t="array" ref="AI33:AI33">SUM(Demand!AI5*Capacity!BC$3:BC$25*Capacity!$DI5/(TRANSPOSE(Dists!$B4:$X4)*MMULT(1/Dists!$B4:$X4,Capacity!$DI$3:$DI$25)))</f>
        <v>0.575279402781302</v>
      </c>
      <c r="AJ33" s="4" t="n">
        <f aca="false" t="array" ref="AJ33:AJ33">SUM(Demand!AJ5*Capacity!BD$3:BD$25*Capacity!$DI5/(TRANSPOSE(Dists!$B4:$X4)*MMULT(1/Dists!$B4:$X4,Capacity!$DI$3:$DI$25)))</f>
        <v>2.14909928273259</v>
      </c>
      <c r="AK33" s="4" t="n">
        <f aca="false" t="array" ref="AK33:AK33">SUM(Demand!AK5*Capacity!BE$3:BE$25*Capacity!$DI5/(TRANSPOSE(Dists!$B4:$X4)*MMULT(1/Dists!$B4:$X4,Capacity!$DI$3:$DI$25)))</f>
        <v>0.520463655843803</v>
      </c>
      <c r="AL33" s="4" t="n">
        <f aca="false" t="array" ref="AL33:AL33">SUM(Demand!AL5*Capacity!BF$3:BF$25*Capacity!$DI5/(TRANSPOSE(Dists!$B4:$X4)*MMULT(1/Dists!$B4:$X4,Capacity!$DI$3:$DI$25)))</f>
        <v>0.19651626872719</v>
      </c>
      <c r="AM33" s="4" t="n">
        <f aca="false" t="array" ref="AM33:AM33">SUM(Demand!AM5*Capacity!BG$3:BG$25*Capacity!$DI5/(TRANSPOSE(Dists!$B4:$X4)*MMULT(1/Dists!$B4:$X4,Capacity!$DI$3:$DI$25)))</f>
        <v>0.0271717959741796</v>
      </c>
      <c r="AN33" s="4" t="n">
        <f aca="false" t="array" ref="AN33:AN33">SUM(Demand!AN5*Capacity!BH$3:BH$25*Capacity!$DI5/(TRANSPOSE(Dists!$B4:$X4)*MMULT(1/Dists!$B4:$X4,Capacity!$DI$3:$DI$25)))</f>
        <v>1.39160915278345</v>
      </c>
      <c r="AO33" s="4" t="n">
        <f aca="false" t="array" ref="AO33:AO33">SUM(Demand!AO5*Capacity!BI$3:BI$25*Capacity!$DI5/(TRANSPOSE(Dists!$B4:$X4)*MMULT(1/Dists!$B4:$X4,Capacity!$DI$3:$DI$25)))</f>
        <v>0.505251373887965</v>
      </c>
      <c r="AP33" s="4" t="n">
        <f aca="false" t="array" ref="AP33:AP33">SUM(Demand!AP5*Capacity!BJ$3:BJ$25*Capacity!$DI5/(TRANSPOSE(Dists!$B4:$X4)*MMULT(1/Dists!$B4:$X4,Capacity!$DI$3:$DI$25)))</f>
        <v>3.1331453162173</v>
      </c>
      <c r="AQ33" s="4" t="n">
        <f aca="false" t="array" ref="AQ33:AQ33">SUM(Demand!AQ5*Capacity!BK$3:BK$25*Capacity!$DI5/(TRANSPOSE(Dists!$B4:$X4)*MMULT(1/Dists!$B4:$X4,Capacity!$DI$3:$DI$25)))</f>
        <v>0.189411000493869</v>
      </c>
      <c r="AR33" s="4" t="n">
        <f aca="false" t="array" ref="AR33:AR33">SUM(Demand!AR5*Capacity!BL$3:BL$25*Capacity!$DI5/(TRANSPOSE(Dists!$B4:$X4)*MMULT(1/Dists!$B4:$X4,Capacity!$DI$3:$DI$25)))</f>
        <v>0.146053529281811</v>
      </c>
      <c r="AS33" s="4" t="n">
        <f aca="false" t="array" ref="AS33:AS33">SUM(Demand!AS5*Capacity!BM$3:BM$25*Capacity!$DI5/(TRANSPOSE(Dists!$B4:$X4)*MMULT(1/Dists!$B4:$X4,Capacity!$DI$3:$DI$25)))</f>
        <v>1.28393123907972</v>
      </c>
      <c r="AT33" s="4" t="n">
        <f aca="false" t="array" ref="AT33:AT33">SUM(Demand!AT5*Capacity!BN$3:BN$25*Capacity!$DI5/(TRANSPOSE(Dists!$B4:$X4)*MMULT(1/Dists!$B4:$X4,Capacity!$DI$3:$DI$25)))</f>
        <v>2.69800023610212</v>
      </c>
      <c r="AU33" s="4" t="n">
        <f aca="false" t="array" ref="AU33:AU33">SUM(Demand!AU5*Capacity!BO$3:BO$25*Capacity!$DI5/(TRANSPOSE(Dists!$B4:$X4)*MMULT(1/Dists!$B4:$X4,Capacity!$DI$3:$DI$25)))</f>
        <v>3.45513410364923</v>
      </c>
      <c r="AV33" s="4" t="n">
        <f aca="false" t="array" ref="AV33:AV33">SUM(Demand!AV5*Capacity!BP$3:BP$25*Capacity!$DI5/(TRANSPOSE(Dists!$B4:$X4)*MMULT(1/Dists!$B4:$X4,Capacity!$DI$3:$DI$25)))</f>
        <v>0.0101781008087046</v>
      </c>
      <c r="AW33" s="4" t="n">
        <f aca="false" t="array" ref="AW33:AW33">SUM(Demand!AW5*Capacity!BQ$3:BQ$25*Capacity!$DI5/(TRANSPOSE(Dists!$B4:$X4)*MMULT(1/Dists!$B4:$X4,Capacity!$DI$3:$DI$25)))</f>
        <v>5.70532724942873</v>
      </c>
      <c r="AX33" s="4" t="n">
        <f aca="false" t="array" ref="AX33:AX33">SUM(Demand!AX5*Capacity!BR$3:BR$25*Capacity!$DI5/(TRANSPOSE(Dists!$B4:$X4)*MMULT(1/Dists!$B4:$X4,Capacity!$DI$3:$DI$25)))</f>
        <v>0.737288437955972</v>
      </c>
      <c r="AY33" s="4" t="n">
        <f aca="false" t="array" ref="AY33:AY33">SUM(Demand!AY5*Capacity!BS$3:BS$25*Capacity!$DI5/(TRANSPOSE(Dists!$B4:$X4)*MMULT(1/Dists!$B4:$X4,Capacity!$DI$3:$DI$25)))</f>
        <v>0.711973485490395</v>
      </c>
      <c r="AZ33" s="4" t="n">
        <f aca="false" t="array" ref="AZ33:AZ33">SUM(Demand!AZ5*Capacity!BT$3:BT$25*Capacity!$DI5/(TRANSPOSE(Dists!$B4:$X4)*MMULT(1/Dists!$B4:$X4,Capacity!$DI$3:$DI$25)))</f>
        <v>4.56451797094615</v>
      </c>
      <c r="BA33" s="4" t="n">
        <f aca="false">BA5</f>
        <v>0.0282465937015664</v>
      </c>
      <c r="BB33" s="4" t="n">
        <f aca="false" t="array" ref="BB33:BB33">SUM(Demand!BB5*Capacity!BV$3:BV$25*Capacity!$DI5/(TRANSPOSE(Dists!$B4:$X4)*MMULT(1/Dists!$B4:$X4,Capacity!$DI$3:$DI$25)))</f>
        <v>0.992123625127955</v>
      </c>
      <c r="BC33" s="4" t="n">
        <f aca="false" t="array" ref="BC33:BC33">SUM(Demand!BC5*Capacity!BW$3:BW$25*Capacity!$DI5/(TRANSPOSE(Dists!$B4:$X4)*MMULT(1/Dists!$B4:$X4,Capacity!$DI$3:$DI$25)))</f>
        <v>0.543841572265531</v>
      </c>
      <c r="BD33" s="4" t="n">
        <f aca="false" t="array" ref="BD33:BD33">SUM(Demand!BD5*Capacity!BX$3:BX$25*Capacity!$DI5/(TRANSPOSE(Dists!$B4:$X4)*MMULT(1/Dists!$B4:$X4,Capacity!$DI$3:$DI$25)))</f>
        <v>0.280906211992801</v>
      </c>
      <c r="BE33" s="4" t="n">
        <f aca="false" t="array" ref="BE33:BE33">SUM(Demand!BE5*Capacity!BY$3:BY$25*Capacity!$DI5/(TRANSPOSE(Dists!$B4:$X4)*MMULT(1/Dists!$B4:$X4,Capacity!$DI$3:$DI$25)))</f>
        <v>0.257103357025556</v>
      </c>
      <c r="BF33" s="4" t="n">
        <f aca="false" t="array" ref="BF33:BF33">SUM(Demand!BF5*Capacity!BZ$3:BZ$25*Capacity!$DI5/(TRANSPOSE(Dists!$B4:$X4)*MMULT(1/Dists!$B4:$X4,Capacity!$DI$3:$DI$25)))</f>
        <v>19.6133915266005</v>
      </c>
      <c r="BG33" s="4" t="n">
        <f aca="false" t="array" ref="BG33:BG33">SUM(Demand!BG5*Capacity!CA$3:CA$25*Capacity!$DI5/(TRANSPOSE(Dists!$B4:$X4)*MMULT(1/Dists!$B4:$X4,Capacity!$DI$3:$DI$25)))</f>
        <v>17.5735560755225</v>
      </c>
      <c r="BH33" s="4" t="n">
        <f aca="false" t="array" ref="BH33:BH33">SUM(Demand!BH5*Capacity!CB$3:CB$25*Capacity!$DI5/(TRANSPOSE(Dists!$B4:$X4)*MMULT(1/Dists!$B4:$X4,Capacity!$DI$3:$DI$25)))</f>
        <v>35.147112151045</v>
      </c>
      <c r="BI33" s="4" t="n">
        <f aca="false" t="array" ref="BI33:BI33">SUM(Demand!BI5*Capacity!CC$3:CC$25*Capacity!$DI5/(TRANSPOSE(Dists!$B4:$X4)*MMULT(1/Dists!$B4:$X4,Capacity!$DI$3:$DI$25)))</f>
        <v>46.8628162013934</v>
      </c>
      <c r="BJ33" s="4" t="n">
        <f aca="false" t="array" ref="BJ33:BJ33">SUM(Demand!BJ5*Capacity!CD$3:CD$25*Capacity!$DI5/(TRANSPOSE(Dists!$B4:$X4)*MMULT(1/Dists!$B4:$X4,Capacity!$DI$3:$DI$25)))</f>
        <v>2359.72123948259</v>
      </c>
      <c r="BK33" s="4" t="n">
        <f aca="false" t="array" ref="BK33:BK33">SUM(Demand!BK5*Capacity!CE$3:CE$25*Capacity!$DI5/(TRANSPOSE(Dists!$B4:$X4)*MMULT(1/Dists!$B4:$X4,Capacity!$DI$3:$DI$25)))</f>
        <v>23.4314081006967</v>
      </c>
      <c r="BL33" s="4" t="n">
        <f aca="false" t="array" ref="BL33:BL33">SUM(Demand!BL5*Capacity!CF$3:CF$25*Capacity!$DI5/(TRANSPOSE(Dists!$B4:$X4)*MMULT(1/Dists!$B4:$X4,Capacity!$DI$3:$DI$25)))</f>
        <v>791.621087410292</v>
      </c>
      <c r="BM33" s="4" t="n">
        <f aca="false" t="array" ref="BM33:BM33">SUM(Demand!BM5*Capacity!CG$3:CG$25*Capacity!$DI5/(TRANSPOSE(Dists!$B4:$X4)*MMULT(1/Dists!$B4:$X4,Capacity!$DI$3:$DI$25)))</f>
        <v>237.389100706304</v>
      </c>
      <c r="BN33" s="4" t="n">
        <f aca="false">BN5</f>
        <v>0.000841058641337114</v>
      </c>
      <c r="BO33" s="4" t="n">
        <f aca="false" t="array" ref="BO33:BO33">SUM(Demand!BO5*Capacity!CI$3:CI$25*Capacity!$DI5/(TRANSPOSE(Dists!$B4:$X4)*MMULT(1/Dists!$B4:$X4,Capacity!$DI$3:$DI$25)))</f>
        <v>15.7369813087264</v>
      </c>
      <c r="BP33" s="4" t="n">
        <f aca="false" t="array" ref="BP33:BP33">SUM(Demand!BP5*Capacity!CJ$3:CJ$25*Capacity!$DI5/(TRANSPOSE(Dists!$B4:$X4)*MMULT(1/Dists!$B4:$X4,Capacity!$DI$3:$DI$25)))</f>
        <v>26.3416804417828</v>
      </c>
      <c r="BQ33" s="4" t="n">
        <f aca="false">BQ5</f>
        <v>0.000546688116869124</v>
      </c>
      <c r="BR33" s="4" t="n">
        <f aca="false" t="array" ref="BR33:BR33">SUM(Demand!BR5*Capacity!CL$3:CL$25*Capacity!$DI5/(TRANSPOSE(Dists!$B4:$X4)*MMULT(1/Dists!$B4:$X4,Capacity!$DI$3:$DI$25)))</f>
        <v>0.524566344121457</v>
      </c>
      <c r="BS33" s="4" t="n">
        <f aca="false" t="array" ref="BS33:BS33">SUM(Demand!BS5*Capacity!CM$3:CM$25*Capacity!$DI5/(TRANSPOSE(Dists!$B4:$X4)*MMULT(1/Dists!$B4:$X4,Capacity!$DI$3:$DI$25)))</f>
        <v>0.0524566344121458</v>
      </c>
      <c r="BT33" s="4" t="n">
        <f aca="false">BT5</f>
        <v>7.404103428591</v>
      </c>
      <c r="BU33" s="4" t="n">
        <f aca="false">BU5</f>
        <v>0.740410342859099</v>
      </c>
      <c r="BV33" s="4" t="n">
        <f aca="false">BV5</f>
        <v>0.07404103428591</v>
      </c>
      <c r="BW33" s="4" t="n">
        <f aca="false">BW5</f>
        <v>2248.8696944863</v>
      </c>
      <c r="BX33" s="4" t="n">
        <f aca="false" t="array" ref="BX33:BX33">SUM(Demand!BX5*Capacity!CR$3:CR$25*Capacity!$DI5/(TRANSPOSE(Dists!$B4:$X4)*MMULT(1/Dists!$B4:$X4,Capacity!$DI$3:$DI$25)))</f>
        <v>13.2917116174381</v>
      </c>
      <c r="BY33" s="4" t="n">
        <f aca="false" t="array" ref="BY33:BY33">SUM(Demand!BY5*Capacity!CS$3:CS$25*Capacity!$DI5/(TRANSPOSE(Dists!$B4:$X4)*MMULT(1/Dists!$B4:$X4,Capacity!$DI$3:$DI$25)))</f>
        <v>336.740673532095</v>
      </c>
      <c r="BZ33" s="4" t="n">
        <f aca="false" t="array" ref="BZ33:BZ33">SUM(Demand!BZ5*Capacity!CT$3:CT$25*Capacity!$DI5/(TRANSPOSE(Dists!$B4:$X4)*MMULT(1/Dists!$B4:$X4,Capacity!$DI$3:$DI$25)))</f>
        <v>0.176362378501192</v>
      </c>
      <c r="CA33" s="4" t="n">
        <f aca="false" t="array" ref="CA33:CA33">SUM(Demand!CA5*Capacity!CU$3:CU$25*Capacity!$DI5/(TRANSPOSE(Dists!$B4:$X4)*MMULT(1/Dists!$B4:$X4,Capacity!$DI$3:$DI$25)))</f>
        <v>0.252529942048639</v>
      </c>
      <c r="CB33" s="4" t="n">
        <f aca="false" t="array" ref="CB33:CB33">SUM(Demand!CB5*Capacity!CV$3:CV$25*Capacity!$DI5/(TRANSPOSE(Dists!$B4:$X4)*MMULT(1/Dists!$B4:$X4,Capacity!$DI$3:$DI$25)))</f>
        <v>389.400873626413</v>
      </c>
      <c r="CC33" s="4" t="n">
        <f aca="false" t="array" ref="CC33:CC33">SUM(Demand!CC5*Capacity!CW$3:CW$25*Capacity!$DI5/(TRANSPOSE(Dists!$B4:$X4)*MMULT(1/Dists!$B4:$X4,Capacity!$DI$3:$DI$25)))</f>
        <v>399.981731339989</v>
      </c>
      <c r="CD33" s="4" t="n">
        <f aca="false">SUM($BG33,$BI33,$BK33)*Capacity!CX5/SUM(Capacity!$AM5:$AN5,Capacity!$CX5)</f>
        <v>77.3877523988358</v>
      </c>
      <c r="CE33" s="4" t="n">
        <f aca="false" t="array" ref="CE33:CE33">SUM(Demand!CE5*Capacity!CY$3:CY$25*Capacity!$DI5/(TRANSPOSE(Dists!$B4:$X4)*MMULT(1/Dists!$B4:$X4,Capacity!$DI$3:$DI$25)))</f>
        <v>12.7191208874922</v>
      </c>
      <c r="CF33" s="4" t="n">
        <f aca="false" t="array" ref="CF33:CF33">SUM(Demand!CF5*Capacity!CZ$3:CZ$25*Capacity!$DI5/(TRANSPOSE(Dists!$B4:$X4)*MMULT(1/Dists!$B4:$X4,Capacity!$DI$3:$DI$25)))</f>
        <v>2268.56954303427</v>
      </c>
      <c r="CG33" s="4" t="n">
        <f aca="false" t="array" ref="CG33:CG33">SUM(Demand!CG5*Capacity!DA$3:DA$25*Capacity!$DI5/(TRANSPOSE(Dists!$B4:$X4)*MMULT(1/Dists!$B4:$X4,Capacity!$DI$3:$DI$25)))</f>
        <v>3.11959797485875</v>
      </c>
      <c r="CH33" s="4" t="n">
        <f aca="false" t="array" ref="CH33:CH33">SUM(Demand!CH5*Capacity!DB$3:DB$25*Capacity!$DI5/(TRANSPOSE(Dists!$B4:$X4)*MMULT(1/Dists!$B4:$X4,Capacity!$DI$3:$DI$25)))</f>
        <v>0.468786937039752</v>
      </c>
      <c r="CI33" s="4" t="n">
        <f aca="false" t="array" ref="CI33:CI33">SUM(Demand!CI5*Capacity!DC$3:DC$25*Capacity!$DI5/(TRANSPOSE(Dists!$B4:$X4)*MMULT(1/Dists!$B4:$X4,Capacity!$DI$3:$DI$25)))</f>
        <v>0.345455563522644</v>
      </c>
      <c r="CJ33" s="4" t="n">
        <f aca="false" t="array" ref="CJ33:CJ33">SUM(Demand!CJ5*Capacity!DD$3:DD$25*Capacity!$DI5/(TRANSPOSE(Dists!$B4:$X4)*MMULT(1/Dists!$B4:$X4,Capacity!$DI$3:$DI$25)))</f>
        <v>0.0168128188444984</v>
      </c>
      <c r="CK33" s="4" t="n">
        <f aca="false" t="array" ref="CK33:CK33">SUM(Demand!CK5*Capacity!DE$3:DE$25*Capacity!$DI5/(TRANSPOSE(Dists!$B4:$X4)*MMULT(1/Dists!$B4:$X4,Capacity!$DI$3:$DI$25)))</f>
        <v>13.1937161794024</v>
      </c>
      <c r="CL33" s="7" t="s">
        <v>320</v>
      </c>
    </row>
    <row r="34" customFormat="false" ht="12.8" hidden="false" customHeight="false" outlineLevel="0" collapsed="false">
      <c r="A34" s="4" t="s">
        <v>137</v>
      </c>
      <c r="B34" s="7" t="s">
        <v>39</v>
      </c>
      <c r="C34" s="4" t="n">
        <f aca="false" t="array" ref="C34:C34">SUM(Demand!C6*Capacity!S$3:S$25*Capacity!$DH6/(TRANSPOSE(Dists!$B5:$X5)*MMULT(1/Dists!$B5:$X5,Capacity!$DH$3:$DH$25)))</f>
        <v>0.0560725481723927</v>
      </c>
      <c r="D34" s="4" t="n">
        <f aca="false" t="array" ref="D34:D34">SUM(Demand!D6*Capacity!V$3:V$25*Capacity!$DH6/(TRANSPOSE(Dists!$B5:$X5)*MMULT(1/Dists!$B5:$X5,Capacity!$DH$3:$DH$25)))</f>
        <v>2958.87486787344</v>
      </c>
      <c r="E34" s="4" t="n">
        <f aca="false" t="array" ref="E34:E34">SUM(Demand!E6*Capacity!Y$3:Y$25*Capacity!$DH6/(TRANSPOSE(Dists!$B5:$X5)*MMULT(1/Dists!$B5:$X5,Capacity!$DH$3:$DH$25)))</f>
        <v>1945.75611311358</v>
      </c>
      <c r="F34" s="4" t="n">
        <f aca="false">$E6*Capacity!$M6/(2*(1-Capacity!$H$28)*Capacity!$H6)</f>
        <v>2033.71161533568</v>
      </c>
      <c r="G34" s="4" t="n">
        <f aca="false" t="array" ref="G34:G34">SUM(Demand!G6*Capacity!AA$3:AA$25*Capacity!$DH6/(TRANSPOSE(Dists!$B5:$X5)*MMULT(1/Dists!$B5:$X5,Capacity!$DH$3:$DH$25)))</f>
        <v>2737.36970838789</v>
      </c>
      <c r="H34" s="4" t="n">
        <f aca="false" t="array" ref="H34:H34">SUM(Demand!H6*Capacity!AB$3:AB$25*Capacity!$DH6/(TRANSPOSE(Dists!$B5:$X5)*MMULT(1/Dists!$B5:$X5,Capacity!$DH$3:$DH$25)))</f>
        <v>8.62213754039083</v>
      </c>
      <c r="I34" s="4" t="n">
        <f aca="false" t="array" ref="I34:I34">SUM(Demand!I6*Capacity!AC$3:AC$25*Capacity!$DG6/(TRANSPOSE(Dists!$B5:$X5)*MMULT(1/Dists!$B5:$X5,Capacity!$DG$3:$DG$25)))</f>
        <v>20.0488017757211</v>
      </c>
      <c r="J34" s="4" t="n">
        <f aca="false" t="array" ref="J34:J34">SUM(Demand!J6*Capacity!AD$3:AD$25*Capacity!$DG6/(TRANSPOSE(Dists!$B5:$X5)*MMULT(1/Dists!$B5:$X5,Capacity!$DG$3:$DG$25)))</f>
        <v>10.280417791059</v>
      </c>
      <c r="K34" s="4" t="n">
        <f aca="false">5479.45205479452*$R6</f>
        <v>2264216.59874723</v>
      </c>
      <c r="L34" s="4" t="n">
        <f aca="false">17142.8571428571*$S6</f>
        <v>389580.345467808</v>
      </c>
      <c r="M34" s="4" t="n">
        <f aca="false">IF(50420.1680672269*$T6&gt;($K6/20),50420.1680672269*$T6-($K6/20),0)</f>
        <v>527195.217406983</v>
      </c>
      <c r="N34" s="4" t="n">
        <f aca="false" t="array" ref="N34:N34">SUM(Demand!N6*Capacity!AH$3:AH$25*Capacity!$DH6/(TRANSPOSE(Dists!$B5:$X5)*MMULT(1/Dists!$B5:$X5,Capacity!$DH$3:$DH$25)))</f>
        <v>2780.96407405515</v>
      </c>
      <c r="O34" s="4" t="n">
        <f aca="false">D34/0.8</f>
        <v>3698.5935848418</v>
      </c>
      <c r="P34" s="4" t="n">
        <f aca="false">O34/0.8</f>
        <v>4623.24198105225</v>
      </c>
      <c r="Q34" s="4" t="n">
        <f aca="false" t="array" ref="Q34:Q34">SUM(Demand!Q6*Capacity!AK$3:AK$25*Capacity!$DI6/(TRANSPOSE(Dists!$B5:$X5)*MMULT(1/Dists!$B5:$X5,Capacity!$DI$3:$DI$25)))</f>
        <v>36.5197028525436</v>
      </c>
      <c r="R34" s="4" t="n">
        <f aca="false" t="array" ref="R34:R34">SUM(Demand!R6*Capacity!AL$3:AL$25*Capacity!$DH6/(TRANSPOSE(Dists!$B5:$X5)*MMULT(1/Dists!$B5:$X5,Capacity!$DH$3:$DH$25)))</f>
        <v>148.638518833503</v>
      </c>
      <c r="S34" s="4" t="n">
        <f aca="false">SUM($BG34,$BI34,$BK34)*Capacity!AM6/SUM(Capacity!$AM6:$AN6,Capacity!$CX6)</f>
        <v>22.7255201522888</v>
      </c>
      <c r="T34" s="4" t="n">
        <f aca="false">SUM($BG34,$BI34,$BK34)*Capacity!AN6/SUM(Capacity!$AM6:$AN6,Capacity!$CX6)</f>
        <v>12.7013866056628</v>
      </c>
      <c r="U34" s="4" t="n">
        <f aca="false">$M6*120*2/(16*1000*2000)</f>
        <v>3.95396413055237</v>
      </c>
      <c r="V34" s="4" t="n">
        <f aca="false" t="array" ref="V34:V34">SUM(Demand!V6*Capacity!AP$3:AP$25*Capacity!$DH6/(TRANSPOSE(Dists!$B5:$X5)*MMULT(1/Dists!$B5:$X5,Capacity!$DH$3:$DH$25)))</f>
        <v>65.9866282703226</v>
      </c>
      <c r="W34" s="4" t="n">
        <f aca="false" t="array" ref="W34:W34">SUM(Demand!W6*Capacity!AQ$3:AQ$25*Capacity!$DH6/(TRANSPOSE(Dists!$B5:$X5)*MMULT(1/Dists!$B5:$X5,Capacity!$DH$3:$DH$25)))</f>
        <v>978.853564925565</v>
      </c>
      <c r="X34" s="4" t="n">
        <f aca="false" t="array" ref="X34:X34">SUM(Demand!X6*Capacity!AR$3:AR$25*Capacity!$DH6/(TRANSPOSE(Dists!$B5:$X5)*MMULT(1/Dists!$B5:$X5,Capacity!$DH$3:$DH$25)))</f>
        <v>133.170625901411</v>
      </c>
      <c r="Y34" s="4" t="n">
        <f aca="false">$L6*600*6/(90*1000*2000)</f>
        <v>7.79160690935616</v>
      </c>
      <c r="Z34" s="4" t="n">
        <f aca="false" t="array" ref="Z34:Z34">SUM(Demand!Z6*Capacity!AT$3:AT$25*Capacity!$DI6/(TRANSPOSE(Dists!$B5:$X5)*MMULT(1/Dists!$B5:$X5,Capacity!$DI$3:$DI$25)))</f>
        <v>139.078764843274</v>
      </c>
      <c r="AA34" s="4" t="n">
        <f aca="false" t="array" ref="AA34:AA34">SUM(Demand!AA6*Capacity!AU$3:AU$25*Capacity!$DI6/(TRANSPOSE(Dists!$B5:$X5)*MMULT(1/Dists!$B5:$X5,Capacity!$DI$3:$DI$25)))</f>
        <v>127.386371579661</v>
      </c>
      <c r="AB34" s="4" t="n">
        <f aca="false" t="array" ref="AB34:AB34">SUM(Demand!AB6*Capacity!AV$3:AV$25*Capacity!$DI6/(TRANSPOSE(Dists!$B5:$X5)*MMULT(1/Dists!$B5:$X5,Capacity!$DI$3:$DI$25)))</f>
        <v>136.17251662401</v>
      </c>
      <c r="AC34" s="4" t="n">
        <f aca="false" t="array" ref="AC34:AC34">SUM(Demand!AC6*Capacity!AW$3:AW$25*Capacity!$DI6/(TRANSPOSE(Dists!$B5:$X5)*MMULT(1/Dists!$B5:$X5,Capacity!$DI$3:$DI$25)))</f>
        <v>23.1815446492591</v>
      </c>
      <c r="AD34" s="4" t="n">
        <f aca="false" t="array" ref="AD34:AD34">SUM(Demand!AD6*Capacity!AX$3:AX$25*Capacity!$DI6/(TRANSPOSE(Dists!$B5:$X5)*MMULT(1/Dists!$B5:$X5,Capacity!$DI$3:$DI$25)))</f>
        <v>22.2928928401424</v>
      </c>
      <c r="AE34" s="4" t="n">
        <f aca="false" t="array" ref="AE34:AE34">SUM(Demand!AE6*Capacity!AY$3:AY$25*Capacity!$DI6/(TRANSPOSE(Dists!$B5:$X5)*MMULT(1/Dists!$B5:$X5,Capacity!$DI$3:$DI$25)))</f>
        <v>4.72214416902815</v>
      </c>
      <c r="AF34" s="4" t="n">
        <f aca="false" t="array" ref="AF34:AF34">SUM(Demand!AF6*Capacity!AZ$3:AZ$25*Capacity!$DI6/(TRANSPOSE(Dists!$B5:$X5)*MMULT(1/Dists!$B5:$X5,Capacity!$DI$3:$DI$25)))</f>
        <v>1.29888495951026</v>
      </c>
      <c r="AG34" s="4" t="n">
        <f aca="false" t="array" ref="AG34:AG34">SUM(Demand!AG6*Capacity!BA$3:BA$25*Capacity!$DI6/(TRANSPOSE(Dists!$B5:$X5)*MMULT(1/Dists!$B5:$X5,Capacity!$DI$3:$DI$25)))</f>
        <v>0.898823822312708</v>
      </c>
      <c r="AH34" s="4" t="n">
        <f aca="false" t="array" ref="AH34:AH34">SUM(Demand!AH6*Capacity!BB$3:BB$25*Capacity!$DI6/(TRANSPOSE(Dists!$B5:$X5)*MMULT(1/Dists!$B5:$X5,Capacity!$DI$3:$DI$25)))</f>
        <v>3.98675480162125</v>
      </c>
      <c r="AI34" s="4" t="n">
        <f aca="false" t="array" ref="AI34:AI34">SUM(Demand!AI6*Capacity!BC$3:BC$25*Capacity!$DI6/(TRANSPOSE(Dists!$B5:$X5)*MMULT(1/Dists!$B5:$X5,Capacity!$DI$3:$DI$25)))</f>
        <v>1.2074712422848</v>
      </c>
      <c r="AJ34" s="4" t="n">
        <f aca="false" t="array" ref="AJ34:AJ34">SUM(Demand!AJ6*Capacity!BD$3:BD$25*Capacity!$DI6/(TRANSPOSE(Dists!$B5:$X5)*MMULT(1/Dists!$B5:$X5,Capacity!$DI$3:$DI$25)))</f>
        <v>4.18633739989356</v>
      </c>
      <c r="AK34" s="4" t="n">
        <f aca="false" t="array" ref="AK34:AK34">SUM(Demand!AK6*Capacity!BE$3:BE$25*Capacity!$DI6/(TRANSPOSE(Dists!$B5:$X5)*MMULT(1/Dists!$B5:$X5,Capacity!$DI$3:$DI$25)))</f>
        <v>2.4418019049612</v>
      </c>
      <c r="AL34" s="4" t="n">
        <f aca="false" t="array" ref="AL34:AL34">SUM(Demand!AL6*Capacity!BF$3:BF$25*Capacity!$DI6/(TRANSPOSE(Dists!$B5:$X5)*MMULT(1/Dists!$B5:$X5,Capacity!$DI$3:$DI$25)))</f>
        <v>1.11569957186943</v>
      </c>
      <c r="AM34" s="4" t="n">
        <f aca="false" t="array" ref="AM34:AM34">SUM(Demand!AM6*Capacity!BG$3:BG$25*Capacity!$DI6/(TRANSPOSE(Dists!$B5:$X5)*MMULT(1/Dists!$B5:$X5,Capacity!$DI$3:$DI$25)))</f>
        <v>3.61799392474823</v>
      </c>
      <c r="AN34" s="4" t="n">
        <f aca="false" t="array" ref="AN34:AN34">SUM(Demand!AN6*Capacity!BH$3:BH$25*Capacity!$DI6/(TRANSPOSE(Dists!$B5:$X5)*MMULT(1/Dists!$B5:$X5,Capacity!$DI$3:$DI$25)))</f>
        <v>1.93158470874554</v>
      </c>
      <c r="AO34" s="4" t="n">
        <f aca="false" t="array" ref="AO34:AO34">SUM(Demand!AO6*Capacity!BI$3:BI$25*Capacity!$DI6/(TRANSPOSE(Dists!$B5:$X5)*MMULT(1/Dists!$B5:$X5,Capacity!$DI$3:$DI$25)))</f>
        <v>3.55820211685851</v>
      </c>
      <c r="AP34" s="4" t="n">
        <f aca="false" t="array" ref="AP34:AP34">SUM(Demand!AP6*Capacity!BJ$3:BJ$25*Capacity!$DI6/(TRANSPOSE(Dists!$B5:$X5)*MMULT(1/Dists!$B5:$X5,Capacity!$DI$3:$DI$25)))</f>
        <v>2.66212197299261</v>
      </c>
      <c r="AQ34" s="4" t="n">
        <f aca="false" t="array" ref="AQ34:AQ34">SUM(Demand!AQ6*Capacity!BK$3:BK$25*Capacity!$DI6/(TRANSPOSE(Dists!$B5:$X5)*MMULT(1/Dists!$B5:$X5,Capacity!$DI$3:$DI$25)))</f>
        <v>0.114866045097813</v>
      </c>
      <c r="AR34" s="4" t="n">
        <f aca="false" t="array" ref="AR34:AR34">SUM(Demand!AR6*Capacity!BL$3:BL$25*Capacity!$DI6/(TRANSPOSE(Dists!$B5:$X5)*MMULT(1/Dists!$B5:$X5,Capacity!$DI$3:$DI$25)))</f>
        <v>0.0105252676475998</v>
      </c>
      <c r="AS34" s="4" t="n">
        <f aca="false" t="array" ref="AS34:AS34">SUM(Demand!AS6*Capacity!BM$3:BM$25*Capacity!$DI6/(TRANSPOSE(Dists!$B5:$X5)*MMULT(1/Dists!$B5:$X5,Capacity!$DI$3:$DI$25)))</f>
        <v>1.30021561536034</v>
      </c>
      <c r="AT34" s="4" t="n">
        <f aca="false" t="array" ref="AT34:AT34">SUM(Demand!AT6*Capacity!BN$3:BN$25*Capacity!$DI6/(TRANSPOSE(Dists!$B5:$X5)*MMULT(1/Dists!$B5:$X5,Capacity!$DI$3:$DI$25)))</f>
        <v>10.3983801491857</v>
      </c>
      <c r="AU34" s="4" t="n">
        <f aca="false" t="array" ref="AU34:AU34">SUM(Demand!AU6*Capacity!BO$3:BO$25*Capacity!$DI6/(TRANSPOSE(Dists!$B5:$X5)*MMULT(1/Dists!$B5:$X5,Capacity!$DI$3:$DI$25)))</f>
        <v>6.95683167703659</v>
      </c>
      <c r="AV34" s="4" t="n">
        <f aca="false" t="array" ref="AV34:AV34">SUM(Demand!AV6*Capacity!BP$3:BP$25*Capacity!$DI6/(TRANSPOSE(Dists!$B5:$X5)*MMULT(1/Dists!$B5:$X5,Capacity!$DI$3:$DI$25)))</f>
        <v>0.67128121591513</v>
      </c>
      <c r="AW34" s="4" t="n">
        <f aca="false" t="array" ref="AW34:AW34">SUM(Demand!AW6*Capacity!BQ$3:BQ$25*Capacity!$DI6/(TRANSPOSE(Dists!$B5:$X5)*MMULT(1/Dists!$B5:$X5,Capacity!$DI$3:$DI$25)))</f>
        <v>13.0621335647128</v>
      </c>
      <c r="AX34" s="4" t="n">
        <f aca="false" t="array" ref="AX34:AX34">SUM(Demand!AX6*Capacity!BR$3:BR$25*Capacity!$DI6/(TRANSPOSE(Dists!$B5:$X5)*MMULT(1/Dists!$B5:$X5,Capacity!$DI$3:$DI$25)))</f>
        <v>0.474164950037316</v>
      </c>
      <c r="AY34" s="4" t="n">
        <f aca="false" t="array" ref="AY34:AY34">SUM(Demand!AY6*Capacity!BS$3:BS$25*Capacity!$DI6/(TRANSPOSE(Dists!$B5:$X5)*MMULT(1/Dists!$B5:$X5,Capacity!$DI$3:$DI$25)))</f>
        <v>1.65542587281217</v>
      </c>
      <c r="AZ34" s="4" t="n">
        <f aca="false" t="array" ref="AZ34:AZ34">SUM(Demand!AZ6*Capacity!BT$3:BT$25*Capacity!$DI6/(TRANSPOSE(Dists!$B5:$X5)*MMULT(1/Dists!$B5:$X5,Capacity!$DI$3:$DI$25)))</f>
        <v>11.1766627288348</v>
      </c>
      <c r="BA34" s="4" t="n">
        <f aca="false">BA6</f>
        <v>0.0954853787911294</v>
      </c>
      <c r="BB34" s="4" t="n">
        <f aca="false" t="array" ref="BB34:BB34">SUM(Demand!BB6*Capacity!BV$3:BV$25*Capacity!$DI6/(TRANSPOSE(Dists!$B5:$X5)*MMULT(1/Dists!$B5:$X5,Capacity!$DI$3:$DI$25)))</f>
        <v>1.21990957106198</v>
      </c>
      <c r="BC34" s="4" t="n">
        <f aca="false" t="array" ref="BC34:BC34">SUM(Demand!BC6*Capacity!BW$3:BW$25*Capacity!$DI6/(TRANSPOSE(Dists!$B5:$X5)*MMULT(1/Dists!$B5:$X5,Capacity!$DI$3:$DI$25)))</f>
        <v>0.679919716409327</v>
      </c>
      <c r="BD34" s="4" t="n">
        <f aca="false" t="array" ref="BD34:BD34">SUM(Demand!BD6*Capacity!BX$3:BX$25*Capacity!$DI6/(TRANSPOSE(Dists!$B5:$X5)*MMULT(1/Dists!$B5:$X5,Capacity!$DI$3:$DI$25)))</f>
        <v>0.519697656951437</v>
      </c>
      <c r="BE34" s="4" t="n">
        <f aca="false" t="array" ref="BE34:BE34">SUM(Demand!BE6*Capacity!BY$3:BY$25*Capacity!$DI6/(TRANSPOSE(Dists!$B5:$X5)*MMULT(1/Dists!$B5:$X5,Capacity!$DI$3:$DI$25)))</f>
        <v>0.293572390473392</v>
      </c>
      <c r="BF34" s="4" t="n">
        <f aca="false" t="array" ref="BF34:BF34">SUM(Demand!BF6*Capacity!BZ$3:BZ$25*Capacity!$DI6/(TRANSPOSE(Dists!$B5:$X5)*MMULT(1/Dists!$B5:$X5,Capacity!$DI$3:$DI$25)))</f>
        <v>3.72445572178968</v>
      </c>
      <c r="BG34" s="4" t="n">
        <f aca="false" t="array" ref="BG34:BG34">SUM(Demand!BG6*Capacity!CA$3:CA$25*Capacity!$DI6/(TRANSPOSE(Dists!$B5:$X5)*MMULT(1/Dists!$B5:$X5,Capacity!$DI$3:$DI$25)))</f>
        <v>56.9014397667969</v>
      </c>
      <c r="BH34" s="4" t="n">
        <f aca="false" t="array" ref="BH34:BH34">SUM(Demand!BH6*Capacity!CB$3:CB$25*Capacity!$DI6/(TRANSPOSE(Dists!$B5:$X5)*MMULT(1/Dists!$B5:$X5,Capacity!$DI$3:$DI$25)))</f>
        <v>11.3802879533594</v>
      </c>
      <c r="BI34" s="4" t="n">
        <f aca="false" t="array" ref="BI34:BI34">SUM(Demand!BI6*Capacity!CC$3:CC$25*Capacity!$DI6/(TRANSPOSE(Dists!$B5:$X5)*MMULT(1/Dists!$B5:$X5,Capacity!$DI$3:$DI$25)))</f>
        <v>151.737172711458</v>
      </c>
      <c r="BJ34" s="4" t="n">
        <f aca="false" t="array" ref="BJ34:BJ34">SUM(Demand!BJ6*Capacity!CD$3:CD$25*Capacity!$DI6/(TRANSPOSE(Dists!$B5:$X5)*MMULT(1/Dists!$B5:$X5,Capacity!$DI$3:$DI$25)))</f>
        <v>1807.86983293654</v>
      </c>
      <c r="BK34" s="4" t="n">
        <f aca="false" t="array" ref="BK34:BK34">SUM(Demand!BK6*Capacity!CE$3:CE$25*Capacity!$DI6/(TRANSPOSE(Dists!$B5:$X5)*MMULT(1/Dists!$B5:$X5,Capacity!$DI$3:$DI$25)))</f>
        <v>75.8685863557292</v>
      </c>
      <c r="BL34" s="4" t="n">
        <f aca="false" t="array" ref="BL34:BL34">SUM(Demand!BL6*Capacity!CF$3:CF$25*Capacity!$DI6/(TRANSPOSE(Dists!$B5:$X5)*MMULT(1/Dists!$B5:$X5,Capacity!$DI$3:$DI$25)))</f>
        <v>103.123463733724</v>
      </c>
      <c r="BM34" s="4" t="n">
        <f aca="false" t="array" ref="BM34:BM34">SUM(Demand!BM6*Capacity!CG$3:CG$25*Capacity!$DI6/(TRANSPOSE(Dists!$B5:$X5)*MMULT(1/Dists!$B5:$X5,Capacity!$DI$3:$DI$25)))</f>
        <v>103.24250905071</v>
      </c>
      <c r="BN34" s="4" t="n">
        <f aca="false">BN6</f>
        <v>0.00215000214099073</v>
      </c>
      <c r="BO34" s="4" t="n">
        <f aca="false" t="array" ref="BO34:BO34">SUM(Demand!BO6*Capacity!CI$3:CI$25*Capacity!$DI6/(TRANSPOSE(Dists!$B5:$X5)*MMULT(1/Dists!$B5:$X5,Capacity!$DI$3:$DI$25)))</f>
        <v>63.1124523982669</v>
      </c>
      <c r="BP34" s="4" t="n">
        <f aca="false" t="array" ref="BP34:BP34">SUM(Demand!BP6*Capacity!CJ$3:CJ$25*Capacity!$DI6/(TRANSPOSE(Dists!$B5:$X5)*MMULT(1/Dists!$B5:$X5,Capacity!$DI$3:$DI$25)))</f>
        <v>62.6227553990369</v>
      </c>
      <c r="BQ34" s="4" t="n">
        <f aca="false">BQ6</f>
        <v>0.00139750139164398</v>
      </c>
      <c r="BR34" s="4" t="n">
        <f aca="false" t="array" ref="BR34:BR34">SUM(Demand!BR6*Capacity!CL$3:CL$25*Capacity!$DI6/(TRANSPOSE(Dists!$B5:$X5)*MMULT(1/Dists!$B5:$X5,Capacity!$DI$3:$DI$25)))</f>
        <v>2.10374923075546</v>
      </c>
      <c r="BS34" s="4" t="n">
        <f aca="false" t="array" ref="BS34:BS34">SUM(Demand!BS6*Capacity!CM$3:CM$25*Capacity!$DI6/(TRANSPOSE(Dists!$B5:$X5)*MMULT(1/Dists!$B5:$X5,Capacity!$DI$3:$DI$25)))</f>
        <v>0.210374923075546</v>
      </c>
      <c r="BT34" s="4" t="n">
        <f aca="false">BT6</f>
        <v>29.5713776457625</v>
      </c>
      <c r="BU34" s="4" t="n">
        <f aca="false">BU6</f>
        <v>2.95713776457625</v>
      </c>
      <c r="BV34" s="4" t="n">
        <f aca="false">BV6</f>
        <v>0.295713776457625</v>
      </c>
      <c r="BW34" s="4" t="n">
        <f aca="false">BW6</f>
        <v>5409.20199445574</v>
      </c>
      <c r="BX34" s="4" t="n">
        <f aca="false" t="array" ref="BX34:BX34">SUM(Demand!BX6*Capacity!CR$3:CR$25*Capacity!$DI6/(TRANSPOSE(Dists!$B5:$X5)*MMULT(1/Dists!$B5:$X5,Capacity!$DI$3:$DI$25)))</f>
        <v>8.21117575612025</v>
      </c>
      <c r="BY34" s="4" t="n">
        <f aca="false" t="array" ref="BY34:BY34">SUM(Demand!BY6*Capacity!CS$3:CS$25*Capacity!$DI6/(TRANSPOSE(Dists!$B5:$X5)*MMULT(1/Dists!$B5:$X5,Capacity!$DI$3:$DI$25)))</f>
        <v>34.4650367773893</v>
      </c>
      <c r="BZ34" s="4" t="n">
        <f aca="false" t="array" ref="BZ34:BZ34">SUM(Demand!BZ6*Capacity!CT$3:CT$25*Capacity!$DI6/(TRANSPOSE(Dists!$B5:$X5)*MMULT(1/Dists!$B5:$X5,Capacity!$DI$3:$DI$25)))</f>
        <v>0.334581122837774</v>
      </c>
      <c r="CA34" s="4" t="n">
        <f aca="false" t="array" ref="CA34:CA34">SUM(Demand!CA6*Capacity!CU$3:CU$25*Capacity!$DI6/(TRANSPOSE(Dists!$B5:$X5)*MMULT(1/Dists!$B5:$X5,Capacity!$DI$3:$DI$25)))</f>
        <v>0.0581344997948379</v>
      </c>
      <c r="CB34" s="4" t="n">
        <f aca="false" t="array" ref="CB34:CB34">SUM(Demand!CB6*Capacity!CV$3:CV$25*Capacity!$DI6/(TRANSPOSE(Dists!$B5:$X5)*MMULT(1/Dists!$B5:$X5,Capacity!$DI$3:$DI$25)))</f>
        <v>1429.1404502369</v>
      </c>
      <c r="CC34" s="4" t="n">
        <f aca="false" t="array" ref="CC34:CC34">SUM(Demand!CC6*Capacity!CW$3:CW$25*Capacity!$DI6/(TRANSPOSE(Dists!$B5:$X5)*MMULT(1/Dists!$B5:$X5,Capacity!$DI$3:$DI$25)))</f>
        <v>410.550471722658</v>
      </c>
      <c r="CD34" s="4" t="n">
        <f aca="false">SUM($BG34,$BI34,$BK34)*Capacity!CX6/SUM(Capacity!$AM6:$AN6,Capacity!$CX6)</f>
        <v>249.080292076033</v>
      </c>
      <c r="CE34" s="4" t="n">
        <f aca="false" t="array" ref="CE34:CE34">SUM(Demand!CE6*Capacity!CY$3:CY$25*Capacity!$DI6/(TRANSPOSE(Dists!$B5:$X5)*MMULT(1/Dists!$B5:$X5,Capacity!$DI$3:$DI$25)))</f>
        <v>31.6369811941291</v>
      </c>
      <c r="CF34" s="4" t="n">
        <f aca="false" t="array" ref="CF34:CF34">SUM(Demand!CF6*Capacity!CZ$3:CZ$25*Capacity!$DI6/(TRANSPOSE(Dists!$B5:$X5)*MMULT(1/Dists!$B5:$X5,Capacity!$DI$3:$DI$25)))</f>
        <v>478.545150571749</v>
      </c>
      <c r="CG34" s="4" t="n">
        <f aca="false" t="array" ref="CG34:CG34">SUM(Demand!CG6*Capacity!DA$3:DA$25*Capacity!$DI6/(TRANSPOSE(Dists!$B5:$X5)*MMULT(1/Dists!$B5:$X5,Capacity!$DI$3:$DI$25)))</f>
        <v>0.0504586243414875</v>
      </c>
      <c r="CH34" s="4" t="n">
        <f aca="false" t="array" ref="CH34:CH34">SUM(Demand!CH6*Capacity!DB$3:DB$25*Capacity!$DI6/(TRANSPOSE(Dists!$B5:$X5)*MMULT(1/Dists!$B5:$X5,Capacity!$DI$3:$DI$25)))</f>
        <v>0.0833591649994224</v>
      </c>
      <c r="CI34" s="4" t="n">
        <f aca="false" t="array" ref="CI34:CI34">SUM(Demand!CI6*Capacity!DC$3:DC$25*Capacity!$DI6/(TRANSPOSE(Dists!$B5:$X5)*MMULT(1/Dists!$B5:$X5,Capacity!$DI$3:$DI$25)))</f>
        <v>0.347599459400282</v>
      </c>
      <c r="CJ34" s="4" t="n">
        <f aca="false" t="array" ref="CJ34:CJ34">SUM(Demand!CJ6*Capacity!DD$3:DD$25*Capacity!$DI6/(TRANSPOSE(Dists!$B5:$X5)*MMULT(1/Dists!$B5:$X5,Capacity!$DI$3:$DI$25)))</f>
        <v>0.117415842514538</v>
      </c>
      <c r="CK34" s="4" t="n">
        <f aca="false" t="array" ref="CK34:CK34">SUM(Demand!CK6*Capacity!DE$3:DE$25*Capacity!$DI6/(TRANSPOSE(Dists!$B5:$X5)*MMULT(1/Dists!$B5:$X5,Capacity!$DI$3:$DI$25)))</f>
        <v>15.1217416987944</v>
      </c>
      <c r="CL34" s="7" t="s">
        <v>320</v>
      </c>
    </row>
    <row r="35" customFormat="false" ht="12.8" hidden="false" customHeight="false" outlineLevel="0" collapsed="false">
      <c r="A35" s="4" t="s">
        <v>139</v>
      </c>
      <c r="B35" s="7" t="s">
        <v>39</v>
      </c>
      <c r="C35" s="4" t="n">
        <f aca="false" t="array" ref="C35:C35">SUM(Demand!C7*Capacity!S$3:S$25*Capacity!$DH7/(TRANSPOSE(Dists!$B6:$X6)*MMULT(1/Dists!$B6:$X6,Capacity!$DH$3:$DH$25)))</f>
        <v>0.00448879693888311</v>
      </c>
      <c r="D35" s="4" t="n">
        <f aca="false" t="array" ref="D35:D35">SUM(Demand!D7*Capacity!V$3:V$25*Capacity!$DH7/(TRANSPOSE(Dists!$B6:$X6)*MMULT(1/Dists!$B6:$X6,Capacity!$DH$3:$DH$25)))</f>
        <v>434.496017627569</v>
      </c>
      <c r="E35" s="4" t="n">
        <f aca="false" t="array" ref="E35:E35">SUM(Demand!E7*Capacity!Y$3:Y$25*Capacity!$DH7/(TRANSPOSE(Dists!$B6:$X6)*MMULT(1/Dists!$B6:$X6,Capacity!$DH$3:$DH$25)))</f>
        <v>146.825282083224</v>
      </c>
      <c r="F35" s="4" t="n">
        <f aca="false">$E7*Capacity!$M7/(2*(1-Capacity!$H$28)*Capacity!$H7)</f>
        <v>45.4613439369943</v>
      </c>
      <c r="G35" s="4" t="n">
        <f aca="false" t="array" ref="G35:G35">SUM(Demand!G7*Capacity!AA$3:AA$25*Capacity!$DH7/(TRANSPOSE(Dists!$B6:$X6)*MMULT(1/Dists!$B6:$X6,Capacity!$DH$3:$DH$25)))</f>
        <v>85.0820532887434</v>
      </c>
      <c r="H35" s="4" t="n">
        <f aca="false" t="array" ref="H35:H35">SUM(Demand!H7*Capacity!AB$3:AB$25*Capacity!$DH7/(TRANSPOSE(Dists!$B6:$X6)*MMULT(1/Dists!$B6:$X6,Capacity!$DH$3:$DH$25)))</f>
        <v>0</v>
      </c>
      <c r="I35" s="4" t="n">
        <f aca="false" t="array" ref="I35:I35">SUM(Demand!I7*Capacity!AC$3:AC$25*Capacity!$DG7/(TRANSPOSE(Dists!$B6:$X6)*MMULT(1/Dists!$B6:$X6,Capacity!$DG$3:$DG$25)))</f>
        <v>1.41705973416875</v>
      </c>
      <c r="J35" s="4" t="n">
        <f aca="false" t="array" ref="J35:J35">SUM(Demand!J7*Capacity!AD$3:AD$25*Capacity!$DG7/(TRANSPOSE(Dists!$B6:$X6)*MMULT(1/Dists!$B6:$X6,Capacity!$DG$3:$DG$25)))</f>
        <v>0.816515433340371</v>
      </c>
      <c r="K35" s="4" t="n">
        <f aca="false">5479.45205479452*$R7</f>
        <v>329472.938458198</v>
      </c>
      <c r="L35" s="4" t="n">
        <f aca="false">17142.8571428571*$S7</f>
        <v>47397.6631616827</v>
      </c>
      <c r="M35" s="4" t="n">
        <f aca="false">IF(50420.1680672269*$T7&gt;($K7/20),50420.1680672269*$T7-($K7/20),0)</f>
        <v>61440.3199182124</v>
      </c>
      <c r="N35" s="4" t="n">
        <f aca="false" t="array" ref="N35:N35">SUM(Demand!N7*Capacity!AH$3:AH$25*Capacity!$DH7/(TRANSPOSE(Dists!$B6:$X6)*MMULT(1/Dists!$B6:$X6,Capacity!$DH$3:$DH$25)))</f>
        <v>130.831628117459</v>
      </c>
      <c r="O35" s="4" t="n">
        <f aca="false">D35/0.8</f>
        <v>543.120022034461</v>
      </c>
      <c r="P35" s="4" t="n">
        <f aca="false">O35/0.8</f>
        <v>678.900027543076</v>
      </c>
      <c r="Q35" s="4" t="n">
        <f aca="false" t="array" ref="Q35:Q35">SUM(Demand!Q7*Capacity!AK$3:AK$25*Capacity!$DI7/(TRANSPOSE(Dists!$B6:$X6)*MMULT(1/Dists!$B6:$X6,Capacity!$DI$3:$DI$25)))</f>
        <v>7.66385983076877</v>
      </c>
      <c r="R35" s="4" t="n">
        <f aca="false" t="array" ref="R35:R35">SUM(Demand!R7*Capacity!AL$3:AL$25*Capacity!$DH7/(TRANSPOSE(Dists!$B6:$X6)*MMULT(1/Dists!$B6:$X6,Capacity!$DH$3:$DH$25)))</f>
        <v>121.746816415861</v>
      </c>
      <c r="S35" s="4" t="n">
        <f aca="false">SUM($BG35,$BI35,$BK35)*Capacity!AM7/SUM(Capacity!$AM7:$AN7,Capacity!$CX7)</f>
        <v>2.76486368443149</v>
      </c>
      <c r="T35" s="4" t="n">
        <f aca="false">SUM($BG35,$BI35,$BK35)*Capacity!AN7/SUM(Capacity!$AM7:$AN7,Capacity!$CX7)</f>
        <v>1.54529367568226</v>
      </c>
      <c r="U35" s="4" t="n">
        <f aca="false">$M7*120*2/(16*1000*2000)</f>
        <v>0.460802399386593</v>
      </c>
      <c r="V35" s="4" t="n">
        <f aca="false" t="array" ref="V35:V35">SUM(Demand!V7*Capacity!AP$3:AP$25*Capacity!$DH7/(TRANSPOSE(Dists!$B6:$X6)*MMULT(1/Dists!$B6:$X6,Capacity!$DH$3:$DH$25)))</f>
        <v>18.4238440165752</v>
      </c>
      <c r="W35" s="4" t="n">
        <f aca="false" t="array" ref="W35:W35">SUM(Demand!W7*Capacity!AQ$3:AQ$25*Capacity!$DH7/(TRANSPOSE(Dists!$B6:$X6)*MMULT(1/Dists!$B6:$X6,Capacity!$DH$3:$DH$25)))</f>
        <v>473.288465970712</v>
      </c>
      <c r="X35" s="4" t="n">
        <f aca="false" t="array" ref="X35:X35">SUM(Demand!X7*Capacity!AR$3:AR$25*Capacity!$DH7/(TRANSPOSE(Dists!$B6:$X6)*MMULT(1/Dists!$B6:$X6,Capacity!$DH$3:$DH$25)))</f>
        <v>362.852623666163</v>
      </c>
      <c r="Y35" s="4" t="n">
        <f aca="false">$L7*600*6/(90*1000*2000)</f>
        <v>0.947953263233653</v>
      </c>
      <c r="Z35" s="4" t="n">
        <f aca="false" t="array" ref="Z35:Z35">SUM(Demand!Z7*Capacity!AT$3:AT$25*Capacity!$DI7/(TRANSPOSE(Dists!$B6:$X6)*MMULT(1/Dists!$B6:$X6,Capacity!$DI$3:$DI$25)))</f>
        <v>3.23558279349625</v>
      </c>
      <c r="AA35" s="4" t="n">
        <f aca="false" t="array" ref="AA35:AA35">SUM(Demand!AA7*Capacity!AU$3:AU$25*Capacity!$DI7/(TRANSPOSE(Dists!$B6:$X6)*MMULT(1/Dists!$B6:$X6,Capacity!$DI$3:$DI$25)))</f>
        <v>5.68996968992053</v>
      </c>
      <c r="AB35" s="4" t="n">
        <f aca="false" t="array" ref="AB35:AB35">SUM(Demand!AB7*Capacity!AV$3:AV$25*Capacity!$DI7/(TRANSPOSE(Dists!$B6:$X6)*MMULT(1/Dists!$B6:$X6,Capacity!$DI$3:$DI$25)))</f>
        <v>10.2754749326263</v>
      </c>
      <c r="AC35" s="4" t="n">
        <f aca="false" t="array" ref="AC35:AC35">SUM(Demand!AC7*Capacity!AW$3:AW$25*Capacity!$DI7/(TRANSPOSE(Dists!$B6:$X6)*MMULT(1/Dists!$B6:$X6,Capacity!$DI$3:$DI$25)))</f>
        <v>0.62497416669529</v>
      </c>
      <c r="AD35" s="4" t="n">
        <f aca="false" t="array" ref="AD35:AD35">SUM(Demand!AD7*Capacity!AX$3:AX$25*Capacity!$DI7/(TRANSPOSE(Dists!$B6:$X6)*MMULT(1/Dists!$B6:$X6,Capacity!$DI$3:$DI$25)))</f>
        <v>1.68220480338994</v>
      </c>
      <c r="AE35" s="4" t="n">
        <f aca="false" t="array" ref="AE35:AE35">SUM(Demand!AE7*Capacity!AY$3:AY$25*Capacity!$DI7/(TRANSPOSE(Dists!$B6:$X6)*MMULT(1/Dists!$B6:$X6,Capacity!$DI$3:$DI$25)))</f>
        <v>2.53289480062299</v>
      </c>
      <c r="AF35" s="4" t="n">
        <f aca="false" t="array" ref="AF35:AF35">SUM(Demand!AF7*Capacity!AZ$3:AZ$25*Capacity!$DI7/(TRANSPOSE(Dists!$B6:$X6)*MMULT(1/Dists!$B6:$X6,Capacity!$DI$3:$DI$25)))</f>
        <v>0.190608642896051</v>
      </c>
      <c r="AG35" s="4" t="n">
        <f aca="false" t="array" ref="AG35:AG35">SUM(Demand!AG7*Capacity!BA$3:BA$25*Capacity!$DI7/(TRANSPOSE(Dists!$B6:$X6)*MMULT(1/Dists!$B6:$X6,Capacity!$DI$3:$DI$25)))</f>
        <v>2.90331348732066</v>
      </c>
      <c r="AH35" s="4" t="n">
        <f aca="false" t="array" ref="AH35:AH35">SUM(Demand!AH7*Capacity!BB$3:BB$25*Capacity!$DI7/(TRANSPOSE(Dists!$B6:$X6)*MMULT(1/Dists!$B6:$X6,Capacity!$DI$3:$DI$25)))</f>
        <v>1.44658609444223</v>
      </c>
      <c r="AI35" s="4" t="n">
        <f aca="false" t="array" ref="AI35:AI35">SUM(Demand!AI7*Capacity!BC$3:BC$25*Capacity!$DI7/(TRANSPOSE(Dists!$B6:$X6)*MMULT(1/Dists!$B6:$X6,Capacity!$DI$3:$DI$25)))</f>
        <v>0.55832614984129</v>
      </c>
      <c r="AJ35" s="4" t="n">
        <f aca="false" t="array" ref="AJ35:AJ35">SUM(Demand!AJ7*Capacity!BD$3:BD$25*Capacity!$DI7/(TRANSPOSE(Dists!$B6:$X6)*MMULT(1/Dists!$B6:$X6,Capacity!$DI$3:$DI$25)))</f>
        <v>1.12021364692303</v>
      </c>
      <c r="AK35" s="4" t="n">
        <f aca="false" t="array" ref="AK35:AK35">SUM(Demand!AK7*Capacity!BE$3:BE$25*Capacity!$DI7/(TRANSPOSE(Dists!$B6:$X6)*MMULT(1/Dists!$B6:$X6,Capacity!$DI$3:$DI$25)))</f>
        <v>0.0369400785934694</v>
      </c>
      <c r="AL35" s="4" t="n">
        <f aca="false" t="array" ref="AL35:AL35">SUM(Demand!AL7*Capacity!BF$3:BF$25*Capacity!$DI7/(TRANSPOSE(Dists!$B6:$X6)*MMULT(1/Dists!$B6:$X6,Capacity!$DI$3:$DI$25)))</f>
        <v>0.392067252021562</v>
      </c>
      <c r="AM35" s="4" t="n">
        <f aca="false" t="array" ref="AM35:AM35">SUM(Demand!AM7*Capacity!BG$3:BG$25*Capacity!$DI7/(TRANSPOSE(Dists!$B6:$X6)*MMULT(1/Dists!$B6:$X6,Capacity!$DI$3:$DI$25)))</f>
        <v>1.66311210417969</v>
      </c>
      <c r="AN35" s="4" t="n">
        <f aca="false" t="array" ref="AN35:AN35">SUM(Demand!AN7*Capacity!BH$3:BH$25*Capacity!$DI7/(TRANSPOSE(Dists!$B6:$X6)*MMULT(1/Dists!$B6:$X6,Capacity!$DI$3:$DI$25)))</f>
        <v>0.184079449129509</v>
      </c>
      <c r="AO35" s="4" t="n">
        <f aca="false" t="array" ref="AO35:AO35">SUM(Demand!AO7*Capacity!BI$3:BI$25*Capacity!$DI7/(TRANSPOSE(Dists!$B6:$X6)*MMULT(1/Dists!$B6:$X6,Capacity!$DI$3:$DI$25)))</f>
        <v>1.11699302082884</v>
      </c>
      <c r="AP35" s="4" t="n">
        <f aca="false" t="array" ref="AP35:AP35">SUM(Demand!AP7*Capacity!BJ$3:BJ$25*Capacity!$DI7/(TRANSPOSE(Dists!$B6:$X6)*MMULT(1/Dists!$B6:$X6,Capacity!$DI$3:$DI$25)))</f>
        <v>1.19305597769847</v>
      </c>
      <c r="AQ35" s="4" t="n">
        <f aca="false" t="array" ref="AQ35:AQ35">SUM(Demand!AQ7*Capacity!BK$3:BK$25*Capacity!$DI7/(TRANSPOSE(Dists!$B6:$X6)*MMULT(1/Dists!$B6:$X6,Capacity!$DI$3:$DI$25)))</f>
        <v>0.0297284038784955</v>
      </c>
      <c r="AR35" s="4" t="n">
        <f aca="false" t="array" ref="AR35:AR35">SUM(Demand!AR7*Capacity!BL$3:BL$25*Capacity!$DI7/(TRANSPOSE(Dists!$B6:$X6)*MMULT(1/Dists!$B6:$X6,Capacity!$DI$3:$DI$25)))</f>
        <v>0.0902108018167023</v>
      </c>
      <c r="AS35" s="4" t="n">
        <f aca="false" t="array" ref="AS35:AS35">SUM(Demand!AS7*Capacity!BM$3:BM$25*Capacity!$DI7/(TRANSPOSE(Dists!$B6:$X6)*MMULT(1/Dists!$B6:$X6,Capacity!$DI$3:$DI$25)))</f>
        <v>0.51711166841931</v>
      </c>
      <c r="AT35" s="4" t="n">
        <f aca="false" t="array" ref="AT35:AT35">SUM(Demand!AT7*Capacity!BN$3:BN$25*Capacity!$DI7/(TRANSPOSE(Dists!$B6:$X6)*MMULT(1/Dists!$B6:$X6,Capacity!$DI$3:$DI$25)))</f>
        <v>0.83695929002406</v>
      </c>
      <c r="AU35" s="4" t="n">
        <f aca="false" t="array" ref="AU35:AU35">SUM(Demand!AU7*Capacity!BO$3:BO$25*Capacity!$DI7/(TRANSPOSE(Dists!$B6:$X6)*MMULT(1/Dists!$B6:$X6,Capacity!$DI$3:$DI$25)))</f>
        <v>4.94135515339097</v>
      </c>
      <c r="AV35" s="4" t="n">
        <f aca="false" t="array" ref="AV35:AV35">SUM(Demand!AV7*Capacity!BP$3:BP$25*Capacity!$DI7/(TRANSPOSE(Dists!$B6:$X6)*MMULT(1/Dists!$B6:$X6,Capacity!$DI$3:$DI$25)))</f>
        <v>0.225925751926561</v>
      </c>
      <c r="AW35" s="4" t="n">
        <f aca="false" t="array" ref="AW35:AW35">SUM(Demand!AW7*Capacity!BQ$3:BQ$25*Capacity!$DI7/(TRANSPOSE(Dists!$B6:$X6)*MMULT(1/Dists!$B6:$X6,Capacity!$DI$3:$DI$25)))</f>
        <v>0.366196493190975</v>
      </c>
      <c r="AX35" s="4" t="n">
        <f aca="false" t="array" ref="AX35:AX35">SUM(Demand!AX7*Capacity!BR$3:BR$25*Capacity!$DI7/(TRANSPOSE(Dists!$B6:$X6)*MMULT(1/Dists!$B6:$X6,Capacity!$DI$3:$DI$25)))</f>
        <v>0.0425069059629221</v>
      </c>
      <c r="AY35" s="4" t="n">
        <f aca="false" t="array" ref="AY35:AY35">SUM(Demand!AY7*Capacity!BS$3:BS$25*Capacity!$DI7/(TRANSPOSE(Dists!$B6:$X6)*MMULT(1/Dists!$B6:$X6,Capacity!$DI$3:$DI$25)))</f>
        <v>0.0524926439214098</v>
      </c>
      <c r="AZ35" s="4" t="n">
        <f aca="false" t="array" ref="AZ35:AZ35">SUM(Demand!AZ7*Capacity!BT$3:BT$25*Capacity!$DI7/(TRANSPOSE(Dists!$B6:$X6)*MMULT(1/Dists!$B6:$X6,Capacity!$DI$3:$DI$25)))</f>
        <v>0.492332086367106</v>
      </c>
      <c r="BA35" s="4" t="n">
        <f aca="false">BA7</f>
        <v>0.011617074304334</v>
      </c>
      <c r="BB35" s="4" t="n">
        <f aca="false" t="array" ref="BB35:BB35">SUM(Demand!BB7*Capacity!BV$3:BV$25*Capacity!$DI7/(TRANSPOSE(Dists!$B6:$X6)*MMULT(1/Dists!$B6:$X6,Capacity!$DI$3:$DI$25)))</f>
        <v>0.319566649402415</v>
      </c>
      <c r="BC35" s="4" t="n">
        <f aca="false" t="array" ref="BC35:BC35">SUM(Demand!BC7*Capacity!BW$3:BW$25*Capacity!$DI7/(TRANSPOSE(Dists!$B6:$X6)*MMULT(1/Dists!$B6:$X6,Capacity!$DI$3:$DI$25)))</f>
        <v>0.378015704651067</v>
      </c>
      <c r="BD35" s="4" t="n">
        <f aca="false" t="array" ref="BD35:BD35">SUM(Demand!BD7*Capacity!BX$3:BX$25*Capacity!$DI7/(TRANSPOSE(Dists!$B6:$X6)*MMULT(1/Dists!$B6:$X6,Capacity!$DI$3:$DI$25)))</f>
        <v>0.121074431614722</v>
      </c>
      <c r="BE35" s="4" t="n">
        <f aca="false" t="array" ref="BE35:BE35">SUM(Demand!BE7*Capacity!BY$3:BY$25*Capacity!$DI7/(TRANSPOSE(Dists!$B6:$X6)*MMULT(1/Dists!$B6:$X6,Capacity!$DI$3:$DI$25)))</f>
        <v>0.090440538031647</v>
      </c>
      <c r="BF35" s="4" t="n">
        <f aca="false" t="array" ref="BF35:BF35">SUM(Demand!BF7*Capacity!BZ$3:BZ$25*Capacity!$DI7/(TRANSPOSE(Dists!$B6:$X6)*MMULT(1/Dists!$B6:$X6,Capacity!$DI$3:$DI$25)))</f>
        <v>1.607216247359</v>
      </c>
      <c r="BG35" s="4" t="n">
        <f aca="false" t="array" ref="BG35:BG35">SUM(Demand!BG7*Capacity!CA$3:CA$25*Capacity!$DI7/(TRANSPOSE(Dists!$B6:$X6)*MMULT(1/Dists!$B6:$X6,Capacity!$DI$3:$DI$25)))</f>
        <v>4.46497942231502</v>
      </c>
      <c r="BH35" s="4" t="n">
        <f aca="false" t="array" ref="BH35:BH35">SUM(Demand!BH7*Capacity!CB$3:CB$25*Capacity!$DI7/(TRANSPOSE(Dists!$B6:$X6)*MMULT(1/Dists!$B6:$X6,Capacity!$DI$3:$DI$25)))</f>
        <v>0.00254846069136566</v>
      </c>
      <c r="BI35" s="4" t="n">
        <f aca="false" t="array" ref="BI35:BI35">SUM(Demand!BI7*Capacity!CC$3:CC$25*Capacity!$DI7/(TRANSPOSE(Dists!$B6:$X6)*MMULT(1/Dists!$B6:$X6,Capacity!$DI$3:$DI$25)))</f>
        <v>11.9066117928401</v>
      </c>
      <c r="BJ35" s="4" t="n">
        <f aca="false" t="array" ref="BJ35:BJ35">SUM(Demand!BJ7*Capacity!CD$3:CD$25*Capacity!$DI7/(TRANSPOSE(Dists!$B6:$X6)*MMULT(1/Dists!$B6:$X6,Capacity!$DI$3:$DI$25)))</f>
        <v>592.491071399862</v>
      </c>
      <c r="BK35" s="4" t="n">
        <f aca="false" t="array" ref="BK35:BK35">SUM(Demand!BK7*Capacity!CE$3:CE$25*Capacity!$DI7/(TRANSPOSE(Dists!$B6:$X6)*MMULT(1/Dists!$B6:$X6,Capacity!$DI$3:$DI$25)))</f>
        <v>5.95330589642003</v>
      </c>
      <c r="BL35" s="4" t="n">
        <f aca="false" t="array" ref="BL35:BL35">SUM(Demand!BL7*Capacity!CF$3:CF$25*Capacity!$DI7/(TRANSPOSE(Dists!$B6:$X6)*MMULT(1/Dists!$B6:$X6,Capacity!$DI$3:$DI$25)))</f>
        <v>833.033335232435</v>
      </c>
      <c r="BM35" s="4" t="n">
        <f aca="false" t="array" ref="BM35:BM35">SUM(Demand!BM7*Capacity!CG$3:CG$25*Capacity!$DI7/(TRANSPOSE(Dists!$B6:$X6)*MMULT(1/Dists!$B6:$X6,Capacity!$DI$3:$DI$25)))</f>
        <v>77.5408529230192</v>
      </c>
      <c r="BN35" s="4" t="n">
        <f aca="false">BN7</f>
        <v>247.845663952935</v>
      </c>
      <c r="BO35" s="4" t="n">
        <f aca="false" t="array" ref="BO35:BO35">SUM(Demand!BO7*Capacity!CI$3:CI$25*Capacity!$DI7/(TRANSPOSE(Dists!$B6:$X6)*MMULT(1/Dists!$B6:$X6,Capacity!$DI$3:$DI$25)))</f>
        <v>0.828497591910902</v>
      </c>
      <c r="BP35" s="4" t="n">
        <f aca="false" t="array" ref="BP35:BP35">SUM(Demand!BP7*Capacity!CJ$3:CJ$25*Capacity!$DI7/(TRANSPOSE(Dists!$B6:$X6)*MMULT(1/Dists!$B6:$X6,Capacity!$DI$3:$DI$25)))</f>
        <v>2.13242097229799</v>
      </c>
      <c r="BQ35" s="4" t="n">
        <f aca="false">BQ7</f>
        <v>161.099681569408</v>
      </c>
      <c r="BR35" s="4" t="n">
        <f aca="false" t="array" ref="BR35:BR35">SUM(Demand!BR7*Capacity!CL$3:CL$25*Capacity!$DI7/(TRANSPOSE(Dists!$B6:$X6)*MMULT(1/Dists!$B6:$X6,Capacity!$DI$3:$DI$25)))</f>
        <v>0.0276165910314624</v>
      </c>
      <c r="BS35" s="4" t="n">
        <f aca="false" t="array" ref="BS35:BS35">SUM(Demand!BS7*Capacity!CM$3:CM$25*Capacity!$DI7/(TRANSPOSE(Dists!$B6:$X6)*MMULT(1/Dists!$B6:$X6,Capacity!$DI$3:$DI$25)))</f>
        <v>0.00276165910314624</v>
      </c>
      <c r="BT35" s="4" t="n">
        <f aca="false">BT7</f>
        <v>0.643153957089484</v>
      </c>
      <c r="BU35" s="4" t="n">
        <f aca="false">BU7</f>
        <v>0.0643153957089484</v>
      </c>
      <c r="BV35" s="4" t="n">
        <f aca="false">BV7</f>
        <v>0.00643153957089485</v>
      </c>
      <c r="BW35" s="4" t="n">
        <f aca="false">BW7</f>
        <v>408.174284191364</v>
      </c>
      <c r="BX35" s="4" t="n">
        <f aca="false" t="array" ref="BX35:BX35">SUM(Demand!BX7*Capacity!CR$3:CR$25*Capacity!$DI7/(TRANSPOSE(Dists!$B6:$X6)*MMULT(1/Dists!$B6:$X6,Capacity!$DI$3:$DI$25)))</f>
        <v>4.64549955377141</v>
      </c>
      <c r="BY35" s="4" t="n">
        <f aca="false" t="array" ref="BY35:BY35">SUM(Demand!BY7*Capacity!CS$3:CS$25*Capacity!$DI7/(TRANSPOSE(Dists!$B6:$X6)*MMULT(1/Dists!$B6:$X6,Capacity!$DI$3:$DI$25)))</f>
        <v>118.408783960456</v>
      </c>
      <c r="BZ35" s="4" t="n">
        <f aca="false" t="array" ref="BZ35:BZ35">SUM(Demand!BZ7*Capacity!CT$3:CT$25*Capacity!$DI7/(TRANSPOSE(Dists!$B6:$X6)*MMULT(1/Dists!$B6:$X6,Capacity!$DI$3:$DI$25)))</f>
        <v>0.69849519557352</v>
      </c>
      <c r="CA35" s="4" t="n">
        <f aca="false" t="array" ref="CA35:CA35">SUM(Demand!CA7*Capacity!CU$3:CU$25*Capacity!$DI7/(TRANSPOSE(Dists!$B6:$X6)*MMULT(1/Dists!$B6:$X6,Capacity!$DI$3:$DI$25)))</f>
        <v>0.288648645921238</v>
      </c>
      <c r="CB35" s="4" t="n">
        <f aca="false" t="array" ref="CB35:CB35">SUM(Demand!CB7*Capacity!CV$3:CV$25*Capacity!$DI7/(TRANSPOSE(Dists!$B6:$X6)*MMULT(1/Dists!$B6:$X6,Capacity!$DI$3:$DI$25)))</f>
        <v>179.426432985229</v>
      </c>
      <c r="CC35" s="4" t="n">
        <f aca="false" t="array" ref="CC35:CC35">SUM(Demand!CC7*Capacity!CW$3:CW$25*Capacity!$DI7/(TRANSPOSE(Dists!$B6:$X6)*MMULT(1/Dists!$B6:$X6,Capacity!$DI$3:$DI$25)))</f>
        <v>1362.33971214567</v>
      </c>
      <c r="CD35" s="4" t="n">
        <f aca="false">SUM($BG35,$BI35,$BK35)*Capacity!CX7/SUM(Capacity!$AM7:$AN7,Capacity!$CX7)</f>
        <v>18.0147397514614</v>
      </c>
      <c r="CE35" s="4" t="n">
        <f aca="false" t="array" ref="CE35:CE35">SUM(Demand!CE7*Capacity!CY$3:CY$25*Capacity!$DI7/(TRANSPOSE(Dists!$B6:$X6)*MMULT(1/Dists!$B6:$X6,Capacity!$DI$3:$DI$25)))</f>
        <v>0.30727841439421</v>
      </c>
      <c r="CF35" s="4" t="n">
        <f aca="false" t="array" ref="CF35:CF35">SUM(Demand!CF7*Capacity!CZ$3:CZ$25*Capacity!$DI7/(TRANSPOSE(Dists!$B6:$X6)*MMULT(1/Dists!$B6:$X6,Capacity!$DI$3:$DI$25)))</f>
        <v>1569.03691350465</v>
      </c>
      <c r="CG35" s="4" t="n">
        <f aca="false" t="array" ref="CG35:CG35">SUM(Demand!CG7*Capacity!DA$3:DA$25*Capacity!$DI7/(TRANSPOSE(Dists!$B6:$X6)*MMULT(1/Dists!$B6:$X6,Capacity!$DI$3:$DI$25)))</f>
        <v>2.44390516445906</v>
      </c>
      <c r="CH35" s="4" t="n">
        <f aca="false" t="array" ref="CH35:CH35">SUM(Demand!CH7*Capacity!DB$3:DB$25*Capacity!$DI7/(TRANSPOSE(Dists!$B6:$X6)*MMULT(1/Dists!$B6:$X6,Capacity!$DI$3:$DI$25)))</f>
        <v>4.02378330404104</v>
      </c>
      <c r="CI35" s="4" t="n">
        <f aca="false" t="array" ref="CI35:CI35">SUM(Demand!CI7*Capacity!DC$3:DC$25*Capacity!$DI7/(TRANSPOSE(Dists!$B6:$X6)*MMULT(1/Dists!$B6:$X6,Capacity!$DI$3:$DI$25)))</f>
        <v>0.120386607960598</v>
      </c>
      <c r="CJ35" s="4" t="n">
        <f aca="false" t="array" ref="CJ35:CJ35">SUM(Demand!CJ7*Capacity!DD$3:DD$25*Capacity!$DI7/(TRANSPOSE(Dists!$B6:$X6)*MMULT(1/Dists!$B6:$X6,Capacity!$DI$3:$DI$25)))</f>
        <v>0.00608875907927631</v>
      </c>
      <c r="CK35" s="4" t="n">
        <f aca="false" t="array" ref="CK35:CK35">SUM(Demand!CK7*Capacity!DE$3:DE$25*Capacity!$DI7/(TRANSPOSE(Dists!$B6:$X6)*MMULT(1/Dists!$B6:$X6,Capacity!$DI$3:$DI$25)))</f>
        <v>1.6859297105753</v>
      </c>
      <c r="CL35" s="7" t="s">
        <v>320</v>
      </c>
    </row>
    <row r="36" customFormat="false" ht="12.8" hidden="false" customHeight="false" outlineLevel="0" collapsed="false">
      <c r="A36" s="4" t="s">
        <v>140</v>
      </c>
      <c r="B36" s="7" t="s">
        <v>39</v>
      </c>
      <c r="C36" s="4" t="n">
        <f aca="false" t="array" ref="C36:C36">SUM(Demand!C8*Capacity!S$3:S$25*Capacity!$DH8/(TRANSPOSE(Dists!$B7:$X7)*MMULT(1/Dists!$B7:$X7,Capacity!$DH$3:$DH$25)))</f>
        <v>0.00753012906211687</v>
      </c>
      <c r="D36" s="4" t="n">
        <f aca="false" t="array" ref="D36:D36">SUM(Demand!D8*Capacity!V$3:V$25*Capacity!$DH8/(TRANSPOSE(Dists!$B7:$X7)*MMULT(1/Dists!$B7:$X7,Capacity!$DH$3:$DH$25)))</f>
        <v>937.734767566335</v>
      </c>
      <c r="E36" s="4" t="n">
        <f aca="false" t="array" ref="E36:E36">SUM(Demand!E8*Capacity!Y$3:Y$25*Capacity!$DH8/(TRANSPOSE(Dists!$B7:$X7)*MMULT(1/Dists!$B7:$X7,Capacity!$DH$3:$DH$25)))</f>
        <v>496.245427857809</v>
      </c>
      <c r="F36" s="4" t="n">
        <f aca="false">$E8*Capacity!$M8/(2*(1-Capacity!$H$28)*Capacity!$H8)</f>
        <v>169.481748970278</v>
      </c>
      <c r="G36" s="4" t="n">
        <f aca="false" t="array" ref="G36:G36">SUM(Demand!G8*Capacity!AA$3:AA$25*Capacity!$DH8/(TRANSPOSE(Dists!$B7:$X7)*MMULT(1/Dists!$B7:$X7,Capacity!$DH$3:$DH$25)))</f>
        <v>410.169426711797</v>
      </c>
      <c r="H36" s="4" t="n">
        <f aca="false" t="array" ref="H36:H36">SUM(Demand!H8*Capacity!AB$3:AB$25*Capacity!$DH8/(TRANSPOSE(Dists!$B7:$X7)*MMULT(1/Dists!$B7:$X7,Capacity!$DH$3:$DH$25)))</f>
        <v>0.906353141746928</v>
      </c>
      <c r="I36" s="4" t="n">
        <f aca="false" t="array" ref="I36:I36">SUM(Demand!I8*Capacity!AC$3:AC$25*Capacity!$DG8/(TRANSPOSE(Dists!$B7:$X7)*MMULT(1/Dists!$B7:$X7,Capacity!$DG$3:$DG$25)))</f>
        <v>0.507295057473892</v>
      </c>
      <c r="J36" s="4" t="n">
        <f aca="false" t="array" ref="J36:J36">SUM(Demand!J8*Capacity!AD$3:AD$25*Capacity!$DG8/(TRANSPOSE(Dists!$B7:$X7)*MMULT(1/Dists!$B7:$X7,Capacity!$DG$3:$DG$25)))</f>
        <v>0.427427181252494</v>
      </c>
      <c r="K36" s="4" t="n">
        <f aca="false">5479.45205479452*$R8</f>
        <v>433507.027125036</v>
      </c>
      <c r="L36" s="4" t="n">
        <f aca="false">17142.8571428571*$S8</f>
        <v>70615.304953905</v>
      </c>
      <c r="M36" s="4" t="n">
        <f aca="false">IF(50420.1680672269*$T8&gt;($K8/20),50420.1680672269*$T8-($K8/20),0)</f>
        <v>94404.6019926334</v>
      </c>
      <c r="N36" s="4" t="n">
        <f aca="false" t="array" ref="N36:N36">SUM(Demand!N8*Capacity!AH$3:AH$25*Capacity!$DH8/(TRANSPOSE(Dists!$B7:$X7)*MMULT(1/Dists!$B7:$X7,Capacity!$DH$3:$DH$25)))</f>
        <v>623.917542979112</v>
      </c>
      <c r="O36" s="4" t="n">
        <f aca="false">D36/0.8</f>
        <v>1172.16845945792</v>
      </c>
      <c r="P36" s="4" t="n">
        <f aca="false">O36/0.8</f>
        <v>1465.2105743224</v>
      </c>
      <c r="Q36" s="4" t="n">
        <f aca="false" t="array" ref="Q36:Q36">SUM(Demand!Q8*Capacity!AK$3:AK$25*Capacity!$DI8/(TRANSPOSE(Dists!$B7:$X7)*MMULT(1/Dists!$B7:$X7,Capacity!$DI$3:$DI$25)))</f>
        <v>11.263443833005</v>
      </c>
      <c r="R36" s="4" t="n">
        <f aca="false" t="array" ref="R36:R36">SUM(Demand!R8*Capacity!AL$3:AL$25*Capacity!$DH8/(TRANSPOSE(Dists!$B7:$X7)*MMULT(1/Dists!$B7:$X7,Capacity!$DH$3:$DH$25)))</f>
        <v>71.6859144269351</v>
      </c>
      <c r="S36" s="4" t="n">
        <f aca="false">SUM($BG36,$BI36,$BK36)*Capacity!AM8/SUM(Capacity!$AM8:$AN8,Capacity!$CX8)</f>
        <v>4.11922612231114</v>
      </c>
      <c r="T36" s="4" t="n">
        <f aca="false">SUM($BG36,$BI36,$BK36)*Capacity!AN8/SUM(Capacity!$AM8:$AN8,Capacity!$CX8)</f>
        <v>2.30225240808622</v>
      </c>
      <c r="U36" s="4" t="n">
        <f aca="false">$M8*120*2/(16*1000*2000)</f>
        <v>0.70803451494475</v>
      </c>
      <c r="V36" s="4" t="n">
        <f aca="false" t="array" ref="V36:V36">SUM(Demand!V8*Capacity!AP$3:AP$25*Capacity!$DH8/(TRANSPOSE(Dists!$B7:$X7)*MMULT(1/Dists!$B7:$X7,Capacity!$DH$3:$DH$25)))</f>
        <v>124.93066874059</v>
      </c>
      <c r="W36" s="4" t="n">
        <f aca="false" t="array" ref="W36:W36">SUM(Demand!W8*Capacity!AQ$3:AQ$25*Capacity!$DH8/(TRANSPOSE(Dists!$B7:$X7)*MMULT(1/Dists!$B7:$X7,Capacity!$DH$3:$DH$25)))</f>
        <v>337.757452502659</v>
      </c>
      <c r="X36" s="4" t="n">
        <f aca="false" t="array" ref="X36:X36">SUM(Demand!X8*Capacity!AR$3:AR$25*Capacity!$DH8/(TRANSPOSE(Dists!$B7:$X7)*MMULT(1/Dists!$B7:$X7,Capacity!$DH$3:$DH$25)))</f>
        <v>814.735662208562</v>
      </c>
      <c r="Y36" s="4" t="n">
        <f aca="false">$L8*600*6/(90*1000*2000)</f>
        <v>1.4123060990781</v>
      </c>
      <c r="Z36" s="4" t="n">
        <f aca="false" t="array" ref="Z36:Z36">SUM(Demand!Z8*Capacity!AT$3:AT$25*Capacity!$DI8/(TRANSPOSE(Dists!$B7:$X7)*MMULT(1/Dists!$B7:$X7,Capacity!$DI$3:$DI$25)))</f>
        <v>30.4903577435093</v>
      </c>
      <c r="AA36" s="4" t="n">
        <f aca="false" t="array" ref="AA36:AA36">SUM(Demand!AA8*Capacity!AU$3:AU$25*Capacity!$DI8/(TRANSPOSE(Dists!$B7:$X7)*MMULT(1/Dists!$B7:$X7,Capacity!$DI$3:$DI$25)))</f>
        <v>27.0973572096435</v>
      </c>
      <c r="AB36" s="4" t="n">
        <f aca="false" t="array" ref="AB36:AB36">SUM(Demand!AB8*Capacity!AV$3:AV$25*Capacity!$DI8/(TRANSPOSE(Dists!$B7:$X7)*MMULT(1/Dists!$B7:$X7,Capacity!$DI$3:$DI$25)))</f>
        <v>34.7294238569417</v>
      </c>
      <c r="AC36" s="4" t="n">
        <f aca="false" t="array" ref="AC36:AC36">SUM(Demand!AC8*Capacity!AW$3:AW$25*Capacity!$DI8/(TRANSPOSE(Dists!$B7:$X7)*MMULT(1/Dists!$B7:$X7,Capacity!$DI$3:$DI$25)))</f>
        <v>5.99503083114782</v>
      </c>
      <c r="AD36" s="4" t="n">
        <f aca="false" t="array" ref="AD36:AD36">SUM(Demand!AD8*Capacity!AX$3:AX$25*Capacity!$DI8/(TRANSPOSE(Dists!$B7:$X7)*MMULT(1/Dists!$B7:$X7,Capacity!$DI$3:$DI$25)))</f>
        <v>5.68557696984041</v>
      </c>
      <c r="AE36" s="4" t="n">
        <f aca="false" t="array" ref="AE36:AE36">SUM(Demand!AE8*Capacity!AY$3:AY$25*Capacity!$DI8/(TRANSPOSE(Dists!$B7:$X7)*MMULT(1/Dists!$B7:$X7,Capacity!$DI$3:$DI$25)))</f>
        <v>0.446550884250183</v>
      </c>
      <c r="AF36" s="4" t="n">
        <f aca="false" t="array" ref="AF36:AF36">SUM(Demand!AF8*Capacity!AZ$3:AZ$25*Capacity!$DI8/(TRANSPOSE(Dists!$B7:$X7)*MMULT(1/Dists!$B7:$X7,Capacity!$DI$3:$DI$25)))</f>
        <v>1.17633160502135</v>
      </c>
      <c r="AG36" s="4" t="n">
        <f aca="false" t="array" ref="AG36:AG36">SUM(Demand!AG8*Capacity!BA$3:BA$25*Capacity!$DI8/(TRANSPOSE(Dists!$B7:$X7)*MMULT(1/Dists!$B7:$X7,Capacity!$DI$3:$DI$25)))</f>
        <v>1.64668603911583</v>
      </c>
      <c r="AH36" s="4" t="n">
        <f aca="false" t="array" ref="AH36:AH36">SUM(Demand!AH8*Capacity!BB$3:BB$25*Capacity!$DI8/(TRANSPOSE(Dists!$B7:$X7)*MMULT(1/Dists!$B7:$X7,Capacity!$DI$3:$DI$25)))</f>
        <v>3.46630335736791</v>
      </c>
      <c r="AI36" s="4" t="n">
        <f aca="false" t="array" ref="AI36:AI36">SUM(Demand!AI8*Capacity!BC$3:BC$25*Capacity!$DI8/(TRANSPOSE(Dists!$B7:$X7)*MMULT(1/Dists!$B7:$X7,Capacity!$DI$3:$DI$25)))</f>
        <v>0.471684915779576</v>
      </c>
      <c r="AJ36" s="4" t="n">
        <f aca="false" t="array" ref="AJ36:AJ36">SUM(Demand!AJ8*Capacity!BD$3:BD$25*Capacity!$DI8/(TRANSPOSE(Dists!$B7:$X7)*MMULT(1/Dists!$B7:$X7,Capacity!$DI$3:$DI$25)))</f>
        <v>1.42704139545145</v>
      </c>
      <c r="AK36" s="4" t="n">
        <f aca="false" t="array" ref="AK36:AK36">SUM(Demand!AK8*Capacity!BE$3:BE$25*Capacity!$DI8/(TRANSPOSE(Dists!$B7:$X7)*MMULT(1/Dists!$B7:$X7,Capacity!$DI$3:$DI$25)))</f>
        <v>0.193350435261615</v>
      </c>
      <c r="AL36" s="4" t="n">
        <f aca="false" t="array" ref="AL36:AL36">SUM(Demand!AL8*Capacity!BF$3:BF$25*Capacity!$DI8/(TRANSPOSE(Dists!$B7:$X7)*MMULT(1/Dists!$B7:$X7,Capacity!$DI$3:$DI$25)))</f>
        <v>0.928518372234132</v>
      </c>
      <c r="AM36" s="4" t="n">
        <f aca="false" t="array" ref="AM36:AM36">SUM(Demand!AM8*Capacity!BG$3:BG$25*Capacity!$DI8/(TRANSPOSE(Dists!$B7:$X7)*MMULT(1/Dists!$B7:$X7,Capacity!$DI$3:$DI$25)))</f>
        <v>0.780577732371839</v>
      </c>
      <c r="AN36" s="4" t="n">
        <f aca="false" t="array" ref="AN36:AN36">SUM(Demand!AN8*Capacity!BH$3:BH$25*Capacity!$DI8/(TRANSPOSE(Dists!$B7:$X7)*MMULT(1/Dists!$B7:$X7,Capacity!$DI$3:$DI$25)))</f>
        <v>0.158187234970104</v>
      </c>
      <c r="AO36" s="4" t="n">
        <f aca="false" t="array" ref="AO36:AO36">SUM(Demand!AO8*Capacity!BI$3:BI$25*Capacity!$DI8/(TRANSPOSE(Dists!$B7:$X7)*MMULT(1/Dists!$B7:$X7,Capacity!$DI$3:$DI$25)))</f>
        <v>3.03042626992616</v>
      </c>
      <c r="AP36" s="4" t="n">
        <f aca="false" t="array" ref="AP36:AP36">SUM(Demand!AP8*Capacity!BJ$3:BJ$25*Capacity!$DI8/(TRANSPOSE(Dists!$B7:$X7)*MMULT(1/Dists!$B7:$X7,Capacity!$DI$3:$DI$25)))</f>
        <v>0.946651795319584</v>
      </c>
      <c r="AQ36" s="4" t="n">
        <f aca="false" t="array" ref="AQ36:AQ36">SUM(Demand!AQ8*Capacity!BK$3:BK$25*Capacity!$DI8/(TRANSPOSE(Dists!$B7:$X7)*MMULT(1/Dists!$B7:$X7,Capacity!$DI$3:$DI$25)))</f>
        <v>0.0155047036102496</v>
      </c>
      <c r="AR36" s="4" t="n">
        <f aca="false" t="array" ref="AR36:AR36">SUM(Demand!AR8*Capacity!BL$3:BL$25*Capacity!$DI8/(TRANSPOSE(Dists!$B7:$X7)*MMULT(1/Dists!$B7:$X7,Capacity!$DI$3:$DI$25)))</f>
        <v>0.342826358321654</v>
      </c>
      <c r="AS36" s="4" t="n">
        <f aca="false" t="array" ref="AS36:AS36">SUM(Demand!AS8*Capacity!BM$3:BM$25*Capacity!$DI8/(TRANSPOSE(Dists!$B7:$X7)*MMULT(1/Dists!$B7:$X7,Capacity!$DI$3:$DI$25)))</f>
        <v>0.356515217822066</v>
      </c>
      <c r="AT36" s="4" t="n">
        <f aca="false" t="array" ref="AT36:AT36">SUM(Demand!AT8*Capacity!BN$3:BN$25*Capacity!$DI8/(TRANSPOSE(Dists!$B7:$X7)*MMULT(1/Dists!$B7:$X7,Capacity!$DI$3:$DI$25)))</f>
        <v>5.45225880118219</v>
      </c>
      <c r="AU36" s="4" t="n">
        <f aca="false" t="array" ref="AU36:AU36">SUM(Demand!AU8*Capacity!BO$3:BO$25*Capacity!$DI8/(TRANSPOSE(Dists!$B7:$X7)*MMULT(1/Dists!$B7:$X7,Capacity!$DI$3:$DI$25)))</f>
        <v>0.820946556681532</v>
      </c>
      <c r="AV36" s="4" t="n">
        <f aca="false" t="array" ref="AV36:AV36">SUM(Demand!AV8*Capacity!BP$3:BP$25*Capacity!$DI8/(TRANSPOSE(Dists!$B7:$X7)*MMULT(1/Dists!$B7:$X7,Capacity!$DI$3:$DI$25)))</f>
        <v>0.00546641564124263</v>
      </c>
      <c r="AW36" s="4" t="n">
        <f aca="false" t="array" ref="AW36:AW36">SUM(Demand!AW8*Capacity!BQ$3:BQ$25*Capacity!$DI8/(TRANSPOSE(Dists!$B7:$X7)*MMULT(1/Dists!$B7:$X7,Capacity!$DI$3:$DI$25)))</f>
        <v>3.33730343392442</v>
      </c>
      <c r="AX36" s="4" t="n">
        <f aca="false" t="array" ref="AX36:AX36">SUM(Demand!AX8*Capacity!BR$3:BR$25*Capacity!$DI8/(TRANSPOSE(Dists!$B7:$X7)*MMULT(1/Dists!$B7:$X7,Capacity!$DI$3:$DI$25)))</f>
        <v>0.370802953588357</v>
      </c>
      <c r="AY36" s="4" t="n">
        <f aca="false" t="array" ref="AY36:AY36">SUM(Demand!AY8*Capacity!BS$3:BS$25*Capacity!$DI8/(TRANSPOSE(Dists!$B7:$X7)*MMULT(1/Dists!$B7:$X7,Capacity!$DI$3:$DI$25)))</f>
        <v>0.433348402047163</v>
      </c>
      <c r="AZ36" s="4" t="n">
        <f aca="false" t="array" ref="AZ36:AZ36">SUM(Demand!AZ8*Capacity!BT$3:BT$25*Capacity!$DI8/(TRANSPOSE(Dists!$B7:$X7)*MMULT(1/Dists!$B7:$X7,Capacity!$DI$3:$DI$25)))</f>
        <v>3.28326959745616</v>
      </c>
      <c r="BA36" s="4" t="n">
        <f aca="false">BA8</f>
        <v>0.0173076727828199</v>
      </c>
      <c r="BB36" s="4" t="n">
        <f aca="false" t="array" ref="BB36:BB36">SUM(Demand!BB8*Capacity!BV$3:BV$25*Capacity!$DI8/(TRANSPOSE(Dists!$B7:$X7)*MMULT(1/Dists!$B7:$X7,Capacity!$DI$3:$DI$25)))</f>
        <v>0.202281805668229</v>
      </c>
      <c r="BC36" s="4" t="n">
        <f aca="false" t="array" ref="BC36:BC36">SUM(Demand!BC8*Capacity!BW$3:BW$25*Capacity!$DI8/(TRANSPOSE(Dists!$B7:$X7)*MMULT(1/Dists!$B7:$X7,Capacity!$DI$3:$DI$25)))</f>
        <v>0.116422787358105</v>
      </c>
      <c r="BD36" s="4" t="n">
        <f aca="false" t="array" ref="BD36:BD36">SUM(Demand!BD8*Capacity!BX$3:BX$25*Capacity!$DI8/(TRANSPOSE(Dists!$B7:$X7)*MMULT(1/Dists!$B7:$X7,Capacity!$DI$3:$DI$25)))</f>
        <v>0.228279002308639</v>
      </c>
      <c r="BE36" s="4" t="n">
        <f aca="false" t="array" ref="BE36:BE36">SUM(Demand!BE8*Capacity!BY$3:BY$25*Capacity!$DI8/(TRANSPOSE(Dists!$B7:$X7)*MMULT(1/Dists!$B7:$X7,Capacity!$DI$3:$DI$25)))</f>
        <v>0.0107440023840408</v>
      </c>
      <c r="BF36" s="4" t="n">
        <f aca="false" t="array" ref="BF36:BF36">SUM(Demand!BF8*Capacity!BZ$3:BZ$25*Capacity!$DI8/(TRANSPOSE(Dists!$B7:$X7)*MMULT(1/Dists!$B7:$X7,Capacity!$DI$3:$DI$25)))</f>
        <v>5.94559613919599</v>
      </c>
      <c r="BG36" s="4" t="n">
        <f aca="false" t="array" ref="BG36:BG36">SUM(Demand!BG8*Capacity!CA$3:CA$25*Capacity!$DI8/(TRANSPOSE(Dists!$B7:$X7)*MMULT(1/Dists!$B7:$X7,Capacity!$DI$3:$DI$25)))</f>
        <v>10.780444644113</v>
      </c>
      <c r="BH36" s="4" t="n">
        <f aca="false" t="array" ref="BH36:BH36">SUM(Demand!BH8*Capacity!CB$3:CB$25*Capacity!$DI8/(TRANSPOSE(Dists!$B7:$X7)*MMULT(1/Dists!$B7:$X7,Capacity!$DI$3:$DI$25)))</f>
        <v>21.560889288226</v>
      </c>
      <c r="BI36" s="4" t="n">
        <f aca="false" t="array" ref="BI36:BI36">SUM(Demand!BI8*Capacity!CC$3:CC$25*Capacity!$DI8/(TRANSPOSE(Dists!$B7:$X7)*MMULT(1/Dists!$B7:$X7,Capacity!$DI$3:$DI$25)))</f>
        <v>28.7478523843013</v>
      </c>
      <c r="BJ36" s="4" t="n">
        <f aca="false" t="array" ref="BJ36:BJ36">SUM(Demand!BJ8*Capacity!CD$3:CD$25*Capacity!$DI8/(TRANSPOSE(Dists!$B7:$X7)*MMULT(1/Dists!$B7:$X7,Capacity!$DI$3:$DI$25)))</f>
        <v>837.223730644845</v>
      </c>
      <c r="BK36" s="4" t="n">
        <f aca="false" t="array" ref="BK36:BK36">SUM(Demand!BK8*Capacity!CE$3:CE$25*Capacity!$DI8/(TRANSPOSE(Dists!$B7:$X7)*MMULT(1/Dists!$B7:$X7,Capacity!$DI$3:$DI$25)))</f>
        <v>14.3739261921507</v>
      </c>
      <c r="BL36" s="4" t="n">
        <f aca="false" t="array" ref="BL36:BL36">SUM(Demand!BL8*Capacity!CF$3:CF$25*Capacity!$DI8/(TRANSPOSE(Dists!$B7:$X7)*MMULT(1/Dists!$B7:$X7,Capacity!$DI$3:$DI$25)))</f>
        <v>978.287283392701</v>
      </c>
      <c r="BM36" s="4" t="n">
        <f aca="false" t="array" ref="BM36:BM36">SUM(Demand!BM8*Capacity!CG$3:CG$25*Capacity!$DI8/(TRANSPOSE(Dists!$B7:$X7)*MMULT(1/Dists!$B7:$X7,Capacity!$DI$3:$DI$25)))</f>
        <v>47.1021680211418</v>
      </c>
      <c r="BN36" s="4" t="n">
        <f aca="false">BN8</f>
        <v>0.000297128859555309</v>
      </c>
      <c r="BO36" s="4" t="n">
        <f aca="false" t="array" ref="BO36:BO36">SUM(Demand!BO8*Capacity!CI$3:CI$25*Capacity!$DI8/(TRANSPOSE(Dists!$B7:$X7)*MMULT(1/Dists!$B7:$X7,Capacity!$DI$3:$DI$25)))</f>
        <v>11.8140691070532</v>
      </c>
      <c r="BP36" s="4" t="n">
        <f aca="false" t="array" ref="BP36:BP36">SUM(Demand!BP8*Capacity!CJ$3:CJ$25*Capacity!$DI8/(TRANSPOSE(Dists!$B7:$X7)*MMULT(1/Dists!$B7:$X7,Capacity!$DI$3:$DI$25)))</f>
        <v>19.1572957270121</v>
      </c>
      <c r="BQ36" s="4" t="n">
        <f aca="false">BQ8</f>
        <v>0.000193133758710951</v>
      </c>
      <c r="BR36" s="4" t="n">
        <f aca="false" t="array" ref="BR36:BR36">SUM(Demand!BR8*Capacity!CL$3:CL$25*Capacity!$DI8/(TRANSPOSE(Dists!$B7:$X7)*MMULT(1/Dists!$B7:$X7,Capacity!$DI$3:$DI$25)))</f>
        <v>0.393802380173365</v>
      </c>
      <c r="BS36" s="4" t="n">
        <f aca="false" t="array" ref="BS36:BS36">SUM(Demand!BS8*Capacity!CM$3:CM$25*Capacity!$DI8/(TRANSPOSE(Dists!$B7:$X7)*MMULT(1/Dists!$B7:$X7,Capacity!$DI$3:$DI$25)))</f>
        <v>0.0393802380173365</v>
      </c>
      <c r="BT36" s="4" t="n">
        <f aca="false">BT8</f>
        <v>4.55313830859121</v>
      </c>
      <c r="BU36" s="4" t="n">
        <f aca="false">BU8</f>
        <v>0.455313830859121</v>
      </c>
      <c r="BV36" s="4" t="n">
        <f aca="false">BV8</f>
        <v>0.0455313830859121</v>
      </c>
      <c r="BW36" s="4" t="n">
        <f aca="false">BW8</f>
        <v>1379.56228944471</v>
      </c>
      <c r="BX36" s="4" t="n">
        <f aca="false" t="array" ref="BX36:BX36">SUM(Demand!BX8*Capacity!CR$3:CR$25*Capacity!$DI8/(TRANSPOSE(Dists!$B7:$X7)*MMULT(1/Dists!$B7:$X7,Capacity!$DI$3:$DI$25)))</f>
        <v>8.67376199318542</v>
      </c>
      <c r="BY36" s="4" t="n">
        <f aca="false" t="array" ref="BY36:BY36">SUM(Demand!BY8*Capacity!CS$3:CS$25*Capacity!$DI8/(TRANSPOSE(Dists!$B7:$X7)*MMULT(1/Dists!$B7:$X7,Capacity!$DI$3:$DI$25)))</f>
        <v>126.717532268991</v>
      </c>
      <c r="BZ36" s="4" t="n">
        <f aca="false" t="array" ref="BZ36:BZ36">SUM(Demand!BZ8*Capacity!CT$3:CT$25*Capacity!$DI8/(TRANSPOSE(Dists!$B7:$X7)*MMULT(1/Dists!$B7:$X7,Capacity!$DI$3:$DI$25)))</f>
        <v>0.944367350586197</v>
      </c>
      <c r="CA36" s="4" t="n">
        <f aca="false" t="array" ref="CA36:CA36">SUM(Demand!CA8*Capacity!CU$3:CU$25*Capacity!$DI8/(TRANSPOSE(Dists!$B7:$X7)*MMULT(1/Dists!$B7:$X7,Capacity!$DI$3:$DI$25)))</f>
        <v>0.0435445200484812</v>
      </c>
      <c r="CB36" s="4" t="n">
        <f aca="false" t="array" ref="CB36:CB36">SUM(Demand!CB8*Capacity!CV$3:CV$25*Capacity!$DI8/(TRANSPOSE(Dists!$B7:$X7)*MMULT(1/Dists!$B7:$X7,Capacity!$DI$3:$DI$25)))</f>
        <v>644.680652811451</v>
      </c>
      <c r="CC36" s="4" t="n">
        <f aca="false" t="array" ref="CC36:CC36">SUM(Demand!CC8*Capacity!CW$3:CW$25*Capacity!$DI8/(TRANSPOSE(Dists!$B7:$X7)*MMULT(1/Dists!$B7:$X7,Capacity!$DI$3:$DI$25)))</f>
        <v>419.013035240409</v>
      </c>
      <c r="CD36" s="4" t="n">
        <f aca="false">SUM($BG36,$BI36,$BK36)*Capacity!CX8/SUM(Capacity!$AM8:$AN8,Capacity!$CX8)</f>
        <v>47.4807446901676</v>
      </c>
      <c r="CE36" s="4" t="n">
        <f aca="false" t="array" ref="CE36:CE36">SUM(Demand!CE8*Capacity!CY$3:CY$25*Capacity!$DI8/(TRANSPOSE(Dists!$B7:$X7)*MMULT(1/Dists!$B7:$X7,Capacity!$DI$3:$DI$25)))</f>
        <v>12.9123908622635</v>
      </c>
      <c r="CF36" s="4" t="n">
        <f aca="false" t="array" ref="CF36:CF36">SUM(Demand!CF8*Capacity!CZ$3:CZ$25*Capacity!$DI8/(TRANSPOSE(Dists!$B7:$X7)*MMULT(1/Dists!$B7:$X7,Capacity!$DI$3:$DI$25)))</f>
        <v>1123.28539609751</v>
      </c>
      <c r="CG36" s="4" t="n">
        <f aca="false" t="array" ref="CG36:CG36">SUM(Demand!CG8*Capacity!DA$3:DA$25*Capacity!$DI8/(TRANSPOSE(Dists!$B7:$X7)*MMULT(1/Dists!$B7:$X7,Capacity!$DI$3:$DI$25)))</f>
        <v>2.46258930462247</v>
      </c>
      <c r="CH36" s="4" t="n">
        <f aca="false" t="array" ref="CH36:CH36">SUM(Demand!CH8*Capacity!DB$3:DB$25*Capacity!$DI8/(TRANSPOSE(Dists!$B7:$X7)*MMULT(1/Dists!$B7:$X7,Capacity!$DI$3:$DI$25)))</f>
        <v>0.190434905666641</v>
      </c>
      <c r="CI36" s="4" t="n">
        <f aca="false" t="array" ref="CI36:CI36">SUM(Demand!CI8*Capacity!DC$3:DC$25*Capacity!$DI8/(TRANSPOSE(Dists!$B7:$X7)*MMULT(1/Dists!$B7:$X7,Capacity!$DI$3:$DI$25)))</f>
        <v>0.306239424445661</v>
      </c>
      <c r="CJ36" s="4" t="n">
        <f aca="false" t="array" ref="CJ36:CJ36">SUM(Demand!CJ8*Capacity!DD$3:DD$25*Capacity!$DI8/(TRANSPOSE(Dists!$B7:$X7)*MMULT(1/Dists!$B7:$X7,Capacity!$DI$3:$DI$25)))</f>
        <v>0.01649538905883</v>
      </c>
      <c r="CK36" s="4" t="n">
        <f aca="false" t="array" ref="CK36:CK36">SUM(Demand!CK8*Capacity!DE$3:DE$25*Capacity!$DI8/(TRANSPOSE(Dists!$B7:$X7)*MMULT(1/Dists!$B7:$X7,Capacity!$DI$3:$DI$25)))</f>
        <v>10.4976269494328</v>
      </c>
      <c r="CL36" s="7" t="s">
        <v>320</v>
      </c>
    </row>
    <row r="37" customFormat="false" ht="12.8" hidden="false" customHeight="false" outlineLevel="0" collapsed="false">
      <c r="A37" s="4" t="s">
        <v>141</v>
      </c>
      <c r="B37" s="7" t="s">
        <v>39</v>
      </c>
      <c r="C37" s="4" t="n">
        <f aca="false" t="array" ref="C37:C37">SUM(Demand!C9*Capacity!S$3:S$25*Capacity!$DH9/(TRANSPOSE(Dists!$B8:$X8)*MMULT(1/Dists!$B8:$X8,Capacity!$DH$3:$DH$25)))</f>
        <v>0.0101899820930795</v>
      </c>
      <c r="D37" s="4" t="n">
        <f aca="false" t="array" ref="D37:D37">SUM(Demand!D9*Capacity!V$3:V$25*Capacity!$DH9/(TRANSPOSE(Dists!$B8:$X8)*MMULT(1/Dists!$B8:$X8,Capacity!$DH$3:$DH$25)))</f>
        <v>1141.25710981962</v>
      </c>
      <c r="E37" s="4" t="n">
        <f aca="false" t="array" ref="E37:E37">SUM(Demand!E9*Capacity!Y$3:Y$25*Capacity!$DH9/(TRANSPOSE(Dists!$B8:$X8)*MMULT(1/Dists!$B8:$X8,Capacity!$DH$3:$DH$25)))</f>
        <v>591.99982196809</v>
      </c>
      <c r="F37" s="4" t="n">
        <f aca="false">$E9*Capacity!$M9/(2*(1-Capacity!$H$28)*Capacity!$H9)</f>
        <v>173.756831547137</v>
      </c>
      <c r="G37" s="4" t="n">
        <f aca="false" t="array" ref="G37:G37">SUM(Demand!G9*Capacity!AA$3:AA$25*Capacity!$DH9/(TRANSPOSE(Dists!$B8:$X8)*MMULT(1/Dists!$B8:$X8,Capacity!$DH$3:$DH$25)))</f>
        <v>287.239611940694</v>
      </c>
      <c r="H37" s="4" t="n">
        <f aca="false" t="array" ref="H37:H37">SUM(Demand!H9*Capacity!AB$3:AB$25*Capacity!$DH9/(TRANSPOSE(Dists!$B8:$X8)*MMULT(1/Dists!$B8:$X8,Capacity!$DH$3:$DH$25)))</f>
        <v>2.02081234755988</v>
      </c>
      <c r="I37" s="4" t="n">
        <f aca="false" t="array" ref="I37:I37">SUM(Demand!I9*Capacity!AC$3:AC$25*Capacity!$DG9/(TRANSPOSE(Dists!$B8:$X8)*MMULT(1/Dists!$B8:$X8,Capacity!$DG$3:$DG$25)))</f>
        <v>0.791767655258069</v>
      </c>
      <c r="J37" s="4" t="n">
        <f aca="false" t="array" ref="J37:J37">SUM(Demand!J9*Capacity!AD$3:AD$25*Capacity!$DG9/(TRANSPOSE(Dists!$B8:$X8)*MMULT(1/Dists!$B8:$X8,Capacity!$DG$3:$DG$25)))</f>
        <v>0.326706099068528</v>
      </c>
      <c r="K37" s="4" t="n">
        <f aca="false">5479.45205479452*$R9</f>
        <v>508124.874775067</v>
      </c>
      <c r="L37" s="4" t="n">
        <f aca="false">17142.8571428571*$S9</f>
        <v>83601.3625249846</v>
      </c>
      <c r="M37" s="4" t="n">
        <f aca="false">IF(50420.1680672269*$T9&gt;($K9/20),50420.1680672269*$T9-($K9/20),0)</f>
        <v>112020.653562592</v>
      </c>
      <c r="N37" s="4" t="n">
        <f aca="false" t="array" ref="N37:N37">SUM(Demand!N9*Capacity!AH$3:AH$25*Capacity!$DH9/(TRANSPOSE(Dists!$B8:$X8)*MMULT(1/Dists!$B8:$X8,Capacity!$DH$3:$DH$25)))</f>
        <v>820.698818617296</v>
      </c>
      <c r="O37" s="4" t="n">
        <f aca="false">D37/0.8</f>
        <v>1426.57138727452</v>
      </c>
      <c r="P37" s="4" t="n">
        <f aca="false">O37/0.8</f>
        <v>1783.21423409315</v>
      </c>
      <c r="Q37" s="4" t="n">
        <f aca="false" t="array" ref="Q37:Q37">SUM(Demand!Q9*Capacity!AK$3:AK$25*Capacity!$DI9/(TRANSPOSE(Dists!$B8:$X8)*MMULT(1/Dists!$B8:$X8,Capacity!$DI$3:$DI$25)))</f>
        <v>9.60918951101812</v>
      </c>
      <c r="R37" s="4" t="n">
        <f aca="false" t="array" ref="R37:R37">SUM(Demand!R9*Capacity!AL$3:AL$25*Capacity!$DH9/(TRANSPOSE(Dists!$B8:$X8)*MMULT(1/Dists!$B8:$X8,Capacity!$DH$3:$DH$25)))</f>
        <v>104.751595650969</v>
      </c>
      <c r="S37" s="4" t="n">
        <f aca="false">SUM($BG37,$BI37,$BK37)*Capacity!AM9/SUM(Capacity!$AM9:$AN9,Capacity!$CX9)</f>
        <v>4.87674614729078</v>
      </c>
      <c r="T37" s="4" t="n">
        <f aca="false">SUM($BG37,$BI37,$BK37)*Capacity!AN9/SUM(Capacity!$AM9:$AN9,Capacity!$CX9)</f>
        <v>2.72563346314334</v>
      </c>
      <c r="U37" s="4" t="n">
        <f aca="false">$M9*120*2/(16*1000*2000)</f>
        <v>0.840154901719437</v>
      </c>
      <c r="V37" s="4" t="n">
        <f aca="false" t="array" ref="V37:V37">SUM(Demand!V9*Capacity!AP$3:AP$25*Capacity!$DH9/(TRANSPOSE(Dists!$B8:$X8)*MMULT(1/Dists!$B8:$X8,Capacity!$DH$3:$DH$25)))</f>
        <v>267.633896162188</v>
      </c>
      <c r="W37" s="4" t="n">
        <f aca="false" t="array" ref="W37:W37">SUM(Demand!W9*Capacity!AQ$3:AQ$25*Capacity!$DH9/(TRANSPOSE(Dists!$B8:$X8)*MMULT(1/Dists!$B8:$X8,Capacity!$DH$3:$DH$25)))</f>
        <v>1247.47660224123</v>
      </c>
      <c r="X37" s="4" t="n">
        <f aca="false" t="array" ref="X37:X37">SUM(Demand!X9*Capacity!AR$3:AR$25*Capacity!$DH9/(TRANSPOSE(Dists!$B8:$X8)*MMULT(1/Dists!$B8:$X8,Capacity!$DH$3:$DH$25)))</f>
        <v>434.948716730795</v>
      </c>
      <c r="Y37" s="4" t="n">
        <f aca="false">$L9*600*6/(90*1000*2000)</f>
        <v>1.67202725049969</v>
      </c>
      <c r="Z37" s="4" t="n">
        <f aca="false" t="array" ref="Z37:Z37">SUM(Demand!Z9*Capacity!AT$3:AT$25*Capacity!$DI9/(TRANSPOSE(Dists!$B8:$X8)*MMULT(1/Dists!$B8:$X8,Capacity!$DI$3:$DI$25)))</f>
        <v>34.1527377357799</v>
      </c>
      <c r="AA37" s="4" t="n">
        <f aca="false" t="array" ref="AA37:AA37">SUM(Demand!AA9*Capacity!AU$3:AU$25*Capacity!$DI9/(TRANSPOSE(Dists!$B8:$X8)*MMULT(1/Dists!$B8:$X8,Capacity!$DI$3:$DI$25)))</f>
        <v>34.2308773329892</v>
      </c>
      <c r="AB37" s="4" t="n">
        <f aca="false" t="array" ref="AB37:AB37">SUM(Demand!AB9*Capacity!AV$3:AV$25*Capacity!$DI9/(TRANSPOSE(Dists!$B8:$X8)*MMULT(1/Dists!$B8:$X8,Capacity!$DI$3:$DI$25)))</f>
        <v>41.4307348464979</v>
      </c>
      <c r="AC37" s="4" t="n">
        <f aca="false" t="array" ref="AC37:AC37">SUM(Demand!AC9*Capacity!AW$3:AW$25*Capacity!$DI9/(TRANSPOSE(Dists!$B8:$X8)*MMULT(1/Dists!$B8:$X8,Capacity!$DI$3:$DI$25)))</f>
        <v>6.11332835700321</v>
      </c>
      <c r="AD37" s="4" t="n">
        <f aca="false" t="array" ref="AD37:AD37">SUM(Demand!AD9*Capacity!AX$3:AX$25*Capacity!$DI9/(TRANSPOSE(Dists!$B8:$X8)*MMULT(1/Dists!$B8:$X8,Capacity!$DI$3:$DI$25)))</f>
        <v>6.78265302808156</v>
      </c>
      <c r="AE37" s="4" t="n">
        <f aca="false" t="array" ref="AE37:AE37">SUM(Demand!AE9*Capacity!AY$3:AY$25*Capacity!$DI9/(TRANSPOSE(Dists!$B8:$X8)*MMULT(1/Dists!$B8:$X8,Capacity!$DI$3:$DI$25)))</f>
        <v>6.95184897442744</v>
      </c>
      <c r="AF37" s="4" t="n">
        <f aca="false" t="array" ref="AF37:AF37">SUM(Demand!AF9*Capacity!AZ$3:AZ$25*Capacity!$DI9/(TRANSPOSE(Dists!$B8:$X8)*MMULT(1/Dists!$B8:$X8,Capacity!$DI$3:$DI$25)))</f>
        <v>0.55139746337023</v>
      </c>
      <c r="AG37" s="4" t="n">
        <f aca="false" t="array" ref="AG37:AG37">SUM(Demand!AG9*Capacity!BA$3:BA$25*Capacity!$DI9/(TRANSPOSE(Dists!$B8:$X8)*MMULT(1/Dists!$B8:$X8,Capacity!$DI$3:$DI$25)))</f>
        <v>5.11516455998625</v>
      </c>
      <c r="AH37" s="4" t="n">
        <f aca="false" t="array" ref="AH37:AH37">SUM(Demand!AH9*Capacity!BB$3:BB$25*Capacity!$DI9/(TRANSPOSE(Dists!$B8:$X8)*MMULT(1/Dists!$B8:$X8,Capacity!$DI$3:$DI$25)))</f>
        <v>6.31625313001521</v>
      </c>
      <c r="AI37" s="4" t="n">
        <f aca="false" t="array" ref="AI37:AI37">SUM(Demand!AI9*Capacity!BC$3:BC$25*Capacity!$DI9/(TRANSPOSE(Dists!$B8:$X8)*MMULT(1/Dists!$B8:$X8,Capacity!$DI$3:$DI$25)))</f>
        <v>0.301842345842521</v>
      </c>
      <c r="AJ37" s="4" t="n">
        <f aca="false" t="array" ref="AJ37:AJ37">SUM(Demand!AJ9*Capacity!BD$3:BD$25*Capacity!$DI9/(TRANSPOSE(Dists!$B8:$X8)*MMULT(1/Dists!$B8:$X8,Capacity!$DI$3:$DI$25)))</f>
        <v>0.96969844303616</v>
      </c>
      <c r="AK37" s="4" t="n">
        <f aca="false" t="array" ref="AK37:AK37">SUM(Demand!AK9*Capacity!BE$3:BE$25*Capacity!$DI9/(TRANSPOSE(Dists!$B8:$X8)*MMULT(1/Dists!$B8:$X8,Capacity!$DI$3:$DI$25)))</f>
        <v>0.559512442538229</v>
      </c>
      <c r="AL37" s="4" t="n">
        <f aca="false" t="array" ref="AL37:AL37">SUM(Demand!AL9*Capacity!BF$3:BF$25*Capacity!$DI9/(TRANSPOSE(Dists!$B8:$X8)*MMULT(1/Dists!$B8:$X8,Capacity!$DI$3:$DI$25)))</f>
        <v>0.280980042829215</v>
      </c>
      <c r="AM37" s="4" t="n">
        <f aca="false" t="array" ref="AM37:AM37">SUM(Demand!AM9*Capacity!BG$3:BG$25*Capacity!$DI9/(TRANSPOSE(Dists!$B8:$X8)*MMULT(1/Dists!$B8:$X8,Capacity!$DI$3:$DI$25)))</f>
        <v>3.09666786030458</v>
      </c>
      <c r="AN37" s="4" t="n">
        <f aca="false" t="array" ref="AN37:AN37">SUM(Demand!AN9*Capacity!BH$3:BH$25*Capacity!$DI9/(TRANSPOSE(Dists!$B8:$X8)*MMULT(1/Dists!$B8:$X8,Capacity!$DI$3:$DI$25)))</f>
        <v>0.62114269946541</v>
      </c>
      <c r="AO37" s="4" t="n">
        <f aca="false" t="array" ref="AO37:AO37">SUM(Demand!AO9*Capacity!BI$3:BI$25*Capacity!$DI9/(TRANSPOSE(Dists!$B8:$X8)*MMULT(1/Dists!$B8:$X8,Capacity!$DI$3:$DI$25)))</f>
        <v>0.364923919723218</v>
      </c>
      <c r="AP37" s="4" t="n">
        <f aca="false" t="array" ref="AP37:AP37">SUM(Demand!AP9*Capacity!BJ$3:BJ$25*Capacity!$DI9/(TRANSPOSE(Dists!$B8:$X8)*MMULT(1/Dists!$B8:$X8,Capacity!$DI$3:$DI$25)))</f>
        <v>2.38392519040663</v>
      </c>
      <c r="AQ37" s="4" t="n">
        <f aca="false" t="array" ref="AQ37:AQ37">SUM(Demand!AQ9*Capacity!BK$3:BK$25*Capacity!$DI9/(TRANSPOSE(Dists!$B8:$X8)*MMULT(1/Dists!$B8:$X8,Capacity!$DI$3:$DI$25)))</f>
        <v>0.186338579161017</v>
      </c>
      <c r="AR37" s="4" t="n">
        <f aca="false" t="array" ref="AR37:AR37">SUM(Demand!AR9*Capacity!BL$3:BL$25*Capacity!$DI9/(TRANSPOSE(Dists!$B8:$X8)*MMULT(1/Dists!$B8:$X8,Capacity!$DI$3:$DI$25)))</f>
        <v>0.237912149528131</v>
      </c>
      <c r="AS37" s="4" t="n">
        <f aca="false" t="array" ref="AS37:AS37">SUM(Demand!AS9*Capacity!BM$3:BM$25*Capacity!$DI9/(TRANSPOSE(Dists!$B8:$X8)*MMULT(1/Dists!$B8:$X8,Capacity!$DI$3:$DI$25)))</f>
        <v>0.19130978956275</v>
      </c>
      <c r="AT37" s="4" t="n">
        <f aca="false" t="array" ref="AT37:AT37">SUM(Demand!AT9*Capacity!BN$3:BN$25*Capacity!$DI9/(TRANSPOSE(Dists!$B8:$X8)*MMULT(1/Dists!$B8:$X8,Capacity!$DI$3:$DI$25)))</f>
        <v>2.82699545422429</v>
      </c>
      <c r="AU37" s="4" t="n">
        <f aca="false" t="array" ref="AU37:AU37">SUM(Demand!AU9*Capacity!BO$3:BO$25*Capacity!$DI9/(TRANSPOSE(Dists!$B8:$X8)*MMULT(1/Dists!$B8:$X8,Capacity!$DI$3:$DI$25)))</f>
        <v>6.007880394536</v>
      </c>
      <c r="AV37" s="4" t="n">
        <f aca="false" t="array" ref="AV37:AV37">SUM(Demand!AV9*Capacity!BP$3:BP$25*Capacity!$DI9/(TRANSPOSE(Dists!$B8:$X8)*MMULT(1/Dists!$B8:$X8,Capacity!$DI$3:$DI$25)))</f>
        <v>0.191125684701188</v>
      </c>
      <c r="AW37" s="4" t="n">
        <f aca="false" t="array" ref="AW37:AW37">SUM(Demand!AW9*Capacity!BQ$3:BQ$25*Capacity!$DI9/(TRANSPOSE(Dists!$B8:$X8)*MMULT(1/Dists!$B8:$X8,Capacity!$DI$3:$DI$25)))</f>
        <v>3.47067473676705</v>
      </c>
      <c r="AX37" s="4" t="n">
        <f aca="false" t="array" ref="AX37:AX37">SUM(Demand!AX9*Capacity!BR$3:BR$25*Capacity!$DI9/(TRANSPOSE(Dists!$B8:$X8)*MMULT(1/Dists!$B8:$X8,Capacity!$DI$3:$DI$25)))</f>
        <v>0.865515008394586</v>
      </c>
      <c r="AY37" s="4" t="n">
        <f aca="false" t="array" ref="AY37:AY37">SUM(Demand!AY9*Capacity!BS$3:BS$25*Capacity!$DI9/(TRANSPOSE(Dists!$B8:$X8)*MMULT(1/Dists!$B8:$X8,Capacity!$DI$3:$DI$25)))</f>
        <v>0.405973730879843</v>
      </c>
      <c r="AZ37" s="4" t="n">
        <f aca="false" t="array" ref="AZ37:AZ37">SUM(Demand!AZ9*Capacity!BT$3:BT$25*Capacity!$DI9/(TRANSPOSE(Dists!$B8:$X8)*MMULT(1/Dists!$B8:$X8,Capacity!$DI$3:$DI$25)))</f>
        <v>3.18033460481432</v>
      </c>
      <c r="BA37" s="4" t="n">
        <f aca="false">BA9</f>
        <v>0.0204905300306335</v>
      </c>
      <c r="BB37" s="4" t="n">
        <f aca="false" t="array" ref="BB37:BB37">SUM(Demand!BB9*Capacity!BV$3:BV$25*Capacity!$DI9/(TRANSPOSE(Dists!$B8:$X8)*MMULT(1/Dists!$B8:$X8,Capacity!$DI$3:$DI$25)))</f>
        <v>0.444287758088188</v>
      </c>
      <c r="BC37" s="4" t="n">
        <f aca="false" t="array" ref="BC37:BC37">SUM(Demand!BC9*Capacity!BW$3:BW$25*Capacity!$DI9/(TRANSPOSE(Dists!$B8:$X8)*MMULT(1/Dists!$B8:$X8,Capacity!$DI$3:$DI$25)))</f>
        <v>0.0671669935218726</v>
      </c>
      <c r="BD37" s="4" t="n">
        <f aca="false" t="array" ref="BD37:BD37">SUM(Demand!BD9*Capacity!BX$3:BX$25*Capacity!$DI9/(TRANSPOSE(Dists!$B8:$X8)*MMULT(1/Dists!$B8:$X8,Capacity!$DI$3:$DI$25)))</f>
        <v>0.135030111851921</v>
      </c>
      <c r="BE37" s="4" t="n">
        <f aca="false" t="array" ref="BE37:BE37">SUM(Demand!BE9*Capacity!BY$3:BY$25*Capacity!$DI9/(TRANSPOSE(Dists!$B8:$X8)*MMULT(1/Dists!$B8:$X8,Capacity!$DI$3:$DI$25)))</f>
        <v>0.0237025795206696</v>
      </c>
      <c r="BF37" s="4" t="n">
        <f aca="false" t="array" ref="BF37:BF37">SUM(Demand!BF9*Capacity!BZ$3:BZ$25*Capacity!$DI9/(TRANSPOSE(Dists!$B8:$X8)*MMULT(1/Dists!$B8:$X8,Capacity!$DI$3:$DI$25)))</f>
        <v>1.92947645066792</v>
      </c>
      <c r="BG37" s="4" t="n">
        <f aca="false" t="array" ref="BG37:BG37">SUM(Demand!BG9*Capacity!CA$3:CA$25*Capacity!$DI9/(TRANSPOSE(Dists!$B8:$X8)*MMULT(1/Dists!$B8:$X8,Capacity!$DI$3:$DI$25)))</f>
        <v>12.8606148324663</v>
      </c>
      <c r="BH37" s="4" t="n">
        <f aca="false" t="array" ref="BH37:BH37">SUM(Demand!BH9*Capacity!CB$3:CB$25*Capacity!$DI9/(TRANSPOSE(Dists!$B8:$X8)*MMULT(1/Dists!$B8:$X8,Capacity!$DI$3:$DI$25)))</f>
        <v>25.7212296649327</v>
      </c>
      <c r="BI37" s="4" t="n">
        <f aca="false" t="array" ref="BI37:BI37">SUM(Demand!BI9*Capacity!CC$3:CC$25*Capacity!$DI9/(TRANSPOSE(Dists!$B8:$X8)*MMULT(1/Dists!$B8:$X8,Capacity!$DI$3:$DI$25)))</f>
        <v>34.2949728865769</v>
      </c>
      <c r="BJ37" s="4" t="n">
        <f aca="false" t="array" ref="BJ37:BJ37">SUM(Demand!BJ9*Capacity!CD$3:CD$25*Capacity!$DI9/(TRANSPOSE(Dists!$B8:$X8)*MMULT(1/Dists!$B8:$X8,Capacity!$DI$3:$DI$25)))</f>
        <v>1902.58377098107</v>
      </c>
      <c r="BK37" s="4" t="n">
        <f aca="false" t="array" ref="BK37:BK37">SUM(Demand!BK9*Capacity!CE$3:CE$25*Capacity!$DI9/(TRANSPOSE(Dists!$B8:$X8)*MMULT(1/Dists!$B8:$X8,Capacity!$DI$3:$DI$25)))</f>
        <v>17.1474864432885</v>
      </c>
      <c r="BL37" s="4" t="n">
        <f aca="false" t="array" ref="BL37:BL37">SUM(Demand!BL9*Capacity!CF$3:CF$25*Capacity!$DI9/(TRANSPOSE(Dists!$B8:$X8)*MMULT(1/Dists!$B8:$X8,Capacity!$DI$3:$DI$25)))</f>
        <v>1184.05834603003</v>
      </c>
      <c r="BM37" s="4" t="n">
        <f aca="false" t="array" ref="BM37:BM37">SUM(Demand!BM9*Capacity!CG$3:CG$25*Capacity!$DI9/(TRANSPOSE(Dists!$B8:$X8)*MMULT(1/Dists!$B8:$X8,Capacity!$DI$3:$DI$25)))</f>
        <v>36.7300816919847</v>
      </c>
      <c r="BN37" s="4" t="n">
        <f aca="false">BN9</f>
        <v>0.000641838744894436</v>
      </c>
      <c r="BO37" s="4" t="n">
        <f aca="false" t="array" ref="BO37:BO37">SUM(Demand!BO9*Capacity!CI$3:CI$25*Capacity!$DI9/(TRANSPOSE(Dists!$B8:$X8)*MMULT(1/Dists!$B8:$X8,Capacity!$DI$3:$DI$25)))</f>
        <v>9.52715989756363</v>
      </c>
      <c r="BP37" s="4" t="n">
        <f aca="false" t="array" ref="BP37:BP37">SUM(Demand!BP9*Capacity!CJ$3:CJ$25*Capacity!$DI9/(TRANSPOSE(Dists!$B8:$X8)*MMULT(1/Dists!$B8:$X8,Capacity!$DI$3:$DI$25)))</f>
        <v>17.4602028866584</v>
      </c>
      <c r="BQ37" s="4" t="n">
        <f aca="false">BQ9</f>
        <v>0.000417195184181383</v>
      </c>
      <c r="BR37" s="4" t="n">
        <f aca="false" t="array" ref="BR37:BR37">SUM(Demand!BR9*Capacity!CL$3:CL$25*Capacity!$DI9/(TRANSPOSE(Dists!$B8:$X8)*MMULT(1/Dists!$B8:$X8,Capacity!$DI$3:$DI$25)))</f>
        <v>0.317572222019568</v>
      </c>
      <c r="BS37" s="4" t="n">
        <f aca="false" t="array" ref="BS37:BS37">SUM(Demand!BS9*Capacity!CM$3:CM$25*Capacity!$DI9/(TRANSPOSE(Dists!$B8:$X8)*MMULT(1/Dists!$B8:$X8,Capacity!$DI$3:$DI$25)))</f>
        <v>0.0317572222019567</v>
      </c>
      <c r="BT37" s="4" t="n">
        <f aca="false">BT9</f>
        <v>4.54862155957781</v>
      </c>
      <c r="BU37" s="4" t="n">
        <f aca="false">BU9</f>
        <v>0.454862155957781</v>
      </c>
      <c r="BV37" s="4" t="n">
        <f aca="false">BV9</f>
        <v>0.0454862155957781</v>
      </c>
      <c r="BW37" s="4" t="n">
        <f aca="false">BW9</f>
        <v>1645.75950507129</v>
      </c>
      <c r="BX37" s="4" t="n">
        <f aca="false" t="array" ref="BX37:BX37">SUM(Demand!BX9*Capacity!CR$3:CR$25*Capacity!$DI9/(TRANSPOSE(Dists!$B8:$X8)*MMULT(1/Dists!$B8:$X8,Capacity!$DI$3:$DI$25)))</f>
        <v>12.7989811287227</v>
      </c>
      <c r="BY37" s="4" t="n">
        <f aca="false" t="array" ref="BY37:BY37">SUM(Demand!BY9*Capacity!CS$3:CS$25*Capacity!$DI9/(TRANSPOSE(Dists!$B8:$X8)*MMULT(1/Dists!$B8:$X8,Capacity!$DI$3:$DI$25)))</f>
        <v>195.354216935816</v>
      </c>
      <c r="BZ37" s="4" t="n">
        <f aca="false" t="array" ref="BZ37:BZ37">SUM(Demand!BZ9*Capacity!CT$3:CT$25*Capacity!$DI9/(TRANSPOSE(Dists!$B8:$X8)*MMULT(1/Dists!$B8:$X8,Capacity!$DI$3:$DI$25)))</f>
        <v>1.77633431215105</v>
      </c>
      <c r="CA37" s="4" t="n">
        <f aca="false" t="array" ref="CA37:CA37">SUM(Demand!CA9*Capacity!CU$3:CU$25*Capacity!$DI9/(TRANSPOSE(Dists!$B8:$X8)*MMULT(1/Dists!$B8:$X8,Capacity!$DI$3:$DI$25)))</f>
        <v>0.161387575878403</v>
      </c>
      <c r="CB37" s="4" t="n">
        <f aca="false" t="array" ref="CB37:CB37">SUM(Demand!CB9*Capacity!CV$3:CV$25*Capacity!$DI9/(TRANSPOSE(Dists!$B8:$X8)*MMULT(1/Dists!$B8:$X8,Capacity!$DI$3:$DI$25)))</f>
        <v>488.257186218729</v>
      </c>
      <c r="CC37" s="4" t="n">
        <f aca="false" t="array" ref="CC37:CC37">SUM(Demand!CC9*Capacity!CW$3:CW$25*Capacity!$DI9/(TRANSPOSE(Dists!$B8:$X8)*MMULT(1/Dists!$B8:$X8,Capacity!$DI$3:$DI$25)))</f>
        <v>2780.04652970754</v>
      </c>
      <c r="CD37" s="4" t="n">
        <f aca="false">SUM($BG37,$BI37,$BK37)*Capacity!CX9/SUM(Capacity!$AM9:$AN9,Capacity!$CX9)</f>
        <v>56.7006945518976</v>
      </c>
      <c r="CE37" s="4" t="n">
        <f aca="false" t="array" ref="CE37:CE37">SUM(Demand!CE9*Capacity!CY$3:CY$25*Capacity!$DI9/(TRANSPOSE(Dists!$B8:$X8)*MMULT(1/Dists!$B8:$X8,Capacity!$DI$3:$DI$25)))</f>
        <v>14.3198600539659</v>
      </c>
      <c r="CF37" s="4" t="n">
        <f aca="false" t="array" ref="CF37:CF37">SUM(Demand!CF9*Capacity!CZ$3:CZ$25*Capacity!$DI9/(TRANSPOSE(Dists!$B8:$X8)*MMULT(1/Dists!$B8:$X8,Capacity!$DI$3:$DI$25)))</f>
        <v>1769.46399070341</v>
      </c>
      <c r="CG37" s="4" t="n">
        <f aca="false" t="array" ref="CG37:CG37">SUM(Demand!CG9*Capacity!DA$3:DA$25*Capacity!$DI9/(TRANSPOSE(Dists!$B8:$X8)*MMULT(1/Dists!$B8:$X8,Capacity!$DI$3:$DI$25)))</f>
        <v>0.0213191853728186</v>
      </c>
      <c r="CH37" s="4" t="n">
        <f aca="false" t="array" ref="CH37:CH37">SUM(Demand!CH9*Capacity!DB$3:DB$25*Capacity!$DI9/(TRANSPOSE(Dists!$B8:$X8)*MMULT(1/Dists!$B8:$X8,Capacity!$DI$3:$DI$25)))</f>
        <v>1.05637443530996</v>
      </c>
      <c r="CI37" s="4" t="n">
        <f aca="false" t="array" ref="CI37:CI37">SUM(Demand!CI9*Capacity!DC$3:DC$25*Capacity!$DI9/(TRANSPOSE(Dists!$B8:$X8)*MMULT(1/Dists!$B8:$X8,Capacity!$DI$3:$DI$25)))</f>
        <v>0.0740373861102324</v>
      </c>
      <c r="CJ37" s="4" t="n">
        <f aca="false" t="array" ref="CJ37:CJ37">SUM(Demand!CJ9*Capacity!DD$3:DD$25*Capacity!$DI9/(TRANSPOSE(Dists!$B8:$X8)*MMULT(1/Dists!$B8:$X8,Capacity!$DI$3:$DI$25)))</f>
        <v>0.0160304377016852</v>
      </c>
      <c r="CK37" s="4" t="n">
        <f aca="false" t="array" ref="CK37:CK37">SUM(Demand!CK9*Capacity!DE$3:DE$25*Capacity!$DI9/(TRANSPOSE(Dists!$B8:$X8)*MMULT(1/Dists!$B8:$X8,Capacity!$DI$3:$DI$25)))</f>
        <v>17.5768058005269</v>
      </c>
      <c r="CL37" s="7" t="s">
        <v>320</v>
      </c>
    </row>
    <row r="38" customFormat="false" ht="12.8" hidden="false" customHeight="false" outlineLevel="0" collapsed="false">
      <c r="A38" s="4" t="s">
        <v>142</v>
      </c>
      <c r="B38" s="7" t="s">
        <v>39</v>
      </c>
      <c r="C38" s="4" t="n">
        <f aca="false" t="array" ref="C38:C38">SUM(Demand!C10*Capacity!S$3:S$25*Capacity!$DH10/(TRANSPOSE(Dists!$B9:$X9)*MMULT(1/Dists!$B9:$X9,Capacity!$DH$3:$DH$25)))</f>
        <v>0.00707667451940081</v>
      </c>
      <c r="D38" s="4" t="n">
        <f aca="false" t="array" ref="D38:D38">SUM(Demand!D10*Capacity!V$3:V$25*Capacity!$DH10/(TRANSPOSE(Dists!$B9:$X9)*MMULT(1/Dists!$B9:$X9,Capacity!$DH$3:$DH$25)))</f>
        <v>580.546462787829</v>
      </c>
      <c r="E38" s="4" t="n">
        <f aca="false" t="array" ref="E38:E38">SUM(Demand!E10*Capacity!Y$3:Y$25*Capacity!$DH10/(TRANSPOSE(Dists!$B9:$X9)*MMULT(1/Dists!$B9:$X9,Capacity!$DH$3:$DH$25)))</f>
        <v>211.444612055362</v>
      </c>
      <c r="F38" s="4" t="n">
        <f aca="false">$E10*Capacity!$M10/(2*(1-Capacity!$H$28)*Capacity!$H10)</f>
        <v>75.6008012102303</v>
      </c>
      <c r="G38" s="4" t="n">
        <f aca="false" t="array" ref="G38:G38">SUM(Demand!G10*Capacity!AA$3:AA$25*Capacity!$DH10/(TRANSPOSE(Dists!$B9:$X9)*MMULT(1/Dists!$B9:$X9,Capacity!$DH$3:$DH$25)))</f>
        <v>7.5926289610988</v>
      </c>
      <c r="H38" s="4" t="n">
        <f aca="false" t="array" ref="H38:H38">SUM(Demand!H10*Capacity!AB$3:AB$25*Capacity!$DH10/(TRANSPOSE(Dists!$B9:$X9)*MMULT(1/Dists!$B9:$X9,Capacity!$DH$3:$DH$25)))</f>
        <v>0.351519262617871</v>
      </c>
      <c r="I38" s="4" t="n">
        <f aca="false" t="array" ref="I38:I38">SUM(Demand!I10*Capacity!AC$3:AC$25*Capacity!$DG10/(TRANSPOSE(Dists!$B9:$X9)*MMULT(1/Dists!$B9:$X9,Capacity!$DG$3:$DG$25)))</f>
        <v>3.71256581513054</v>
      </c>
      <c r="J38" s="4" t="n">
        <f aca="false" t="array" ref="J38:J38">SUM(Demand!J10*Capacity!AD$3:AD$25*Capacity!$DG10/(TRANSPOSE(Dists!$B9:$X9)*MMULT(1/Dists!$B9:$X9,Capacity!$DG$3:$DG$25)))</f>
        <v>0.284447955831558</v>
      </c>
      <c r="K38" s="4" t="n">
        <f aca="false">5479.45205479452*$R10</f>
        <v>403648.370423354</v>
      </c>
      <c r="L38" s="4" t="n">
        <f aca="false">17142.8571428571*$S10</f>
        <v>69255.4417246593</v>
      </c>
      <c r="M38" s="4" t="n">
        <f aca="false">IF(50420.1680672269*$T10&gt;($K10/20),50420.1680672269*$T10-($K10/20),0)</f>
        <v>93662.1432179985</v>
      </c>
      <c r="N38" s="4" t="n">
        <f aca="false" t="array" ref="N38:N38">SUM(Demand!N10*Capacity!AH$3:AH$25*Capacity!$DH10/(TRANSPOSE(Dists!$B9:$X9)*MMULT(1/Dists!$B9:$X9,Capacity!$DH$3:$DH$25)))</f>
        <v>292.250133311188</v>
      </c>
      <c r="O38" s="4" t="n">
        <f aca="false">D38/0.8</f>
        <v>725.683078484786</v>
      </c>
      <c r="P38" s="4" t="n">
        <f aca="false">O38/0.8</f>
        <v>907.103848105982</v>
      </c>
      <c r="Q38" s="4" t="n">
        <f aca="false" t="array" ref="Q38:Q38">SUM(Demand!Q10*Capacity!AK$3:AK$25*Capacity!$DI10/(TRANSPOSE(Dists!$B9:$X9)*MMULT(1/Dists!$B9:$X9,Capacity!$DI$3:$DI$25)))</f>
        <v>0.58429973077557</v>
      </c>
      <c r="R38" s="4" t="n">
        <f aca="false" t="array" ref="R38:R38">SUM(Demand!R10*Capacity!AL$3:AL$25*Capacity!$DH10/(TRANSPOSE(Dists!$B9:$X9)*MMULT(1/Dists!$B9:$X9,Capacity!$DH$3:$DH$25)))</f>
        <v>134.03763129429</v>
      </c>
      <c r="S38" s="4" t="n">
        <f aca="false">SUM($BG38,$BI38,$BK38)*Capacity!AM10/SUM(Capacity!$AM10:$AN10,Capacity!$CX10)</f>
        <v>4.0399007672718</v>
      </c>
      <c r="T38" s="4" t="n">
        <f aca="false">SUM($BG38,$BI38,$BK38)*Capacity!AN10/SUM(Capacity!$AM10:$AN10,Capacity!$CX10)</f>
        <v>2.25791714116013</v>
      </c>
      <c r="U38" s="4" t="n">
        <f aca="false">$M10*120*2/(16*1000*2000)</f>
        <v>0.702466074134989</v>
      </c>
      <c r="V38" s="4" t="n">
        <f aca="false" t="array" ref="V38:V38">SUM(Demand!V10*Capacity!AP$3:AP$25*Capacity!$DH10/(TRANSPOSE(Dists!$B9:$X9)*MMULT(1/Dists!$B9:$X9,Capacity!$DH$3:$DH$25)))</f>
        <v>149.182666703702</v>
      </c>
      <c r="W38" s="4" t="n">
        <f aca="false" t="array" ref="W38:W38">SUM(Demand!W10*Capacity!AQ$3:AQ$25*Capacity!$DH10/(TRANSPOSE(Dists!$B9:$X9)*MMULT(1/Dists!$B9:$X9,Capacity!$DH$3:$DH$25)))</f>
        <v>1599.2632256063</v>
      </c>
      <c r="X38" s="4" t="n">
        <f aca="false" t="array" ref="X38:X38">SUM(Demand!X10*Capacity!AR$3:AR$25*Capacity!$DH10/(TRANSPOSE(Dists!$B9:$X9)*MMULT(1/Dists!$B9:$X9,Capacity!$DH$3:$DH$25)))</f>
        <v>677.229785389168</v>
      </c>
      <c r="Y38" s="4" t="n">
        <f aca="false">$L10*600*6/(90*1000*2000)</f>
        <v>1.38510883449319</v>
      </c>
      <c r="Z38" s="4" t="n">
        <f aca="false" t="array" ref="Z38:Z38">SUM(Demand!Z10*Capacity!AT$3:AT$25*Capacity!$DI10/(TRANSPOSE(Dists!$B9:$X9)*MMULT(1/Dists!$B9:$X9,Capacity!$DI$3:$DI$25)))</f>
        <v>7.20377423099375</v>
      </c>
      <c r="AA38" s="4" t="n">
        <f aca="false" t="array" ref="AA38:AA38">SUM(Demand!AA10*Capacity!AU$3:AU$25*Capacity!$DI10/(TRANSPOSE(Dists!$B9:$X9)*MMULT(1/Dists!$B9:$X9,Capacity!$DI$3:$DI$25)))</f>
        <v>11.1316940661867</v>
      </c>
      <c r="AB38" s="4" t="n">
        <f aca="false" t="array" ref="AB38:AB38">SUM(Demand!AB10*Capacity!AV$3:AV$25*Capacity!$DI10/(TRANSPOSE(Dists!$B9:$X9)*MMULT(1/Dists!$B9:$X9,Capacity!$DI$3:$DI$25)))</f>
        <v>14.7978180595779</v>
      </c>
      <c r="AC38" s="4" t="n">
        <f aca="false" t="array" ref="AC38:AC38">SUM(Demand!AC10*Capacity!AW$3:AW$25*Capacity!$DI10/(TRANSPOSE(Dists!$B9:$X9)*MMULT(1/Dists!$B9:$X9,Capacity!$DI$3:$DI$25)))</f>
        <v>1.20305804629693</v>
      </c>
      <c r="AD38" s="4" t="n">
        <f aca="false" t="array" ref="AD38:AD38">SUM(Demand!AD10*Capacity!AX$3:AX$25*Capacity!$DI10/(TRANSPOSE(Dists!$B9:$X9)*MMULT(1/Dists!$B9:$X9,Capacity!$DI$3:$DI$25)))</f>
        <v>2.42256059040865</v>
      </c>
      <c r="AE38" s="4" t="n">
        <f aca="false" t="array" ref="AE38:AE38">SUM(Demand!AE10*Capacity!AY$3:AY$25*Capacity!$DI10/(TRANSPOSE(Dists!$B9:$X9)*MMULT(1/Dists!$B9:$X9,Capacity!$DI$3:$DI$25)))</f>
        <v>1.86725926853874</v>
      </c>
      <c r="AF38" s="4" t="n">
        <f aca="false" t="array" ref="AF38:AF38">SUM(Demand!AF10*Capacity!AZ$3:AZ$25*Capacity!$DI10/(TRANSPOSE(Dists!$B9:$X9)*MMULT(1/Dists!$B9:$X9,Capacity!$DI$3:$DI$25)))</f>
        <v>0.867023200061988</v>
      </c>
      <c r="AG38" s="4" t="n">
        <f aca="false" t="array" ref="AG38:AG38">SUM(Demand!AG10*Capacity!BA$3:BA$25*Capacity!$DI10/(TRANSPOSE(Dists!$B9:$X9)*MMULT(1/Dists!$B9:$X9,Capacity!$DI$3:$DI$25)))</f>
        <v>1.35944813668248</v>
      </c>
      <c r="AH38" s="4" t="n">
        <f aca="false" t="array" ref="AH38:AH38">SUM(Demand!AH10*Capacity!BB$3:BB$25*Capacity!$DI10/(TRANSPOSE(Dists!$B9:$X9)*MMULT(1/Dists!$B9:$X9,Capacity!$DI$3:$DI$25)))</f>
        <v>2.41363746071518</v>
      </c>
      <c r="AI38" s="4" t="n">
        <f aca="false" t="array" ref="AI38:AI38">SUM(Demand!AI10*Capacity!BC$3:BC$25*Capacity!$DI10/(TRANSPOSE(Dists!$B9:$X9)*MMULT(1/Dists!$B9:$X9,Capacity!$DI$3:$DI$25)))</f>
        <v>0.0965950963512411</v>
      </c>
      <c r="AJ38" s="4" t="n">
        <f aca="false" t="array" ref="AJ38:AJ38">SUM(Demand!AJ10*Capacity!BD$3:BD$25*Capacity!$DI10/(TRANSPOSE(Dists!$B9:$X9)*MMULT(1/Dists!$B9:$X9,Capacity!$DI$3:$DI$25)))</f>
        <v>1.82220482099135</v>
      </c>
      <c r="AK38" s="4" t="n">
        <f aca="false" t="array" ref="AK38:AK38">SUM(Demand!AK10*Capacity!BE$3:BE$25*Capacity!$DI10/(TRANSPOSE(Dists!$B9:$X9)*MMULT(1/Dists!$B9:$X9,Capacity!$DI$3:$DI$25)))</f>
        <v>1.05962454605044</v>
      </c>
      <c r="AL38" s="4" t="n">
        <f aca="false" t="array" ref="AL38:AL38">SUM(Demand!AL10*Capacity!BF$3:BF$25*Capacity!$DI10/(TRANSPOSE(Dists!$B9:$X9)*MMULT(1/Dists!$B9:$X9,Capacity!$DI$3:$DI$25)))</f>
        <v>0.559387729847207</v>
      </c>
      <c r="AM38" s="4" t="n">
        <f aca="false" t="array" ref="AM38:AM38">SUM(Demand!AM10*Capacity!BG$3:BG$25*Capacity!$DI10/(TRANSPOSE(Dists!$B9:$X9)*MMULT(1/Dists!$B9:$X9,Capacity!$DI$3:$DI$25)))</f>
        <v>0.671686605757963</v>
      </c>
      <c r="AN38" s="4" t="n">
        <f aca="false" t="array" ref="AN38:AN38">SUM(Demand!AN10*Capacity!BH$3:BH$25*Capacity!$DI10/(TRANSPOSE(Dists!$B9:$X9)*MMULT(1/Dists!$B9:$X9,Capacity!$DI$3:$DI$25)))</f>
        <v>0.297846190702874</v>
      </c>
      <c r="AO38" s="4" t="n">
        <f aca="false" t="array" ref="AO38:AO38">SUM(Demand!AO10*Capacity!BI$3:BI$25*Capacity!$DI10/(TRANSPOSE(Dists!$B9:$X9)*MMULT(1/Dists!$B9:$X9,Capacity!$DI$3:$DI$25)))</f>
        <v>2.2325181685263</v>
      </c>
      <c r="AP38" s="4" t="n">
        <f aca="false" t="array" ref="AP38:AP38">SUM(Demand!AP10*Capacity!BJ$3:BJ$25*Capacity!$DI10/(TRANSPOSE(Dists!$B9:$X9)*MMULT(1/Dists!$B9:$X9,Capacity!$DI$3:$DI$25)))</f>
        <v>1.66775232688834</v>
      </c>
      <c r="AQ38" s="4" t="n">
        <f aca="false" t="array" ref="AQ38:AQ38">SUM(Demand!AQ10*Capacity!BK$3:BK$25*Capacity!$DI10/(TRANSPOSE(Dists!$B9:$X9)*MMULT(1/Dists!$B9:$X9,Capacity!$DI$3:$DI$25)))</f>
        <v>0.242965169209108</v>
      </c>
      <c r="AR38" s="4" t="n">
        <f aca="false" t="array" ref="AR38:AR38">SUM(Demand!AR10*Capacity!BL$3:BL$25*Capacity!$DI10/(TRANSPOSE(Dists!$B9:$X9)*MMULT(1/Dists!$B9:$X9,Capacity!$DI$3:$DI$25)))</f>
        <v>0.250749805724504</v>
      </c>
      <c r="AS38" s="4" t="n">
        <f aca="false" t="array" ref="AS38:AS38">SUM(Demand!AS10*Capacity!BM$3:BM$25*Capacity!$DI10/(TRANSPOSE(Dists!$B9:$X9)*MMULT(1/Dists!$B9:$X9,Capacity!$DI$3:$DI$25)))</f>
        <v>0.179282107373055</v>
      </c>
      <c r="AT38" s="4" t="n">
        <f aca="false" t="array" ref="AT38:AT38">SUM(Demand!AT10*Capacity!BN$3:BN$25*Capacity!$DI10/(TRANSPOSE(Dists!$B9:$X9)*MMULT(1/Dists!$B9:$X9,Capacity!$DI$3:$DI$25)))</f>
        <v>2.72285649209401</v>
      </c>
      <c r="AU38" s="4" t="n">
        <f aca="false" t="array" ref="AU38:AU38">SUM(Demand!AU10*Capacity!BO$3:BO$25*Capacity!$DI10/(TRANSPOSE(Dists!$B9:$X9)*MMULT(1/Dists!$B9:$X9,Capacity!$DI$3:$DI$25)))</f>
        <v>4.21582785962884</v>
      </c>
      <c r="AV38" s="4" t="n">
        <f aca="false" t="array" ref="AV38:AV38">SUM(Demand!AV10*Capacity!BP$3:BP$25*Capacity!$DI10/(TRANSPOSE(Dists!$B9:$X9)*MMULT(1/Dists!$B9:$X9,Capacity!$DI$3:$DI$25)))</f>
        <v>0.373277627149547</v>
      </c>
      <c r="AW38" s="4" t="n">
        <f aca="false" t="array" ref="AW38:AW38">SUM(Demand!AW10*Capacity!BQ$3:BQ$25*Capacity!$DI10/(TRANSPOSE(Dists!$B9:$X9)*MMULT(1/Dists!$B9:$X9,Capacity!$DI$3:$DI$25)))</f>
        <v>0.657646514529512</v>
      </c>
      <c r="AX38" s="4" t="n">
        <f aca="false" t="array" ref="AX38:AX38">SUM(Demand!AX10*Capacity!BR$3:BR$25*Capacity!$DI10/(TRANSPOSE(Dists!$B9:$X9)*MMULT(1/Dists!$B9:$X9,Capacity!$DI$3:$DI$25)))</f>
        <v>0.247036406636019</v>
      </c>
      <c r="AY38" s="4" t="n">
        <f aca="false" t="array" ref="AY38:AY38">SUM(Demand!AY10*Capacity!BS$3:BS$25*Capacity!$DI10/(TRANSPOSE(Dists!$B9:$X9)*MMULT(1/Dists!$B9:$X9,Capacity!$DI$3:$DI$25)))</f>
        <v>0.0978520699568731</v>
      </c>
      <c r="AZ38" s="4" t="n">
        <f aca="false" t="array" ref="AZ38:AZ38">SUM(Demand!AZ10*Capacity!BT$3:BT$25*Capacity!$DI10/(TRANSPOSE(Dists!$B9:$X9)*MMULT(1/Dists!$B9:$X9,Capacity!$DI$3:$DI$25)))</f>
        <v>0.713320959516553</v>
      </c>
      <c r="BA38" s="4" t="n">
        <f aca="false">BA10</f>
        <v>0.0169743729717302</v>
      </c>
      <c r="BB38" s="4" t="n">
        <f aca="false" t="array" ref="BB38:BB38">SUM(Demand!BB10*Capacity!BV$3:BV$25*Capacity!$DI10/(TRANSPOSE(Dists!$B9:$X9)*MMULT(1/Dists!$B9:$X9,Capacity!$DI$3:$DI$25)))</f>
        <v>0.748929675268653</v>
      </c>
      <c r="BC38" s="4" t="n">
        <f aca="false" t="array" ref="BC38:BC38">SUM(Demand!BC10*Capacity!BW$3:BW$25*Capacity!$DI10/(TRANSPOSE(Dists!$B9:$X9)*MMULT(1/Dists!$B9:$X9,Capacity!$DI$3:$DI$25)))</f>
        <v>0.22318673721593</v>
      </c>
      <c r="BD38" s="4" t="n">
        <f aca="false" t="array" ref="BD38:BD38">SUM(Demand!BD10*Capacity!BX$3:BX$25*Capacity!$DI10/(TRANSPOSE(Dists!$B9:$X9)*MMULT(1/Dists!$B9:$X9,Capacity!$DI$3:$DI$25)))</f>
        <v>0.0670967553543537</v>
      </c>
      <c r="BE38" s="4" t="n">
        <f aca="false" t="array" ref="BE38:BE38">SUM(Demand!BE10*Capacity!BY$3:BY$25*Capacity!$DI10/(TRANSPOSE(Dists!$B9:$X9)*MMULT(1/Dists!$B9:$X9,Capacity!$DI$3:$DI$25)))</f>
        <v>0.177184381420861</v>
      </c>
      <c r="BF38" s="4" t="n">
        <f aca="false" t="array" ref="BF38:BF38">SUM(Demand!BF10*Capacity!BZ$3:BZ$25*Capacity!$DI10/(TRANSPOSE(Dists!$B9:$X9)*MMULT(1/Dists!$B9:$X9,Capacity!$DI$3:$DI$25)))</f>
        <v>3.55814770132606</v>
      </c>
      <c r="BG38" s="4" t="n">
        <f aca="false" t="array" ref="BG38:BG38">SUM(Demand!BG10*Capacity!CA$3:CA$25*Capacity!$DI10/(TRANSPOSE(Dists!$B9:$X9)*MMULT(1/Dists!$B9:$X9,Capacity!$DI$3:$DI$25)))</f>
        <v>6.43026264220392</v>
      </c>
      <c r="BH38" s="4" t="n">
        <f aca="false" t="array" ref="BH38:BH38">SUM(Demand!BH10*Capacity!CB$3:CB$25*Capacity!$DI10/(TRANSPOSE(Dists!$B9:$X9)*MMULT(1/Dists!$B9:$X9,Capacity!$DI$3:$DI$25)))</f>
        <v>0.00267280713156737</v>
      </c>
      <c r="BI38" s="4" t="n">
        <f aca="false" t="array" ref="BI38:BI38">SUM(Demand!BI10*Capacity!CC$3:CC$25*Capacity!$DI10/(TRANSPOSE(Dists!$B9:$X9)*MMULT(1/Dists!$B9:$X9,Capacity!$DI$3:$DI$25)))</f>
        <v>17.1473670458771</v>
      </c>
      <c r="BJ38" s="4" t="n">
        <f aca="false" t="array" ref="BJ38:BJ38">SUM(Demand!BJ10*Capacity!CD$3:CD$25*Capacity!$DI10/(TRANSPOSE(Dists!$B9:$X9)*MMULT(1/Dists!$B9:$X9,Capacity!$DI$3:$DI$25)))</f>
        <v>1713.58975755216</v>
      </c>
      <c r="BK38" s="4" t="n">
        <f aca="false" t="array" ref="BK38:BK38">SUM(Demand!BK10*Capacity!CE$3:CE$25*Capacity!$DI10/(TRANSPOSE(Dists!$B9:$X9)*MMULT(1/Dists!$B9:$X9,Capacity!$DI$3:$DI$25)))</f>
        <v>8.57368352293856</v>
      </c>
      <c r="BL38" s="4" t="n">
        <f aca="false" t="array" ref="BL38:BL38">SUM(Demand!BL10*Capacity!CF$3:CF$25*Capacity!$DI10/(TRANSPOSE(Dists!$B9:$X9)*MMULT(1/Dists!$B9:$X9,Capacity!$DI$3:$DI$25)))</f>
        <v>1131.21917721825</v>
      </c>
      <c r="BM38" s="4" t="n">
        <f aca="false" t="array" ref="BM38:BM38">SUM(Demand!BM10*Capacity!CG$3:CG$25*Capacity!$DI10/(TRANSPOSE(Dists!$B9:$X9)*MMULT(1/Dists!$B9:$X9,Capacity!$DI$3:$DI$25)))</f>
        <v>115.267070376568</v>
      </c>
      <c r="BN38" s="4" t="n">
        <f aca="false">BN10</f>
        <v>395.098889578331</v>
      </c>
      <c r="BO38" s="4" t="n">
        <f aca="false" t="array" ref="BO38:BO38">SUM(Demand!BO10*Capacity!CI$3:CI$25*Capacity!$DI10/(TRANSPOSE(Dists!$B9:$X9)*MMULT(1/Dists!$B9:$X9,Capacity!$DI$3:$DI$25)))</f>
        <v>1.27491646785129</v>
      </c>
      <c r="BP38" s="4" t="n">
        <f aca="false" t="array" ref="BP38:BP38">SUM(Demand!BP10*Capacity!CJ$3:CJ$25*Capacity!$DI10/(TRANSPOSE(Dists!$B9:$X9)*MMULT(1/Dists!$B9:$X9,Capacity!$DI$3:$DI$25)))</f>
        <v>3.80724975183369</v>
      </c>
      <c r="BQ38" s="4" t="n">
        <f aca="false">BQ10</f>
        <v>256.814278225915</v>
      </c>
      <c r="BR38" s="4" t="n">
        <f aca="false" t="array" ref="BR38:BR38">SUM(Demand!BR10*Capacity!CL$3:CL$25*Capacity!$DI10/(TRANSPOSE(Dists!$B9:$X9)*MMULT(1/Dists!$B9:$X9,Capacity!$DI$3:$DI$25)))</f>
        <v>0.042497221870518</v>
      </c>
      <c r="BS38" s="4" t="n">
        <f aca="false" t="array" ref="BS38:BS38">SUM(Demand!BS10*Capacity!CM$3:CM$25*Capacity!$DI10/(TRANSPOSE(Dists!$B9:$X9)*MMULT(1/Dists!$B9:$X9,Capacity!$DI$3:$DI$25)))</f>
        <v>0.0042497221870518</v>
      </c>
      <c r="BT38" s="4" t="n">
        <f aca="false">BT10</f>
        <v>1.00584766218656</v>
      </c>
      <c r="BU38" s="4" t="n">
        <f aca="false">BU10</f>
        <v>0.100584766218656</v>
      </c>
      <c r="BV38" s="4" t="n">
        <f aca="false">BV10</f>
        <v>0.0100584766218656</v>
      </c>
      <c r="BW38" s="4" t="n">
        <f aca="false">BW10</f>
        <v>587.816021513907</v>
      </c>
      <c r="BX38" s="4" t="n">
        <f aca="false" t="array" ref="BX38:BX38">SUM(Demand!BX10*Capacity!CR$3:CR$25*Capacity!$DI10/(TRANSPOSE(Dists!$B9:$X9)*MMULT(1/Dists!$B9:$X9,Capacity!$DI$3:$DI$25)))</f>
        <v>0.519048567660017</v>
      </c>
      <c r="BY38" s="4" t="n">
        <f aca="false" t="array" ref="BY38:BY38">SUM(Demand!BY10*Capacity!CS$3:CS$25*Capacity!$DI10/(TRANSPOSE(Dists!$B9:$X9)*MMULT(1/Dists!$B9:$X9,Capacity!$DI$3:$DI$25)))</f>
        <v>141.259618105363</v>
      </c>
      <c r="BZ38" s="4" t="n">
        <f aca="false" t="array" ref="BZ38:BZ38">SUM(Demand!BZ10*Capacity!CT$3:CT$25*Capacity!$DI10/(TRANSPOSE(Dists!$B9:$X9)*MMULT(1/Dists!$B9:$X9,Capacity!$DI$3:$DI$25)))</f>
        <v>0.147786456475253</v>
      </c>
      <c r="CA38" s="4" t="n">
        <f aca="false" t="array" ref="CA38:CA38">SUM(Demand!CA10*Capacity!CU$3:CU$25*Capacity!$DI10/(TRANSPOSE(Dists!$B9:$X9)*MMULT(1/Dists!$B9:$X9,Capacity!$DI$3:$DI$25)))</f>
        <v>0.244571478640663</v>
      </c>
      <c r="CB38" s="4" t="n">
        <f aca="false" t="array" ref="CB38:CB38">SUM(Demand!CB10*Capacity!CV$3:CV$25*Capacity!$DI10/(TRANSPOSE(Dists!$B9:$X9)*MMULT(1/Dists!$B9:$X9,Capacity!$DI$3:$DI$25)))</f>
        <v>623.074924327705</v>
      </c>
      <c r="CC38" s="4" t="n">
        <f aca="false" t="array" ref="CC38:CC38">SUM(Demand!CC10*Capacity!CW$3:CW$25*Capacity!$DI10/(TRANSPOSE(Dists!$B9:$X9)*MMULT(1/Dists!$B9:$X9,Capacity!$DI$3:$DI$25)))</f>
        <v>254.795067380586</v>
      </c>
      <c r="CD38" s="4" t="n">
        <f aca="false">SUM($BG38,$BI38,$BK38)*Capacity!CX10/SUM(Capacity!$AM10:$AN10,Capacity!$CX10)</f>
        <v>25.8534953025877</v>
      </c>
      <c r="CE38" s="4" t="n">
        <f aca="false" t="array" ref="CE38:CE38">SUM(Demand!CE10*Capacity!CY$3:CY$25*Capacity!$DI10/(TRANSPOSE(Dists!$B9:$X9)*MMULT(1/Dists!$B9:$X9,Capacity!$DI$3:$DI$25)))</f>
        <v>1.28726996864524</v>
      </c>
      <c r="CF38" s="4" t="n">
        <f aca="false" t="array" ref="CF38:CF38">SUM(Demand!CF10*Capacity!CZ$3:CZ$25*Capacity!$DI10/(TRANSPOSE(Dists!$B9:$X9)*MMULT(1/Dists!$B9:$X9,Capacity!$DI$3:$DI$25)))</f>
        <v>2798.66448803193</v>
      </c>
      <c r="CG38" s="4" t="n">
        <f aca="false" t="array" ref="CG38:CG38">SUM(Demand!CG10*Capacity!DA$3:DA$25*Capacity!$DI10/(TRANSPOSE(Dists!$B9:$X9)*MMULT(1/Dists!$B9:$X9,Capacity!$DI$3:$DI$25)))</f>
        <v>6.56283337750939</v>
      </c>
      <c r="CH38" s="4" t="n">
        <f aca="false" t="array" ref="CH38:CH38">SUM(Demand!CH10*Capacity!DB$3:DB$25*Capacity!$DI10/(TRANSPOSE(Dists!$B9:$X9)*MMULT(1/Dists!$B9:$X9,Capacity!$DI$3:$DI$25)))</f>
        <v>8.22398270830555</v>
      </c>
      <c r="CI38" s="4" t="n">
        <f aca="false" t="array" ref="CI38:CI38">SUM(Demand!CI10*Capacity!DC$3:DC$25*Capacity!$DI10/(TRANSPOSE(Dists!$B9:$X9)*MMULT(1/Dists!$B9:$X9,Capacity!$DI$3:$DI$25)))</f>
        <v>0.399836628777755</v>
      </c>
      <c r="CJ38" s="4" t="n">
        <f aca="false" t="array" ref="CJ38:CJ38">SUM(Demand!CJ10*Capacity!DD$3:DD$25*Capacity!$DI10/(TRANSPOSE(Dists!$B9:$X9)*MMULT(1/Dists!$B9:$X9,Capacity!$DI$3:$DI$25)))</f>
        <v>0.07758376668987</v>
      </c>
      <c r="CK38" s="4" t="n">
        <f aca="false" t="array" ref="CK38:CK38">SUM(Demand!CK10*Capacity!DE$3:DE$25*Capacity!$DI10/(TRANSPOSE(Dists!$B9:$X9)*MMULT(1/Dists!$B9:$X9,Capacity!$DI$3:$DI$25)))</f>
        <v>5.97706546329605</v>
      </c>
      <c r="CL38" s="7" t="s">
        <v>320</v>
      </c>
    </row>
    <row r="39" customFormat="false" ht="12.8" hidden="false" customHeight="false" outlineLevel="0" collapsed="false">
      <c r="A39" s="4" t="s">
        <v>143</v>
      </c>
      <c r="B39" s="7" t="s">
        <v>39</v>
      </c>
      <c r="C39" s="4" t="n">
        <f aca="false" t="array" ref="C39:C39">SUM(Demand!C11*Capacity!S$3:S$25*Capacity!$DH11/(TRANSPOSE(Dists!$B10:$X10)*MMULT(1/Dists!$B10:$X10,Capacity!$DH$3:$DH$25)))</f>
        <v>0.0196472027071214</v>
      </c>
      <c r="D39" s="4" t="n">
        <f aca="false" t="array" ref="D39:D39">SUM(Demand!D11*Capacity!V$3:V$25*Capacity!$DH11/(TRANSPOSE(Dists!$B10:$X10)*MMULT(1/Dists!$B10:$X10,Capacity!$DH$3:$DH$25)))</f>
        <v>1931.77966855705</v>
      </c>
      <c r="E39" s="4" t="n">
        <f aca="false" t="array" ref="E39:E39">SUM(Demand!E11*Capacity!Y$3:Y$25*Capacity!$DH11/(TRANSPOSE(Dists!$B10:$X10)*MMULT(1/Dists!$B10:$X10,Capacity!$DH$3:$DH$25)))</f>
        <v>1116.31767003401</v>
      </c>
      <c r="F39" s="4" t="n">
        <f aca="false">$E11*Capacity!$M11/(2*(1-Capacity!$H$28)*Capacity!$H11)</f>
        <v>540.464636456795</v>
      </c>
      <c r="G39" s="4" t="n">
        <f aca="false" t="array" ref="G39:G39">SUM(Demand!G11*Capacity!AA$3:AA$25*Capacity!$DH11/(TRANSPOSE(Dists!$B10:$X10)*MMULT(1/Dists!$B10:$X10,Capacity!$DH$3:$DH$25)))</f>
        <v>1122.79987041591</v>
      </c>
      <c r="H39" s="4" t="n">
        <f aca="false" t="array" ref="H39:H39">SUM(Demand!H11*Capacity!AB$3:AB$25*Capacity!$DH11/(TRANSPOSE(Dists!$B10:$X10)*MMULT(1/Dists!$B10:$X10,Capacity!$DH$3:$DH$25)))</f>
        <v>3.76933222991173</v>
      </c>
      <c r="I39" s="4" t="n">
        <f aca="false" t="array" ref="I39:I39">SUM(Demand!I11*Capacity!AC$3:AC$25*Capacity!$DG11/(TRANSPOSE(Dists!$B10:$X10)*MMULT(1/Dists!$B10:$X10,Capacity!$DG$3:$DG$25)))</f>
        <v>1.35771216124904</v>
      </c>
      <c r="J39" s="4" t="n">
        <f aca="false" t="array" ref="J39:J39">SUM(Demand!J11*Capacity!AD$3:AD$25*Capacity!$DG11/(TRANSPOSE(Dists!$B10:$X10)*MMULT(1/Dists!$B10:$X10,Capacity!$DG$3:$DG$25)))</f>
        <v>2.03430303093508</v>
      </c>
      <c r="K39" s="4" t="n">
        <f aca="false">5479.45205479452*$R11</f>
        <v>921965.902054084</v>
      </c>
      <c r="L39" s="4" t="n">
        <f aca="false">17142.8571428571*$S11</f>
        <v>163968.568479025</v>
      </c>
      <c r="M39" s="4" t="n">
        <f aca="false">IF(50420.1680672269*$T11&gt;($K11/20),50420.1680672269*$T11-($K11/20),0)</f>
        <v>223439.07773953</v>
      </c>
      <c r="N39" s="4" t="n">
        <f aca="false" t="array" ref="N39:N39">SUM(Demand!N11*Capacity!AH$3:AH$25*Capacity!$DH11/(TRANSPOSE(Dists!$B10:$X10)*MMULT(1/Dists!$B10:$X10,Capacity!$DH$3:$DH$25)))</f>
        <v>2056.18203404979</v>
      </c>
      <c r="O39" s="4" t="n">
        <f aca="false">D39/0.8</f>
        <v>2414.72458569632</v>
      </c>
      <c r="P39" s="4" t="n">
        <f aca="false">O39/0.8</f>
        <v>3018.40573212039</v>
      </c>
      <c r="Q39" s="4" t="n">
        <f aca="false" t="array" ref="Q39:Q39">SUM(Demand!Q11*Capacity!AK$3:AK$25*Capacity!$DI11/(TRANSPOSE(Dists!$B10:$X10)*MMULT(1/Dists!$B10:$X10,Capacity!$DI$3:$DI$25)))</f>
        <v>20.114275623832</v>
      </c>
      <c r="R39" s="4" t="n">
        <f aca="false" t="array" ref="R39:R39">SUM(Demand!R11*Capacity!AL$3:AL$25*Capacity!$DH11/(TRANSPOSE(Dists!$B10:$X10)*MMULT(1/Dists!$B10:$X10,Capacity!$DH$3:$DH$25)))</f>
        <v>114.286409539378</v>
      </c>
      <c r="S39" s="4" t="n">
        <f aca="false">SUM($BG39,$BI39,$BK39)*Capacity!AM11/SUM(Capacity!$AM11:$AN11,Capacity!$CX11)</f>
        <v>9.56483316127649</v>
      </c>
      <c r="T39" s="4" t="n">
        <f aca="false">SUM($BG39,$BI39,$BK39)*Capacity!AN11/SUM(Capacity!$AM11:$AN11,Capacity!$CX11)</f>
        <v>5.34582456137097</v>
      </c>
      <c r="U39" s="4" t="n">
        <f aca="false">$M11*120*2/(16*1000*2000)</f>
        <v>1.67579308304647</v>
      </c>
      <c r="V39" s="4" t="n">
        <f aca="false" t="array" ref="V39:V39">SUM(Demand!V11*Capacity!AP$3:AP$25*Capacity!$DH11/(TRANSPOSE(Dists!$B10:$X10)*MMULT(1/Dists!$B10:$X10,Capacity!$DH$3:$DH$25)))</f>
        <v>225.48898852445</v>
      </c>
      <c r="W39" s="4" t="n">
        <f aca="false" t="array" ref="W39:W39">SUM(Demand!W11*Capacity!AQ$3:AQ$25*Capacity!$DH11/(TRANSPOSE(Dists!$B10:$X10)*MMULT(1/Dists!$B10:$X10,Capacity!$DH$3:$DH$25)))</f>
        <v>1309.37357622941</v>
      </c>
      <c r="X39" s="4" t="n">
        <f aca="false" t="array" ref="X39:X39">SUM(Demand!X11*Capacity!AR$3:AR$25*Capacity!$DH11/(TRANSPOSE(Dists!$B10:$X10)*MMULT(1/Dists!$B10:$X10,Capacity!$DH$3:$DH$25)))</f>
        <v>1302.42907824255</v>
      </c>
      <c r="Y39" s="4" t="n">
        <f aca="false">$L11*600*6/(90*1000*2000)</f>
        <v>3.2793713695805</v>
      </c>
      <c r="Z39" s="4" t="n">
        <f aca="false" t="array" ref="Z39:Z39">SUM(Demand!Z11*Capacity!AT$3:AT$25*Capacity!$DI11/(TRANSPOSE(Dists!$B10:$X10)*MMULT(1/Dists!$B10:$X10,Capacity!$DI$3:$DI$25)))</f>
        <v>110.990386377286</v>
      </c>
      <c r="AA39" s="4" t="n">
        <f aca="false" t="array" ref="AA39:AA39">SUM(Demand!AA11*Capacity!AU$3:AU$25*Capacity!$DI11/(TRANSPOSE(Dists!$B10:$X10)*MMULT(1/Dists!$B10:$X10,Capacity!$DI$3:$DI$25)))</f>
        <v>90.3358940443383</v>
      </c>
      <c r="AB39" s="4" t="n">
        <f aca="false" t="array" ref="AB39:AB39">SUM(Demand!AB11*Capacity!AV$3:AV$25*Capacity!$DI11/(TRANSPOSE(Dists!$B10:$X10)*MMULT(1/Dists!$B10:$X10,Capacity!$DI$3:$DI$25)))</f>
        <v>78.1247893586904</v>
      </c>
      <c r="AC39" s="4" t="n">
        <f aca="false" t="array" ref="AC39:AC39">SUM(Demand!AC11*Capacity!AW$3:AW$25*Capacity!$DI11/(TRANSPOSE(Dists!$B10:$X10)*MMULT(1/Dists!$B10:$X10,Capacity!$DI$3:$DI$25)))</f>
        <v>17.8602049288756</v>
      </c>
      <c r="AD39" s="4" t="n">
        <f aca="false" t="array" ref="AD39:AD39">SUM(Demand!AD11*Capacity!AX$3:AX$25*Capacity!$DI11/(TRANSPOSE(Dists!$B10:$X10)*MMULT(1/Dists!$B10:$X10,Capacity!$DI$3:$DI$25)))</f>
        <v>12.7898609830414</v>
      </c>
      <c r="AE39" s="4" t="n">
        <f aca="false" t="array" ref="AE39:AE39">SUM(Demand!AE11*Capacity!AY$3:AY$25*Capacity!$DI11/(TRANSPOSE(Dists!$B10:$X10)*MMULT(1/Dists!$B10:$X10,Capacity!$DI$3:$DI$25)))</f>
        <v>10.1899386386903</v>
      </c>
      <c r="AF39" s="4" t="n">
        <f aca="false" t="array" ref="AF39:AF39">SUM(Demand!AF11*Capacity!AZ$3:AZ$25*Capacity!$DI11/(TRANSPOSE(Dists!$B10:$X10)*MMULT(1/Dists!$B10:$X10,Capacity!$DI$3:$DI$25)))</f>
        <v>1.07136564684713</v>
      </c>
      <c r="AG39" s="4" t="n">
        <f aca="false" t="array" ref="AG39:AG39">SUM(Demand!AG11*Capacity!BA$3:BA$25*Capacity!$DI11/(TRANSPOSE(Dists!$B10:$X10)*MMULT(1/Dists!$B10:$X10,Capacity!$DI$3:$DI$25)))</f>
        <v>3.19743228173915</v>
      </c>
      <c r="AH39" s="4" t="n">
        <f aca="false" t="array" ref="AH39:AH39">SUM(Demand!AH11*Capacity!BB$3:BB$25*Capacity!$DI11/(TRANSPOSE(Dists!$B10:$X10)*MMULT(1/Dists!$B10:$X10,Capacity!$DI$3:$DI$25)))</f>
        <v>6.54633340341792</v>
      </c>
      <c r="AI39" s="4" t="n">
        <f aca="false" t="array" ref="AI39:AI39">SUM(Demand!AI11*Capacity!BC$3:BC$25*Capacity!$DI11/(TRANSPOSE(Dists!$B10:$X10)*MMULT(1/Dists!$B10:$X10,Capacity!$DI$3:$DI$25)))</f>
        <v>0.626641345810084</v>
      </c>
      <c r="AJ39" s="4" t="n">
        <f aca="false" t="array" ref="AJ39:AJ39">SUM(Demand!AJ11*Capacity!BD$3:BD$25*Capacity!$DI11/(TRANSPOSE(Dists!$B10:$X10)*MMULT(1/Dists!$B10:$X10,Capacity!$DI$3:$DI$25)))</f>
        <v>1.50403070294854</v>
      </c>
      <c r="AK39" s="4" t="n">
        <f aca="false" t="array" ref="AK39:AK39">SUM(Demand!AK11*Capacity!BE$3:BE$25*Capacity!$DI11/(TRANSPOSE(Dists!$B10:$X10)*MMULT(1/Dists!$B10:$X10,Capacity!$DI$3:$DI$25)))</f>
        <v>1.92838222044367</v>
      </c>
      <c r="AL39" s="4" t="n">
        <f aca="false" t="array" ref="AL39:AL39">SUM(Demand!AL11*Capacity!BF$3:BF$25*Capacity!$DI11/(TRANSPOSE(Dists!$B10:$X10)*MMULT(1/Dists!$B10:$X10,Capacity!$DI$3:$DI$25)))</f>
        <v>0.988136454991714</v>
      </c>
      <c r="AM39" s="4" t="n">
        <f aca="false" t="array" ref="AM39:AM39">SUM(Demand!AM11*Capacity!BG$3:BG$25*Capacity!$DI11/(TRANSPOSE(Dists!$B10:$X10)*MMULT(1/Dists!$B10:$X10,Capacity!$DI$3:$DI$25)))</f>
        <v>0.156518622136696</v>
      </c>
      <c r="AN39" s="4" t="n">
        <f aca="false" t="array" ref="AN39:AN39">SUM(Demand!AN11*Capacity!BH$3:BH$25*Capacity!$DI11/(TRANSPOSE(Dists!$B10:$X10)*MMULT(1/Dists!$B10:$X10,Capacity!$DI$3:$DI$25)))</f>
        <v>2.46655361547788</v>
      </c>
      <c r="AO39" s="4" t="n">
        <f aca="false" t="array" ref="AO39:AO39">SUM(Demand!AO11*Capacity!BI$3:BI$25*Capacity!$DI11/(TRANSPOSE(Dists!$B10:$X10)*MMULT(1/Dists!$B10:$X10,Capacity!$DI$3:$DI$25)))</f>
        <v>5.61532574610955</v>
      </c>
      <c r="AP39" s="4" t="n">
        <f aca="false" t="array" ref="AP39:AP39">SUM(Demand!AP11*Capacity!BJ$3:BJ$25*Capacity!$DI11/(TRANSPOSE(Dists!$B10:$X10)*MMULT(1/Dists!$B10:$X10,Capacity!$DI$3:$DI$25)))</f>
        <v>0.363798479578255</v>
      </c>
      <c r="AQ39" s="4" t="n">
        <f aca="false" t="array" ref="AQ39:AQ39">SUM(Demand!AQ11*Capacity!BK$3:BK$25*Capacity!$DI11/(TRANSPOSE(Dists!$B10:$X10)*MMULT(1/Dists!$B10:$X10,Capacity!$DI$3:$DI$25)))</f>
        <v>0.272813851343879</v>
      </c>
      <c r="AR39" s="4" t="n">
        <f aca="false" t="array" ref="AR39:AR39">SUM(Demand!AR11*Capacity!BL$3:BL$25*Capacity!$DI11/(TRANSPOSE(Dists!$B10:$X10)*MMULT(1/Dists!$B10:$X10,Capacity!$DI$3:$DI$25)))</f>
        <v>0.473563879945675</v>
      </c>
      <c r="AS39" s="4" t="n">
        <f aca="false" t="array" ref="AS39:AS39">SUM(Demand!AS11*Capacity!BM$3:BM$25*Capacity!$DI11/(TRANSPOSE(Dists!$B10:$X10)*MMULT(1/Dists!$B10:$X10,Capacity!$DI$3:$DI$25)))</f>
        <v>0.485174240069945</v>
      </c>
      <c r="AT39" s="4" t="n">
        <f aca="false" t="array" ref="AT39:AT39">SUM(Demand!AT11*Capacity!BN$3:BN$25*Capacity!$DI11/(TRANSPOSE(Dists!$B10:$X10)*MMULT(1/Dists!$B10:$X10,Capacity!$DI$3:$DI$25)))</f>
        <v>10.1596909586712</v>
      </c>
      <c r="AU39" s="4" t="n">
        <f aca="false" t="array" ref="AU39:AU39">SUM(Demand!AU11*Capacity!BO$3:BO$25*Capacity!$DI11/(TRANSPOSE(Dists!$B10:$X10)*MMULT(1/Dists!$B10:$X10,Capacity!$DI$3:$DI$25)))</f>
        <v>1.23063133447075</v>
      </c>
      <c r="AV39" s="4" t="n">
        <f aca="false" t="array" ref="AV39:AV39">SUM(Demand!AV11*Capacity!BP$3:BP$25*Capacity!$DI11/(TRANSPOSE(Dists!$B10:$X10)*MMULT(1/Dists!$B10:$X10,Capacity!$DI$3:$DI$25)))</f>
        <v>0.0288205569732581</v>
      </c>
      <c r="AW39" s="4" t="n">
        <f aca="false" t="array" ref="AW39:AW39">SUM(Demand!AW11*Capacity!BQ$3:BQ$25*Capacity!$DI11/(TRANSPOSE(Dists!$B10:$X10)*MMULT(1/Dists!$B10:$X10,Capacity!$DI$3:$DI$25)))</f>
        <v>9.49249790103639</v>
      </c>
      <c r="AX39" s="4" t="n">
        <f aca="false" t="array" ref="AX39:AX39">SUM(Demand!AX11*Capacity!BR$3:BR$25*Capacity!$DI11/(TRANSPOSE(Dists!$B10:$X10)*MMULT(1/Dists!$B10:$X10,Capacity!$DI$3:$DI$25)))</f>
        <v>0.271186093082005</v>
      </c>
      <c r="AY39" s="4" t="n">
        <f aca="false" t="array" ref="AY39:AY39">SUM(Demand!AY11*Capacity!BS$3:BS$25*Capacity!$DI11/(TRANSPOSE(Dists!$B10:$X10)*MMULT(1/Dists!$B10:$X10,Capacity!$DI$3:$DI$25)))</f>
        <v>1.27835166022508</v>
      </c>
      <c r="AZ39" s="4" t="n">
        <f aca="false" t="array" ref="AZ39:AZ39">SUM(Demand!AZ11*Capacity!BT$3:BT$25*Capacity!$DI11/(TRANSPOSE(Dists!$B10:$X10)*MMULT(1/Dists!$B10:$X10,Capacity!$DI$3:$DI$25)))</f>
        <v>6.89760590411323</v>
      </c>
      <c r="BA39" s="4" t="n">
        <f aca="false">BA11</f>
        <v>0.0401883746272121</v>
      </c>
      <c r="BB39" s="4" t="n">
        <f aca="false" t="array" ref="BB39:BB39">SUM(Demand!BB11*Capacity!BV$3:BV$25*Capacity!$DI11/(TRANSPOSE(Dists!$B10:$X10)*MMULT(1/Dists!$B10:$X10,Capacity!$DI$3:$DI$25)))</f>
        <v>1.03417054037164</v>
      </c>
      <c r="BC39" s="4" t="n">
        <f aca="false" t="array" ref="BC39:BC39">SUM(Demand!BC11*Capacity!BW$3:BW$25*Capacity!$DI11/(TRANSPOSE(Dists!$B10:$X10)*MMULT(1/Dists!$B10:$X10,Capacity!$DI$3:$DI$25)))</f>
        <v>0.236879634455063</v>
      </c>
      <c r="BD39" s="4" t="n">
        <f aca="false" t="array" ref="BD39:BD39">SUM(Demand!BD11*Capacity!BX$3:BX$25*Capacity!$DI11/(TRANSPOSE(Dists!$B10:$X10)*MMULT(1/Dists!$B10:$X10,Capacity!$DI$3:$DI$25)))</f>
        <v>0.320853101490825</v>
      </c>
      <c r="BE39" s="4" t="n">
        <f aca="false" t="array" ref="BE39:BE39">SUM(Demand!BE11*Capacity!BY$3:BY$25*Capacity!$DI11/(TRANSPOSE(Dists!$B10:$X10)*MMULT(1/Dists!$B10:$X10,Capacity!$DI$3:$DI$25)))</f>
        <v>0.234258692279316</v>
      </c>
      <c r="BF39" s="4" t="n">
        <f aca="false" t="array" ref="BF39:BF39">SUM(Demand!BF11*Capacity!BZ$3:BZ$25*Capacity!$DI11/(TRANSPOSE(Dists!$B10:$X10)*MMULT(1/Dists!$B10:$X10,Capacity!$DI$3:$DI$25)))</f>
        <v>3.25557684864051</v>
      </c>
      <c r="BG39" s="4" t="n">
        <f aca="false" t="array" ref="BG39:BG39">SUM(Demand!BG11*Capacity!CA$3:CA$25*Capacity!$DI11/(TRANSPOSE(Dists!$B10:$X10)*MMULT(1/Dists!$B10:$X10,Capacity!$DI$3:$DI$25)))</f>
        <v>24.2509052405719</v>
      </c>
      <c r="BH39" s="4" t="n">
        <f aca="false" t="array" ref="BH39:BH39">SUM(Demand!BH11*Capacity!CB$3:CB$25*Capacity!$DI11/(TRANSPOSE(Dists!$B10:$X10)*MMULT(1/Dists!$B10:$X10,Capacity!$DI$3:$DI$25)))</f>
        <v>48.5018104811438</v>
      </c>
      <c r="BI39" s="4" t="n">
        <f aca="false" t="array" ref="BI39:BI39">SUM(Demand!BI11*Capacity!CC$3:CC$25*Capacity!$DI11/(TRANSPOSE(Dists!$B10:$X10)*MMULT(1/Dists!$B10:$X10,Capacity!$DI$3:$DI$25)))</f>
        <v>64.6690806415251</v>
      </c>
      <c r="BJ39" s="4" t="n">
        <f aca="false" t="array" ref="BJ39:BJ39">SUM(Demand!BJ11*Capacity!CD$3:CD$25*Capacity!$DI11/(TRANSPOSE(Dists!$B10:$X10)*MMULT(1/Dists!$B10:$X10,Capacity!$DI$3:$DI$25)))</f>
        <v>114.787545672877</v>
      </c>
      <c r="BK39" s="4" t="n">
        <f aca="false" t="array" ref="BK39:BK39">SUM(Demand!BK11*Capacity!CE$3:CE$25*Capacity!$DI11/(TRANSPOSE(Dists!$B10:$X10)*MMULT(1/Dists!$B10:$X10,Capacity!$DI$3:$DI$25)))</f>
        <v>32.3345403207626</v>
      </c>
      <c r="BL39" s="4" t="n">
        <f aca="false" t="array" ref="BL39:BL39">SUM(Demand!BL11*Capacity!CF$3:CF$25*Capacity!$DI11/(TRANSPOSE(Dists!$B10:$X10)*MMULT(1/Dists!$B10:$X10,Capacity!$DI$3:$DI$25)))</f>
        <v>835.160066718633</v>
      </c>
      <c r="BM39" s="4" t="n">
        <f aca="false" t="array" ref="BM39:BM39">SUM(Demand!BM11*Capacity!CG$3:CG$25*Capacity!$DI11/(TRANSPOSE(Dists!$B10:$X10)*MMULT(1/Dists!$B10:$X10,Capacity!$DI$3:$DI$25)))</f>
        <v>124.670131319866</v>
      </c>
      <c r="BN39" s="4" t="n">
        <f aca="false">BN11</f>
        <v>0.00079099927137758</v>
      </c>
      <c r="BO39" s="4" t="n">
        <f aca="false" t="array" ref="BO39:BO39">SUM(Demand!BO11*Capacity!CI$3:CI$25*Capacity!$DI11/(TRANSPOSE(Dists!$B10:$X10)*MMULT(1/Dists!$B10:$X10,Capacity!$DI$3:$DI$25)))</f>
        <v>33.3383832979273</v>
      </c>
      <c r="BP39" s="4" t="n">
        <f aca="false" t="array" ref="BP39:BP39">SUM(Demand!BP11*Capacity!CJ$3:CJ$25*Capacity!$DI11/(TRANSPOSE(Dists!$B10:$X10)*MMULT(1/Dists!$B10:$X10,Capacity!$DI$3:$DI$25)))</f>
        <v>50.5544750774845</v>
      </c>
      <c r="BQ39" s="4" t="n">
        <f aca="false">BQ11</f>
        <v>0.000514149526395427</v>
      </c>
      <c r="BR39" s="4" t="n">
        <f aca="false" t="array" ref="BR39:BR39">SUM(Demand!BR11*Capacity!CL$3:CL$25*Capacity!$DI11/(TRANSPOSE(Dists!$B10:$X10)*MMULT(1/Dists!$B10:$X10,Capacity!$DI$3:$DI$25)))</f>
        <v>1.11127970861409</v>
      </c>
      <c r="BS39" s="4" t="n">
        <f aca="false" t="array" ref="BS39:BS39">SUM(Demand!BS11*Capacity!CM$3:CM$25*Capacity!$DI11/(TRANSPOSE(Dists!$B10:$X10)*MMULT(1/Dists!$B10:$X10,Capacity!$DI$3:$DI$25)))</f>
        <v>0.111127970861409</v>
      </c>
      <c r="BT39" s="4" t="n">
        <f aca="false">BT11</f>
        <v>14.377861124385</v>
      </c>
      <c r="BU39" s="4" t="n">
        <f aca="false">BU11</f>
        <v>1.4377861124385</v>
      </c>
      <c r="BV39" s="4" t="n">
        <f aca="false">BV11</f>
        <v>0.14377861124385</v>
      </c>
      <c r="BW39" s="4" t="n">
        <f aca="false">BW11</f>
        <v>3103.36312269454</v>
      </c>
      <c r="BX39" s="4" t="n">
        <f aca="false" t="array" ref="BX39:BX39">SUM(Demand!BX11*Capacity!CR$3:CR$25*Capacity!$DI11/(TRANSPOSE(Dists!$B10:$X10)*MMULT(1/Dists!$B10:$X10,Capacity!$DI$3:$DI$25)))</f>
        <v>16.5122526099416</v>
      </c>
      <c r="BY39" s="4" t="n">
        <f aca="false" t="array" ref="BY39:BY39">SUM(Demand!BY11*Capacity!CS$3:CS$25*Capacity!$DI11/(TRANSPOSE(Dists!$B10:$X10)*MMULT(1/Dists!$B10:$X10,Capacity!$DI$3:$DI$25)))</f>
        <v>429.603148639333</v>
      </c>
      <c r="BZ39" s="4" t="n">
        <f aca="false" t="array" ref="BZ39:BZ39">SUM(Demand!BZ11*Capacity!CT$3:CT$25*Capacity!$DI11/(TRANSPOSE(Dists!$B10:$X10)*MMULT(1/Dists!$B10:$X10,Capacity!$DI$3:$DI$25)))</f>
        <v>0.405549269942699</v>
      </c>
      <c r="CA39" s="4" t="n">
        <f aca="false" t="array" ref="CA39:CA39">SUM(Demand!CA11*Capacity!CU$3:CU$25*Capacity!$DI11/(TRANSPOSE(Dists!$B10:$X10)*MMULT(1/Dists!$B10:$X10,Capacity!$DI$3:$DI$25)))</f>
        <v>0.107440387532686</v>
      </c>
      <c r="CB39" s="4" t="n">
        <f aca="false" t="array" ref="CB39:CB39">SUM(Demand!CB11*Capacity!CV$3:CV$25*Capacity!$DI11/(TRANSPOSE(Dists!$B10:$X10)*MMULT(1/Dists!$B10:$X10,Capacity!$DI$3:$DI$25)))</f>
        <v>1463.84487353601</v>
      </c>
      <c r="CC39" s="4" t="n">
        <f aca="false" t="array" ref="CC39:CC39">SUM(Demand!CC11*Capacity!CW$3:CW$25*Capacity!$DI11/(TRANSPOSE(Dists!$B10:$X10)*MMULT(1/Dists!$B10:$X10,Capacity!$DI$3:$DI$25)))</f>
        <v>569.107512431228</v>
      </c>
      <c r="CD39" s="4" t="n">
        <f aca="false">SUM($BG39,$BI39,$BK39)*Capacity!CX11/SUM(Capacity!$AM11:$AN11,Capacity!$CX11)</f>
        <v>106.343868480212</v>
      </c>
      <c r="CE39" s="4" t="n">
        <f aca="false" t="array" ref="CE39:CE39">SUM(Demand!CE11*Capacity!CY$3:CY$25*Capacity!$DI11/(TRANSPOSE(Dists!$B10:$X10)*MMULT(1/Dists!$B10:$X10,Capacity!$DI$3:$DI$25)))</f>
        <v>4.22760220634402</v>
      </c>
      <c r="CF39" s="4" t="n">
        <f aca="false" t="array" ref="CF39:CF39">SUM(Demand!CF11*Capacity!CZ$3:CZ$25*Capacity!$DI11/(TRANSPOSE(Dists!$B10:$X10)*MMULT(1/Dists!$B10:$X10,Capacity!$DI$3:$DI$25)))</f>
        <v>803.537975785884</v>
      </c>
      <c r="CG39" s="4" t="n">
        <f aca="false" t="array" ref="CG39:CG39">SUM(Demand!CG11*Capacity!DA$3:DA$25*Capacity!$DI11/(TRANSPOSE(Dists!$B10:$X10)*MMULT(1/Dists!$B10:$X10,Capacity!$DI$3:$DI$25)))</f>
        <v>3.85333780989302</v>
      </c>
      <c r="CH39" s="4" t="n">
        <f aca="false" t="array" ref="CH39:CH39">SUM(Demand!CH11*Capacity!DB$3:DB$25*Capacity!$DI11/(TRANSPOSE(Dists!$B10:$X10)*MMULT(1/Dists!$B10:$X10,Capacity!$DI$3:$DI$25)))</f>
        <v>0.554693040524532</v>
      </c>
      <c r="CI39" s="4" t="n">
        <f aca="false" t="array" ref="CI39:CI39">SUM(Demand!CI11*Capacity!DC$3:DC$25*Capacity!$DI11/(TRANSPOSE(Dists!$B10:$X10)*MMULT(1/Dists!$B10:$X10,Capacity!$DI$3:$DI$25)))</f>
        <v>0.221899898732053</v>
      </c>
      <c r="CJ39" s="4" t="n">
        <f aca="false" t="array" ref="CJ39:CJ39">SUM(Demand!CJ11*Capacity!DD$3:DD$25*Capacity!$DI11/(TRANSPOSE(Dists!$B10:$X10)*MMULT(1/Dists!$B10:$X10,Capacity!$DI$3:$DI$25)))</f>
        <v>0.113334667427796</v>
      </c>
      <c r="CK39" s="4" t="n">
        <f aca="false" t="array" ref="CK39:CK39">SUM(Demand!CK11*Capacity!DE$3:DE$25*Capacity!$DI11/(TRANSPOSE(Dists!$B10:$X10)*MMULT(1/Dists!$B10:$X10,Capacity!$DI$3:$DI$25)))</f>
        <v>2.42392244231805</v>
      </c>
      <c r="CL39" s="7" t="s">
        <v>320</v>
      </c>
    </row>
    <row r="40" customFormat="false" ht="12.8" hidden="false" customHeight="false" outlineLevel="0" collapsed="false">
      <c r="A40" s="4" t="s">
        <v>144</v>
      </c>
      <c r="B40" s="7" t="s">
        <v>39</v>
      </c>
      <c r="C40" s="4" t="n">
        <f aca="false" t="array" ref="C40:C40">SUM(Demand!C12*Capacity!S$3:S$25*Capacity!$DH12/(TRANSPOSE(Dists!$B11:$X11)*MMULT(1/Dists!$B11:$X11,Capacity!$DH$3:$DH$25)))</f>
        <v>0.00756001003513895</v>
      </c>
      <c r="D40" s="4" t="n">
        <f aca="false" t="array" ref="D40:D40">SUM(Demand!D12*Capacity!V$3:V$25*Capacity!$DH12/(TRANSPOSE(Dists!$B11:$X11)*MMULT(1/Dists!$B11:$X11,Capacity!$DH$3:$DH$25)))</f>
        <v>628.14826010559</v>
      </c>
      <c r="E40" s="4" t="n">
        <f aca="false" t="array" ref="E40:E40">SUM(Demand!E12*Capacity!Y$3:Y$25*Capacity!$DH12/(TRANSPOSE(Dists!$B11:$X11)*MMULT(1/Dists!$B11:$X11,Capacity!$DH$3:$DH$25)))</f>
        <v>231.721244956781</v>
      </c>
      <c r="F40" s="4" t="n">
        <f aca="false">$E12*Capacity!$M12/(2*(1-Capacity!$H$28)*Capacity!$H12)</f>
        <v>88.4929593476523</v>
      </c>
      <c r="G40" s="4" t="n">
        <f aca="false" t="array" ref="G40:G40">SUM(Demand!G12*Capacity!AA$3:AA$25*Capacity!$DH12/(TRANSPOSE(Dists!$B11:$X11)*MMULT(1/Dists!$B11:$X11,Capacity!$DH$3:$DH$25)))</f>
        <v>277.539475261555</v>
      </c>
      <c r="H40" s="4" t="n">
        <f aca="false" t="array" ref="H40:H40">SUM(Demand!H12*Capacity!AB$3:AB$25*Capacity!$DH12/(TRANSPOSE(Dists!$B11:$X11)*MMULT(1/Dists!$B11:$X11,Capacity!$DH$3:$DH$25)))</f>
        <v>0.399574085018671</v>
      </c>
      <c r="I40" s="4" t="n">
        <f aca="false" t="array" ref="I40:I40">SUM(Demand!I12*Capacity!AC$3:AC$25*Capacity!$DG12/(TRANSPOSE(Dists!$B11:$X11)*MMULT(1/Dists!$B11:$X11,Capacity!$DG$3:$DG$25)))</f>
        <v>2.07069505364555</v>
      </c>
      <c r="J40" s="4" t="n">
        <f aca="false" t="array" ref="J40:J40">SUM(Demand!J12*Capacity!AD$3:AD$25*Capacity!$DG12/(TRANSPOSE(Dists!$B11:$X11)*MMULT(1/Dists!$B11:$X11,Capacity!$DG$3:$DG$25)))</f>
        <v>2.59785441227163</v>
      </c>
      <c r="K40" s="4" t="n">
        <f aca="false">5479.45205479452*$R12</f>
        <v>435288.879372695</v>
      </c>
      <c r="L40" s="4" t="n">
        <f aca="false">17142.8571428571*$S12</f>
        <v>76590.241702015</v>
      </c>
      <c r="M40" s="4" t="n">
        <f aca="false">IF(50420.1680672269*$T12&gt;($K12/20),50420.1680672269*$T12-($K12/20),0)</f>
        <v>104137.32321276</v>
      </c>
      <c r="N40" s="4" t="n">
        <f aca="false" t="array" ref="N40:N40">SUM(Demand!N12*Capacity!AH$3:AH$25*Capacity!$DH12/(TRANSPOSE(Dists!$B11:$X11)*MMULT(1/Dists!$B11:$X11,Capacity!$DH$3:$DH$25)))</f>
        <v>367.250593858056</v>
      </c>
      <c r="O40" s="4" t="n">
        <f aca="false">D40/0.8</f>
        <v>785.185325131987</v>
      </c>
      <c r="P40" s="4" t="n">
        <f aca="false">O40/0.8</f>
        <v>981.481656414984</v>
      </c>
      <c r="Q40" s="4" t="n">
        <f aca="false" t="array" ref="Q40:Q40">SUM(Demand!Q12*Capacity!AK$3:AK$25*Capacity!$DI12/(TRANSPOSE(Dists!$B11:$X11)*MMULT(1/Dists!$B11:$X11,Capacity!$DI$3:$DI$25)))</f>
        <v>17.7958145859052</v>
      </c>
      <c r="R40" s="4" t="n">
        <f aca="false" t="array" ref="R40:R40">SUM(Demand!R12*Capacity!AL$3:AL$25*Capacity!$DH12/(TRANSPOSE(Dists!$B11:$X11)*MMULT(1/Dists!$B11:$X11,Capacity!$DH$3:$DH$25)))</f>
        <v>135.816569098915</v>
      </c>
      <c r="S40" s="4" t="n">
        <f aca="false">SUM($BG40,$BI40,$BK40)*Capacity!AM12/SUM(Capacity!$AM12:$AN12,Capacity!$CX12)</f>
        <v>4.46776409928422</v>
      </c>
      <c r="T40" s="4" t="n">
        <f aca="false">SUM($BG40,$BI40,$BK40)*Capacity!AN12/SUM(Capacity!$AM12:$AN12,Capacity!$CX12)</f>
        <v>2.49705171576433</v>
      </c>
      <c r="U40" s="4" t="n">
        <f aca="false">$M12*120*2/(16*1000*2000)</f>
        <v>0.781029924095702</v>
      </c>
      <c r="V40" s="4" t="n">
        <f aca="false" t="array" ref="V40:V40">SUM(Demand!V12*Capacity!AP$3:AP$25*Capacity!$DH12/(TRANSPOSE(Dists!$B11:$X11)*MMULT(1/Dists!$B11:$X11,Capacity!$DH$3:$DH$25)))</f>
        <v>378.670818027179</v>
      </c>
      <c r="W40" s="4" t="n">
        <f aca="false" t="array" ref="W40:W40">SUM(Demand!W12*Capacity!AQ$3:AQ$25*Capacity!$DH12/(TRANSPOSE(Dists!$B11:$X11)*MMULT(1/Dists!$B11:$X11,Capacity!$DH$3:$DH$25)))</f>
        <v>1609.93790419741</v>
      </c>
      <c r="X40" s="4" t="n">
        <f aca="false" t="array" ref="X40:X40">SUM(Demand!X12*Capacity!AR$3:AR$25*Capacity!$DH12/(TRANSPOSE(Dists!$B11:$X11)*MMULT(1/Dists!$B11:$X11,Capacity!$DH$3:$DH$25)))</f>
        <v>996.276717608795</v>
      </c>
      <c r="Y40" s="4" t="n">
        <f aca="false">$L12*600*6/(90*1000*2000)</f>
        <v>1.5318048340403</v>
      </c>
      <c r="Z40" s="4" t="n">
        <f aca="false" t="array" ref="Z40:Z40">SUM(Demand!Z12*Capacity!AT$3:AT$25*Capacity!$DI12/(TRANSPOSE(Dists!$B11:$X11)*MMULT(1/Dists!$B11:$X11,Capacity!$DI$3:$DI$25)))</f>
        <v>8.78534621741152</v>
      </c>
      <c r="AA40" s="4" t="n">
        <f aca="false" t="array" ref="AA40:AA40">SUM(Demand!AA12*Capacity!AU$3:AU$25*Capacity!$DI12/(TRANSPOSE(Dists!$B11:$X11)*MMULT(1/Dists!$B11:$X11,Capacity!$DI$3:$DI$25)))</f>
        <v>13.7468573395175</v>
      </c>
      <c r="AB40" s="4" t="n">
        <f aca="false" t="array" ref="AB40:AB40">SUM(Demand!AB12*Capacity!AV$3:AV$25*Capacity!$DI12/(TRANSPOSE(Dists!$B11:$X11)*MMULT(1/Dists!$B11:$X11,Capacity!$DI$3:$DI$25)))</f>
        <v>16.216865448014</v>
      </c>
      <c r="AC40" s="4" t="n">
        <f aca="false" t="array" ref="AC40:AC40">SUM(Demand!AC12*Capacity!AW$3:AW$25*Capacity!$DI12/(TRANSPOSE(Dists!$B11:$X11)*MMULT(1/Dists!$B11:$X11,Capacity!$DI$3:$DI$25)))</f>
        <v>1.47929165405629</v>
      </c>
      <c r="AD40" s="4" t="n">
        <f aca="false" t="array" ref="AD40:AD40">SUM(Demand!AD12*Capacity!AX$3:AX$25*Capacity!$DI12/(TRANSPOSE(Dists!$B11:$X11)*MMULT(1/Dists!$B11:$X11,Capacity!$DI$3:$DI$25)))</f>
        <v>2.654873777752</v>
      </c>
      <c r="AE40" s="4" t="n">
        <f aca="false" t="array" ref="AE40:AE40">SUM(Demand!AE12*Capacity!AY$3:AY$25*Capacity!$DI12/(TRANSPOSE(Dists!$B11:$X11)*MMULT(1/Dists!$B11:$X11,Capacity!$DI$3:$DI$25)))</f>
        <v>2.33330591342906</v>
      </c>
      <c r="AF40" s="4" t="n">
        <f aca="false" t="array" ref="AF40:AF40">SUM(Demand!AF12*Capacity!AZ$3:AZ$25*Capacity!$DI12/(TRANSPOSE(Dists!$B11:$X11)*MMULT(1/Dists!$B11:$X11,Capacity!$DI$3:$DI$25)))</f>
        <v>1.50663568086393</v>
      </c>
      <c r="AG40" s="4" t="n">
        <f aca="false" t="array" ref="AG40:AG40">SUM(Demand!AG12*Capacity!BA$3:BA$25*Capacity!$DI12/(TRANSPOSE(Dists!$B11:$X11)*MMULT(1/Dists!$B11:$X11,Capacity!$DI$3:$DI$25)))</f>
        <v>1.76906264612997</v>
      </c>
      <c r="AH40" s="4" t="n">
        <f aca="false" t="array" ref="AH40:AH40">SUM(Demand!AH12*Capacity!BB$3:BB$25*Capacity!$DI12/(TRANSPOSE(Dists!$B11:$X11)*MMULT(1/Dists!$B11:$X11,Capacity!$DI$3:$DI$25)))</f>
        <v>0.922645094341222</v>
      </c>
      <c r="AI40" s="4" t="n">
        <f aca="false" t="array" ref="AI40:AI40">SUM(Demand!AI12*Capacity!BC$3:BC$25*Capacity!$DI12/(TRANSPOSE(Dists!$B11:$X11)*MMULT(1/Dists!$B11:$X11,Capacity!$DI$3:$DI$25)))</f>
        <v>0.633373895341046</v>
      </c>
      <c r="AJ40" s="4" t="n">
        <f aca="false" t="array" ref="AJ40:AJ40">SUM(Demand!AJ12*Capacity!BD$3:BD$25*Capacity!$DI12/(TRANSPOSE(Dists!$B11:$X11)*MMULT(1/Dists!$B11:$X11,Capacity!$DI$3:$DI$25)))</f>
        <v>0.877196931563933</v>
      </c>
      <c r="AK40" s="4" t="n">
        <f aca="false" t="array" ref="AK40:AK40">SUM(Demand!AK12*Capacity!BE$3:BE$25*Capacity!$DI12/(TRANSPOSE(Dists!$B11:$X11)*MMULT(1/Dists!$B11:$X11,Capacity!$DI$3:$DI$25)))</f>
        <v>1.15311014700875</v>
      </c>
      <c r="AL40" s="4" t="n">
        <f aca="false" t="array" ref="AL40:AL40">SUM(Demand!AL12*Capacity!BF$3:BF$25*Capacity!$DI12/(TRANSPOSE(Dists!$B11:$X11)*MMULT(1/Dists!$B11:$X11,Capacity!$DI$3:$DI$25)))</f>
        <v>1.04481285785176</v>
      </c>
      <c r="AM40" s="4" t="n">
        <f aca="false" t="array" ref="AM40:AM40">SUM(Demand!AM12*Capacity!BG$3:BG$25*Capacity!$DI12/(TRANSPOSE(Dists!$B11:$X11)*MMULT(1/Dists!$B11:$X11,Capacity!$DI$3:$DI$25)))</f>
        <v>1.9116437746677</v>
      </c>
      <c r="AN40" s="4" t="n">
        <f aca="false" t="array" ref="AN40:AN40">SUM(Demand!AN12*Capacity!BH$3:BH$25*Capacity!$DI12/(TRANSPOSE(Dists!$B11:$X11)*MMULT(1/Dists!$B11:$X11,Capacity!$DI$3:$DI$25)))</f>
        <v>1.3199409056194</v>
      </c>
      <c r="AO40" s="4" t="n">
        <f aca="false" t="array" ref="AO40:AO40">SUM(Demand!AO12*Capacity!BI$3:BI$25*Capacity!$DI12/(TRANSPOSE(Dists!$B11:$X11)*MMULT(1/Dists!$B11:$X11,Capacity!$DI$3:$DI$25)))</f>
        <v>4.41733651507351</v>
      </c>
      <c r="AP40" s="4" t="n">
        <f aca="false" t="array" ref="AP40:AP40">SUM(Demand!AP12*Capacity!BJ$3:BJ$25*Capacity!$DI12/(TRANSPOSE(Dists!$B11:$X11)*MMULT(1/Dists!$B11:$X11,Capacity!$DI$3:$DI$25)))</f>
        <v>1.73967461004799</v>
      </c>
      <c r="AQ40" s="4" t="n">
        <f aca="false" t="array" ref="AQ40:AQ40">SUM(Demand!AQ12*Capacity!BK$3:BK$25*Capacity!$DI12/(TRANSPOSE(Dists!$B11:$X11)*MMULT(1/Dists!$B11:$X11,Capacity!$DI$3:$DI$25)))</f>
        <v>0.0072134656967045</v>
      </c>
      <c r="AR40" s="4" t="n">
        <f aca="false" t="array" ref="AR40:AR40">SUM(Demand!AR12*Capacity!BL$3:BL$25*Capacity!$DI12/(TRANSPOSE(Dists!$B11:$X11)*MMULT(1/Dists!$B11:$X11,Capacity!$DI$3:$DI$25)))</f>
        <v>0.0731326398451357</v>
      </c>
      <c r="AS40" s="4" t="n">
        <f aca="false" t="array" ref="AS40:AS40">SUM(Demand!AS12*Capacity!BM$3:BM$25*Capacity!$DI12/(TRANSPOSE(Dists!$B11:$X11)*MMULT(1/Dists!$B11:$X11,Capacity!$DI$3:$DI$25)))</f>
        <v>0.290206694627402</v>
      </c>
      <c r="AT40" s="4" t="n">
        <f aca="false" t="array" ref="AT40:AT40">SUM(Demand!AT12*Capacity!BN$3:BN$25*Capacity!$DI12/(TRANSPOSE(Dists!$B11:$X11)*MMULT(1/Dists!$B11:$X11,Capacity!$DI$3:$DI$25)))</f>
        <v>3.88364185562604</v>
      </c>
      <c r="AU40" s="4" t="n">
        <f aca="false" t="array" ref="AU40:AU40">SUM(Demand!AU12*Capacity!BO$3:BO$25*Capacity!$DI12/(TRANSPOSE(Dists!$B11:$X11)*MMULT(1/Dists!$B11:$X11,Capacity!$DI$3:$DI$25)))</f>
        <v>3.01698389602385</v>
      </c>
      <c r="AV40" s="4" t="n">
        <f aca="false" t="array" ref="AV40:AV40">SUM(Demand!AV12*Capacity!BP$3:BP$25*Capacity!$DI12/(TRANSPOSE(Dists!$B11:$X11)*MMULT(1/Dists!$B11:$X11,Capacity!$DI$3:$DI$25)))</f>
        <v>0.0366201825836519</v>
      </c>
      <c r="AW40" s="4" t="n">
        <f aca="false" t="array" ref="AW40:AW40">SUM(Demand!AW12*Capacity!BQ$3:BQ$25*Capacity!$DI12/(TRANSPOSE(Dists!$B11:$X11)*MMULT(1/Dists!$B11:$X11,Capacity!$DI$3:$DI$25)))</f>
        <v>0.833577538972571</v>
      </c>
      <c r="AX40" s="4" t="n">
        <f aca="false" t="array" ref="AX40:AX40">SUM(Demand!AX12*Capacity!BR$3:BR$25*Capacity!$DI12/(TRANSPOSE(Dists!$B11:$X11)*MMULT(1/Dists!$B11:$X11,Capacity!$DI$3:$DI$25)))</f>
        <v>0.261874959415836</v>
      </c>
      <c r="AY40" s="4" t="n">
        <f aca="false" t="array" ref="AY40:AY40">SUM(Demand!AY12*Capacity!BS$3:BS$25*Capacity!$DI12/(TRANSPOSE(Dists!$B11:$X11)*MMULT(1/Dists!$B11:$X11,Capacity!$DI$3:$DI$25)))</f>
        <v>0.111000856898678</v>
      </c>
      <c r="AZ40" s="4" t="n">
        <f aca="false" t="array" ref="AZ40:AZ40">SUM(Demand!AZ12*Capacity!BT$3:BT$25*Capacity!$DI12/(TRANSPOSE(Dists!$B11:$X11)*MMULT(1/Dists!$B11:$X11,Capacity!$DI$3:$DI$25)))</f>
        <v>0.773120309888988</v>
      </c>
      <c r="BA40" s="4" t="n">
        <f aca="false">BA12</f>
        <v>0.0187721180642194</v>
      </c>
      <c r="BB40" s="4" t="n">
        <f aca="false" t="array" ref="BB40:BB40">SUM(Demand!BB12*Capacity!BV$3:BV$25*Capacity!$DI12/(TRANSPOSE(Dists!$B11:$X11)*MMULT(1/Dists!$B11:$X11,Capacity!$DI$3:$DI$25)))</f>
        <v>0.102138823304937</v>
      </c>
      <c r="BC40" s="4" t="n">
        <f aca="false" t="array" ref="BC40:BC40">SUM(Demand!BC12*Capacity!BW$3:BW$25*Capacity!$DI12/(TRANSPOSE(Dists!$B11:$X11)*MMULT(1/Dists!$B11:$X11,Capacity!$DI$3:$DI$25)))</f>
        <v>0.372150423065784</v>
      </c>
      <c r="BD40" s="4" t="n">
        <f aca="false" t="array" ref="BD40:BD40">SUM(Demand!BD12*Capacity!BX$3:BX$25*Capacity!$DI12/(TRANSPOSE(Dists!$B11:$X11)*MMULT(1/Dists!$B11:$X11,Capacity!$DI$3:$DI$25)))</f>
        <v>0.171509593705787</v>
      </c>
      <c r="BE40" s="4" t="n">
        <f aca="false" t="array" ref="BE40:BE40">SUM(Demand!BE12*Capacity!BY$3:BY$25*Capacity!$DI12/(TRANSPOSE(Dists!$B11:$X11)*MMULT(1/Dists!$B11:$X11,Capacity!$DI$3:$DI$25)))</f>
        <v>0.0925583780842653</v>
      </c>
      <c r="BF40" s="4" t="n">
        <f aca="false" t="array" ref="BF40:BF40">SUM(Demand!BF12*Capacity!BZ$3:BZ$25*Capacity!$DI12/(TRANSPOSE(Dists!$B11:$X11)*MMULT(1/Dists!$B11:$X11,Capacity!$DI$3:$DI$25)))</f>
        <v>1.78981047599659</v>
      </c>
      <c r="BG40" s="4" t="n">
        <f aca="false" t="array" ref="BG40:BG40">SUM(Demand!BG12*Capacity!CA$3:CA$25*Capacity!$DI12/(TRANSPOSE(Dists!$B11:$X11)*MMULT(1/Dists!$B11:$X11,Capacity!$DI$3:$DI$25)))</f>
        <v>7.04693267256881</v>
      </c>
      <c r="BH40" s="4" t="n">
        <f aca="false" t="array" ref="BH40:BH40">SUM(Demand!BH12*Capacity!CB$3:CB$25*Capacity!$DI12/(TRANSPOSE(Dists!$B11:$X11)*MMULT(1/Dists!$B11:$X11,Capacity!$DI$3:$DI$25)))</f>
        <v>0.00275223277346345</v>
      </c>
      <c r="BI40" s="4" t="n">
        <f aca="false" t="array" ref="BI40:BI40">SUM(Demand!BI12*Capacity!CC$3:CC$25*Capacity!$DI12/(TRANSPOSE(Dists!$B11:$X11)*MMULT(1/Dists!$B11:$X11,Capacity!$DI$3:$DI$25)))</f>
        <v>18.7918204601835</v>
      </c>
      <c r="BJ40" s="4" t="n">
        <f aca="false" t="array" ref="BJ40:BJ40">SUM(Demand!BJ12*Capacity!CD$3:CD$25*Capacity!$DI12/(TRANSPOSE(Dists!$B11:$X11)*MMULT(1/Dists!$B11:$X11,Capacity!$DI$3:$DI$25)))</f>
        <v>767.905894815884</v>
      </c>
      <c r="BK40" s="4" t="n">
        <f aca="false" t="array" ref="BK40:BK40">SUM(Demand!BK12*Capacity!CE$3:CE$25*Capacity!$DI12/(TRANSPOSE(Dists!$B11:$X11)*MMULT(1/Dists!$B11:$X11,Capacity!$DI$3:$DI$25)))</f>
        <v>9.39591023009174</v>
      </c>
      <c r="BL40" s="4" t="n">
        <f aca="false" t="array" ref="BL40:BL40">SUM(Demand!BL12*Capacity!CF$3:CF$25*Capacity!$DI12/(TRANSPOSE(Dists!$B11:$X11)*MMULT(1/Dists!$B11:$X11,Capacity!$DI$3:$DI$25)))</f>
        <v>855.283931797123</v>
      </c>
      <c r="BM40" s="4" t="n">
        <f aca="false" t="array" ref="BM40:BM40">SUM(Demand!BM12*Capacity!CG$3:CG$25*Capacity!$DI12/(TRANSPOSE(Dists!$B11:$X11)*MMULT(1/Dists!$B11:$X11,Capacity!$DI$3:$DI$25)))</f>
        <v>75.8627929550139</v>
      </c>
      <c r="BN40" s="4" t="n">
        <f aca="false">BN12</f>
        <v>666.474920386482</v>
      </c>
      <c r="BO40" s="4" t="n">
        <f aca="false" t="array" ref="BO40:BO40">SUM(Demand!BO12*Capacity!CI$3:CI$25*Capacity!$DI12/(TRANSPOSE(Dists!$B11:$X11)*MMULT(1/Dists!$B11:$X11,Capacity!$DI$3:$DI$25)))</f>
        <v>1.64847492847331</v>
      </c>
      <c r="BP40" s="4" t="n">
        <f aca="false" t="array" ref="BP40:BP40">SUM(Demand!BP12*Capacity!CJ$3:CJ$25*Capacity!$DI12/(TRANSPOSE(Dists!$B11:$X11)*MMULT(1/Dists!$B11:$X11,Capacity!$DI$3:$DI$25)))</f>
        <v>4.76056238571808</v>
      </c>
      <c r="BQ40" s="4" t="n">
        <f aca="false">BQ12</f>
        <v>433.208698251213</v>
      </c>
      <c r="BR40" s="4" t="n">
        <f aca="false" t="array" ref="BR40:BR40">SUM(Demand!BR12*Capacity!CL$3:CL$25*Capacity!$DI12/(TRANSPOSE(Dists!$B11:$X11)*MMULT(1/Dists!$B11:$X11,Capacity!$DI$3:$DI$25)))</f>
        <v>0.054949175345197</v>
      </c>
      <c r="BS40" s="4" t="n">
        <f aca="false" t="array" ref="BS40:BS40">SUM(Demand!BS12*Capacity!CM$3:CM$25*Capacity!$DI12/(TRANSPOSE(Dists!$B11:$X11)*MMULT(1/Dists!$B11:$X11,Capacity!$DI$3:$DI$25)))</f>
        <v>0.0054949175345197</v>
      </c>
      <c r="BT40" s="4" t="n">
        <f aca="false">BT12</f>
        <v>1.30619431256039</v>
      </c>
      <c r="BU40" s="4" t="n">
        <f aca="false">BU12</f>
        <v>0.130619431256039</v>
      </c>
      <c r="BV40" s="4" t="n">
        <f aca="false">BV12</f>
        <v>0.0130619431256039</v>
      </c>
      <c r="BW40" s="4" t="n">
        <f aca="false">BW12</f>
        <v>644.18506097985</v>
      </c>
      <c r="BX40" s="4" t="n">
        <f aca="false" t="array" ref="BX40:BX40">SUM(Demand!BX12*Capacity!CR$3:CR$25*Capacity!$DI12/(TRANSPOSE(Dists!$B11:$X11)*MMULT(1/Dists!$B11:$X11,Capacity!$DI$3:$DI$25)))</f>
        <v>7.03897325152603</v>
      </c>
      <c r="BY40" s="4" t="n">
        <f aca="false" t="array" ref="BY40:BY40">SUM(Demand!BY12*Capacity!CS$3:CS$25*Capacity!$DI12/(TRANSPOSE(Dists!$B11:$X11)*MMULT(1/Dists!$B11:$X11,Capacity!$DI$3:$DI$25)))</f>
        <v>213.865321289618</v>
      </c>
      <c r="BZ40" s="4" t="n">
        <f aca="false" t="array" ref="BZ40:BZ40">SUM(Demand!BZ12*Capacity!CT$3:CT$25*Capacity!$DI12/(TRANSPOSE(Dists!$B11:$X11)*MMULT(1/Dists!$B11:$X11,Capacity!$DI$3:$DI$25)))</f>
        <v>1.09781689576013</v>
      </c>
      <c r="CA40" s="4" t="n">
        <f aca="false" t="array" ref="CA40:CA40">SUM(Demand!CA12*Capacity!CU$3:CU$25*Capacity!$DI12/(TRANSPOSE(Dists!$B11:$X11)*MMULT(1/Dists!$B11:$X11,Capacity!$DI$3:$DI$25)))</f>
        <v>0.0599508328563043</v>
      </c>
      <c r="CB40" s="4" t="n">
        <f aca="false" t="array" ref="CB40:CB40">SUM(Demand!CB12*Capacity!CV$3:CV$25*Capacity!$DI12/(TRANSPOSE(Dists!$B11:$X11)*MMULT(1/Dists!$B11:$X11,Capacity!$DI$3:$DI$25)))</f>
        <v>901.713508576395</v>
      </c>
      <c r="CC40" s="4" t="n">
        <f aca="false" t="array" ref="CC40:CC40">SUM(Demand!CC12*Capacity!CW$3:CW$25*Capacity!$DI12/(TRANSPOSE(Dists!$B11:$X11)*MMULT(1/Dists!$B11:$X11,Capacity!$DI$3:$DI$25)))</f>
        <v>368.581805745842</v>
      </c>
      <c r="CD40" s="4" t="n">
        <f aca="false">SUM($BG40,$BI40,$BK40)*Capacity!CX12/SUM(Capacity!$AM12:$AN12,Capacity!$CX12)</f>
        <v>28.2698475477955</v>
      </c>
      <c r="CE40" s="4" t="n">
        <f aca="false" t="array" ref="CE40:CE40">SUM(Demand!CE12*Capacity!CY$3:CY$25*Capacity!$DI12/(TRANSPOSE(Dists!$B11:$X11)*MMULT(1/Dists!$B11:$X11,Capacity!$DI$3:$DI$25)))</f>
        <v>4.25780821672192</v>
      </c>
      <c r="CF40" s="4" t="n">
        <f aca="false" t="array" ref="CF40:CF40">SUM(Demand!CF12*Capacity!CZ$3:CZ$25*Capacity!$DI12/(TRANSPOSE(Dists!$B11:$X11)*MMULT(1/Dists!$B11:$X11,Capacity!$DI$3:$DI$25)))</f>
        <v>3066.39215631542</v>
      </c>
      <c r="CG40" s="4" t="n">
        <f aca="false" t="array" ref="CG40:CG40">SUM(Demand!CG12*Capacity!DA$3:DA$25*Capacity!$DI12/(TRANSPOSE(Dists!$B11:$X11)*MMULT(1/Dists!$B11:$X11,Capacity!$DI$3:$DI$25)))</f>
        <v>3.97114653974357</v>
      </c>
      <c r="CH40" s="4" t="n">
        <f aca="false" t="array" ref="CH40:CH40">SUM(Demand!CH12*Capacity!DB$3:DB$25*Capacity!$DI12/(TRANSPOSE(Dists!$B11:$X11)*MMULT(1/Dists!$B11:$X11,Capacity!$DI$3:$DI$25)))</f>
        <v>5.18067484503535</v>
      </c>
      <c r="CI40" s="4" t="n">
        <f aca="false" t="array" ref="CI40:CI40">SUM(Demand!CI12*Capacity!DC$3:DC$25*Capacity!$DI12/(TRANSPOSE(Dists!$B11:$X11)*MMULT(1/Dists!$B11:$X11,Capacity!$DI$3:$DI$25)))</f>
        <v>0.303386564860088</v>
      </c>
      <c r="CJ40" s="4" t="n">
        <f aca="false" t="array" ref="CJ40:CJ40">SUM(Demand!CJ12*Capacity!DD$3:DD$25*Capacity!$DI12/(TRANSPOSE(Dists!$B11:$X11)*MMULT(1/Dists!$B11:$X11,Capacity!$DI$3:$DI$25)))</f>
        <v>0.102061020094337</v>
      </c>
      <c r="CK40" s="4" t="n">
        <f aca="false" t="array" ref="CK40:CK40">SUM(Demand!CK12*Capacity!DE$3:DE$25*Capacity!$DI12/(TRANSPOSE(Dists!$B11:$X11)*MMULT(1/Dists!$B11:$X11,Capacity!$DI$3:$DI$25)))</f>
        <v>16.5597633134838</v>
      </c>
      <c r="CL40" s="7" t="s">
        <v>320</v>
      </c>
    </row>
    <row r="41" customFormat="false" ht="12.8" hidden="false" customHeight="false" outlineLevel="0" collapsed="false">
      <c r="A41" s="4" t="s">
        <v>145</v>
      </c>
      <c r="B41" s="7" t="s">
        <v>39</v>
      </c>
      <c r="C41" s="4" t="n">
        <f aca="false" t="array" ref="C41:C41">SUM(Demand!C13*Capacity!S$3:S$25*Capacity!$DH13/(TRANSPOSE(Dists!$B12:$X12)*MMULT(1/Dists!$B12:$X12,Capacity!$DH$3:$DH$25)))</f>
        <v>0.00673264082084318</v>
      </c>
      <c r="D41" s="4" t="n">
        <f aca="false" t="array" ref="D41:D41">SUM(Demand!D13*Capacity!V$3:V$25*Capacity!$DH13/(TRANSPOSE(Dists!$B12:$X12)*MMULT(1/Dists!$B12:$X12,Capacity!$DH$3:$DH$25)))</f>
        <v>1095.88815133207</v>
      </c>
      <c r="E41" s="4" t="n">
        <f aca="false" t="array" ref="E41:E41">SUM(Demand!E13*Capacity!Y$3:Y$25*Capacity!$DH13/(TRANSPOSE(Dists!$B12:$X12)*MMULT(1/Dists!$B12:$X12,Capacity!$DH$3:$DH$25)))</f>
        <v>643.859189741526</v>
      </c>
      <c r="F41" s="4" t="n">
        <f aca="false">$E13*Capacity!$M13/(2*(1-Capacity!$H$28)*Capacity!$H13)</f>
        <v>194.129098488886</v>
      </c>
      <c r="G41" s="4" t="n">
        <f aca="false" t="array" ref="G41:G41">SUM(Demand!G13*Capacity!AA$3:AA$25*Capacity!$DH13/(TRANSPOSE(Dists!$B12:$X12)*MMULT(1/Dists!$B12:$X12,Capacity!$DH$3:$DH$25)))</f>
        <v>808.096785945233</v>
      </c>
      <c r="H41" s="4" t="n">
        <f aca="false" t="array" ref="H41:H41">SUM(Demand!H13*Capacity!AB$3:AB$25*Capacity!$DH13/(TRANSPOSE(Dists!$B12:$X12)*MMULT(1/Dists!$B12:$X12,Capacity!$DH$3:$DH$25)))</f>
        <v>1.05952154055111</v>
      </c>
      <c r="I41" s="4" t="n">
        <f aca="false" t="array" ref="I41:I41">SUM(Demand!I13*Capacity!AC$3:AC$25*Capacity!$DG13/(TRANSPOSE(Dists!$B12:$X12)*MMULT(1/Dists!$B12:$X12,Capacity!$DG$3:$DG$25)))</f>
        <v>1.15714213673168</v>
      </c>
      <c r="J41" s="4" t="n">
        <f aca="false" t="array" ref="J41:J41">SUM(Demand!J13*Capacity!AD$3:AD$25*Capacity!$DG13/(TRANSPOSE(Dists!$B12:$X12)*MMULT(1/Dists!$B12:$X12,Capacity!$DG$3:$DG$25)))</f>
        <v>2.12859150129188</v>
      </c>
      <c r="K41" s="4" t="n">
        <f aca="false">5479.45205479452*$R13</f>
        <v>345018.647438229</v>
      </c>
      <c r="L41" s="4" t="n">
        <f aca="false">17142.8571428571*$S13</f>
        <v>73033.2325049141</v>
      </c>
      <c r="M41" s="4" t="n">
        <f aca="false">IF(50420.1680672269*$T13&gt;($K13/20),50420.1680672269*$T13-($K13/20),0)</f>
        <v>102803.69640329</v>
      </c>
      <c r="N41" s="4" t="n">
        <f aca="false" t="array" ref="N41:N41">SUM(Demand!N13*Capacity!AH$3:AH$25*Capacity!$DH13/(TRANSPOSE(Dists!$B12:$X12)*MMULT(1/Dists!$B12:$X12,Capacity!$DH$3:$DH$25)))</f>
        <v>731.486472404643</v>
      </c>
      <c r="O41" s="4" t="n">
        <f aca="false">D41/0.8</f>
        <v>1369.86018916509</v>
      </c>
      <c r="P41" s="4" t="n">
        <f aca="false">O41/0.8</f>
        <v>1712.32523645636</v>
      </c>
      <c r="Q41" s="4" t="n">
        <f aca="false" t="array" ref="Q41:Q41">SUM(Demand!Q13*Capacity!AK$3:AK$25*Capacity!$DI13/(TRANSPOSE(Dists!$B12:$X12)*MMULT(1/Dists!$B12:$X12,Capacity!$DI$3:$DI$25)))</f>
        <v>23.8030720403565</v>
      </c>
      <c r="R41" s="4" t="n">
        <f aca="false" t="array" ref="R41:R41">SUM(Demand!R13*Capacity!AL$3:AL$25*Capacity!$DH13/(TRANSPOSE(Dists!$B12:$X12)*MMULT(1/Dists!$B12:$X12,Capacity!$DH$3:$DH$25)))</f>
        <v>75.1816840909953</v>
      </c>
      <c r="S41" s="4" t="n">
        <f aca="false">SUM($BG41,$BI41,$BK41)*Capacity!AM13/SUM(Capacity!$AM13:$AN13,Capacity!$CX13)</f>
        <v>4.26027189612</v>
      </c>
      <c r="T41" s="4" t="n">
        <f aca="false">SUM($BG41,$BI41,$BK41)*Capacity!AN13/SUM(Capacity!$AM13:$AN13,Capacity!$CX13)</f>
        <v>2.38108347070816</v>
      </c>
      <c r="U41" s="4" t="n">
        <f aca="false">$M13*120*2/(16*1000*2000)</f>
        <v>0.771027723024674</v>
      </c>
      <c r="V41" s="4" t="n">
        <f aca="false" t="array" ref="V41:V41">SUM(Demand!V13*Capacity!AP$3:AP$25*Capacity!$DH13/(TRANSPOSE(Dists!$B12:$X12)*MMULT(1/Dists!$B12:$X12,Capacity!$DH$3:$DH$25)))</f>
        <v>162.342230516845</v>
      </c>
      <c r="W41" s="4" t="n">
        <f aca="false" t="array" ref="W41:W41">SUM(Demand!W13*Capacity!AQ$3:AQ$25*Capacity!$DH13/(TRANSPOSE(Dists!$B12:$X12)*MMULT(1/Dists!$B12:$X12,Capacity!$DH$3:$DH$25)))</f>
        <v>683.024656894484</v>
      </c>
      <c r="X41" s="4" t="n">
        <f aca="false" t="array" ref="X41:X41">SUM(Demand!X13*Capacity!AR$3:AR$25*Capacity!$DH13/(TRANSPOSE(Dists!$B12:$X12)*MMULT(1/Dists!$B12:$X12,Capacity!$DH$3:$DH$25)))</f>
        <v>372.275363289481</v>
      </c>
      <c r="Y41" s="4" t="n">
        <f aca="false">$L13*600*6/(90*1000*2000)</f>
        <v>1.46066465009828</v>
      </c>
      <c r="Z41" s="4" t="n">
        <f aca="false" t="array" ref="Z41:Z41">SUM(Demand!Z13*Capacity!AT$3:AT$25*Capacity!$DI13/(TRANSPOSE(Dists!$B12:$X12)*MMULT(1/Dists!$B12:$X12,Capacity!$DI$3:$DI$25)))</f>
        <v>35.0833076204926</v>
      </c>
      <c r="AA41" s="4" t="n">
        <f aca="false" t="array" ref="AA41:AA41">SUM(Demand!AA13*Capacity!AU$3:AU$25*Capacity!$DI13/(TRANSPOSE(Dists!$B12:$X12)*MMULT(1/Dists!$B12:$X12,Capacity!$DI$3:$DI$25)))</f>
        <v>29.6576461445179</v>
      </c>
      <c r="AB41" s="4" t="n">
        <f aca="false" t="array" ref="AB41:AB41">SUM(Demand!AB13*Capacity!AV$3:AV$25*Capacity!$DI13/(TRANSPOSE(Dists!$B12:$X12)*MMULT(1/Dists!$B12:$X12,Capacity!$DI$3:$DI$25)))</f>
        <v>45.0600800520173</v>
      </c>
      <c r="AC41" s="4" t="n">
        <f aca="false" t="array" ref="AC41:AC41">SUM(Demand!AC13*Capacity!AW$3:AW$25*Capacity!$DI13/(TRANSPOSE(Dists!$B12:$X12)*MMULT(1/Dists!$B12:$X12,Capacity!$DI$3:$DI$25)))</f>
        <v>6.52320398179632</v>
      </c>
      <c r="AD41" s="4" t="n">
        <f aca="false" t="array" ref="AD41:AD41">SUM(Demand!AD13*Capacity!AX$3:AX$25*Capacity!$DI13/(TRANSPOSE(Dists!$B12:$X12)*MMULT(1/Dists!$B12:$X12,Capacity!$DI$3:$DI$25)))</f>
        <v>7.37681553423489</v>
      </c>
      <c r="AE41" s="4" t="n">
        <f aca="false" t="array" ref="AE41:AE41">SUM(Demand!AE13*Capacity!AY$3:AY$25*Capacity!$DI13/(TRANSPOSE(Dists!$B12:$X12)*MMULT(1/Dists!$B12:$X12,Capacity!$DI$3:$DI$25)))</f>
        <v>5.27352035394728</v>
      </c>
      <c r="AF41" s="4" t="n">
        <f aca="false" t="array" ref="AF41:AF41">SUM(Demand!AF13*Capacity!AZ$3:AZ$25*Capacity!$DI13/(TRANSPOSE(Dists!$B12:$X12)*MMULT(1/Dists!$B12:$X12,Capacity!$DI$3:$DI$25)))</f>
        <v>0.944803352522117</v>
      </c>
      <c r="AG41" s="4" t="n">
        <f aca="false" t="array" ref="AG41:AG41">SUM(Demand!AG13*Capacity!BA$3:BA$25*Capacity!$DI13/(TRANSPOSE(Dists!$B12:$X12)*MMULT(1/Dists!$B12:$X12,Capacity!$DI$3:$DI$25)))</f>
        <v>1.11916865679632</v>
      </c>
      <c r="AH41" s="4" t="n">
        <f aca="false" t="array" ref="AH41:AH41">SUM(Demand!AH13*Capacity!BB$3:BB$25*Capacity!$DI13/(TRANSPOSE(Dists!$B12:$X12)*MMULT(1/Dists!$B12:$X12,Capacity!$DI$3:$DI$25)))</f>
        <v>2.87655818409076</v>
      </c>
      <c r="AI41" s="4" t="n">
        <f aca="false" t="array" ref="AI41:AI41">SUM(Demand!AI13*Capacity!BC$3:BC$25*Capacity!$DI13/(TRANSPOSE(Dists!$B12:$X12)*MMULT(1/Dists!$B12:$X12,Capacity!$DI$3:$DI$25)))</f>
        <v>0.000721932074577806</v>
      </c>
      <c r="AJ41" s="4" t="n">
        <f aca="false" t="array" ref="AJ41:AJ41">SUM(Demand!AJ13*Capacity!BD$3:BD$25*Capacity!$DI13/(TRANSPOSE(Dists!$B12:$X12)*MMULT(1/Dists!$B12:$X12,Capacity!$DI$3:$DI$25)))</f>
        <v>2.04910132319623</v>
      </c>
      <c r="AK41" s="4" t="n">
        <f aca="false" t="array" ref="AK41:AK41">SUM(Demand!AK13*Capacity!BE$3:BE$25*Capacity!$DI13/(TRANSPOSE(Dists!$B12:$X12)*MMULT(1/Dists!$B12:$X12,Capacity!$DI$3:$DI$25)))</f>
        <v>1.42964459994686</v>
      </c>
      <c r="AL41" s="4" t="n">
        <f aca="false" t="array" ref="AL41:AL41">SUM(Demand!AL13*Capacity!BF$3:BF$25*Capacity!$DI13/(TRANSPOSE(Dists!$B12:$X12)*MMULT(1/Dists!$B12:$X12,Capacity!$DI$3:$DI$25)))</f>
        <v>0.566534479952798</v>
      </c>
      <c r="AM41" s="4" t="n">
        <f aca="false" t="array" ref="AM41:AM41">SUM(Demand!AM13*Capacity!BG$3:BG$25*Capacity!$DI13/(TRANSPOSE(Dists!$B12:$X12)*MMULT(1/Dists!$B12:$X12,Capacity!$DI$3:$DI$25)))</f>
        <v>2.49717070366016</v>
      </c>
      <c r="AN41" s="4" t="n">
        <f aca="false" t="array" ref="AN41:AN41">SUM(Demand!AN13*Capacity!BH$3:BH$25*Capacity!$DI13/(TRANSPOSE(Dists!$B12:$X12)*MMULT(1/Dists!$B12:$X12,Capacity!$DI$3:$DI$25)))</f>
        <v>1.33206519746302</v>
      </c>
      <c r="AO41" s="4" t="n">
        <f aca="false" t="array" ref="AO41:AO41">SUM(Demand!AO13*Capacity!BI$3:BI$25*Capacity!$DI13/(TRANSPOSE(Dists!$B12:$X12)*MMULT(1/Dists!$B12:$X12,Capacity!$DI$3:$DI$25)))</f>
        <v>3.28751549330418</v>
      </c>
      <c r="AP41" s="4" t="n">
        <f aca="false" t="array" ref="AP41:AP41">SUM(Demand!AP13*Capacity!BJ$3:BJ$25*Capacity!$DI13/(TRANSPOSE(Dists!$B12:$X12)*MMULT(1/Dists!$B12:$X12,Capacity!$DI$3:$DI$25)))</f>
        <v>1.84278140235137</v>
      </c>
      <c r="AQ41" s="4" t="n">
        <f aca="false" t="array" ref="AQ41:AQ41">SUM(Demand!AQ13*Capacity!BK$3:BK$25*Capacity!$DI13/(TRANSPOSE(Dists!$B12:$X12)*MMULT(1/Dists!$B12:$X12,Capacity!$DI$3:$DI$25)))</f>
        <v>0.0559621045113239</v>
      </c>
      <c r="AR41" s="4" t="n">
        <f aca="false" t="array" ref="AR41:AR41">SUM(Demand!AR13*Capacity!BL$3:BL$25*Capacity!$DI13/(TRANSPOSE(Dists!$B12:$X12)*MMULT(1/Dists!$B12:$X12,Capacity!$DI$3:$DI$25)))</f>
        <v>0.15925578006092</v>
      </c>
      <c r="AS41" s="4" t="n">
        <f aca="false" t="array" ref="AS41:AS41">SUM(Demand!AS13*Capacity!BM$3:BM$25*Capacity!$DI13/(TRANSPOSE(Dists!$B12:$X12)*MMULT(1/Dists!$B12:$X12,Capacity!$DI$3:$DI$25)))</f>
        <v>0.547368056109068</v>
      </c>
      <c r="AT41" s="4" t="n">
        <f aca="false" t="array" ref="AT41:AT41">SUM(Demand!AT13*Capacity!BN$3:BN$25*Capacity!$DI13/(TRANSPOSE(Dists!$B12:$X12)*MMULT(1/Dists!$B12:$X12,Capacity!$DI$3:$DI$25)))</f>
        <v>4.22981299960817</v>
      </c>
      <c r="AU41" s="4" t="n">
        <f aca="false" t="array" ref="AU41:AU41">SUM(Demand!AU13*Capacity!BO$3:BO$25*Capacity!$DI13/(TRANSPOSE(Dists!$B12:$X12)*MMULT(1/Dists!$B12:$X12,Capacity!$DI$3:$DI$25)))</f>
        <v>0.500252773290193</v>
      </c>
      <c r="AV41" s="4" t="n">
        <f aca="false" t="array" ref="AV41:AV41">SUM(Demand!AV13*Capacity!BP$3:BP$25*Capacity!$DI13/(TRANSPOSE(Dists!$B12:$X12)*MMULT(1/Dists!$B12:$X12,Capacity!$DI$3:$DI$25)))</f>
        <v>0.16656592636849</v>
      </c>
      <c r="AW41" s="4" t="n">
        <f aca="false" t="array" ref="AW41:AW41">SUM(Demand!AW13*Capacity!BQ$3:BQ$25*Capacity!$DI13/(TRANSPOSE(Dists!$B12:$X12)*MMULT(1/Dists!$B12:$X12,Capacity!$DI$3:$DI$25)))</f>
        <v>3.61681571451453</v>
      </c>
      <c r="AX41" s="4" t="n">
        <f aca="false" t="array" ref="AX41:AX41">SUM(Demand!AX13*Capacity!BR$3:BR$25*Capacity!$DI13/(TRANSPOSE(Dists!$B12:$X12)*MMULT(1/Dists!$B12:$X12,Capacity!$DI$3:$DI$25)))</f>
        <v>0.27571924467108</v>
      </c>
      <c r="AY41" s="4" t="n">
        <f aca="false" t="array" ref="AY41:AY41">SUM(Demand!AY13*Capacity!BS$3:BS$25*Capacity!$DI13/(TRANSPOSE(Dists!$B12:$X12)*MMULT(1/Dists!$B12:$X12,Capacity!$DI$3:$DI$25)))</f>
        <v>0.514927695221422</v>
      </c>
      <c r="AZ41" s="4" t="n">
        <f aca="false" t="array" ref="AZ41:AZ41">SUM(Demand!AZ13*Capacity!BT$3:BT$25*Capacity!$DI13/(TRANSPOSE(Dists!$B12:$X12)*MMULT(1/Dists!$B12:$X12,Capacity!$DI$3:$DI$25)))</f>
        <v>4.13602900439288</v>
      </c>
      <c r="BA41" s="4" t="n">
        <f aca="false">BA13</f>
        <v>0.0179003020845378</v>
      </c>
      <c r="BB41" s="4" t="n">
        <f aca="false" t="array" ref="BB41:BB41">SUM(Demand!BB13*Capacity!BV$3:BV$25*Capacity!$DI13/(TRANSPOSE(Dists!$B12:$X12)*MMULT(1/Dists!$B12:$X12,Capacity!$DI$3:$DI$25)))</f>
        <v>0.619656286672875</v>
      </c>
      <c r="BC41" s="4" t="n">
        <f aca="false" t="array" ref="BC41:BC41">SUM(Demand!BC13*Capacity!BW$3:BW$25*Capacity!$DI13/(TRANSPOSE(Dists!$B12:$X12)*MMULT(1/Dists!$B12:$X12,Capacity!$DI$3:$DI$25)))</f>
        <v>0.138850830255057</v>
      </c>
      <c r="BD41" s="4" t="n">
        <f aca="false" t="array" ref="BD41:BD41">SUM(Demand!BD13*Capacity!BX$3:BX$25*Capacity!$DI13/(TRANSPOSE(Dists!$B12:$X12)*MMULT(1/Dists!$B12:$X12,Capacity!$DI$3:$DI$25)))</f>
        <v>0.303094291623898</v>
      </c>
      <c r="BE41" s="4" t="n">
        <f aca="false" t="array" ref="BE41:BE41">SUM(Demand!BE13*Capacity!BY$3:BY$25*Capacity!$DI13/(TRANSPOSE(Dists!$B12:$X12)*MMULT(1/Dists!$B12:$X12,Capacity!$DI$3:$DI$25)))</f>
        <v>0.111856911441195</v>
      </c>
      <c r="BF41" s="4" t="n">
        <f aca="false" t="array" ref="BF41:BF41">SUM(Demand!BF13*Capacity!BZ$3:BZ$25*Capacity!$DI13/(TRANSPOSE(Dists!$B12:$X12)*MMULT(1/Dists!$B12:$X12,Capacity!$DI$3:$DI$25)))</f>
        <v>4.5100203320121</v>
      </c>
      <c r="BG41" s="4" t="n">
        <f aca="false" t="array" ref="BG41:BG41">SUM(Demand!BG13*Capacity!CA$3:CA$25*Capacity!$DI13/(TRANSPOSE(Dists!$B12:$X12)*MMULT(1/Dists!$B12:$X12,Capacity!$DI$3:$DI$25)))</f>
        <v>13.9872086753025</v>
      </c>
      <c r="BH41" s="4" t="n">
        <f aca="false" t="array" ref="BH41:BH41">SUM(Demand!BH13*Capacity!CB$3:CB$25*Capacity!$DI13/(TRANSPOSE(Dists!$B12:$X12)*MMULT(1/Dists!$B12:$X12,Capacity!$DI$3:$DI$25)))</f>
        <v>27.974417350605</v>
      </c>
      <c r="BI41" s="4" t="n">
        <f aca="false" t="array" ref="BI41:BI41">SUM(Demand!BI13*Capacity!CC$3:CC$25*Capacity!$DI13/(TRANSPOSE(Dists!$B12:$X12)*MMULT(1/Dists!$B12:$X12,Capacity!$DI$3:$DI$25)))</f>
        <v>37.29922313414</v>
      </c>
      <c r="BJ41" s="4" t="n">
        <f aca="false" t="array" ref="BJ41:BJ41">SUM(Demand!BJ13*Capacity!CD$3:CD$25*Capacity!$DI13/(TRANSPOSE(Dists!$B12:$X12)*MMULT(1/Dists!$B12:$X12,Capacity!$DI$3:$DI$25)))</f>
        <v>697.47186976765</v>
      </c>
      <c r="BK41" s="4" t="n">
        <f aca="false" t="array" ref="BK41:BK41">SUM(Demand!BK13*Capacity!CE$3:CE$25*Capacity!$DI13/(TRANSPOSE(Dists!$B12:$X12)*MMULT(1/Dists!$B12:$X12,Capacity!$DI$3:$DI$25)))</f>
        <v>18.64961156707</v>
      </c>
      <c r="BL41" s="4" t="n">
        <f aca="false" t="array" ref="BL41:BL41">SUM(Demand!BL13*Capacity!CF$3:CF$25*Capacity!$DI13/(TRANSPOSE(Dists!$B12:$X12)*MMULT(1/Dists!$B12:$X12,Capacity!$DI$3:$DI$25)))</f>
        <v>1032.39895369865</v>
      </c>
      <c r="BM41" s="4" t="n">
        <f aca="false" t="array" ref="BM41:BM41">SUM(Demand!BM13*Capacity!CG$3:CG$25*Capacity!$DI13/(TRANSPOSE(Dists!$B12:$X12)*MMULT(1/Dists!$B12:$X12,Capacity!$DI$3:$DI$25)))</f>
        <v>99.5977254992643</v>
      </c>
      <c r="BN41" s="4" t="n">
        <f aca="false">BN13</f>
        <v>0.000350628748243427</v>
      </c>
      <c r="BO41" s="4" t="n">
        <f aca="false" t="array" ref="BO41:BO41">SUM(Demand!BO13*Capacity!CI$3:CI$25*Capacity!$DI13/(TRANSPOSE(Dists!$B12:$X12)*MMULT(1/Dists!$B12:$X12,Capacity!$DI$3:$DI$25)))</f>
        <v>12.7962814419958</v>
      </c>
      <c r="BP41" s="4" t="n">
        <f aca="false" t="array" ref="BP41:BP41">SUM(Demand!BP13*Capacity!CJ$3:CJ$25*Capacity!$DI13/(TRANSPOSE(Dists!$B12:$X12)*MMULT(1/Dists!$B12:$X12,Capacity!$DI$3:$DI$25)))</f>
        <v>20.8063514301261</v>
      </c>
      <c r="BQ41" s="4" t="n">
        <f aca="false">BQ13</f>
        <v>0.000227908686358228</v>
      </c>
      <c r="BR41" s="4" t="n">
        <f aca="false" t="array" ref="BR41:BR41">SUM(Demand!BR13*Capacity!CL$3:CL$25*Capacity!$DI13/(TRANSPOSE(Dists!$B12:$X12)*MMULT(1/Dists!$B12:$X12,Capacity!$DI$3:$DI$25)))</f>
        <v>0.426542810152931</v>
      </c>
      <c r="BS41" s="4" t="n">
        <f aca="false" t="array" ref="BS41:BS41">SUM(Demand!BS13*Capacity!CM$3:CM$25*Capacity!$DI13/(TRANSPOSE(Dists!$B12:$X12)*MMULT(1/Dists!$B12:$X12,Capacity!$DI$3:$DI$25)))</f>
        <v>0.0426542810152932</v>
      </c>
      <c r="BT41" s="4" t="n">
        <f aca="false">BT13</f>
        <v>4.96061287856996</v>
      </c>
      <c r="BU41" s="4" t="n">
        <f aca="false">BU13</f>
        <v>0.496061287856996</v>
      </c>
      <c r="BV41" s="4" t="n">
        <f aca="false">BV13</f>
        <v>0.0496061287856996</v>
      </c>
      <c r="BW41" s="4" t="n">
        <f aca="false">BW13</f>
        <v>1789.92854748144</v>
      </c>
      <c r="BX41" s="4" t="n">
        <f aca="false" t="array" ref="BX41:BX41">SUM(Demand!BX13*Capacity!CR$3:CR$25*Capacity!$DI13/(TRANSPOSE(Dists!$B12:$X12)*MMULT(1/Dists!$B12:$X12,Capacity!$DI$3:$DI$25)))</f>
        <v>1.49411802382951</v>
      </c>
      <c r="BY41" s="4" t="n">
        <f aca="false" t="array" ref="BY41:BY41">SUM(Demand!BY13*Capacity!CS$3:CS$25*Capacity!$DI13/(TRANSPOSE(Dists!$B12:$X12)*MMULT(1/Dists!$B12:$X12,Capacity!$DI$3:$DI$25)))</f>
        <v>94.4461560253565</v>
      </c>
      <c r="BZ41" s="4" t="n">
        <f aca="false" t="array" ref="BZ41:BZ41">SUM(Demand!BZ13*Capacity!CT$3:CT$25*Capacity!$DI13/(TRANSPOSE(Dists!$B12:$X12)*MMULT(1/Dists!$B12:$X12,Capacity!$DI$3:$DI$25)))</f>
        <v>0.328335702805677</v>
      </c>
      <c r="CA41" s="4" t="n">
        <f aca="false" t="array" ref="CA41:CA41">SUM(Demand!CA13*Capacity!CU$3:CU$25*Capacity!$DI13/(TRANSPOSE(Dists!$B12:$X12)*MMULT(1/Dists!$B12:$X12,Capacity!$DI$3:$DI$25)))</f>
        <v>0.138575946807676</v>
      </c>
      <c r="CB41" s="4" t="n">
        <f aca="false" t="array" ref="CB41:CB41">SUM(Demand!CB13*Capacity!CV$3:CV$25*Capacity!$DI13/(TRANSPOSE(Dists!$B12:$X12)*MMULT(1/Dists!$B12:$X12,Capacity!$DI$3:$DI$25)))</f>
        <v>961.65438034602</v>
      </c>
      <c r="CC41" s="4" t="n">
        <f aca="false" t="array" ref="CC41:CC41">SUM(Demand!CC13*Capacity!CW$3:CW$25*Capacity!$DI13/(TRANSPOSE(Dists!$B12:$X12)*MMULT(1/Dists!$B12:$X12,Capacity!$DI$3:$DI$25)))</f>
        <v>1213.89923578186</v>
      </c>
      <c r="CD41" s="4" t="n">
        <f aca="false">SUM($BG41,$BI41,$BK41)*Capacity!CX13/SUM(Capacity!$AM13:$AN13,Capacity!$CX13)</f>
        <v>63.2946880096844</v>
      </c>
      <c r="CE41" s="4" t="n">
        <f aca="false" t="array" ref="CE41:CE41">SUM(Demand!CE13*Capacity!CY$3:CY$25*Capacity!$DI13/(TRANSPOSE(Dists!$B12:$X12)*MMULT(1/Dists!$B12:$X12,Capacity!$DI$3:$DI$25)))</f>
        <v>10.394574867594</v>
      </c>
      <c r="CF41" s="4" t="n">
        <f aca="false" t="array" ref="CF41:CF41">SUM(Demand!CF13*Capacity!CZ$3:CZ$25*Capacity!$DI13/(TRANSPOSE(Dists!$B12:$X12)*MMULT(1/Dists!$B12:$X12,Capacity!$DI$3:$DI$25)))</f>
        <v>1015.43585447605</v>
      </c>
      <c r="CG41" s="4" t="n">
        <f aca="false" t="array" ref="CG41:CG41">SUM(Demand!CG13*Capacity!DA$3:DA$25*Capacity!$DI13/(TRANSPOSE(Dists!$B12:$X12)*MMULT(1/Dists!$B12:$X12,Capacity!$DI$3:$DI$25)))</f>
        <v>1.52048608807093</v>
      </c>
      <c r="CH41" s="4" t="n">
        <f aca="false" t="array" ref="CH41:CH41">SUM(Demand!CH13*Capacity!DB$3:DB$25*Capacity!$DI13/(TRANSPOSE(Dists!$B12:$X12)*MMULT(1/Dists!$B12:$X12,Capacity!$DI$3:$DI$25)))</f>
        <v>1.64477747580209</v>
      </c>
      <c r="CI41" s="4" t="n">
        <f aca="false" t="array" ref="CI41:CI41">SUM(Demand!CI13*Capacity!DC$3:DC$25*Capacity!$DI13/(TRANSPOSE(Dists!$B12:$X12)*MMULT(1/Dists!$B12:$X12,Capacity!$DI$3:$DI$25)))</f>
        <v>0.345724543335976</v>
      </c>
      <c r="CJ41" s="4" t="n">
        <f aca="false" t="array" ref="CJ41:CJ41">SUM(Demand!CJ13*Capacity!DD$3:DD$25*Capacity!$DI13/(TRANSPOSE(Dists!$B12:$X12)*MMULT(1/Dists!$B12:$X12,Capacity!$DI$3:$DI$25)))</f>
        <v>0.136106729538062</v>
      </c>
      <c r="CK41" s="4" t="n">
        <f aca="false" t="array" ref="CK41:CK41">SUM(Demand!CK13*Capacity!DE$3:DE$25*Capacity!$DI13/(TRANSPOSE(Dists!$B12:$X12)*MMULT(1/Dists!$B12:$X12,Capacity!$DI$3:$DI$25)))</f>
        <v>9.00066324852075</v>
      </c>
      <c r="CL41" s="7" t="s">
        <v>320</v>
      </c>
    </row>
    <row r="42" customFormat="false" ht="12.8" hidden="false" customHeight="false" outlineLevel="0" collapsed="false">
      <c r="A42" s="4" t="s">
        <v>147</v>
      </c>
      <c r="B42" s="7" t="s">
        <v>39</v>
      </c>
      <c r="C42" s="4" t="n">
        <f aca="false" t="array" ref="C42:C42">SUM(Demand!C14*Capacity!S$3:S$25*Capacity!$DH14/(TRANSPOSE(Dists!$B13:$X13)*MMULT(1/Dists!$B13:$X13,Capacity!$DH$3:$DH$25)))</f>
        <v>0.0055349518319342</v>
      </c>
      <c r="D42" s="4" t="n">
        <f aca="false" t="array" ref="D42:D42">SUM(Demand!D14*Capacity!V$3:V$25*Capacity!$DH14/(TRANSPOSE(Dists!$B13:$X13)*MMULT(1/Dists!$B13:$X13,Capacity!$DH$3:$DH$25)))</f>
        <v>880.53194873573</v>
      </c>
      <c r="E42" s="4" t="n">
        <f aca="false" t="array" ref="E42:E42">SUM(Demand!E14*Capacity!Y$3:Y$25*Capacity!$DH14/(TRANSPOSE(Dists!$B13:$X13)*MMULT(1/Dists!$B13:$X13,Capacity!$DH$3:$DH$25)))</f>
        <v>487.894502800357</v>
      </c>
      <c r="F42" s="4" t="n">
        <f aca="false">$E14*Capacity!$M14/(2*(1-Capacity!$H$28)*Capacity!$H14)</f>
        <v>101.362651432848</v>
      </c>
      <c r="G42" s="4" t="n">
        <f aca="false" t="array" ref="G42:G42">SUM(Demand!G14*Capacity!AA$3:AA$25*Capacity!$DH14/(TRANSPOSE(Dists!$B13:$X13)*MMULT(1/Dists!$B13:$X13,Capacity!$DH$3:$DH$25)))</f>
        <v>448.336543345258</v>
      </c>
      <c r="H42" s="4" t="n">
        <f aca="false" t="array" ref="H42:H42">SUM(Demand!H14*Capacity!AB$3:AB$25*Capacity!$DH14/(TRANSPOSE(Dists!$B13:$X13)*MMULT(1/Dists!$B13:$X13,Capacity!$DH$3:$DH$25)))</f>
        <v>1.18235354428843</v>
      </c>
      <c r="I42" s="4" t="n">
        <f aca="false" t="array" ref="I42:I42">SUM(Demand!I14*Capacity!AC$3:AC$25*Capacity!$DG14/(TRANSPOSE(Dists!$B13:$X13)*MMULT(1/Dists!$B13:$X13,Capacity!$DG$3:$DG$25)))</f>
        <v>1.28770508681161</v>
      </c>
      <c r="J42" s="4" t="n">
        <f aca="false" t="array" ref="J42:J42">SUM(Demand!J14*Capacity!AD$3:AD$25*Capacity!$DG14/(TRANSPOSE(Dists!$B13:$X13)*MMULT(1/Dists!$B13:$X13,Capacity!$DG$3:$DG$25)))</f>
        <v>0.585846983005969</v>
      </c>
      <c r="K42" s="4" t="n">
        <f aca="false">5479.45205479452*$R14</f>
        <v>273013.278179934</v>
      </c>
      <c r="L42" s="4" t="n">
        <f aca="false">17142.8571428571*$S14</f>
        <v>54423.0772315297</v>
      </c>
      <c r="M42" s="4" t="n">
        <f aca="false">IF(50420.1680672269*$T14&gt;($K14/20),50420.1680672269*$T14-($K14/20),0)</f>
        <v>75811.9288003675</v>
      </c>
      <c r="N42" s="4" t="n">
        <f aca="false" t="array" ref="N42:N42">SUM(Demand!N14*Capacity!AH$3:AH$25*Capacity!$DH14/(TRANSPOSE(Dists!$B13:$X13)*MMULT(1/Dists!$B13:$X13,Capacity!$DH$3:$DH$25)))</f>
        <v>421.629375965506</v>
      </c>
      <c r="O42" s="4" t="n">
        <f aca="false">D42/0.8</f>
        <v>1100.66493591966</v>
      </c>
      <c r="P42" s="4" t="n">
        <f aca="false">O42/0.8</f>
        <v>1375.83116989958</v>
      </c>
      <c r="Q42" s="4" t="n">
        <f aca="false" t="array" ref="Q42:Q42">SUM(Demand!Q14*Capacity!AK$3:AK$25*Capacity!$DI14/(TRANSPOSE(Dists!$B13:$X13)*MMULT(1/Dists!$B13:$X13,Capacity!$DI$3:$DI$25)))</f>
        <v>21.0841080541175</v>
      </c>
      <c r="R42" s="4" t="n">
        <f aca="false" t="array" ref="R42:R42">SUM(Demand!R14*Capacity!AL$3:AL$25*Capacity!$DH14/(TRANSPOSE(Dists!$B13:$X13)*MMULT(1/Dists!$B13:$X13,Capacity!$DH$3:$DH$25)))</f>
        <v>90.7768691266786</v>
      </c>
      <c r="S42" s="4" t="n">
        <f aca="false">SUM($BG42,$BI42,$BK42)*Capacity!AM14/SUM(Capacity!$AM14:$AN14,Capacity!$CX14)</f>
        <v>3.17467950517257</v>
      </c>
      <c r="T42" s="4" t="n">
        <f aca="false">SUM($BG42,$BI42,$BK42)*Capacity!AN14/SUM(Capacity!$AM14:$AN14,Capacity!$CX14)</f>
        <v>1.77434142206906</v>
      </c>
      <c r="U42" s="4" t="n">
        <f aca="false">$M14*120*2/(16*1000*2000)</f>
        <v>0.568589466002756</v>
      </c>
      <c r="V42" s="4" t="n">
        <f aca="false" t="array" ref="V42:V42">SUM(Demand!V14*Capacity!AP$3:AP$25*Capacity!$DH14/(TRANSPOSE(Dists!$B13:$X13)*MMULT(1/Dists!$B13:$X13,Capacity!$DH$3:$DH$25)))</f>
        <v>208.281340140814</v>
      </c>
      <c r="W42" s="4" t="n">
        <f aca="false" t="array" ref="W42:W42">SUM(Demand!W14*Capacity!AQ$3:AQ$25*Capacity!$DH14/(TRANSPOSE(Dists!$B13:$X13)*MMULT(1/Dists!$B13:$X13,Capacity!$DH$3:$DH$25)))</f>
        <v>102.457845968287</v>
      </c>
      <c r="X42" s="4" t="n">
        <f aca="false" t="array" ref="X42:X42">SUM(Demand!X14*Capacity!AR$3:AR$25*Capacity!$DH14/(TRANSPOSE(Dists!$B13:$X13)*MMULT(1/Dists!$B13:$X13,Capacity!$DH$3:$DH$25)))</f>
        <v>941.378147491819</v>
      </c>
      <c r="Y42" s="4" t="n">
        <f aca="false">$L14*600*6/(90*1000*2000)</f>
        <v>1.08846154463059</v>
      </c>
      <c r="Z42" s="4" t="n">
        <f aca="false" t="array" ref="Z42:Z42">SUM(Demand!Z14*Capacity!AT$3:AT$25*Capacity!$DI14/(TRANSPOSE(Dists!$B13:$X13)*MMULT(1/Dists!$B13:$X13,Capacity!$DI$3:$DI$25)))</f>
        <v>21.4047556292866</v>
      </c>
      <c r="AA42" s="4" t="n">
        <f aca="false" t="array" ref="AA42:AA42">SUM(Demand!AA14*Capacity!AU$3:AU$25*Capacity!$DI14/(TRANSPOSE(Dists!$B13:$X13)*MMULT(1/Dists!$B13:$X13,Capacity!$DI$3:$DI$25)))</f>
        <v>20.9921943019586</v>
      </c>
      <c r="AB42" s="4" t="n">
        <f aca="false" t="array" ref="AB42:AB42">SUM(Demand!AB14*Capacity!AV$3:AV$25*Capacity!$DI14/(TRANSPOSE(Dists!$B13:$X13)*MMULT(1/Dists!$B13:$X13,Capacity!$DI$3:$DI$25)))</f>
        <v>34.1449896241271</v>
      </c>
      <c r="AC42" s="4" t="n">
        <f aca="false" t="array" ref="AC42:AC42">SUM(Demand!AC14*Capacity!AW$3:AW$25*Capacity!$DI14/(TRANSPOSE(Dists!$B13:$X13)*MMULT(1/Dists!$B13:$X13,Capacity!$DI$3:$DI$25)))</f>
        <v>3.92990155600492</v>
      </c>
      <c r="AD42" s="4" t="n">
        <f aca="false" t="array" ref="AD42:AD42">SUM(Demand!AD14*Capacity!AX$3:AX$25*Capacity!$DI14/(TRANSPOSE(Dists!$B13:$X13)*MMULT(1/Dists!$B13:$X13,Capacity!$DI$3:$DI$25)))</f>
        <v>5.58989885470195</v>
      </c>
      <c r="AE42" s="4" t="n">
        <f aca="false" t="array" ref="AE42:AE42">SUM(Demand!AE14*Capacity!AY$3:AY$25*Capacity!$DI14/(TRANSPOSE(Dists!$B13:$X13)*MMULT(1/Dists!$B13:$X13,Capacity!$DI$3:$DI$25)))</f>
        <v>8.80576894522836</v>
      </c>
      <c r="AF42" s="4" t="n">
        <f aca="false" t="array" ref="AF42:AF42">SUM(Demand!AF14*Capacity!AZ$3:AZ$25*Capacity!$DI14/(TRANSPOSE(Dists!$B13:$X13)*MMULT(1/Dists!$B13:$X13,Capacity!$DI$3:$DI$25)))</f>
        <v>0.921380429295712</v>
      </c>
      <c r="AG42" s="4" t="n">
        <f aca="false" t="array" ref="AG42:AG42">SUM(Demand!AG14*Capacity!BA$3:BA$25*Capacity!$DI14/(TRANSPOSE(Dists!$B13:$X13)*MMULT(1/Dists!$B13:$X13,Capacity!$DI$3:$DI$25)))</f>
        <v>5.94775980348679</v>
      </c>
      <c r="AH42" s="4" t="n">
        <f aca="false" t="array" ref="AH42:AH42">SUM(Demand!AH14*Capacity!BB$3:BB$25*Capacity!$DI14/(TRANSPOSE(Dists!$B13:$X13)*MMULT(1/Dists!$B13:$X13,Capacity!$DI$3:$DI$25)))</f>
        <v>3.0363345421456</v>
      </c>
      <c r="AI42" s="4" t="n">
        <f aca="false" t="array" ref="AI42:AI42">SUM(Demand!AI14*Capacity!BC$3:BC$25*Capacity!$DI14/(TRANSPOSE(Dists!$B13:$X13)*MMULT(1/Dists!$B13:$X13,Capacity!$DI$3:$DI$25)))</f>
        <v>0.250276440765105</v>
      </c>
      <c r="AJ42" s="4" t="n">
        <f aca="false" t="array" ref="AJ42:AJ42">SUM(Demand!AJ14*Capacity!BD$3:BD$25*Capacity!$DI14/(TRANSPOSE(Dists!$B13:$X13)*MMULT(1/Dists!$B13:$X13,Capacity!$DI$3:$DI$25)))</f>
        <v>0.710520070987781</v>
      </c>
      <c r="AK42" s="4" t="n">
        <f aca="false" t="array" ref="AK42:AK42">SUM(Demand!AK14*Capacity!BE$3:BE$25*Capacity!$DI14/(TRANSPOSE(Dists!$B13:$X13)*MMULT(1/Dists!$B13:$X13,Capacity!$DI$3:$DI$25)))</f>
        <v>1.28913054437397</v>
      </c>
      <c r="AL42" s="4" t="n">
        <f aca="false" t="array" ref="AL42:AL42">SUM(Demand!AL14*Capacity!BF$3:BF$25*Capacity!$DI14/(TRANSPOSE(Dists!$B13:$X13)*MMULT(1/Dists!$B13:$X13,Capacity!$DI$3:$DI$25)))</f>
        <v>0.565060004113265</v>
      </c>
      <c r="AM42" s="4" t="n">
        <f aca="false" t="array" ref="AM42:AM42">SUM(Demand!AM14*Capacity!BG$3:BG$25*Capacity!$DI14/(TRANSPOSE(Dists!$B13:$X13)*MMULT(1/Dists!$B13:$X13,Capacity!$DI$3:$DI$25)))</f>
        <v>0.882054690871525</v>
      </c>
      <c r="AN42" s="4" t="n">
        <f aca="false" t="array" ref="AN42:AN42">SUM(Demand!AN14*Capacity!BH$3:BH$25*Capacity!$DI14/(TRANSPOSE(Dists!$B13:$X13)*MMULT(1/Dists!$B13:$X13,Capacity!$DI$3:$DI$25)))</f>
        <v>1.49780750914583</v>
      </c>
      <c r="AO42" s="4" t="n">
        <f aca="false" t="array" ref="AO42:AO42">SUM(Demand!AO14*Capacity!BI$3:BI$25*Capacity!$DI14/(TRANSPOSE(Dists!$B13:$X13)*MMULT(1/Dists!$B13:$X13,Capacity!$DI$3:$DI$25)))</f>
        <v>1.61480237197861</v>
      </c>
      <c r="AP42" s="4" t="n">
        <f aca="false" t="array" ref="AP42:AP42">SUM(Demand!AP14*Capacity!BJ$3:BJ$25*Capacity!$DI14/(TRANSPOSE(Dists!$B13:$X13)*MMULT(1/Dists!$B13:$X13,Capacity!$DI$3:$DI$25)))</f>
        <v>0.601703495080016</v>
      </c>
      <c r="AQ42" s="4" t="n">
        <f aca="false" t="array" ref="AQ42:AQ42">SUM(Demand!AQ14*Capacity!BK$3:BK$25*Capacity!$DI14/(TRANSPOSE(Dists!$B13:$X13)*MMULT(1/Dists!$B13:$X13,Capacity!$DI$3:$DI$25)))</f>
        <v>0.100123547715108</v>
      </c>
      <c r="AR42" s="4" t="n">
        <f aca="false" t="array" ref="AR42:AR42">SUM(Demand!AR14*Capacity!BL$3:BL$25*Capacity!$DI14/(TRANSPOSE(Dists!$B13:$X13)*MMULT(1/Dists!$B13:$X13,Capacity!$DI$3:$DI$25)))</f>
        <v>0.216413135842807</v>
      </c>
      <c r="AS42" s="4" t="n">
        <f aca="false" t="array" ref="AS42:AS42">SUM(Demand!AS14*Capacity!BM$3:BM$25*Capacity!$DI14/(TRANSPOSE(Dists!$B13:$X13)*MMULT(1/Dists!$B13:$X13,Capacity!$DI$3:$DI$25)))</f>
        <v>0.990553885015856</v>
      </c>
      <c r="AT42" s="4" t="n">
        <f aca="false" t="array" ref="AT42:AT42">SUM(Demand!AT14*Capacity!BN$3:BN$25*Capacity!$DI14/(TRANSPOSE(Dists!$B13:$X13)*MMULT(1/Dists!$B13:$X13,Capacity!$DI$3:$DI$25)))</f>
        <v>2.17425539211555</v>
      </c>
      <c r="AU42" s="4" t="n">
        <f aca="false" t="array" ref="AU42:AU42">SUM(Demand!AU14*Capacity!BO$3:BO$25*Capacity!$DI14/(TRANSPOSE(Dists!$B13:$X13)*MMULT(1/Dists!$B13:$X13,Capacity!$DI$3:$DI$25)))</f>
        <v>6.79288202635073</v>
      </c>
      <c r="AV42" s="4" t="n">
        <f aca="false" t="array" ref="AV42:AV42">SUM(Demand!AV14*Capacity!BP$3:BP$25*Capacity!$DI14/(TRANSPOSE(Dists!$B13:$X13)*MMULT(1/Dists!$B13:$X13,Capacity!$DI$3:$DI$25)))</f>
        <v>0.0427449898038119</v>
      </c>
      <c r="AW42" s="4" t="n">
        <f aca="false" t="array" ref="AW42:AW42">SUM(Demand!AW14*Capacity!BQ$3:BQ$25*Capacity!$DI14/(TRANSPOSE(Dists!$B13:$X13)*MMULT(1/Dists!$B13:$X13,Capacity!$DI$3:$DI$25)))</f>
        <v>2.20217007857354</v>
      </c>
      <c r="AX42" s="4" t="n">
        <f aca="false" t="array" ref="AX42:AX42">SUM(Demand!AX14*Capacity!BR$3:BR$25*Capacity!$DI14/(TRANSPOSE(Dists!$B13:$X13)*MMULT(1/Dists!$B13:$X13,Capacity!$DI$3:$DI$25)))</f>
        <v>0.292203880865585</v>
      </c>
      <c r="AY42" s="4" t="n">
        <f aca="false" t="array" ref="AY42:AY42">SUM(Demand!AY14*Capacity!BS$3:BS$25*Capacity!$DI14/(TRANSPOSE(Dists!$B13:$X13)*MMULT(1/Dists!$B13:$X13,Capacity!$DI$3:$DI$25)))</f>
        <v>0.273211546820716</v>
      </c>
      <c r="AZ42" s="4" t="n">
        <f aca="false" t="array" ref="AZ42:AZ42">SUM(Demand!AZ14*Capacity!BT$3:BT$25*Capacity!$DI14/(TRANSPOSE(Dists!$B13:$X13)*MMULT(1/Dists!$B13:$X13,Capacity!$DI$3:$DI$25)))</f>
        <v>2.64795574483682</v>
      </c>
      <c r="BA42" s="4" t="n">
        <f aca="false">BA14</f>
        <v>0.0133389895175318</v>
      </c>
      <c r="BB42" s="4" t="n">
        <f aca="false" t="array" ref="BB42:BB42">SUM(Demand!BB14*Capacity!BV$3:BV$25*Capacity!$DI14/(TRANSPOSE(Dists!$B13:$X13)*MMULT(1/Dists!$B13:$X13,Capacity!$DI$3:$DI$25)))</f>
        <v>0.5574701716009</v>
      </c>
      <c r="BC42" s="4" t="n">
        <f aca="false" t="array" ref="BC42:BC42">SUM(Demand!BC14*Capacity!BW$3:BW$25*Capacity!$DI14/(TRANSPOSE(Dists!$B13:$X13)*MMULT(1/Dists!$B13:$X13,Capacity!$DI$3:$DI$25)))</f>
        <v>0.206704792040964</v>
      </c>
      <c r="BD42" s="4" t="n">
        <f aca="false" t="array" ref="BD42:BD42">SUM(Demand!BD14*Capacity!BX$3:BX$25*Capacity!$DI14/(TRANSPOSE(Dists!$B13:$X13)*MMULT(1/Dists!$B13:$X13,Capacity!$DI$3:$DI$25)))</f>
        <v>0.225686888957357</v>
      </c>
      <c r="BE42" s="4" t="n">
        <f aca="false" t="array" ref="BE42:BE42">SUM(Demand!BE14*Capacity!BY$3:BY$25*Capacity!$DI14/(TRANSPOSE(Dists!$B13:$X13)*MMULT(1/Dists!$B13:$X13,Capacity!$DI$3:$DI$25)))</f>
        <v>0.110548870296859</v>
      </c>
      <c r="BF42" s="4" t="n">
        <f aca="false" t="array" ref="BF42:BF42">SUM(Demand!BF14*Capacity!BZ$3:BZ$25*Capacity!$DI14/(TRANSPOSE(Dists!$B13:$X13)*MMULT(1/Dists!$B13:$X13,Capacity!$DI$3:$DI$25)))</f>
        <v>5.36949334426672</v>
      </c>
      <c r="BG42" s="4" t="n">
        <f aca="false" t="array" ref="BG42:BG42">SUM(Demand!BG14*Capacity!CA$3:CA$25*Capacity!$DI14/(TRANSPOSE(Dists!$B13:$X13)*MMULT(1/Dists!$B13:$X13,Capacity!$DI$3:$DI$25)))</f>
        <v>10.5990289972271</v>
      </c>
      <c r="BH42" s="4" t="n">
        <f aca="false" t="array" ref="BH42:BH42">SUM(Demand!BH14*Capacity!CB$3:CB$25*Capacity!$DI14/(TRANSPOSE(Dists!$B13:$X13)*MMULT(1/Dists!$B13:$X13,Capacity!$DI$3:$DI$25)))</f>
        <v>21.1980579944542</v>
      </c>
      <c r="BI42" s="4" t="n">
        <f aca="false" t="array" ref="BI42:BI42">SUM(Demand!BI14*Capacity!CC$3:CC$25*Capacity!$DI14/(TRANSPOSE(Dists!$B13:$X13)*MMULT(1/Dists!$B13:$X13,Capacity!$DI$3:$DI$25)))</f>
        <v>28.2640773259389</v>
      </c>
      <c r="BJ42" s="4" t="n">
        <f aca="false" t="array" ref="BJ42:BJ42">SUM(Demand!BJ14*Capacity!CD$3:CD$25*Capacity!$DI14/(TRANSPOSE(Dists!$B13:$X13)*MMULT(1/Dists!$B13:$X13,Capacity!$DI$3:$DI$25)))</f>
        <v>1500.05878532367</v>
      </c>
      <c r="BK42" s="4" t="n">
        <f aca="false" t="array" ref="BK42:BK42">SUM(Demand!BK14*Capacity!CE$3:CE$25*Capacity!$DI14/(TRANSPOSE(Dists!$B13:$X13)*MMULT(1/Dists!$B13:$X13,Capacity!$DI$3:$DI$25)))</f>
        <v>14.1320386629694</v>
      </c>
      <c r="BL42" s="4" t="n">
        <f aca="false" t="array" ref="BL42:BL42">SUM(Demand!BL14*Capacity!CF$3:CF$25*Capacity!$DI14/(TRANSPOSE(Dists!$B13:$X13)*MMULT(1/Dists!$B13:$X13,Capacity!$DI$3:$DI$25)))</f>
        <v>71.0777513647814</v>
      </c>
      <c r="BM42" s="4" t="n">
        <f aca="false" t="array" ref="BM42:BM42">SUM(Demand!BM14*Capacity!CG$3:CG$25*Capacity!$DI14/(TRANSPOSE(Dists!$B13:$X13)*MMULT(1/Dists!$B13:$X13,Capacity!$DI$3:$DI$25)))</f>
        <v>199.020565738762</v>
      </c>
      <c r="BN42" s="4" t="n">
        <f aca="false">BN14</f>
        <v>0.000318183462392057</v>
      </c>
      <c r="BO42" s="4" t="n">
        <f aca="false" t="array" ref="BO42:BO42">SUM(Demand!BO14*Capacity!CI$3:CI$25*Capacity!$DI14/(TRANSPOSE(Dists!$B13:$X13)*MMULT(1/Dists!$B13:$X13,Capacity!$DI$3:$DI$25)))</f>
        <v>5.48126266929668</v>
      </c>
      <c r="BP42" s="4" t="n">
        <f aca="false" t="array" ref="BP42:BP42">SUM(Demand!BP14*Capacity!CJ$3:CJ$25*Capacity!$DI14/(TRANSPOSE(Dists!$B13:$X13)*MMULT(1/Dists!$B13:$X13,Capacity!$DI$3:$DI$25)))</f>
        <v>11.5322765598837</v>
      </c>
      <c r="BQ42" s="4" t="n">
        <f aca="false">BQ14</f>
        <v>0.000206819250554837</v>
      </c>
      <c r="BR42" s="4" t="n">
        <f aca="false" t="array" ref="BR42:BR42">SUM(Demand!BR14*Capacity!CL$3:CL$25*Capacity!$DI14/(TRANSPOSE(Dists!$B13:$X13)*MMULT(1/Dists!$B13:$X13,Capacity!$DI$3:$DI$25)))</f>
        <v>0.18270885838586</v>
      </c>
      <c r="BS42" s="4" t="n">
        <f aca="false" t="array" ref="BS42:BS42">SUM(Demand!BS14*Capacity!CM$3:CM$25*Capacity!$DI14/(TRANSPOSE(Dists!$B13:$X13)*MMULT(1/Dists!$B13:$X13,Capacity!$DI$3:$DI$25)))</f>
        <v>0.018270885838586</v>
      </c>
      <c r="BT42" s="4" t="n">
        <f aca="false">BT14</f>
        <v>2.4965068425815</v>
      </c>
      <c r="BU42" s="4" t="n">
        <f aca="false">BU14</f>
        <v>0.24965068425815</v>
      </c>
      <c r="BV42" s="4" t="n">
        <f aca="false">BV14</f>
        <v>0.0249650684258151</v>
      </c>
      <c r="BW42" s="4" t="n">
        <f aca="false">BW14</f>
        <v>1356.34671778499</v>
      </c>
      <c r="BX42" s="4" t="n">
        <f aca="false" t="array" ref="BX42:BX42">SUM(Demand!BX14*Capacity!CR$3:CR$25*Capacity!$DI14/(TRANSPOSE(Dists!$B13:$X13)*MMULT(1/Dists!$B13:$X13,Capacity!$DI$3:$DI$25)))</f>
        <v>0.662238399972864</v>
      </c>
      <c r="BY42" s="4" t="n">
        <f aca="false" t="array" ref="BY42:BY42">SUM(Demand!BY14*Capacity!CS$3:CS$25*Capacity!$DI14/(TRANSPOSE(Dists!$B13:$X13)*MMULT(1/Dists!$B13:$X13,Capacity!$DI$3:$DI$25)))</f>
        <v>322.071247769821</v>
      </c>
      <c r="BZ42" s="4" t="n">
        <f aca="false" t="array" ref="BZ42:BZ42">SUM(Demand!BZ14*Capacity!CT$3:CT$25*Capacity!$DI14/(TRANSPOSE(Dists!$B13:$X13)*MMULT(1/Dists!$B13:$X13,Capacity!$DI$3:$DI$25)))</f>
        <v>1.52366816264248</v>
      </c>
      <c r="CA42" s="4" t="n">
        <f aca="false" t="array" ref="CA42:CA42">SUM(Demand!CA14*Capacity!CU$3:CU$25*Capacity!$DI14/(TRANSPOSE(Dists!$B13:$X13)*MMULT(1/Dists!$B13:$X13,Capacity!$DI$3:$DI$25)))</f>
        <v>0.00599015908866845</v>
      </c>
      <c r="CB42" s="4" t="n">
        <f aca="false" t="array" ref="CB42:CB42">SUM(Demand!CB14*Capacity!CV$3:CV$25*Capacity!$DI14/(TRANSPOSE(Dists!$B13:$X13)*MMULT(1/Dists!$B13:$X13,Capacity!$DI$3:$DI$25)))</f>
        <v>512.921317597724</v>
      </c>
      <c r="CC42" s="4" t="n">
        <f aca="false" t="array" ref="CC42:CC42">SUM(Demand!CC14*Capacity!CW$3:CW$25*Capacity!$DI14/(TRANSPOSE(Dists!$B13:$X13)*MMULT(1/Dists!$B13:$X13,Capacity!$DI$3:$DI$25)))</f>
        <v>2138.93349324813</v>
      </c>
      <c r="CD42" s="4" t="n">
        <f aca="false">SUM($BG42,$BI42,$BK42)*Capacity!CX14/SUM(Capacity!$AM14:$AN14,Capacity!$CX14)</f>
        <v>48.0461240588938</v>
      </c>
      <c r="CE42" s="4" t="n">
        <f aca="false" t="array" ref="CE42:CE42">SUM(Demand!CE14*Capacity!CY$3:CY$25*Capacity!$DI14/(TRANSPOSE(Dists!$B13:$X13)*MMULT(1/Dists!$B13:$X13,Capacity!$DI$3:$DI$25)))</f>
        <v>1.19208903915603</v>
      </c>
      <c r="CF42" s="4" t="n">
        <f aca="false" t="array" ref="CF42:CF42">SUM(Demand!CF14*Capacity!CZ$3:CZ$25*Capacity!$DI14/(TRANSPOSE(Dists!$B13:$X13)*MMULT(1/Dists!$B13:$X13,Capacity!$DI$3:$DI$25)))</f>
        <v>1482.76315849832</v>
      </c>
      <c r="CG42" s="4" t="n">
        <f aca="false" t="array" ref="CG42:CG42">SUM(Demand!CG14*Capacity!DA$3:DA$25*Capacity!$DI14/(TRANSPOSE(Dists!$B13:$X13)*MMULT(1/Dists!$B13:$X13,Capacity!$DI$3:$DI$25)))</f>
        <v>0.172344370534402</v>
      </c>
      <c r="CH42" s="4" t="n">
        <f aca="false" t="array" ref="CH42:CH42">SUM(Demand!CH14*Capacity!DB$3:DB$25*Capacity!$DI14/(TRANSPOSE(Dists!$B13:$X13)*MMULT(1/Dists!$B13:$X13,Capacity!$DI$3:$DI$25)))</f>
        <v>2.00786457261948</v>
      </c>
      <c r="CI42" s="4" t="n">
        <f aca="false" t="array" ref="CI42:CI42">SUM(Demand!CI14*Capacity!DC$3:DC$25*Capacity!$DI14/(TRANSPOSE(Dists!$B13:$X13)*MMULT(1/Dists!$B13:$X13,Capacity!$DI$3:$DI$25)))</f>
        <v>0.0472351795937717</v>
      </c>
      <c r="CJ42" s="4" t="n">
        <f aca="false" t="array" ref="CJ42:CJ42">SUM(Demand!CJ14*Capacity!DD$3:DD$25*Capacity!$DI14/(TRANSPOSE(Dists!$B13:$X13)*MMULT(1/Dists!$B13:$X13,Capacity!$DI$3:$DI$25)))</f>
        <v>0.103912892700068</v>
      </c>
      <c r="CK42" s="4" t="n">
        <f aca="false" t="array" ref="CK42:CK42">SUM(Demand!CK14*Capacity!DE$3:DE$25*Capacity!$DI14/(TRANSPOSE(Dists!$B13:$X13)*MMULT(1/Dists!$B13:$X13,Capacity!$DI$3:$DI$25)))</f>
        <v>1.88215789047457</v>
      </c>
      <c r="CL42" s="7" t="s">
        <v>320</v>
      </c>
    </row>
    <row r="43" customFormat="false" ht="12.8" hidden="false" customHeight="false" outlineLevel="0" collapsed="false">
      <c r="A43" s="4" t="s">
        <v>148</v>
      </c>
      <c r="B43" s="7" t="s">
        <v>39</v>
      </c>
      <c r="C43" s="4" t="n">
        <f aca="false" t="array" ref="C43:C43">SUM(Demand!C15*Capacity!S$3:S$25*Capacity!$DH15/(TRANSPOSE(Dists!$B14:$X14)*MMULT(1/Dists!$B14:$X14,Capacity!$DH$3:$DH$25)))</f>
        <v>0.0120756208714241</v>
      </c>
      <c r="D43" s="4" t="n">
        <f aca="false" t="array" ref="D43:D43">SUM(Demand!D15*Capacity!V$3:V$25*Capacity!$DH15/(TRANSPOSE(Dists!$B14:$X14)*MMULT(1/Dists!$B14:$X14,Capacity!$DH$3:$DH$25)))</f>
        <v>1242.98916520697</v>
      </c>
      <c r="E43" s="4" t="n">
        <f aca="false" t="array" ref="E43:E43">SUM(Demand!E15*Capacity!Y$3:Y$25*Capacity!$DH15/(TRANSPOSE(Dists!$B14:$X14)*MMULT(1/Dists!$B14:$X14,Capacity!$DH$3:$DH$25)))</f>
        <v>636.267590395439</v>
      </c>
      <c r="F43" s="4" t="n">
        <f aca="false">$E15*Capacity!$M15/(2*(1-Capacity!$H$28)*Capacity!$H15)</f>
        <v>258.798974107176</v>
      </c>
      <c r="G43" s="4" t="n">
        <f aca="false" t="array" ref="G43:G43">SUM(Demand!G15*Capacity!AA$3:AA$25*Capacity!$DH15/(TRANSPOSE(Dists!$B14:$X14)*MMULT(1/Dists!$B14:$X14,Capacity!$DH$3:$DH$25)))</f>
        <v>764.597282850942</v>
      </c>
      <c r="H43" s="4" t="n">
        <f aca="false" t="array" ref="H43:H43">SUM(Demand!H15*Capacity!AB$3:AB$25*Capacity!$DH15/(TRANSPOSE(Dists!$B14:$X14)*MMULT(1/Dists!$B14:$X14,Capacity!$DH$3:$DH$25)))</f>
        <v>1.81818831609624</v>
      </c>
      <c r="I43" s="4" t="n">
        <f aca="false" t="array" ref="I43:I43">SUM(Demand!I15*Capacity!AC$3:AC$25*Capacity!$DG15/(TRANSPOSE(Dists!$B14:$X14)*MMULT(1/Dists!$B14:$X14,Capacity!$DG$3:$DG$25)))</f>
        <v>1.10133660206125</v>
      </c>
      <c r="J43" s="4" t="n">
        <f aca="false" t="array" ref="J43:J43">SUM(Demand!J15*Capacity!AD$3:AD$25*Capacity!$DG15/(TRANSPOSE(Dists!$B14:$X14)*MMULT(1/Dists!$B14:$X14,Capacity!$DG$3:$DG$25)))</f>
        <v>0.310316838531937</v>
      </c>
      <c r="K43" s="4" t="n">
        <f aca="false">5479.45205479452*$R15</f>
        <v>623505.533907398</v>
      </c>
      <c r="L43" s="4" t="n">
        <f aca="false">17142.8571428571*$S15</f>
        <v>116626.177247328</v>
      </c>
      <c r="M43" s="4" t="n">
        <f aca="false">IF(50420.1680672269*$T15&gt;($K15/20),50420.1680672269*$T15-($K15/20),0)</f>
        <v>160538.987272842</v>
      </c>
      <c r="N43" s="4" t="n">
        <f aca="false" t="array" ref="N43:N43">SUM(Demand!N15*Capacity!AH$3:AH$25*Capacity!$DH15/(TRANSPOSE(Dists!$B14:$X14)*MMULT(1/Dists!$B14:$X14,Capacity!$DH$3:$DH$25)))</f>
        <v>631.272455325077</v>
      </c>
      <c r="O43" s="4" t="n">
        <f aca="false">D43/0.8</f>
        <v>1553.73645650871</v>
      </c>
      <c r="P43" s="4" t="n">
        <f aca="false">O43/0.8</f>
        <v>1942.17057063588</v>
      </c>
      <c r="Q43" s="4" t="n">
        <f aca="false" t="array" ref="Q43:Q43">SUM(Demand!Q15*Capacity!AK$3:AK$25*Capacity!$DI15/(TRANSPOSE(Dists!$B14:$X14)*MMULT(1/Dists!$B14:$X14,Capacity!$DI$3:$DI$25)))</f>
        <v>24.0118139040032</v>
      </c>
      <c r="R43" s="4" t="n">
        <f aca="false" t="array" ref="R43:R43">SUM(Demand!R15*Capacity!AL$3:AL$25*Capacity!$DH15/(TRANSPOSE(Dists!$B14:$X14)*MMULT(1/Dists!$B14:$X14,Capacity!$DH$3:$DH$25)))</f>
        <v>106.933585685971</v>
      </c>
      <c r="S43" s="4" t="n">
        <f aca="false">SUM($BG43,$BI43,$BK43)*Capacity!AM15/SUM(Capacity!$AM15:$AN15,Capacity!$CX15)</f>
        <v>6.80319367276083</v>
      </c>
      <c r="T43" s="4" t="n">
        <f aca="false">SUM($BG43,$BI43,$BK43)*Capacity!AN15/SUM(Capacity!$AM15:$AN15,Capacity!$CX15)</f>
        <v>3.80233290203619</v>
      </c>
      <c r="U43" s="4" t="n">
        <f aca="false">$M15*120*2/(16*1000*2000)</f>
        <v>1.20404240454631</v>
      </c>
      <c r="V43" s="4" t="n">
        <f aca="false" t="array" ref="V43:V43">SUM(Demand!V15*Capacity!AP$3:AP$25*Capacity!$DH15/(TRANSPOSE(Dists!$B14:$X14)*MMULT(1/Dists!$B14:$X14,Capacity!$DH$3:$DH$25)))</f>
        <v>219.523086858284</v>
      </c>
      <c r="W43" s="4" t="n">
        <f aca="false" t="array" ref="W43:W43">SUM(Demand!W15*Capacity!AQ$3:AQ$25*Capacity!$DH15/(TRANSPOSE(Dists!$B14:$X14)*MMULT(1/Dists!$B14:$X14,Capacity!$DH$3:$DH$25)))</f>
        <v>281.52565362899</v>
      </c>
      <c r="X43" s="4" t="n">
        <f aca="false" t="array" ref="X43:X43">SUM(Demand!X15*Capacity!AR$3:AR$25*Capacity!$DH15/(TRANSPOSE(Dists!$B14:$X14)*MMULT(1/Dists!$B14:$X14,Capacity!$DH$3:$DH$25)))</f>
        <v>24.0453548612774</v>
      </c>
      <c r="Y43" s="4" t="n">
        <f aca="false">$L15*600*6/(90*1000*2000)</f>
        <v>2.33252354494656</v>
      </c>
      <c r="Z43" s="4" t="n">
        <f aca="false" t="array" ref="Z43:Z43">SUM(Demand!Z15*Capacity!AT$3:AT$25*Capacity!$DI15/(TRANSPOSE(Dists!$B14:$X14)*MMULT(1/Dists!$B14:$X14,Capacity!$DI$3:$DI$25)))</f>
        <v>31.9607688321732</v>
      </c>
      <c r="AA43" s="4" t="n">
        <f aca="false" t="array" ref="AA43:AA43">SUM(Demand!AA15*Capacity!AU$3:AU$25*Capacity!$DI15/(TRANSPOSE(Dists!$B14:$X14)*MMULT(1/Dists!$B14:$X14,Capacity!$DI$3:$DI$25)))</f>
        <v>32.7336520097</v>
      </c>
      <c r="AB43" s="4" t="n">
        <f aca="false" t="array" ref="AB43:AB43">SUM(Demand!AB15*Capacity!AV$3:AV$25*Capacity!$DI15/(TRANSPOSE(Dists!$B14:$X14)*MMULT(1/Dists!$B14:$X14,Capacity!$DI$3:$DI$25)))</f>
        <v>44.5287867510785</v>
      </c>
      <c r="AC43" s="4" t="n">
        <f aca="false" t="array" ref="AC43:AC43">SUM(Demand!AC15*Capacity!AW$3:AW$25*Capacity!$DI15/(TRANSPOSE(Dists!$B14:$X14)*MMULT(1/Dists!$B14:$X14,Capacity!$DI$3:$DI$25)))</f>
        <v>5.92026189688188</v>
      </c>
      <c r="AD43" s="4" t="n">
        <f aca="false" t="array" ref="AD43:AD43">SUM(Demand!AD15*Capacity!AX$3:AX$25*Capacity!$DI15/(TRANSPOSE(Dists!$B14:$X14)*MMULT(1/Dists!$B14:$X14,Capacity!$DI$3:$DI$25)))</f>
        <v>7.28983715623211</v>
      </c>
      <c r="AE43" s="4" t="n">
        <f aca="false" t="array" ref="AE43:AE43">SUM(Demand!AE15*Capacity!AY$3:AY$25*Capacity!$DI15/(TRANSPOSE(Dists!$B14:$X14)*MMULT(1/Dists!$B14:$X14,Capacity!$DI$3:$DI$25)))</f>
        <v>4.75355796706692</v>
      </c>
      <c r="AF43" s="4" t="n">
        <f aca="false" t="array" ref="AF43:AF43">SUM(Demand!AF15*Capacity!AZ$3:AZ$25*Capacity!$DI15/(TRANSPOSE(Dists!$B14:$X14)*MMULT(1/Dists!$B14:$X14,Capacity!$DI$3:$DI$25)))</f>
        <v>0.87105246728914</v>
      </c>
      <c r="AG43" s="4" t="n">
        <f aca="false" t="array" ref="AG43:AG43">SUM(Demand!AG15*Capacity!BA$3:BA$25*Capacity!$DI15/(TRANSPOSE(Dists!$B14:$X14)*MMULT(1/Dists!$B14:$X14,Capacity!$DI$3:$DI$25)))</f>
        <v>7.18824490670506</v>
      </c>
      <c r="AH43" s="4" t="n">
        <f aca="false" t="array" ref="AH43:AH43">SUM(Demand!AH15*Capacity!BB$3:BB$25*Capacity!$DI15/(TRANSPOSE(Dists!$B14:$X14)*MMULT(1/Dists!$B14:$X14,Capacity!$DI$3:$DI$25)))</f>
        <v>4.64814946250712</v>
      </c>
      <c r="AI43" s="4" t="n">
        <f aca="false" t="array" ref="AI43:AI43">SUM(Demand!AI15*Capacity!BC$3:BC$25*Capacity!$DI15/(TRANSPOSE(Dists!$B14:$X14)*MMULT(1/Dists!$B14:$X14,Capacity!$DI$3:$DI$25)))</f>
        <v>0.768879084770997</v>
      </c>
      <c r="AJ43" s="4" t="n">
        <f aca="false" t="array" ref="AJ43:AJ43">SUM(Demand!AJ15*Capacity!BD$3:BD$25*Capacity!$DI15/(TRANSPOSE(Dists!$B14:$X14)*MMULT(1/Dists!$B14:$X14,Capacity!$DI$3:$DI$25)))</f>
        <v>0.959339240909453</v>
      </c>
      <c r="AK43" s="4" t="n">
        <f aca="false" t="array" ref="AK43:AK43">SUM(Demand!AK15*Capacity!BE$3:BE$25*Capacity!$DI15/(TRANSPOSE(Dists!$B14:$X14)*MMULT(1/Dists!$B14:$X14,Capacity!$DI$3:$DI$25)))</f>
        <v>0.140224017791675</v>
      </c>
      <c r="AL43" s="4" t="n">
        <f aca="false" t="array" ref="AL43:AL43">SUM(Demand!AL15*Capacity!BF$3:BF$25*Capacity!$DI15/(TRANSPOSE(Dists!$B14:$X14)*MMULT(1/Dists!$B14:$X14,Capacity!$DI$3:$DI$25)))</f>
        <v>0.409961727762283</v>
      </c>
      <c r="AM43" s="4" t="n">
        <f aca="false" t="array" ref="AM43:AM43">SUM(Demand!AM15*Capacity!BG$3:BG$25*Capacity!$DI15/(TRANSPOSE(Dists!$B14:$X14)*MMULT(1/Dists!$B14:$X14,Capacity!$DI$3:$DI$25)))</f>
        <v>0.999455644198683</v>
      </c>
      <c r="AN43" s="4" t="n">
        <f aca="false" t="array" ref="AN43:AN43">SUM(Demand!AN15*Capacity!BH$3:BH$25*Capacity!$DI15/(TRANSPOSE(Dists!$B14:$X14)*MMULT(1/Dists!$B14:$X14,Capacity!$DI$3:$DI$25)))</f>
        <v>1.07320158349832</v>
      </c>
      <c r="AO43" s="4" t="n">
        <f aca="false" t="array" ref="AO43:AO43">SUM(Demand!AO15*Capacity!BI$3:BI$25*Capacity!$DI15/(TRANSPOSE(Dists!$B14:$X14)*MMULT(1/Dists!$B14:$X14,Capacity!$DI$3:$DI$25)))</f>
        <v>1.72742013066074</v>
      </c>
      <c r="AP43" s="4" t="n">
        <f aca="false" t="array" ref="AP43:AP43">SUM(Demand!AP15*Capacity!BJ$3:BJ$25*Capacity!$DI15/(TRANSPOSE(Dists!$B14:$X14)*MMULT(1/Dists!$B14:$X14,Capacity!$DI$3:$DI$25)))</f>
        <v>1.91564604692704</v>
      </c>
      <c r="AQ43" s="4" t="n">
        <f aca="false" t="array" ref="AQ43:AQ43">SUM(Demand!AQ15*Capacity!BK$3:BK$25*Capacity!$DI15/(TRANSPOSE(Dists!$B14:$X14)*MMULT(1/Dists!$B14:$X14,Capacity!$DI$3:$DI$25)))</f>
        <v>0.045689284086196</v>
      </c>
      <c r="AR43" s="4" t="n">
        <f aca="false" t="array" ref="AR43:AR43">SUM(Demand!AR15*Capacity!BL$3:BL$25*Capacity!$DI15/(TRANSPOSE(Dists!$B14:$X14)*MMULT(1/Dists!$B14:$X14,Capacity!$DI$3:$DI$25)))</f>
        <v>0.416444084910073</v>
      </c>
      <c r="AS43" s="4" t="n">
        <f aca="false" t="array" ref="AS43:AS43">SUM(Demand!AS15*Capacity!BM$3:BM$25*Capacity!$DI15/(TRANSPOSE(Dists!$B14:$X14)*MMULT(1/Dists!$B14:$X14,Capacity!$DI$3:$DI$25)))</f>
        <v>0.152951628098501</v>
      </c>
      <c r="AT43" s="4" t="n">
        <f aca="false" t="array" ref="AT43:AT43">SUM(Demand!AT15*Capacity!BN$3:BN$25*Capacity!$DI15/(TRANSPOSE(Dists!$B14:$X14)*MMULT(1/Dists!$B14:$X14,Capacity!$DI$3:$DI$25)))</f>
        <v>7.2284220310646</v>
      </c>
      <c r="AU43" s="4" t="n">
        <f aca="false" t="array" ref="AU43:AU43">SUM(Demand!AU15*Capacity!BO$3:BO$25*Capacity!$DI15/(TRANSPOSE(Dists!$B14:$X14)*MMULT(1/Dists!$B14:$X14,Capacity!$DI$3:$DI$25)))</f>
        <v>0.744668359073671</v>
      </c>
      <c r="AV43" s="4" t="n">
        <f aca="false" t="array" ref="AV43:AV43">SUM(Demand!AV15*Capacity!BP$3:BP$25*Capacity!$DI15/(TRANSPOSE(Dists!$B14:$X14)*MMULT(1/Dists!$B14:$X14,Capacity!$DI$3:$DI$25)))</f>
        <v>0.169620865220524</v>
      </c>
      <c r="AW43" s="4" t="n">
        <f aca="false" t="array" ref="AW43:AW43">SUM(Demand!AW15*Capacity!BQ$3:BQ$25*Capacity!$DI15/(TRANSPOSE(Dists!$B14:$X14)*MMULT(1/Dists!$B14:$X14,Capacity!$DI$3:$DI$25)))</f>
        <v>3.32631395670752</v>
      </c>
      <c r="AX43" s="4" t="n">
        <f aca="false" t="array" ref="AX43:AX43">SUM(Demand!AX15*Capacity!BR$3:BR$25*Capacity!$DI15/(TRANSPOSE(Dists!$B14:$X14)*MMULT(1/Dists!$B14:$X14,Capacity!$DI$3:$DI$25)))</f>
        <v>0.317144411596353</v>
      </c>
      <c r="AY43" s="4" t="n">
        <f aca="false" t="array" ref="AY43:AY43">SUM(Demand!AY15*Capacity!BS$3:BS$25*Capacity!$DI15/(TRANSPOSE(Dists!$B14:$X14)*MMULT(1/Dists!$B14:$X14,Capacity!$DI$3:$DI$25)))</f>
        <v>0.451705721414148</v>
      </c>
      <c r="AZ43" s="4" t="n">
        <f aca="false" t="array" ref="AZ43:AZ43">SUM(Demand!AZ15*Capacity!BT$3:BT$25*Capacity!$DI15/(TRANSPOSE(Dists!$B14:$X14)*MMULT(1/Dists!$B14:$X14,Capacity!$DI$3:$DI$25)))</f>
        <v>3.54085893242354</v>
      </c>
      <c r="BA43" s="4" t="n">
        <f aca="false">BA15</f>
        <v>0.0285848473645412</v>
      </c>
      <c r="BB43" s="4" t="n">
        <f aca="false" t="array" ref="BB43:BB43">SUM(Demand!BB15*Capacity!BV$3:BV$25*Capacity!$DI15/(TRANSPOSE(Dists!$B14:$X14)*MMULT(1/Dists!$B14:$X14,Capacity!$DI$3:$DI$25)))</f>
        <v>0.67961896958195</v>
      </c>
      <c r="BC43" s="4" t="n">
        <f aca="false" t="array" ref="BC43:BC43">SUM(Demand!BC15*Capacity!BW$3:BW$25*Capacity!$DI15/(TRANSPOSE(Dists!$B14:$X14)*MMULT(1/Dists!$B14:$X14,Capacity!$DI$3:$DI$25)))</f>
        <v>0.29997953577036</v>
      </c>
      <c r="BD43" s="4" t="n">
        <f aca="false" t="array" ref="BD43:BD43">SUM(Demand!BD15*Capacity!BX$3:BX$25*Capacity!$DI15/(TRANSPOSE(Dists!$B14:$X14)*MMULT(1/Dists!$B14:$X14,Capacity!$DI$3:$DI$25)))</f>
        <v>0.314835960492153</v>
      </c>
      <c r="BE43" s="4" t="n">
        <f aca="false" t="array" ref="BE43:BE43">SUM(Demand!BE15*Capacity!BY$3:BY$25*Capacity!$DI15/(TRANSPOSE(Dists!$B14:$X14)*MMULT(1/Dists!$B14:$X14,Capacity!$DI$3:$DI$25)))</f>
        <v>0.142666170751281</v>
      </c>
      <c r="BF43" s="4" t="n">
        <f aca="false" t="array" ref="BF43:BF43">SUM(Demand!BF15*Capacity!BZ$3:BZ$25*Capacity!$DI15/(TRANSPOSE(Dists!$B14:$X14)*MMULT(1/Dists!$B14:$X14,Capacity!$DI$3:$DI$25)))</f>
        <v>4.85816621761603</v>
      </c>
      <c r="BG43" s="4" t="n">
        <f aca="false" t="array" ref="BG43:BG43">SUM(Demand!BG15*Capacity!CA$3:CA$25*Capacity!$DI15/(TRANSPOSE(Dists!$B14:$X14)*MMULT(1/Dists!$B14:$X14,Capacity!$DI$3:$DI$25)))</f>
        <v>19.3506159433581</v>
      </c>
      <c r="BH43" s="4" t="n">
        <f aca="false" t="array" ref="BH43:BH43">SUM(Demand!BH15*Capacity!CB$3:CB$25*Capacity!$DI15/(TRANSPOSE(Dists!$B14:$X14)*MMULT(1/Dists!$B14:$X14,Capacity!$DI$3:$DI$25)))</f>
        <v>0.00294072047218008</v>
      </c>
      <c r="BI43" s="4" t="n">
        <f aca="false" t="array" ref="BI43:BI43">SUM(Demand!BI15*Capacity!CC$3:CC$25*Capacity!$DI15/(TRANSPOSE(Dists!$B14:$X14)*MMULT(1/Dists!$B14:$X14,Capacity!$DI$3:$DI$25)))</f>
        <v>51.6016425156215</v>
      </c>
      <c r="BJ43" s="4" t="n">
        <f aca="false" t="array" ref="BJ43:BJ43">SUM(Demand!BJ15*Capacity!CD$3:CD$25*Capacity!$DI15/(TRANSPOSE(Dists!$B14:$X14)*MMULT(1/Dists!$B14:$X14,Capacity!$DI$3:$DI$25)))</f>
        <v>164.088842328469</v>
      </c>
      <c r="BK43" s="4" t="n">
        <f aca="false" t="array" ref="BK43:BK43">SUM(Demand!BK15*Capacity!CE$3:CE$25*Capacity!$DI15/(TRANSPOSE(Dists!$B14:$X14)*MMULT(1/Dists!$B14:$X14,Capacity!$DI$3:$DI$25)))</f>
        <v>25.8008212578108</v>
      </c>
      <c r="BL43" s="4" t="n">
        <f aca="false" t="array" ref="BL43:BL43">SUM(Demand!BL15*Capacity!CF$3:CF$25*Capacity!$DI15/(TRANSPOSE(Dists!$B14:$X14)*MMULT(1/Dists!$B14:$X14,Capacity!$DI$3:$DI$25)))</f>
        <v>994.170297566189</v>
      </c>
      <c r="BM43" s="4" t="n">
        <f aca="false" t="array" ref="BM43:BM43">SUM(Demand!BM15*Capacity!CG$3:CG$25*Capacity!$DI15/(TRANSPOSE(Dists!$B14:$X14)*MMULT(1/Dists!$B14:$X14,Capacity!$DI$3:$DI$25)))</f>
        <v>16.6441904806978</v>
      </c>
      <c r="BN43" s="4" t="n">
        <f aca="false">BN15</f>
        <v>0.00056227425313044</v>
      </c>
      <c r="BO43" s="4" t="n">
        <f aca="false" t="array" ref="BO43:BO43">SUM(Demand!BO15*Capacity!CI$3:CI$25*Capacity!$DI15/(TRANSPOSE(Dists!$B14:$X14)*MMULT(1/Dists!$B14:$X14,Capacity!$DI$3:$DI$25)))</f>
        <v>11.193975930241</v>
      </c>
      <c r="BP43" s="4" t="n">
        <f aca="false" t="array" ref="BP43:BP43">SUM(Demand!BP15*Capacity!CJ$3:CJ$25*Capacity!$DI15/(TRANSPOSE(Dists!$B14:$X14)*MMULT(1/Dists!$B14:$X14,Capacity!$DI$3:$DI$25)))</f>
        <v>17.8181093854502</v>
      </c>
      <c r="BQ43" s="4" t="n">
        <f aca="false">BQ15</f>
        <v>0.000365478264534786</v>
      </c>
      <c r="BR43" s="4" t="n">
        <f aca="false" t="array" ref="BR43:BR43">SUM(Demand!BR15*Capacity!CL$3:CL$25*Capacity!$DI15/(TRANSPOSE(Dists!$B14:$X14)*MMULT(1/Dists!$B14:$X14,Capacity!$DI$3:$DI$25)))</f>
        <v>0.373132715346486</v>
      </c>
      <c r="BS43" s="4" t="n">
        <f aca="false" t="array" ref="BS43:BS43">SUM(Demand!BS15*Capacity!CM$3:CM$25*Capacity!$DI15/(TRANSPOSE(Dists!$B14:$X14)*MMULT(1/Dists!$B14:$X14,Capacity!$DI$3:$DI$25)))</f>
        <v>0.0373132715346486</v>
      </c>
      <c r="BT43" s="4" t="n">
        <f aca="false">BT15</f>
        <v>5.27732524847952</v>
      </c>
      <c r="BU43" s="4" t="n">
        <f aca="false">BU15</f>
        <v>0.527732524847952</v>
      </c>
      <c r="BV43" s="4" t="n">
        <f aca="false">BV15</f>
        <v>0.0527732524847952</v>
      </c>
      <c r="BW43" s="4" t="n">
        <f aca="false">BW15</f>
        <v>1768.82390129932</v>
      </c>
      <c r="BX43" s="4" t="n">
        <f aca="false" t="array" ref="BX43:BX43">SUM(Demand!BX15*Capacity!CR$3:CR$25*Capacity!$DI15/(TRANSPOSE(Dists!$B14:$X14)*MMULT(1/Dists!$B14:$X14,Capacity!$DI$3:$DI$25)))</f>
        <v>10.0167754686819</v>
      </c>
      <c r="BY43" s="4" t="n">
        <f aca="false" t="array" ref="BY43:BY43">SUM(Demand!BY15*Capacity!CS$3:CS$25*Capacity!$DI15/(TRANSPOSE(Dists!$B14:$X14)*MMULT(1/Dists!$B14:$X14,Capacity!$DI$3:$DI$25)))</f>
        <v>184.958826728056</v>
      </c>
      <c r="BZ43" s="4" t="n">
        <f aca="false" t="array" ref="BZ43:BZ43">SUM(Demand!BZ15*Capacity!CT$3:CT$25*Capacity!$DI15/(TRANSPOSE(Dists!$B14:$X14)*MMULT(1/Dists!$B14:$X14,Capacity!$DI$3:$DI$25)))</f>
        <v>1.15353447578582</v>
      </c>
      <c r="CA43" s="4" t="n">
        <f aca="false" t="array" ref="CA43:CA43">SUM(Demand!CA15*Capacity!CU$3:CU$25*Capacity!$DI15/(TRANSPOSE(Dists!$B14:$X14)*MMULT(1/Dists!$B14:$X14,Capacity!$DI$3:$DI$25)))</f>
        <v>0.385038270151526</v>
      </c>
      <c r="CB43" s="4" t="n">
        <f aca="false" t="array" ref="CB43:CB43">SUM(Demand!CB15*Capacity!CV$3:CV$25*Capacity!$DI15/(TRANSPOSE(Dists!$B14:$X14)*MMULT(1/Dists!$B14:$X14,Capacity!$DI$3:$DI$25)))</f>
        <v>1995.49762480887</v>
      </c>
      <c r="CC43" s="4" t="n">
        <f aca="false" t="array" ref="CC43:CC43">SUM(Demand!CC15*Capacity!CW$3:CW$25*Capacity!$DI15/(TRANSPOSE(Dists!$B14:$X14)*MMULT(1/Dists!$B14:$X14,Capacity!$DI$3:$DI$25)))</f>
        <v>2162.95520801897</v>
      </c>
      <c r="CD43" s="4" t="n">
        <f aca="false">SUM($BG43,$BI43,$BK43)*Capacity!CX15/SUM(Capacity!$AM15:$AN15,Capacity!$CX15)</f>
        <v>86.1475531419933</v>
      </c>
      <c r="CE43" s="4" t="n">
        <f aca="false" t="array" ref="CE43:CE43">SUM(Demand!CE15*Capacity!CY$3:CY$25*Capacity!$DI15/(TRANSPOSE(Dists!$B14:$X14)*MMULT(1/Dists!$B14:$X14,Capacity!$DI$3:$DI$25)))</f>
        <v>5.16894816364613</v>
      </c>
      <c r="CF43" s="4" t="n">
        <f aca="false" t="array" ref="CF43:CF43">SUM(Demand!CF15*Capacity!CZ$3:CZ$25*Capacity!$DI15/(TRANSPOSE(Dists!$B14:$X14)*MMULT(1/Dists!$B14:$X14,Capacity!$DI$3:$DI$25)))</f>
        <v>622.756701812594</v>
      </c>
      <c r="CG43" s="4" t="n">
        <f aca="false" t="array" ref="CG43:CG43">SUM(Demand!CG15*Capacity!DA$3:DA$25*Capacity!$DI15/(TRANSPOSE(Dists!$B14:$X14)*MMULT(1/Dists!$B14:$X14,Capacity!$DI$3:$DI$25)))</f>
        <v>2.31355720686538</v>
      </c>
      <c r="CH43" s="4" t="n">
        <f aca="false" t="array" ref="CH43:CH43">SUM(Demand!CH15*Capacity!DB$3:DB$25*Capacity!$DI15/(TRANSPOSE(Dists!$B14:$X14)*MMULT(1/Dists!$B14:$X14,Capacity!$DI$3:$DI$25)))</f>
        <v>0.0232024004777787</v>
      </c>
      <c r="CI43" s="4" t="n">
        <f aca="false" t="array" ref="CI43:CI43">SUM(Demand!CI15*Capacity!DC$3:DC$25*Capacity!$DI15/(TRANSPOSE(Dists!$B14:$X14)*MMULT(1/Dists!$B14:$X14,Capacity!$DI$3:$DI$25)))</f>
        <v>0.0905741870919557</v>
      </c>
      <c r="CJ43" s="4" t="n">
        <f aca="false" t="array" ref="CJ43:CJ43">SUM(Demand!CJ15*Capacity!DD$3:DD$25*Capacity!$DI15/(TRANSPOSE(Dists!$B14:$X14)*MMULT(1/Dists!$B14:$X14,Capacity!$DI$3:$DI$25)))</f>
        <v>0.0293538473524916</v>
      </c>
      <c r="CK43" s="4" t="n">
        <f aca="false" t="array" ref="CK43:CK43">SUM(Demand!CK15*Capacity!DE$3:DE$25*Capacity!$DI15/(TRANSPOSE(Dists!$B14:$X14)*MMULT(1/Dists!$B14:$X14,Capacity!$DI$3:$DI$25)))</f>
        <v>5.88394908500948</v>
      </c>
      <c r="CL43" s="7" t="s">
        <v>320</v>
      </c>
    </row>
    <row r="44" customFormat="false" ht="12.8" hidden="false" customHeight="false" outlineLevel="0" collapsed="false">
      <c r="A44" s="4" t="s">
        <v>150</v>
      </c>
      <c r="B44" s="7" t="s">
        <v>39</v>
      </c>
      <c r="C44" s="4" t="n">
        <f aca="false" t="array" ref="C44:C44">SUM(Demand!C16*Capacity!S$3:S$25*Capacity!$DH16/(TRANSPOSE(Dists!$B15:$X15)*MMULT(1/Dists!$B15:$X15,Capacity!$DH$3:$DH$25)))</f>
        <v>0.00694981473260076</v>
      </c>
      <c r="D44" s="4" t="n">
        <f aca="false" t="array" ref="D44:D44">SUM(Demand!D16*Capacity!V$3:V$25*Capacity!$DH16/(TRANSPOSE(Dists!$B15:$X15)*MMULT(1/Dists!$B15:$X15,Capacity!$DH$3:$DH$25)))</f>
        <v>1078.71355831133</v>
      </c>
      <c r="E44" s="4" t="n">
        <f aca="false" t="array" ref="E44:E44">SUM(Demand!E16*Capacity!Y$3:Y$25*Capacity!$DH16/(TRANSPOSE(Dists!$B15:$X15)*MMULT(1/Dists!$B15:$X15,Capacity!$DH$3:$DH$25)))</f>
        <v>599.919619175148</v>
      </c>
      <c r="F44" s="4" t="n">
        <f aca="false">$E16*Capacity!$M16/(2*(1-Capacity!$H$28)*Capacity!$H16)</f>
        <v>141.60684115786</v>
      </c>
      <c r="G44" s="4" t="n">
        <f aca="false" t="array" ref="G44:G44">SUM(Demand!G16*Capacity!AA$3:AA$25*Capacity!$DH16/(TRANSPOSE(Dists!$B15:$X15)*MMULT(1/Dists!$B15:$X15,Capacity!$DH$3:$DH$25)))</f>
        <v>368.080357772357</v>
      </c>
      <c r="H44" s="4" t="n">
        <f aca="false" t="array" ref="H44:H44">SUM(Demand!H16*Capacity!AB$3:AB$25*Capacity!$DH16/(TRANSPOSE(Dists!$B15:$X15)*MMULT(1/Dists!$B15:$X15,Capacity!$DH$3:$DH$25)))</f>
        <v>1.43088905490765</v>
      </c>
      <c r="I44" s="4" t="n">
        <f aca="false" t="array" ref="I44:I44">SUM(Demand!I16*Capacity!AC$3:AC$25*Capacity!$DG16/(TRANSPOSE(Dists!$B15:$X15)*MMULT(1/Dists!$B15:$X15,Capacity!$DG$3:$DG$25)))</f>
        <v>1.0928026074067</v>
      </c>
      <c r="J44" s="4" t="n">
        <f aca="false" t="array" ref="J44:J44">SUM(Demand!J16*Capacity!AD$3:AD$25*Capacity!$DG16/(TRANSPOSE(Dists!$B15:$X15)*MMULT(1/Dists!$B15:$X15,Capacity!$DG$3:$DG$25)))</f>
        <v>1.39368437132842</v>
      </c>
      <c r="K44" s="4" t="n">
        <f aca="false">5479.45205479452*$R16</f>
        <v>352529.964391921</v>
      </c>
      <c r="L44" s="4" t="n">
        <f aca="false">17142.8571428571*$S16</f>
        <v>69263.4589935166</v>
      </c>
      <c r="M44" s="4" t="n">
        <f aca="false">IF(50420.1680672269*$T16&gt;($K16/20),50420.1680672269*$T16-($K16/20),0)</f>
        <v>96231.2425916644</v>
      </c>
      <c r="N44" s="4" t="n">
        <f aca="false" t="array" ref="N44:N44">SUM(Demand!N16*Capacity!AH$3:AH$25*Capacity!$DH16/(TRANSPOSE(Dists!$B15:$X15)*MMULT(1/Dists!$B15:$X15,Capacity!$DH$3:$DH$25)))</f>
        <v>806.175395018965</v>
      </c>
      <c r="O44" s="4" t="n">
        <f aca="false">D44/0.8</f>
        <v>1348.39194788916</v>
      </c>
      <c r="P44" s="4" t="n">
        <f aca="false">O44/0.8</f>
        <v>1685.48993486146</v>
      </c>
      <c r="Q44" s="4" t="n">
        <f aca="false" t="array" ref="Q44:Q44">SUM(Demand!Q16*Capacity!AK$3:AK$25*Capacity!$DI16/(TRANSPOSE(Dists!$B15:$X15)*MMULT(1/Dists!$B15:$X15,Capacity!$DI$3:$DI$25)))</f>
        <v>14.4591414282119</v>
      </c>
      <c r="R44" s="4" t="n">
        <f aca="false" t="array" ref="R44:R44">SUM(Demand!R16*Capacity!AL$3:AL$25*Capacity!$DH16/(TRANSPOSE(Dists!$B15:$X15)*MMULT(1/Dists!$B15:$X15,Capacity!$DH$3:$DH$25)))</f>
        <v>103.315436761045</v>
      </c>
      <c r="S44" s="4" t="n">
        <f aca="false">SUM($BG44,$BI44,$BK44)*Capacity!AM16/SUM(Capacity!$AM16:$AN16,Capacity!$CX16)</f>
        <v>4.04036844128848</v>
      </c>
      <c r="T44" s="4" t="n">
        <f aca="false">SUM($BG44,$BI44,$BK44)*Capacity!AN16/SUM(Capacity!$AM16:$AN16,Capacity!$CX16)</f>
        <v>2.25817852609</v>
      </c>
      <c r="U44" s="4" t="n">
        <f aca="false">$M16*120*2/(16*1000*2000)</f>
        <v>0.721734319437483</v>
      </c>
      <c r="V44" s="4" t="n">
        <f aca="false" t="array" ref="V44:V44">SUM(Demand!V16*Capacity!AP$3:AP$25*Capacity!$DH16/(TRANSPOSE(Dists!$B15:$X15)*MMULT(1/Dists!$B15:$X15,Capacity!$DH$3:$DH$25)))</f>
        <v>229.374257609287</v>
      </c>
      <c r="W44" s="4" t="n">
        <f aca="false" t="array" ref="W44:W44">SUM(Demand!W16*Capacity!AQ$3:AQ$25*Capacity!$DH16/(TRANSPOSE(Dists!$B15:$X15)*MMULT(1/Dists!$B15:$X15,Capacity!$DH$3:$DH$25)))</f>
        <v>877.172177930166</v>
      </c>
      <c r="X44" s="4" t="n">
        <f aca="false" t="array" ref="X44:X44">SUM(Demand!X16*Capacity!AR$3:AR$25*Capacity!$DH16/(TRANSPOSE(Dists!$B15:$X15)*MMULT(1/Dists!$B15:$X15,Capacity!$DH$3:$DH$25)))</f>
        <v>1253.73398356012</v>
      </c>
      <c r="Y44" s="4" t="n">
        <f aca="false">$L16*600*6/(90*1000*2000)</f>
        <v>1.38526917987033</v>
      </c>
      <c r="Z44" s="4" t="n">
        <f aca="false" t="array" ref="Z44:Z44">SUM(Demand!Z16*Capacity!AT$3:AT$25*Capacity!$DI16/(TRANSPOSE(Dists!$B15:$X15)*MMULT(1/Dists!$B15:$X15,Capacity!$DI$3:$DI$25)))</f>
        <v>47.4090968017756</v>
      </c>
      <c r="AA44" s="4" t="n">
        <f aca="false" t="array" ref="AA44:AA44">SUM(Demand!AA16*Capacity!AU$3:AU$25*Capacity!$DI16/(TRANSPOSE(Dists!$B15:$X15)*MMULT(1/Dists!$B15:$X15,Capacity!$DI$3:$DI$25)))</f>
        <v>34.9474577016284</v>
      </c>
      <c r="AB44" s="4" t="n">
        <f aca="false" t="array" ref="AB44:AB44">SUM(Demand!AB16*Capacity!AV$3:AV$25*Capacity!$DI16/(TRANSPOSE(Dists!$B15:$X15)*MMULT(1/Dists!$B15:$X15,Capacity!$DI$3:$DI$25)))</f>
        <v>41.9849968681195</v>
      </c>
      <c r="AC44" s="4" t="n">
        <f aca="false" t="array" ref="AC44:AC44">SUM(Demand!AC16*Capacity!AW$3:AW$25*Capacity!$DI16/(TRANSPOSE(Dists!$B15:$X15)*MMULT(1/Dists!$B15:$X15,Capacity!$DI$3:$DI$25)))</f>
        <v>7.50378321128769</v>
      </c>
      <c r="AD44" s="4" t="n">
        <f aca="false" t="array" ref="AD44:AD44">SUM(Demand!AD16*Capacity!AX$3:AX$25*Capacity!$DI16/(TRANSPOSE(Dists!$B15:$X15)*MMULT(1/Dists!$B15:$X15,Capacity!$DI$3:$DI$25)))</f>
        <v>6.87339163055219</v>
      </c>
      <c r="AE44" s="4" t="n">
        <f aca="false" t="array" ref="AE44:AE44">SUM(Demand!AE16*Capacity!AY$3:AY$25*Capacity!$DI16/(TRANSPOSE(Dists!$B15:$X15)*MMULT(1/Dists!$B15:$X15,Capacity!$DI$3:$DI$25)))</f>
        <v>5.2339599129022</v>
      </c>
      <c r="AF44" s="4" t="n">
        <f aca="false" t="array" ref="AF44:AF44">SUM(Demand!AF16*Capacity!AZ$3:AZ$25*Capacity!$DI16/(TRANSPOSE(Dists!$B15:$X15)*MMULT(1/Dists!$B15:$X15,Capacity!$DI$3:$DI$25)))</f>
        <v>0.493365405120787</v>
      </c>
      <c r="AG44" s="4" t="n">
        <f aca="false" t="array" ref="AG44:AG44">SUM(Demand!AG16*Capacity!BA$3:BA$25*Capacity!$DI16/(TRANSPOSE(Dists!$B15:$X15)*MMULT(1/Dists!$B15:$X15,Capacity!$DI$3:$DI$25)))</f>
        <v>8.03767522113933</v>
      </c>
      <c r="AH44" s="4" t="n">
        <f aca="false" t="array" ref="AH44:AH44">SUM(Demand!AH16*Capacity!BB$3:BB$25*Capacity!$DI16/(TRANSPOSE(Dists!$B15:$X15)*MMULT(1/Dists!$B15:$X15,Capacity!$DI$3:$DI$25)))</f>
        <v>5.92756002660672</v>
      </c>
      <c r="AI44" s="4" t="n">
        <f aca="false" t="array" ref="AI44:AI44">SUM(Demand!AI16*Capacity!BC$3:BC$25*Capacity!$DI16/(TRANSPOSE(Dists!$B15:$X15)*MMULT(1/Dists!$B15:$X15,Capacity!$DI$3:$DI$25)))</f>
        <v>0.776000699021991</v>
      </c>
      <c r="AJ44" s="4" t="n">
        <f aca="false" t="array" ref="AJ44:AJ44">SUM(Demand!AJ16*Capacity!BD$3:BD$25*Capacity!$DI16/(TRANSPOSE(Dists!$B15:$X15)*MMULT(1/Dists!$B15:$X15,Capacity!$DI$3:$DI$25)))</f>
        <v>1.93595987300245</v>
      </c>
      <c r="AK44" s="4" t="n">
        <f aca="false" t="array" ref="AK44:AK44">SUM(Demand!AK16*Capacity!BE$3:BE$25*Capacity!$DI16/(TRANSPOSE(Dists!$B15:$X15)*MMULT(1/Dists!$B15:$X15,Capacity!$DI$3:$DI$25)))</f>
        <v>1.40253211836551</v>
      </c>
      <c r="AL44" s="4" t="n">
        <f aca="false" t="array" ref="AL44:AL44">SUM(Demand!AL16*Capacity!BF$3:BF$25*Capacity!$DI16/(TRANSPOSE(Dists!$B15:$X15)*MMULT(1/Dists!$B15:$X15,Capacity!$DI$3:$DI$25)))</f>
        <v>0.887810782997086</v>
      </c>
      <c r="AM44" s="4" t="n">
        <f aca="false" t="array" ref="AM44:AM44">SUM(Demand!AM16*Capacity!BG$3:BG$25*Capacity!$DI16/(TRANSPOSE(Dists!$B15:$X15)*MMULT(1/Dists!$B15:$X15,Capacity!$DI$3:$DI$25)))</f>
        <v>3.36596258253939</v>
      </c>
      <c r="AN44" s="4" t="n">
        <f aca="false" t="array" ref="AN44:AN44">SUM(Demand!AN16*Capacity!BH$3:BH$25*Capacity!$DI16/(TRANSPOSE(Dists!$B15:$X15)*MMULT(1/Dists!$B15:$X15,Capacity!$DI$3:$DI$25)))</f>
        <v>0.560025868153257</v>
      </c>
      <c r="AO44" s="4" t="n">
        <f aca="false" t="array" ref="AO44:AO44">SUM(Demand!AO16*Capacity!BI$3:BI$25*Capacity!$DI16/(TRANSPOSE(Dists!$B15:$X15)*MMULT(1/Dists!$B15:$X15,Capacity!$DI$3:$DI$25)))</f>
        <v>4.7620922353506</v>
      </c>
      <c r="AP44" s="4" t="n">
        <f aca="false" t="array" ref="AP44:AP44">SUM(Demand!AP16*Capacity!BJ$3:BJ$25*Capacity!$DI16/(TRANSPOSE(Dists!$B15:$X15)*MMULT(1/Dists!$B15:$X15,Capacity!$DI$3:$DI$25)))</f>
        <v>2.38067367514651</v>
      </c>
      <c r="AQ44" s="4" t="n">
        <f aca="false" t="array" ref="AQ44:AQ44">SUM(Demand!AQ16*Capacity!BK$3:BK$25*Capacity!$DI16/(TRANSPOSE(Dists!$B15:$X15)*MMULT(1/Dists!$B15:$X15,Capacity!$DI$3:$DI$25)))</f>
        <v>0.19901101979093</v>
      </c>
      <c r="AR44" s="4" t="n">
        <f aca="false" t="array" ref="AR44:AR44">SUM(Demand!AR16*Capacity!BL$3:BL$25*Capacity!$DI16/(TRANSPOSE(Dists!$B15:$X15)*MMULT(1/Dists!$B15:$X15,Capacity!$DI$3:$DI$25)))</f>
        <v>0.206737661266058</v>
      </c>
      <c r="AS44" s="4" t="n">
        <f aca="false" t="array" ref="AS44:AS44">SUM(Demand!AS16*Capacity!BM$3:BM$25*Capacity!$DI16/(TRANSPOSE(Dists!$B15:$X15)*MMULT(1/Dists!$B15:$X15,Capacity!$DI$3:$DI$25)))</f>
        <v>0.373973105938423</v>
      </c>
      <c r="AT44" s="4" t="n">
        <f aca="false" t="array" ref="AT44:AT44">SUM(Demand!AT16*Capacity!BN$3:BN$25*Capacity!$DI16/(TRANSPOSE(Dists!$B15:$X15)*MMULT(1/Dists!$B15:$X15,Capacity!$DI$3:$DI$25)))</f>
        <v>7.23974662609668</v>
      </c>
      <c r="AU44" s="4" t="n">
        <f aca="false" t="array" ref="AU44:AU44">SUM(Demand!AU16*Capacity!BO$3:BO$25*Capacity!$DI16/(TRANSPOSE(Dists!$B15:$X15)*MMULT(1/Dists!$B15:$X15,Capacity!$DI$3:$DI$25)))</f>
        <v>3.73945452433477</v>
      </c>
      <c r="AV44" s="4" t="n">
        <f aca="false" t="array" ref="AV44:AV44">SUM(Demand!AV16*Capacity!BP$3:BP$25*Capacity!$DI16/(TRANSPOSE(Dists!$B15:$X15)*MMULT(1/Dists!$B15:$X15,Capacity!$DI$3:$DI$25)))</f>
        <v>0.37225357980825</v>
      </c>
      <c r="AW44" s="4" t="n">
        <f aca="false" t="array" ref="AW44:AW44">SUM(Demand!AW16*Capacity!BQ$3:BQ$25*Capacity!$DI16/(TRANSPOSE(Dists!$B15:$X15)*MMULT(1/Dists!$B15:$X15,Capacity!$DI$3:$DI$25)))</f>
        <v>3.90533990176265</v>
      </c>
      <c r="AX44" s="4" t="n">
        <f aca="false" t="array" ref="AX44:AX44">SUM(Demand!AX16*Capacity!BR$3:BR$25*Capacity!$DI16/(TRANSPOSE(Dists!$B15:$X15)*MMULT(1/Dists!$B15:$X15,Capacity!$DI$3:$DI$25)))</f>
        <v>0.111122452407902</v>
      </c>
      <c r="AY44" s="4" t="n">
        <f aca="false" t="array" ref="AY44:AY44">SUM(Demand!AY16*Capacity!BS$3:BS$25*Capacity!$DI16/(TRANSPOSE(Dists!$B15:$X15)*MMULT(1/Dists!$B15:$X15,Capacity!$DI$3:$DI$25)))</f>
        <v>0.542679685355302</v>
      </c>
      <c r="AZ44" s="4" t="n">
        <f aca="false" t="array" ref="AZ44:AZ44">SUM(Demand!AZ16*Capacity!BT$3:BT$25*Capacity!$DI16/(TRANSPOSE(Dists!$B15:$X15)*MMULT(1/Dists!$B15:$X15,Capacity!$DI$3:$DI$25)))</f>
        <v>3.7791503114292</v>
      </c>
      <c r="BA44" s="4" t="n">
        <f aca="false">BA16</f>
        <v>0.016976337988607</v>
      </c>
      <c r="BB44" s="4" t="n">
        <f aca="false" t="array" ref="BB44:BB44">SUM(Demand!BB16*Capacity!BV$3:BV$25*Capacity!$DI16/(TRANSPOSE(Dists!$B15:$X15)*MMULT(1/Dists!$B15:$X15,Capacity!$DI$3:$DI$25)))</f>
        <v>0.76876875510561</v>
      </c>
      <c r="BC44" s="4" t="n">
        <f aca="false" t="array" ref="BC44:BC44">SUM(Demand!BC16*Capacity!BW$3:BW$25*Capacity!$DI16/(TRANSPOSE(Dists!$B15:$X15)*MMULT(1/Dists!$B15:$X15,Capacity!$DI$3:$DI$25)))</f>
        <v>0.653009758227088</v>
      </c>
      <c r="BD44" s="4" t="n">
        <f aca="false" t="array" ref="BD44:BD44">SUM(Demand!BD16*Capacity!BX$3:BX$25*Capacity!$DI16/(TRANSPOSE(Dists!$B15:$X15)*MMULT(1/Dists!$B15:$X15,Capacity!$DI$3:$DI$25)))</f>
        <v>0.413358883008389</v>
      </c>
      <c r="BE44" s="4" t="n">
        <f aca="false" t="array" ref="BE44:BE44">SUM(Demand!BE16*Capacity!BY$3:BY$25*Capacity!$DI16/(TRANSPOSE(Dists!$B15:$X15)*MMULT(1/Dists!$B15:$X15,Capacity!$DI$3:$DI$25)))</f>
        <v>0.243356026245067</v>
      </c>
      <c r="BF44" s="4" t="n">
        <f aca="false" t="array" ref="BF44:BF44">SUM(Demand!BF16*Capacity!BZ$3:BZ$25*Capacity!$DI16/(TRANSPOSE(Dists!$B15:$X15)*MMULT(1/Dists!$B15:$X15,Capacity!$DI$3:$DI$25)))</f>
        <v>10.4838821644112</v>
      </c>
      <c r="BG44" s="4" t="n">
        <f aca="false" t="array" ref="BG44:BG44">SUM(Demand!BG16*Capacity!CA$3:CA$25*Capacity!$DI16/(TRANSPOSE(Dists!$B15:$X15)*MMULT(1/Dists!$B15:$X15,Capacity!$DI$3:$DI$25)))</f>
        <v>13.0326646501379</v>
      </c>
      <c r="BH44" s="4" t="n">
        <f aca="false" t="array" ref="BH44:BH44">SUM(Demand!BH16*Capacity!CB$3:CB$25*Capacity!$DI16/(TRANSPOSE(Dists!$B15:$X15)*MMULT(1/Dists!$B15:$X15,Capacity!$DI$3:$DI$25)))</f>
        <v>26.0653293002758</v>
      </c>
      <c r="BI44" s="4" t="n">
        <f aca="false" t="array" ref="BI44:BI44">SUM(Demand!BI16*Capacity!CC$3:CC$25*Capacity!$DI16/(TRANSPOSE(Dists!$B15:$X15)*MMULT(1/Dists!$B15:$X15,Capacity!$DI$3:$DI$25)))</f>
        <v>34.7537724003677</v>
      </c>
      <c r="BJ44" s="4" t="n">
        <f aca="false" t="array" ref="BJ44:BJ44">SUM(Demand!BJ16*Capacity!CD$3:CD$25*Capacity!$DI16/(TRANSPOSE(Dists!$B15:$X15)*MMULT(1/Dists!$B15:$X15,Capacity!$DI$3:$DI$25)))</f>
        <v>1971.136573319</v>
      </c>
      <c r="BK44" s="4" t="n">
        <f aca="false" t="array" ref="BK44:BK44">SUM(Demand!BK16*Capacity!CE$3:CE$25*Capacity!$DI16/(TRANSPOSE(Dists!$B15:$X15)*MMULT(1/Dists!$B15:$X15,Capacity!$DI$3:$DI$25)))</f>
        <v>17.3768862001839</v>
      </c>
      <c r="BL44" s="4" t="n">
        <f aca="false" t="array" ref="BL44:BL44">SUM(Demand!BL16*Capacity!CF$3:CF$25*Capacity!$DI16/(TRANSPOSE(Dists!$B15:$X15)*MMULT(1/Dists!$B15:$X15,Capacity!$DI$3:$DI$25)))</f>
        <v>1397.86133397616</v>
      </c>
      <c r="BM44" s="4" t="n">
        <f aca="false" t="array" ref="BM44:BM44">SUM(Demand!BM16*Capacity!CG$3:CG$25*Capacity!$DI16/(TRANSPOSE(Dists!$B15:$X15)*MMULT(1/Dists!$B15:$X15,Capacity!$DI$3:$DI$25)))</f>
        <v>134.257779181985</v>
      </c>
      <c r="BN44" s="4" t="n">
        <f aca="false">BN16</f>
        <v>0.000178694184974886</v>
      </c>
      <c r="BO44" s="4" t="n">
        <f aca="false" t="array" ref="BO44:BO44">SUM(Demand!BO16*Capacity!CI$3:CI$25*Capacity!$DI16/(TRANSPOSE(Dists!$B15:$X15)*MMULT(1/Dists!$B15:$X15,Capacity!$DI$3:$DI$25)))</f>
        <v>9.2200632067098</v>
      </c>
      <c r="BP44" s="4" t="n">
        <f aca="false" t="array" ref="BP44:BP44">SUM(Demand!BP16*Capacity!CJ$3:CJ$25*Capacity!$DI16/(TRANSPOSE(Dists!$B15:$X15)*MMULT(1/Dists!$B15:$X15,Capacity!$DI$3:$DI$25)))</f>
        <v>21.8297157040752</v>
      </c>
      <c r="BQ44" s="4" t="n">
        <f aca="false">BQ16</f>
        <v>0.000116151220233676</v>
      </c>
      <c r="BR44" s="4" t="n">
        <f aca="false" t="array" ref="BR44:BR44">SUM(Demand!BR16*Capacity!CL$3:CL$25*Capacity!$DI16/(TRANSPOSE(Dists!$B15:$X15)*MMULT(1/Dists!$B15:$X15,Capacity!$DI$3:$DI$25)))</f>
        <v>0.307335487717698</v>
      </c>
      <c r="BS44" s="4" t="n">
        <f aca="false" t="array" ref="BS44:BS44">SUM(Demand!BS16*Capacity!CM$3:CM$25*Capacity!$DI16/(TRANSPOSE(Dists!$B15:$X15)*MMULT(1/Dists!$B15:$X15,Capacity!$DI$3:$DI$25)))</f>
        <v>0.0307335487717698</v>
      </c>
      <c r="BT44" s="4" t="n">
        <f aca="false">BT16</f>
        <v>3.66138173508622</v>
      </c>
      <c r="BU44" s="4" t="n">
        <f aca="false">BU16</f>
        <v>0.366138173508622</v>
      </c>
      <c r="BV44" s="4" t="n">
        <f aca="false">BV16</f>
        <v>0.0366138173508622</v>
      </c>
      <c r="BW44" s="4" t="n">
        <f aca="false">BW16</f>
        <v>1667.77654130691</v>
      </c>
      <c r="BX44" s="4" t="n">
        <f aca="false" t="array" ref="BX44:BX44">SUM(Demand!BX16*Capacity!CR$3:CR$25*Capacity!$DI16/(TRANSPOSE(Dists!$B15:$X15)*MMULT(1/Dists!$B15:$X15,Capacity!$DI$3:$DI$25)))</f>
        <v>11.1732342687908</v>
      </c>
      <c r="BY44" s="4" t="n">
        <f aca="false" t="array" ref="BY44:BY44">SUM(Demand!BY16*Capacity!CS$3:CS$25*Capacity!$DI16/(TRANSPOSE(Dists!$B15:$X15)*MMULT(1/Dists!$B15:$X15,Capacity!$DI$3:$DI$25)))</f>
        <v>45.0882349905962</v>
      </c>
      <c r="BZ44" s="4" t="n">
        <f aca="false" t="array" ref="BZ44:BZ44">SUM(Demand!BZ16*Capacity!CT$3:CT$25*Capacity!$DI16/(TRANSPOSE(Dists!$B15:$X15)*MMULT(1/Dists!$B15:$X15,Capacity!$DI$3:$DI$25)))</f>
        <v>0.983404682507285</v>
      </c>
      <c r="CA44" s="4" t="n">
        <f aca="false" t="array" ref="CA44:CA44">SUM(Demand!CA16*Capacity!CU$3:CU$25*Capacity!$DI16/(TRANSPOSE(Dists!$B15:$X15)*MMULT(1/Dists!$B15:$X15,Capacity!$DI$3:$DI$25)))</f>
        <v>0.135072989472993</v>
      </c>
      <c r="CB44" s="4" t="n">
        <f aca="false" t="array" ref="CB44:CB44">SUM(Demand!CB16*Capacity!CV$3:CV$25*Capacity!$DI16/(TRANSPOSE(Dists!$B15:$X15)*MMULT(1/Dists!$B15:$X15,Capacity!$DI$3:$DI$25)))</f>
        <v>582.869385868677</v>
      </c>
      <c r="CC44" s="4" t="n">
        <f aca="false" t="array" ref="CC44:CC44">SUM(Demand!CC16*Capacity!CW$3:CW$25*Capacity!$DI16/(TRANSPOSE(Dists!$B15:$X15)*MMULT(1/Dists!$B15:$X15,Capacity!$DI$3:$DI$25)))</f>
        <v>163.274929628316</v>
      </c>
      <c r="CD44" s="4" t="n">
        <f aca="false">SUM($BG44,$BI44,$BK44)*Capacity!CX16/SUM(Capacity!$AM16:$AN16,Capacity!$CX16)</f>
        <v>58.8647762833111</v>
      </c>
      <c r="CE44" s="4" t="n">
        <f aca="false" t="array" ref="CE44:CE44">SUM(Demand!CE16*Capacity!CY$3:CY$25*Capacity!$DI16/(TRANSPOSE(Dists!$B15:$X15)*MMULT(1/Dists!$B15:$X15,Capacity!$DI$3:$DI$25)))</f>
        <v>9.79352106931148</v>
      </c>
      <c r="CF44" s="4" t="n">
        <f aca="false" t="array" ref="CF44:CF44">SUM(Demand!CF16*Capacity!CZ$3:CZ$25*Capacity!$DI16/(TRANSPOSE(Dists!$B15:$X15)*MMULT(1/Dists!$B15:$X15,Capacity!$DI$3:$DI$25)))</f>
        <v>532.378578980608</v>
      </c>
      <c r="CG44" s="4" t="n">
        <f aca="false" t="array" ref="CG44:CG44">SUM(Demand!CG16*Capacity!DA$3:DA$25*Capacity!$DI16/(TRANSPOSE(Dists!$B15:$X15)*MMULT(1/Dists!$B15:$X15,Capacity!$DI$3:$DI$25)))</f>
        <v>7.52343232170431</v>
      </c>
      <c r="CH44" s="4" t="n">
        <f aca="false" t="array" ref="CH44:CH44">SUM(Demand!CH16*Capacity!DB$3:DB$25*Capacity!$DI16/(TRANSPOSE(Dists!$B15:$X15)*MMULT(1/Dists!$B15:$X15,Capacity!$DI$3:$DI$25)))</f>
        <v>2.50900426337332</v>
      </c>
      <c r="CI44" s="4" t="n">
        <f aca="false" t="array" ref="CI44:CI44">SUM(Demand!CI16*Capacity!DC$3:DC$25*Capacity!$DI16/(TRANSPOSE(Dists!$B15:$X15)*MMULT(1/Dists!$B15:$X15,Capacity!$DI$3:$DI$25)))</f>
        <v>0.315584795023767</v>
      </c>
      <c r="CJ44" s="4" t="n">
        <f aca="false" t="array" ref="CJ44:CJ44">SUM(Demand!CJ16*Capacity!DD$3:DD$25*Capacity!$DI16/(TRANSPOSE(Dists!$B15:$X15)*MMULT(1/Dists!$B15:$X15,Capacity!$DI$3:$DI$25)))</f>
        <v>0.0512830685458853</v>
      </c>
      <c r="CK44" s="4" t="n">
        <f aca="false" t="array" ref="CK44:CK44">SUM(Demand!CK16*Capacity!DE$3:DE$25*Capacity!$DI16/(TRANSPOSE(Dists!$B15:$X15)*MMULT(1/Dists!$B15:$X15,Capacity!$DI$3:$DI$25)))</f>
        <v>11.7084437664861</v>
      </c>
      <c r="CL44" s="7" t="s">
        <v>320</v>
      </c>
    </row>
    <row r="45" customFormat="false" ht="12.8" hidden="false" customHeight="false" outlineLevel="0" collapsed="false">
      <c r="A45" s="4" t="s">
        <v>151</v>
      </c>
      <c r="B45" s="7" t="s">
        <v>39</v>
      </c>
      <c r="C45" s="4" t="n">
        <f aca="false" t="array" ref="C45:C45">SUM(Demand!C17*Capacity!S$3:S$25*Capacity!$DH17/(TRANSPOSE(Dists!$B16:$X16)*MMULT(1/Dists!$B16:$X16,Capacity!$DH$3:$DH$25)))</f>
        <v>0.0201145323032404</v>
      </c>
      <c r="D45" s="4" t="n">
        <f aca="false" t="array" ref="D45:D45">SUM(Demand!D17*Capacity!V$3:V$25*Capacity!$DH17/(TRANSPOSE(Dists!$B16:$X16)*MMULT(1/Dists!$B16:$X16,Capacity!$DH$3:$DH$25)))</f>
        <v>1982.57587445107</v>
      </c>
      <c r="E45" s="4" t="n">
        <f aca="false" t="array" ref="E45:E45">SUM(Demand!E17*Capacity!Y$3:Y$25*Capacity!$DH17/(TRANSPOSE(Dists!$B16:$X16)*MMULT(1/Dists!$B16:$X16,Capacity!$DH$3:$DH$25)))</f>
        <v>1191.60613733306</v>
      </c>
      <c r="F45" s="4" t="n">
        <f aca="false">$E17*Capacity!$M17/(2*(1-Capacity!$H$28)*Capacity!$H17)</f>
        <v>656.966348750288</v>
      </c>
      <c r="G45" s="4" t="n">
        <f aca="false" t="array" ref="G45:G45">SUM(Demand!G17*Capacity!AA$3:AA$25*Capacity!$DH17/(TRANSPOSE(Dists!$B16:$X16)*MMULT(1/Dists!$B16:$X16,Capacity!$DH$3:$DH$25)))</f>
        <v>1347.71897795587</v>
      </c>
      <c r="H45" s="4" t="n">
        <f aca="false" t="array" ref="H45:H45">SUM(Demand!H17*Capacity!AB$3:AB$25*Capacity!$DH17/(TRANSPOSE(Dists!$B16:$X16)*MMULT(1/Dists!$B16:$X16,Capacity!$DH$3:$DH$25)))</f>
        <v>4.02751675714973</v>
      </c>
      <c r="I45" s="4" t="n">
        <f aca="false" t="array" ref="I45:I45">SUM(Demand!I17*Capacity!AC$3:AC$25*Capacity!$DG17/(TRANSPOSE(Dists!$B16:$X16)*MMULT(1/Dists!$B16:$X16,Capacity!$DG$3:$DG$25)))</f>
        <v>2.57423052893009</v>
      </c>
      <c r="J45" s="4" t="n">
        <f aca="false" t="array" ref="J45:J45">SUM(Demand!J17*Capacity!AD$3:AD$25*Capacity!$DG17/(TRANSPOSE(Dists!$B16:$X16)*MMULT(1/Dists!$B16:$X16,Capacity!$DG$3:$DG$25)))</f>
        <v>2.5120828094665</v>
      </c>
      <c r="K45" s="4" t="n">
        <f aca="false">5479.45205479452*$R17</f>
        <v>990961.165693743</v>
      </c>
      <c r="L45" s="4" t="n">
        <f aca="false">17142.8571428571*$S17</f>
        <v>173369.676796716</v>
      </c>
      <c r="M45" s="4" t="n">
        <f aca="false">IF(50420.1680672269*$T17&gt;($K17/20),50420.1680672269*$T17-($K17/20),0)</f>
        <v>235443.191244162</v>
      </c>
      <c r="N45" s="4" t="n">
        <f aca="false" t="array" ref="N45:N45">SUM(Demand!N17*Capacity!AH$3:AH$25*Capacity!$DH17/(TRANSPOSE(Dists!$B16:$X16)*MMULT(1/Dists!$B16:$X16,Capacity!$DH$3:$DH$25)))</f>
        <v>1715.42274936994</v>
      </c>
      <c r="O45" s="4" t="n">
        <f aca="false">D45/0.8</f>
        <v>2478.21984306383</v>
      </c>
      <c r="P45" s="4" t="n">
        <f aca="false">O45/0.8</f>
        <v>3097.77480382979</v>
      </c>
      <c r="Q45" s="4" t="n">
        <f aca="false" t="array" ref="Q45:Q45">SUM(Demand!Q17*Capacity!AK$3:AK$25*Capacity!$DI17/(TRANSPOSE(Dists!$B16:$X16)*MMULT(1/Dists!$B16:$X16,Capacity!$DI$3:$DI$25)))</f>
        <v>22.2660390515771</v>
      </c>
      <c r="R45" s="4" t="n">
        <f aca="false" t="array" ref="R45:R45">SUM(Demand!R17*Capacity!AL$3:AL$25*Capacity!$DH17/(TRANSPOSE(Dists!$B16:$X16)*MMULT(1/Dists!$B16:$X16,Capacity!$DH$3:$DH$25)))</f>
        <v>110.205053546379</v>
      </c>
      <c r="S45" s="4" t="n">
        <f aca="false">SUM($BG45,$BI45,$BK45)*Capacity!AM17/SUM(Capacity!$AM17:$AN17,Capacity!$CX17)</f>
        <v>10.1132311464751</v>
      </c>
      <c r="T45" s="4" t="n">
        <f aca="false">SUM($BG45,$BI45,$BK45)*Capacity!AN17/SUM(Capacity!$AM17:$AN17,Capacity!$CX17)</f>
        <v>5.65232644898884</v>
      </c>
      <c r="U45" s="4" t="n">
        <f aca="false">$M17*120*2/(16*1000*2000)</f>
        <v>1.76582393433121</v>
      </c>
      <c r="V45" s="4" t="n">
        <f aca="false" t="array" ref="V45:V45">SUM(Demand!V17*Capacity!AP$3:AP$25*Capacity!$DH17/(TRANSPOSE(Dists!$B16:$X16)*MMULT(1/Dists!$B16:$X16,Capacity!$DH$3:$DH$25)))</f>
        <v>391.241334064885</v>
      </c>
      <c r="W45" s="4" t="n">
        <f aca="false" t="array" ref="W45:W45">SUM(Demand!W17*Capacity!AQ$3:AQ$25*Capacity!$DH17/(TRANSPOSE(Dists!$B16:$X16)*MMULT(1/Dists!$B16:$X16,Capacity!$DH$3:$DH$25)))</f>
        <v>53.3249318774836</v>
      </c>
      <c r="X45" s="4" t="n">
        <f aca="false" t="array" ref="X45:X45">SUM(Demand!X17*Capacity!AR$3:AR$25*Capacity!$DH17/(TRANSPOSE(Dists!$B16:$X16)*MMULT(1/Dists!$B16:$X16,Capacity!$DH$3:$DH$25)))</f>
        <v>411.872027474387</v>
      </c>
      <c r="Y45" s="4" t="n">
        <f aca="false">$L17*600*6/(90*1000*2000)</f>
        <v>3.46739353593432</v>
      </c>
      <c r="Z45" s="4" t="n">
        <f aca="false" t="array" ref="Z45:Z45">SUM(Demand!Z17*Capacity!AT$3:AT$25*Capacity!$DI17/(TRANSPOSE(Dists!$B16:$X16)*MMULT(1/Dists!$B16:$X16,Capacity!$DI$3:$DI$25)))</f>
        <v>103.04594857546</v>
      </c>
      <c r="AA45" s="4" t="n">
        <f aca="false" t="array" ref="AA45:AA45">SUM(Demand!AA17*Capacity!AU$3:AU$25*Capacity!$DI17/(TRANSPOSE(Dists!$B16:$X16)*MMULT(1/Dists!$B16:$X16,Capacity!$DI$3:$DI$25)))</f>
        <v>88.8970954788477</v>
      </c>
      <c r="AB45" s="4" t="n">
        <f aca="false" t="array" ref="AB45:AB45">SUM(Demand!AB17*Capacity!AV$3:AV$25*Capacity!$DI17/(TRANSPOSE(Dists!$B16:$X16)*MMULT(1/Dists!$B16:$X16,Capacity!$DI$3:$DI$25)))</f>
        <v>83.3938053447029</v>
      </c>
      <c r="AC45" s="4" t="n">
        <f aca="false" t="array" ref="AC45:AC45">SUM(Demand!AC17*Capacity!AW$3:AW$25*Capacity!$DI17/(TRANSPOSE(Dists!$B16:$X16)*MMULT(1/Dists!$B16:$X16,Capacity!$DI$3:$DI$25)))</f>
        <v>17.184782580816</v>
      </c>
      <c r="AD45" s="4" t="n">
        <f aca="false" t="array" ref="AD45:AD45">SUM(Demand!AD17*Capacity!AX$3:AX$25*Capacity!$DI17/(TRANSPOSE(Dists!$B16:$X16)*MMULT(1/Dists!$B16:$X16,Capacity!$DI$3:$DI$25)))</f>
        <v>13.6524550781002</v>
      </c>
      <c r="AE45" s="4" t="n">
        <f aca="false" t="array" ref="AE45:AE45">SUM(Demand!AE17*Capacity!AY$3:AY$25*Capacity!$DI17/(TRANSPOSE(Dists!$B16:$X16)*MMULT(1/Dists!$B16:$X16,Capacity!$DI$3:$DI$25)))</f>
        <v>6.0119296721886</v>
      </c>
      <c r="AF45" s="4" t="n">
        <f aca="false" t="array" ref="AF45:AF45">SUM(Demand!AF17*Capacity!AZ$3:AZ$25*Capacity!$DI17/(TRANSPOSE(Dists!$B16:$X16)*MMULT(1/Dists!$B16:$X16,Capacity!$DI$3:$DI$25)))</f>
        <v>1.78982283010829</v>
      </c>
      <c r="AG45" s="4" t="n">
        <f aca="false" t="array" ref="AG45:AG45">SUM(Demand!AG17*Capacity!BA$3:BA$25*Capacity!$DI17/(TRANSPOSE(Dists!$B16:$X16)*MMULT(1/Dists!$B16:$X16,Capacity!$DI$3:$DI$25)))</f>
        <v>4.36770820555448</v>
      </c>
      <c r="AH45" s="4" t="n">
        <f aca="false" t="array" ref="AH45:AH45">SUM(Demand!AH17*Capacity!BB$3:BB$25*Capacity!$DI17/(TRANSPOSE(Dists!$B16:$X16)*MMULT(1/Dists!$B16:$X16,Capacity!$DI$3:$DI$25)))</f>
        <v>2.90582514283616</v>
      </c>
      <c r="AI45" s="4" t="n">
        <f aca="false" t="array" ref="AI45:AI45">SUM(Demand!AI17*Capacity!BC$3:BC$25*Capacity!$DI17/(TRANSPOSE(Dists!$B16:$X16)*MMULT(1/Dists!$B16:$X16,Capacity!$DI$3:$DI$25)))</f>
        <v>1.4150539946995</v>
      </c>
      <c r="AJ45" s="4" t="n">
        <f aca="false" t="array" ref="AJ45:AJ45">SUM(Demand!AJ17*Capacity!BD$3:BD$25*Capacity!$DI17/(TRANSPOSE(Dists!$B16:$X16)*MMULT(1/Dists!$B16:$X16,Capacity!$DI$3:$DI$25)))</f>
        <v>1.38169893805531</v>
      </c>
      <c r="AK45" s="4" t="n">
        <f aca="false" t="array" ref="AK45:AK45">SUM(Demand!AK17*Capacity!BE$3:BE$25*Capacity!$DI17/(TRANSPOSE(Dists!$B16:$X16)*MMULT(1/Dists!$B16:$X16,Capacity!$DI$3:$DI$25)))</f>
        <v>0.962429167542791</v>
      </c>
      <c r="AL45" s="4" t="n">
        <f aca="false" t="array" ref="AL45:AL45">SUM(Demand!AL17*Capacity!BF$3:BF$25*Capacity!$DI17/(TRANSPOSE(Dists!$B16:$X16)*MMULT(1/Dists!$B16:$X16,Capacity!$DI$3:$DI$25)))</f>
        <v>1.12132699851966</v>
      </c>
      <c r="AM45" s="4" t="n">
        <f aca="false" t="array" ref="AM45:AM45">SUM(Demand!AM17*Capacity!BG$3:BG$25*Capacity!$DI17/(TRANSPOSE(Dists!$B16:$X16)*MMULT(1/Dists!$B16:$X16,Capacity!$DI$3:$DI$25)))</f>
        <v>3.23919749207327</v>
      </c>
      <c r="AN45" s="4" t="n">
        <f aca="false" t="array" ref="AN45:AN45">SUM(Demand!AN17*Capacity!BH$3:BH$25*Capacity!$DI17/(TRANSPOSE(Dists!$B16:$X16)*MMULT(1/Dists!$B16:$X16,Capacity!$DI$3:$DI$25)))</f>
        <v>0.327942862519401</v>
      </c>
      <c r="AO45" s="4" t="n">
        <f aca="false" t="array" ref="AO45:AO45">SUM(Demand!AO17*Capacity!BI$3:BI$25*Capacity!$DI17/(TRANSPOSE(Dists!$B16:$X16)*MMULT(1/Dists!$B16:$X16,Capacity!$DI$3:$DI$25)))</f>
        <v>3.31587229673017</v>
      </c>
      <c r="AP45" s="4" t="n">
        <f aca="false" t="array" ref="AP45:AP45">SUM(Demand!AP17*Capacity!BJ$3:BJ$25*Capacity!$DI17/(TRANSPOSE(Dists!$B16:$X16)*MMULT(1/Dists!$B16:$X16,Capacity!$DI$3:$DI$25)))</f>
        <v>0.371515178238463</v>
      </c>
      <c r="AQ45" s="4" t="n">
        <f aca="false" t="array" ref="AQ45:AQ45">SUM(Demand!AQ17*Capacity!BK$3:BK$25*Capacity!$DI17/(TRANSPOSE(Dists!$B16:$X16)*MMULT(1/Dists!$B16:$X16,Capacity!$DI$3:$DI$25)))</f>
        <v>0.0807459697268742</v>
      </c>
      <c r="AR45" s="4" t="n">
        <f aca="false" t="array" ref="AR45:AR45">SUM(Demand!AR17*Capacity!BL$3:BL$25*Capacity!$DI17/(TRANSPOSE(Dists!$B16:$X16)*MMULT(1/Dists!$B16:$X16,Capacity!$DI$3:$DI$25)))</f>
        <v>0.622012214841817</v>
      </c>
      <c r="AS45" s="4" t="n">
        <f aca="false" t="array" ref="AS45:AS45">SUM(Demand!AS17*Capacity!BM$3:BM$25*Capacity!$DI17/(TRANSPOSE(Dists!$B16:$X16)*MMULT(1/Dists!$B16:$X16,Capacity!$DI$3:$DI$25)))</f>
        <v>0.455025975128596</v>
      </c>
      <c r="AT45" s="4" t="n">
        <f aca="false" t="array" ref="AT45:AT45">SUM(Demand!AT17*Capacity!BN$3:BN$25*Capacity!$DI17/(TRANSPOSE(Dists!$B16:$X16)*MMULT(1/Dists!$B16:$X16,Capacity!$DI$3:$DI$25)))</f>
        <v>12.890814576956</v>
      </c>
      <c r="AU45" s="4" t="n">
        <f aca="false" t="array" ref="AU45:AU45">SUM(Demand!AU17*Capacity!BO$3:BO$25*Capacity!$DI17/(TRANSPOSE(Dists!$B16:$X16)*MMULT(1/Dists!$B16:$X16,Capacity!$DI$3:$DI$25)))</f>
        <v>12.0227475732539</v>
      </c>
      <c r="AV45" s="4" t="n">
        <f aca="false" t="array" ref="AV45:AV45">SUM(Demand!AV17*Capacity!BP$3:BP$25*Capacity!$DI17/(TRANSPOSE(Dists!$B16:$X16)*MMULT(1/Dists!$B16:$X16,Capacity!$DI$3:$DI$25)))</f>
        <v>0.384747289530947</v>
      </c>
      <c r="AW45" s="4" t="n">
        <f aca="false" t="array" ref="AW45:AW45">SUM(Demand!AW17*Capacity!BQ$3:BQ$25*Capacity!$DI17/(TRANSPOSE(Dists!$B16:$X16)*MMULT(1/Dists!$B16:$X16,Capacity!$DI$3:$DI$25)))</f>
        <v>9.28021795328512</v>
      </c>
      <c r="AX45" s="4" t="n">
        <f aca="false" t="array" ref="AX45:AX45">SUM(Demand!AX17*Capacity!BR$3:BR$25*Capacity!$DI17/(TRANSPOSE(Dists!$B16:$X16)*MMULT(1/Dists!$B16:$X16,Capacity!$DI$3:$DI$25)))</f>
        <v>0.295594986801465</v>
      </c>
      <c r="AY45" s="4" t="n">
        <f aca="false" t="array" ref="AY45:AY45">SUM(Demand!AY17*Capacity!BS$3:BS$25*Capacity!$DI17/(TRANSPOSE(Dists!$B16:$X16)*MMULT(1/Dists!$B16:$X16,Capacity!$DI$3:$DI$25)))</f>
        <v>1.13511696391205</v>
      </c>
      <c r="AZ45" s="4" t="n">
        <f aca="false" t="array" ref="AZ45:AZ45">SUM(Demand!AZ17*Capacity!BT$3:BT$25*Capacity!$DI17/(TRANSPOSE(Dists!$B16:$X16)*MMULT(1/Dists!$B16:$X16,Capacity!$DI$3:$DI$25)))</f>
        <v>7.00118443345827</v>
      </c>
      <c r="BA45" s="4" t="n">
        <f aca="false">BA17</f>
        <v>0.0424925678423324</v>
      </c>
      <c r="BB45" s="4" t="n">
        <f aca="false" t="array" ref="BB45:BB45">SUM(Demand!BB17*Capacity!BV$3:BV$25*Capacity!$DI17/(TRANSPOSE(Dists!$B16:$X16)*MMULT(1/Dists!$B16:$X16,Capacity!$DI$3:$DI$25)))</f>
        <v>0.617358559438723</v>
      </c>
      <c r="BC45" s="4" t="n">
        <f aca="false" t="array" ref="BC45:BC45">SUM(Demand!BC17*Capacity!BW$3:BW$25*Capacity!$DI17/(TRANSPOSE(Dists!$B16:$X16)*MMULT(1/Dists!$B16:$X16,Capacity!$DI$3:$DI$25)))</f>
        <v>0.477901399175111</v>
      </c>
      <c r="BD45" s="4" t="n">
        <f aca="false" t="array" ref="BD45:BD45">SUM(Demand!BD17*Capacity!BX$3:BX$25*Capacity!$DI17/(TRANSPOSE(Dists!$B16:$X16)*MMULT(1/Dists!$B16:$X16,Capacity!$DI$3:$DI$25)))</f>
        <v>0.0399480332443439</v>
      </c>
      <c r="BE45" s="4" t="n">
        <f aca="false" t="array" ref="BE45:BE45">SUM(Demand!BE17*Capacity!BY$3:BY$25*Capacity!$DI17/(TRANSPOSE(Dists!$B16:$X16)*MMULT(1/Dists!$B16:$X16,Capacity!$DI$3:$DI$25)))</f>
        <v>0.174447962336532</v>
      </c>
      <c r="BF45" s="4" t="n">
        <f aca="false" t="array" ref="BF45:BF45">SUM(Demand!BF17*Capacity!BZ$3:BZ$25*Capacity!$DI17/(TRANSPOSE(Dists!$B16:$X16)*MMULT(1/Dists!$B16:$X16,Capacity!$DI$3:$DI$25)))</f>
        <v>12.733464487598</v>
      </c>
      <c r="BG45" s="4" t="n">
        <f aca="false" t="array" ref="BG45:BG45">SUM(Demand!BG17*Capacity!CA$3:CA$25*Capacity!$DI17/(TRANSPOSE(Dists!$B16:$X16)*MMULT(1/Dists!$B16:$X16,Capacity!$DI$3:$DI$25)))</f>
        <v>25.8864732649692</v>
      </c>
      <c r="BH45" s="4" t="n">
        <f aca="false" t="array" ref="BH45:BH45">SUM(Demand!BH17*Capacity!CB$3:CB$25*Capacity!$DI17/(TRANSPOSE(Dists!$B16:$X16)*MMULT(1/Dists!$B16:$X16,Capacity!$DI$3:$DI$25)))</f>
        <v>51.7729465299384</v>
      </c>
      <c r="BI45" s="4" t="n">
        <f aca="false" t="array" ref="BI45:BI45">SUM(Demand!BI17*Capacity!CC$3:CC$25*Capacity!$DI17/(TRANSPOSE(Dists!$B16:$X16)*MMULT(1/Dists!$B16:$X16,Capacity!$DI$3:$DI$25)))</f>
        <v>69.0305953732512</v>
      </c>
      <c r="BJ45" s="4" t="n">
        <f aca="false" t="array" ref="BJ45:BJ45">SUM(Demand!BJ17*Capacity!CD$3:CD$25*Capacity!$DI17/(TRANSPOSE(Dists!$B16:$X16)*MMULT(1/Dists!$B16:$X16,Capacity!$DI$3:$DI$25)))</f>
        <v>594.564682966039</v>
      </c>
      <c r="BK45" s="4" t="n">
        <f aca="false" t="array" ref="BK45:BK45">SUM(Demand!BK17*Capacity!CE$3:CE$25*Capacity!$DI17/(TRANSPOSE(Dists!$B16:$X16)*MMULT(1/Dists!$B16:$X16,Capacity!$DI$3:$DI$25)))</f>
        <v>34.5152976866256</v>
      </c>
      <c r="BL45" s="4" t="n">
        <f aca="false" t="array" ref="BL45:BL45">SUM(Demand!BL17*Capacity!CF$3:CF$25*Capacity!$DI17/(TRANSPOSE(Dists!$B16:$X16)*MMULT(1/Dists!$B16:$X16,Capacity!$DI$3:$DI$25)))</f>
        <v>1014.32335438369</v>
      </c>
      <c r="BM45" s="4" t="n">
        <f aca="false" t="array" ref="BM45:BM45">SUM(Demand!BM17*Capacity!CG$3:CG$25*Capacity!$DI17/(TRANSPOSE(Dists!$B16:$X16)*MMULT(1/Dists!$B16:$X16,Capacity!$DI$3:$DI$25)))</f>
        <v>41.6307058568596</v>
      </c>
      <c r="BN45" s="4" t="n">
        <f aca="false">BN17</f>
        <v>0.00120232905574576</v>
      </c>
      <c r="BO45" s="4" t="n">
        <f aca="false" t="array" ref="BO45:BO45">SUM(Demand!BO17*Capacity!CI$3:CI$25*Capacity!$DI17/(TRANSPOSE(Dists!$B16:$X16)*MMULT(1/Dists!$B16:$X16,Capacity!$DI$3:$DI$25)))</f>
        <v>36.2748401413315</v>
      </c>
      <c r="BP45" s="4" t="n">
        <f aca="false" t="array" ref="BP45:BP45">SUM(Demand!BP17*Capacity!CJ$3:CJ$25*Capacity!$DI17/(TRANSPOSE(Dists!$B16:$X16)*MMULT(1/Dists!$B16:$X16,Capacity!$DI$3:$DI$25)))</f>
        <v>49.3906461060753</v>
      </c>
      <c r="BQ45" s="4" t="n">
        <f aca="false">BQ17</f>
        <v>0.000781513886234744</v>
      </c>
      <c r="BR45" s="4" t="n">
        <f aca="false" t="array" ref="BR45:BR45">SUM(Demand!BR17*Capacity!CL$3:CL$25*Capacity!$DI17/(TRANSPOSE(Dists!$B16:$X16)*MMULT(1/Dists!$B16:$X16,Capacity!$DI$3:$DI$25)))</f>
        <v>1.20916177886741</v>
      </c>
      <c r="BS45" s="4" t="n">
        <f aca="false" t="array" ref="BS45:BS45">SUM(Demand!BS17*Capacity!CM$3:CM$25*Capacity!$DI17/(TRANSPOSE(Dists!$B16:$X16)*MMULT(1/Dists!$B16:$X16,Capacity!$DI$3:$DI$25)))</f>
        <v>0.120916177886741</v>
      </c>
      <c r="BT45" s="4" t="n">
        <f aca="false">BT17</f>
        <v>16.0001823108027</v>
      </c>
      <c r="BU45" s="4" t="n">
        <f aca="false">BU17</f>
        <v>1.60001823108027</v>
      </c>
      <c r="BV45" s="4" t="n">
        <f aca="false">BV17</f>
        <v>0.160001823108028</v>
      </c>
      <c r="BW45" s="4" t="n">
        <f aca="false">BW17</f>
        <v>3312.66506178591</v>
      </c>
      <c r="BX45" s="4" t="n">
        <f aca="false" t="array" ref="BX45:BX45">SUM(Demand!BX17*Capacity!CR$3:CR$25*Capacity!$DI17/(TRANSPOSE(Dists!$B16:$X16)*MMULT(1/Dists!$B16:$X16,Capacity!$DI$3:$DI$25)))</f>
        <v>1.66404085952115</v>
      </c>
      <c r="BY45" s="4" t="n">
        <f aca="false" t="array" ref="BY45:BY45">SUM(Demand!BY17*Capacity!CS$3:CS$25*Capacity!$DI17/(TRANSPOSE(Dists!$B16:$X16)*MMULT(1/Dists!$B16:$X16,Capacity!$DI$3:$DI$25)))</f>
        <v>219.413291988922</v>
      </c>
      <c r="BZ45" s="4" t="n">
        <f aca="false" t="array" ref="BZ45:BZ45">SUM(Demand!BZ17*Capacity!CT$3:CT$25*Capacity!$DI17/(TRANSPOSE(Dists!$B16:$X16)*MMULT(1/Dists!$B16:$X16,Capacity!$DI$3:$DI$25)))</f>
        <v>0.272656662442151</v>
      </c>
      <c r="CA45" s="4" t="n">
        <f aca="false" t="array" ref="CA45:CA45">SUM(Demand!CA17*Capacity!CU$3:CU$25*Capacity!$DI17/(TRANSPOSE(Dists!$B16:$X16)*MMULT(1/Dists!$B16:$X16,Capacity!$DI$3:$DI$25)))</f>
        <v>0.305423270823732</v>
      </c>
      <c r="CB45" s="4" t="n">
        <f aca="false" t="array" ref="CB45:CB45">SUM(Demand!CB17*Capacity!CV$3:CV$25*Capacity!$DI17/(TRANSPOSE(Dists!$B16:$X16)*MMULT(1/Dists!$B16:$X16,Capacity!$DI$3:$DI$25)))</f>
        <v>1723.63307780453</v>
      </c>
      <c r="CC45" s="4" t="n">
        <f aca="false" t="array" ref="CC45:CC45">SUM(Demand!CC17*Capacity!CW$3:CW$25*Capacity!$DI17/(TRANSPOSE(Dists!$B16:$X16)*MMULT(1/Dists!$B16:$X16,Capacity!$DI$3:$DI$25)))</f>
        <v>1472.07980686817</v>
      </c>
      <c r="CD45" s="4" t="n">
        <f aca="false">SUM($BG45,$BI45,$BK45)*Capacity!CX17/SUM(Capacity!$AM17:$AN17,Capacity!$CX17)</f>
        <v>113.666808729382</v>
      </c>
      <c r="CE45" s="4" t="n">
        <f aca="false" t="array" ref="CE45:CE45">SUM(Demand!CE17*Capacity!CY$3:CY$25*Capacity!$DI17/(TRANSPOSE(Dists!$B16:$X16)*MMULT(1/Dists!$B16:$X16,Capacity!$DI$3:$DI$25)))</f>
        <v>2.43812802164236</v>
      </c>
      <c r="CF45" s="4" t="n">
        <f aca="false" t="array" ref="CF45:CF45">SUM(Demand!CF17*Capacity!CZ$3:CZ$25*Capacity!$DI17/(TRANSPOSE(Dists!$B16:$X16)*MMULT(1/Dists!$B16:$X16,Capacity!$DI$3:$DI$25)))</f>
        <v>636.992972270334</v>
      </c>
      <c r="CG45" s="4" t="n">
        <f aca="false" t="array" ref="CG45:CG45">SUM(Demand!CG17*Capacity!DA$3:DA$25*Capacity!$DI17/(TRANSPOSE(Dists!$B16:$X16)*MMULT(1/Dists!$B16:$X16,Capacity!$DI$3:$DI$25)))</f>
        <v>2.22536222118899</v>
      </c>
      <c r="CH45" s="4" t="n">
        <f aca="false" t="array" ref="CH45:CH45">SUM(Demand!CH17*Capacity!DB$3:DB$25*Capacity!$DI17/(TRANSPOSE(Dists!$B16:$X16)*MMULT(1/Dists!$B16:$X16,Capacity!$DI$3:$DI$25)))</f>
        <v>0.148283620480696</v>
      </c>
      <c r="CI45" s="4" t="n">
        <f aca="false" t="array" ref="CI45:CI45">SUM(Demand!CI17*Capacity!DC$3:DC$25*Capacity!$DI17/(TRANSPOSE(Dists!$B16:$X16)*MMULT(1/Dists!$B16:$X16,Capacity!$DI$3:$DI$25)))</f>
        <v>0.242919197802781</v>
      </c>
      <c r="CJ45" s="4" t="n">
        <f aca="false" t="array" ref="CJ45:CJ45">SUM(Demand!CJ17*Capacity!DD$3:DD$25*Capacity!$DI17/(TRANSPOSE(Dists!$B16:$X16)*MMULT(1/Dists!$B16:$X16,Capacity!$DI$3:$DI$25)))</f>
        <v>0.10422169503202</v>
      </c>
      <c r="CK45" s="4" t="n">
        <f aca="false" t="array" ref="CK45:CK45">SUM(Demand!CK17*Capacity!DE$3:DE$25*Capacity!$DI17/(TRANSPOSE(Dists!$B16:$X16)*MMULT(1/Dists!$B16:$X16,Capacity!$DI$3:$DI$25)))</f>
        <v>1.28838179075916</v>
      </c>
      <c r="CL45" s="7" t="s">
        <v>320</v>
      </c>
    </row>
    <row r="46" s="21" customFormat="true" ht="12.8" hidden="false" customHeight="false" outlineLevel="0" collapsed="false">
      <c r="A46" s="21" t="s">
        <v>152</v>
      </c>
      <c r="B46" s="22" t="s">
        <v>39</v>
      </c>
      <c r="C46" s="21" t="n">
        <f aca="false" t="array" ref="C46:C46">SUM(Demand!C18*Capacity!S$3:S$25*Capacity!$DH18/(TRANSPOSE(Dists!$B17:$X17)*MMULT(1/Dists!$B17:$X17,Capacity!$DH$3:$DH$25)))</f>
        <v>0.0191154860742596</v>
      </c>
      <c r="D46" s="21" t="n">
        <f aca="false" t="array" ref="D46:D46">SUM(Demand!D18*Capacity!V$3:V$25*Capacity!$DH18/(TRANSPOSE(Dists!$B17:$X17)*MMULT(1/Dists!$B17:$X17,Capacity!$DH$3:$DH$25)))</f>
        <v>2189.91241586587</v>
      </c>
      <c r="E46" s="21" t="n">
        <f aca="false" t="array" ref="E46:E46">SUM(Demand!E18*Capacity!Y$3:Y$25*Capacity!$DH18/(TRANSPOSE(Dists!$B17:$X17)*MMULT(1/Dists!$B17:$X17,Capacity!$DH$3:$DH$25)))</f>
        <v>1140.75008654769</v>
      </c>
      <c r="F46" s="21" t="n">
        <f aca="false">$E18*Capacity!$M18/(2*(1-Capacity!$H$28)*Capacity!$H18)</f>
        <v>360.489475400685</v>
      </c>
      <c r="G46" s="21" t="n">
        <f aca="false" t="array" ref="G46:G46">SUM(Demand!G18*Capacity!AA$3:AA$25*Capacity!$DH18/(TRANSPOSE(Dists!$B17:$X17)*MMULT(1/Dists!$B17:$X17,Capacity!$DH$3:$DH$25)))</f>
        <v>46.339480881426</v>
      </c>
      <c r="H46" s="21" t="n">
        <f aca="false" t="array" ref="H46:H46">SUM(Demand!H18*Capacity!AB$3:AB$25*Capacity!$DH18/(TRANSPOSE(Dists!$B17:$X17)*MMULT(1/Dists!$B17:$X17,Capacity!$DH$3:$DH$25)))</f>
        <v>5.72159091471627</v>
      </c>
      <c r="I46" s="21" t="n">
        <f aca="false" t="array" ref="I46:I46">SUM(Demand!I18*Capacity!AC$3:AC$25*Capacity!$DG18/(TRANSPOSE(Dists!$B17:$X17)*MMULT(1/Dists!$B17:$X17,Capacity!$DG$3:$DG$25)))</f>
        <v>3.2902629776251</v>
      </c>
      <c r="J46" s="21" t="n">
        <f aca="false" t="array" ref="J46:J46">SUM(Demand!J18*Capacity!AD$3:AD$25*Capacity!$DG18/(TRANSPOSE(Dists!$B17:$X17)*MMULT(1/Dists!$B17:$X17,Capacity!$DG$3:$DG$25)))</f>
        <v>0.635864720531687</v>
      </c>
      <c r="K46" s="21" t="n">
        <f aca="false">5479.45205479452*$R18</f>
        <v>980285.203886675</v>
      </c>
      <c r="L46" s="21" t="n">
        <f aca="false">17142.8571428571*$S18</f>
        <v>169896.535881934</v>
      </c>
      <c r="M46" s="21" t="n">
        <f aca="false">IF(50420.1680672269*$T18&gt;($K18/20),50420.1680672269*$T18-($K18/20),0)</f>
        <v>230267.716597887</v>
      </c>
      <c r="N46" s="21" t="n">
        <f aca="false" t="array" ref="N46:N46">SUM(Demand!N18*Capacity!AH$3:AH$25*Capacity!$DH18/(TRANSPOSE(Dists!$B17:$X17)*MMULT(1/Dists!$B17:$X17,Capacity!$DH$3:$DH$25)))</f>
        <v>2163.29696018668</v>
      </c>
      <c r="O46" s="21" t="n">
        <f aca="false">D46/0.8</f>
        <v>2737.39051983234</v>
      </c>
      <c r="P46" s="21" t="n">
        <f aca="false">O46/0.8</f>
        <v>3421.73814979043</v>
      </c>
      <c r="Q46" s="21" t="n">
        <f aca="false" t="array" ref="Q46:Q46">SUM(Demand!Q18*Capacity!AK$3:AK$25*Capacity!$DI18/(TRANSPOSE(Dists!$B17:$X17)*MMULT(1/Dists!$B17:$X17,Capacity!$DI$3:$DI$25)))</f>
        <v>0.771203433719038</v>
      </c>
      <c r="R46" s="21" t="n">
        <f aca="false" t="array" ref="R46:R46">SUM(Demand!R18*Capacity!AL$3:AL$25*Capacity!$DH18/(TRANSPOSE(Dists!$B17:$X17)*MMULT(1/Dists!$B17:$X17,Capacity!$DH$3:$DH$25)))</f>
        <v>188.307487522123</v>
      </c>
      <c r="S46" s="21" t="n">
        <f aca="false">SUM($BG46,$BI46,$BK46)*Capacity!AM18/SUM(Capacity!$AM18:$AN18,Capacity!$CX18)</f>
        <v>9.91063125977951</v>
      </c>
      <c r="T46" s="21" t="n">
        <f aca="false">SUM($BG46,$BI46,$BK46)*Capacity!AN18/SUM(Capacity!$AM18:$AN18,Capacity!$CX18)</f>
        <v>5.53909253971238</v>
      </c>
      <c r="U46" s="21" t="n">
        <f aca="false">$M18*120*2/(16*1000*2000)</f>
        <v>1.72700787448415</v>
      </c>
      <c r="V46" s="21" t="n">
        <f aca="false" t="array" ref="V46:V46">SUM(Demand!V18*Capacity!AP$3:AP$25*Capacity!$DH18/(TRANSPOSE(Dists!$B17:$X17)*MMULT(1/Dists!$B17:$X17,Capacity!$DH$3:$DH$25)))</f>
        <v>556.446468327044</v>
      </c>
      <c r="W46" s="21" t="n">
        <f aca="false" t="array" ref="W46:W46">SUM(Demand!W18*Capacity!AQ$3:AQ$25*Capacity!$DH18/(TRANSPOSE(Dists!$B17:$X17)*MMULT(1/Dists!$B17:$X17,Capacity!$DH$3:$DH$25)))</f>
        <v>912.485721615834</v>
      </c>
      <c r="X46" s="21" t="n">
        <f aca="false" t="array" ref="X46:X46">SUM(Demand!X18*Capacity!AR$3:AR$25*Capacity!$DH18/(TRANSPOSE(Dists!$B17:$X17)*MMULT(1/Dists!$B17:$X17,Capacity!$DH$3:$DH$25)))</f>
        <v>1806.99016704462</v>
      </c>
      <c r="Y46" s="21" t="n">
        <f aca="false">$L18*600*6/(90*1000*2000)</f>
        <v>3.39793071763868</v>
      </c>
      <c r="Z46" s="21" t="n">
        <f aca="false" t="array" ref="Z46:Z46">SUM(Demand!Z18*Capacity!AT$3:AT$25*Capacity!$DI18/(TRANSPOSE(Dists!$B17:$X17)*MMULT(1/Dists!$B17:$X17,Capacity!$DI$3:$DI$25)))</f>
        <v>76.1773249288769</v>
      </c>
      <c r="AA46" s="21" t="n">
        <f aca="false" t="array" ref="AA46:AA46">SUM(Demand!AA18*Capacity!AU$3:AU$25*Capacity!$DI18/(TRANSPOSE(Dists!$B17:$X17)*MMULT(1/Dists!$B17:$X17,Capacity!$DI$3:$DI$25)))</f>
        <v>97.7957077072265</v>
      </c>
      <c r="AB46" s="21" t="n">
        <f aca="false" t="array" ref="AB46:AB46">SUM(Demand!AB18*Capacity!AV$3:AV$25*Capacity!$DI18/(TRANSPOSE(Dists!$B17:$X17)*MMULT(1/Dists!$B17:$X17,Capacity!$DI$3:$DI$25)))</f>
        <v>79.8346766469543</v>
      </c>
      <c r="AC46" s="21" t="n">
        <f aca="false" t="array" ref="AC46:AC46">SUM(Demand!AC18*Capacity!AW$3:AW$25*Capacity!$DI18/(TRANSPOSE(Dists!$B17:$X17)*MMULT(1/Dists!$B17:$X17,Capacity!$DI$3:$DI$25)))</f>
        <v>11.9508539732866</v>
      </c>
      <c r="AD46" s="21" t="n">
        <f aca="false" t="array" ref="AD46:AD46">SUM(Demand!AD18*Capacity!AX$3:AX$25*Capacity!$DI18/(TRANSPOSE(Dists!$B17:$X17)*MMULT(1/Dists!$B17:$X17,Capacity!$DI$3:$DI$25)))</f>
        <v>13.069787762916</v>
      </c>
      <c r="AE46" s="21" t="n">
        <f aca="false" t="array" ref="AE46:AE46">SUM(Demand!AE18*Capacity!AY$3:AY$25*Capacity!$DI18/(TRANSPOSE(Dists!$B17:$X17)*MMULT(1/Dists!$B17:$X17,Capacity!$DI$3:$DI$25)))</f>
        <v>1.51265479350741</v>
      </c>
      <c r="AF46" s="21" t="n">
        <f aca="false" t="array" ref="AF46:AF46">SUM(Demand!AF18*Capacity!AZ$3:AZ$25*Capacity!$DI18/(TRANSPOSE(Dists!$B17:$X17)*MMULT(1/Dists!$B17:$X17,Capacity!$DI$3:$DI$25)))</f>
        <v>1.42466690527575</v>
      </c>
      <c r="AG46" s="21" t="n">
        <f aca="false" t="array" ref="AG46:AG46">SUM(Demand!AG18*Capacity!BA$3:BA$25*Capacity!$DI18/(TRANSPOSE(Dists!$B17:$X17)*MMULT(1/Dists!$B17:$X17,Capacity!$DI$3:$DI$25)))</f>
        <v>9.54065390505933</v>
      </c>
      <c r="AH46" s="21" t="n">
        <f aca="false" t="array" ref="AH46:AH46">SUM(Demand!AH18*Capacity!BB$3:BB$25*Capacity!$DI18/(TRANSPOSE(Dists!$B17:$X17)*MMULT(1/Dists!$B17:$X17,Capacity!$DI$3:$DI$25)))</f>
        <v>1.38363036770475</v>
      </c>
      <c r="AI46" s="21" t="n">
        <f aca="false" t="array" ref="AI46:AI46">SUM(Demand!AI18*Capacity!BC$3:BC$25*Capacity!$DI18/(TRANSPOSE(Dists!$B17:$X17)*MMULT(1/Dists!$B17:$X17,Capacity!$DI$3:$DI$25)))</f>
        <v>0.67668827258758</v>
      </c>
      <c r="AJ46" s="21" t="n">
        <f aca="false" t="array" ref="AJ46:AJ46">SUM(Demand!AJ18*Capacity!BD$3:BD$25*Capacity!$DI18/(TRANSPOSE(Dists!$B17:$X17)*MMULT(1/Dists!$B17:$X17,Capacity!$DI$3:$DI$25)))</f>
        <v>3.07445850048567</v>
      </c>
      <c r="AK46" s="21" t="n">
        <f aca="false" t="array" ref="AK46:AK46">SUM(Demand!AK18*Capacity!BE$3:BE$25*Capacity!$DI18/(TRANSPOSE(Dists!$B17:$X17)*MMULT(1/Dists!$B17:$X17,Capacity!$DI$3:$DI$25)))</f>
        <v>1.73349320744936</v>
      </c>
      <c r="AL46" s="21" t="n">
        <f aca="false" t="array" ref="AL46:AL46">SUM(Demand!AL18*Capacity!BF$3:BF$25*Capacity!$DI18/(TRANSPOSE(Dists!$B17:$X17)*MMULT(1/Dists!$B17:$X17,Capacity!$DI$3:$DI$25)))</f>
        <v>0.644840672948903</v>
      </c>
      <c r="AM46" s="21" t="n">
        <f aca="false" t="array" ref="AM46:AM46">SUM(Demand!AM18*Capacity!BG$3:BG$25*Capacity!$DI18/(TRANSPOSE(Dists!$B17:$X17)*MMULT(1/Dists!$B17:$X17,Capacity!$DI$3:$DI$25)))</f>
        <v>1.45799503651663</v>
      </c>
      <c r="AN46" s="21" t="n">
        <f aca="false" t="array" ref="AN46:AN46">SUM(Demand!AN18*Capacity!BH$3:BH$25*Capacity!$DI18/(TRANSPOSE(Dists!$B17:$X17)*MMULT(1/Dists!$B17:$X17,Capacity!$DI$3:$DI$25)))</f>
        <v>0.746758891576658</v>
      </c>
      <c r="AO46" s="21" t="n">
        <f aca="false" t="array" ref="AO46:AO46">SUM(Demand!AO18*Capacity!BI$3:BI$25*Capacity!$DI18/(TRANSPOSE(Dists!$B17:$X17)*MMULT(1/Dists!$B17:$X17,Capacity!$DI$3:$DI$25)))</f>
        <v>4.0305614433661</v>
      </c>
      <c r="AP46" s="21" t="n">
        <f aca="false" t="array" ref="AP46:AP46">SUM(Demand!AP18*Capacity!BJ$3:BJ$25*Capacity!$DI18/(TRANSPOSE(Dists!$B17:$X17)*MMULT(1/Dists!$B17:$X17,Capacity!$DI$3:$DI$25)))</f>
        <v>1.55365991334995</v>
      </c>
      <c r="AQ46" s="21" t="n">
        <f aca="false" t="array" ref="AQ46:AQ46">SUM(Demand!AQ18*Capacity!BK$3:BK$25*Capacity!$DI18/(TRANSPOSE(Dists!$B17:$X17)*MMULT(1/Dists!$B17:$X17,Capacity!$DI$3:$DI$25)))</f>
        <v>0.443513578919289</v>
      </c>
      <c r="AR46" s="21" t="n">
        <f aca="false" t="array" ref="AR46:AR46">SUM(Demand!AR18*Capacity!BL$3:BL$25*Capacity!$DI18/(TRANSPOSE(Dists!$B17:$X17)*MMULT(1/Dists!$B17:$X17,Capacity!$DI$3:$DI$25)))</f>
        <v>0.313459186933688</v>
      </c>
      <c r="AS46" s="21" t="n">
        <f aca="false" t="array" ref="AS46:AS46">SUM(Demand!AS18*Capacity!BM$3:BM$25*Capacity!$DI18/(TRANSPOSE(Dists!$B17:$X17)*MMULT(1/Dists!$B17:$X17,Capacity!$DI$3:$DI$25)))</f>
        <v>0.688099557601224</v>
      </c>
      <c r="AT46" s="21" t="n">
        <f aca="false" t="array" ref="AT46:AT46">SUM(Demand!AT18*Capacity!BN$3:BN$25*Capacity!$DI18/(TRANSPOSE(Dists!$B17:$X17)*MMULT(1/Dists!$B17:$X17,Capacity!$DI$3:$DI$25)))</f>
        <v>5.2452120805163</v>
      </c>
      <c r="AU46" s="21" t="n">
        <f aca="false" t="array" ref="AU46:AU46">SUM(Demand!AU18*Capacity!BO$3:BO$25*Capacity!$DI18/(TRANSPOSE(Dists!$B17:$X17)*MMULT(1/Dists!$B17:$X17,Capacity!$DI$3:$DI$25)))</f>
        <v>0.749632726717673</v>
      </c>
      <c r="AV46" s="21" t="n">
        <f aca="false" t="array" ref="AV46:AV46">SUM(Demand!AV18*Capacity!BP$3:BP$25*Capacity!$DI18/(TRANSPOSE(Dists!$B17:$X17)*MMULT(1/Dists!$B17:$X17,Capacity!$DI$3:$DI$25)))</f>
        <v>0.129892054863438</v>
      </c>
      <c r="AW46" s="21" t="n">
        <f aca="false" t="array" ref="AW46:AW46">SUM(Demand!AW18*Capacity!BQ$3:BQ$25*Capacity!$DI18/(TRANSPOSE(Dists!$B17:$X17)*MMULT(1/Dists!$B17:$X17,Capacity!$DI$3:$DI$25)))</f>
        <v>6.17667666391951</v>
      </c>
      <c r="AX46" s="21" t="n">
        <f aca="false" t="array" ref="AX46:AX46">SUM(Demand!AX18*Capacity!BR$3:BR$25*Capacity!$DI18/(TRANSPOSE(Dists!$B17:$X17)*MMULT(1/Dists!$B17:$X17,Capacity!$DI$3:$DI$25)))</f>
        <v>0.130605888756911</v>
      </c>
      <c r="AY46" s="21" t="n">
        <f aca="false" t="array" ref="AY46:AY46">SUM(Demand!AY18*Capacity!BS$3:BS$25*Capacity!$DI18/(TRANSPOSE(Dists!$B17:$X17)*MMULT(1/Dists!$B17:$X17,Capacity!$DI$3:$DI$25)))</f>
        <v>0.838073417550625</v>
      </c>
      <c r="AZ46" s="21" t="n">
        <f aca="false" t="array" ref="AZ46:AZ46">SUM(Demand!AZ18*Capacity!BT$3:BT$25*Capacity!$DI18/(TRANSPOSE(Dists!$B17:$X17)*MMULT(1/Dists!$B17:$X17,Capacity!$DI$3:$DI$25)))</f>
        <v>4.33076240784142</v>
      </c>
      <c r="BA46" s="21" t="n">
        <f aca="false">BA18</f>
        <v>0.0416413078141995</v>
      </c>
      <c r="BB46" s="21" t="n">
        <f aca="false" t="array" ref="BB46:BB46">SUM(Demand!BB18*Capacity!BV$3:BV$25*Capacity!$DI18/(TRANSPOSE(Dists!$B17:$X17)*MMULT(1/Dists!$B17:$X17,Capacity!$DI$3:$DI$25)))</f>
        <v>0.277030057811362</v>
      </c>
      <c r="BC46" s="21" t="n">
        <f aca="false" t="array" ref="BC46:BC46">SUM(Demand!BC18*Capacity!BW$3:BW$25*Capacity!$DI18/(TRANSPOSE(Dists!$B17:$X17)*MMULT(1/Dists!$B17:$X17,Capacity!$DI$3:$DI$25)))</f>
        <v>0.506488498806593</v>
      </c>
      <c r="BD46" s="21" t="n">
        <f aca="false" t="array" ref="BD46:BD46">SUM(Demand!BD18*Capacity!BX$3:BX$25*Capacity!$DI18/(TRANSPOSE(Dists!$B17:$X17)*MMULT(1/Dists!$B17:$X17,Capacity!$DI$3:$DI$25)))</f>
        <v>0.33794771909365</v>
      </c>
      <c r="BE46" s="21" t="n">
        <f aca="false" t="array" ref="BE46:BE46">SUM(Demand!BE18*Capacity!BY$3:BY$25*Capacity!$DI18/(TRANSPOSE(Dists!$B17:$X17)*MMULT(1/Dists!$B17:$X17,Capacity!$DI$3:$DI$25)))</f>
        <v>0.255599251888902</v>
      </c>
      <c r="BF46" s="21" t="n">
        <f aca="false" t="array" ref="BF46:BF46">SUM(Demand!BF18*Capacity!BZ$3:BZ$25*Capacity!$DI18/(TRANSPOSE(Dists!$B17:$X17)*MMULT(1/Dists!$B17:$X17,Capacity!$DI$3:$DI$25)))</f>
        <v>4.22588229586592</v>
      </c>
      <c r="BG46" s="21" t="n">
        <f aca="false" t="array" ref="BG46:BG46">SUM(Demand!BG18*Capacity!CA$3:CA$25*Capacity!$DI18/(TRANSPOSE(Dists!$B17:$X17)*MMULT(1/Dists!$B17:$X17,Capacity!$DI$3:$DI$25)))</f>
        <v>24.7816754985161</v>
      </c>
      <c r="BH46" s="21" t="n">
        <f aca="false" t="array" ref="BH46:BH46">SUM(Demand!BH18*Capacity!CB$3:CB$25*Capacity!$DI18/(TRANSPOSE(Dists!$B17:$X17)*MMULT(1/Dists!$B17:$X17,Capacity!$DI$3:$DI$25)))</f>
        <v>49.5633509970322</v>
      </c>
      <c r="BI46" s="21" t="n">
        <f aca="false" t="array" ref="BI46:BI46">SUM(Demand!BI18*Capacity!CC$3:CC$25*Capacity!$DI18/(TRANSPOSE(Dists!$B17:$X17)*MMULT(1/Dists!$B17:$X17,Capacity!$DI$3:$DI$25)))</f>
        <v>66.0844679960429</v>
      </c>
      <c r="BJ46" s="21" t="n">
        <f aca="false" t="array" ref="BJ46:BJ46">SUM(Demand!BJ18*Capacity!CD$3:CD$25*Capacity!$DI18/(TRANSPOSE(Dists!$B17:$X17)*MMULT(1/Dists!$B17:$X17,Capacity!$DI$3:$DI$25)))</f>
        <v>1961.48583474248</v>
      </c>
      <c r="BK46" s="21" t="n">
        <f aca="false" t="array" ref="BK46:BK46">SUM(Demand!BK18*Capacity!CE$3:CE$25*Capacity!$DI18/(TRANSPOSE(Dists!$B17:$X17)*MMULT(1/Dists!$B17:$X17,Capacity!$DI$3:$DI$25)))</f>
        <v>33.0422339980215</v>
      </c>
      <c r="BL46" s="21" t="n">
        <f aca="false" t="array" ref="BL46:BL46">SUM(Demand!BL18*Capacity!CF$3:CF$25*Capacity!$DI18/(TRANSPOSE(Dists!$B17:$X17)*MMULT(1/Dists!$B17:$X17,Capacity!$DI$3:$DI$25)))</f>
        <v>1783.92235951539</v>
      </c>
      <c r="BM46" s="21" t="n">
        <f aca="false" t="array" ref="BM46:BM46">SUM(Demand!BM18*Capacity!CG$3:CG$25*Capacity!$DI18/(TRANSPOSE(Dists!$B17:$X17)*MMULT(1/Dists!$B17:$X17,Capacity!$DI$3:$DI$25)))</f>
        <v>111.906640686992</v>
      </c>
      <c r="BN46" s="21" t="n">
        <f aca="false">BN18</f>
        <v>20981.8244177927</v>
      </c>
      <c r="BO46" s="21" t="n">
        <f aca="false" t="array" ref="BO46:BO46">SUM(Demand!BO18*Capacity!CI$3:CI$25*Capacity!$DI18/(TRANSPOSE(Dists!$B17:$X17)*MMULT(1/Dists!$B17:$X17,Capacity!$DI$3:$DI$25)))</f>
        <v>25.1449649712908</v>
      </c>
      <c r="BP46" s="21" t="n">
        <f aca="false" t="array" ref="BP46:BP46">SUM(Demand!BP18*Capacity!CJ$3:CJ$25*Capacity!$DI18/(TRANSPOSE(Dists!$B17:$X17)*MMULT(1/Dists!$B17:$X17,Capacity!$DI$3:$DI$25)))</f>
        <v>35.0854623978565</v>
      </c>
      <c r="BQ46" s="21" t="n">
        <f aca="false">BQ18</f>
        <v>13638.1858715652</v>
      </c>
      <c r="BR46" s="21" t="n">
        <f aca="false" t="array" ref="BR46:BR46">SUM(Demand!BR18*Capacity!CL$3:CL$25*Capacity!$DI18/(TRANSPOSE(Dists!$B17:$X17)*MMULT(1/Dists!$B17:$X17,Capacity!$DI$3:$DI$25)))</f>
        <v>0.838165628921255</v>
      </c>
      <c r="BS46" s="21" t="n">
        <f aca="false" t="array" ref="BS46:BS46">SUM(Demand!BS18*Capacity!CM$3:CM$25*Capacity!$DI18/(TRANSPOSE(Dists!$B17:$X17)*MMULT(1/Dists!$B17:$X17,Capacity!$DI$3:$DI$25)))</f>
        <v>0.0838165628921254</v>
      </c>
      <c r="BT46" s="21" t="n">
        <f aca="false">BT18</f>
        <v>17.5447705218568</v>
      </c>
      <c r="BU46" s="21" t="n">
        <f aca="false">BU18</f>
        <v>1.75447705218568</v>
      </c>
      <c r="BV46" s="21" t="n">
        <f aca="false">BV18</f>
        <v>0.175447705218568</v>
      </c>
      <c r="BW46" s="21" t="n">
        <f aca="false">BW18</f>
        <v>3171.28524060259</v>
      </c>
      <c r="BX46" s="21" t="n">
        <f aca="false" t="array" ref="BX46:BX46">SUM(Demand!BX18*Capacity!CR$3:CR$25*Capacity!$DI18/(TRANSPOSE(Dists!$B17:$X17)*MMULT(1/Dists!$B17:$X17,Capacity!$DI$3:$DI$25)))</f>
        <v>14.1321984216707</v>
      </c>
      <c r="BY46" s="21" t="n">
        <f aca="false" t="array" ref="BY46:BY46">SUM(Demand!BY18*Capacity!CS$3:CS$25*Capacity!$DI18/(TRANSPOSE(Dists!$B17:$X17)*MMULT(1/Dists!$B17:$X17,Capacity!$DI$3:$DI$25)))</f>
        <v>263.372767943142</v>
      </c>
      <c r="BZ46" s="21" t="n">
        <f aca="false" t="array" ref="BZ46:BZ46">SUM(Demand!BZ18*Capacity!CT$3:CT$25*Capacity!$DI18/(TRANSPOSE(Dists!$B17:$X17)*MMULT(1/Dists!$B17:$X17,Capacity!$DI$3:$DI$25)))</f>
        <v>1.03198114023</v>
      </c>
      <c r="CA46" s="21" t="n">
        <f aca="false" t="array" ref="CA46:CA46">SUM(Demand!CA18*Capacity!CU$3:CU$25*Capacity!$DI18/(TRANSPOSE(Dists!$B17:$X17)*MMULT(1/Dists!$B17:$X17,Capacity!$DI$3:$DI$25)))</f>
        <v>0.0839574135872271</v>
      </c>
      <c r="CB46" s="21" t="n">
        <f aca="false" t="array" ref="CB46:CB46">SUM(Demand!CB18*Capacity!CV$3:CV$25*Capacity!$DI18/(TRANSPOSE(Dists!$B17:$X17)*MMULT(1/Dists!$B17:$X17,Capacity!$DI$3:$DI$25)))</f>
        <v>1240.841536862</v>
      </c>
      <c r="CC46" s="21" t="n">
        <f aca="false" t="array" ref="CC46:CC46">SUM(Demand!CC18*Capacity!CW$3:CW$25*Capacity!$DI18/(TRANSPOSE(Dists!$B17:$X17)*MMULT(1/Dists!$B17:$X17,Capacity!$DI$3:$DI$25)))</f>
        <v>1203.04281167331</v>
      </c>
      <c r="CD46" s="21" t="n">
        <f aca="false">SUM($BG46,$BI46,$BK46)*Capacity!CX18/SUM(Capacity!$AM18:$AN18,Capacity!$CX18)</f>
        <v>108.458653693089</v>
      </c>
      <c r="CE46" s="21" t="n">
        <f aca="false" t="array" ref="CE46:CE46">SUM(Demand!CE18*Capacity!CY$3:CY$25*Capacity!$DI18/(TRANSPOSE(Dists!$B17:$X17)*MMULT(1/Dists!$B17:$X17,Capacity!$DI$3:$DI$25)))</f>
        <v>11.6814256500519</v>
      </c>
      <c r="CF46" s="21" t="n">
        <f aca="false" t="array" ref="CF46:CF46">SUM(Demand!CF18*Capacity!CZ$3:CZ$25*Capacity!$DI18/(TRANSPOSE(Dists!$B17:$X17)*MMULT(1/Dists!$B17:$X17,Capacity!$DI$3:$DI$25)))</f>
        <v>1284.77481520233</v>
      </c>
      <c r="CG46" s="21" t="n">
        <f aca="false" t="array" ref="CG46:CG46">SUM(Demand!CG18*Capacity!DA$3:DA$25*Capacity!$DI18/(TRANSPOSE(Dists!$B17:$X17)*MMULT(1/Dists!$B17:$X17,Capacity!$DI$3:$DI$25)))</f>
        <v>4.66371261875672</v>
      </c>
      <c r="CH46" s="21" t="n">
        <f aca="false" t="array" ref="CH46:CH46">SUM(Demand!CH18*Capacity!DB$3:DB$25*Capacity!$DI18/(TRANSPOSE(Dists!$B17:$X17)*MMULT(1/Dists!$B17:$X17,Capacity!$DI$3:$DI$25)))</f>
        <v>6.26265610593034</v>
      </c>
      <c r="CI46" s="21" t="n">
        <f aca="false" t="array" ref="CI46:CI46">SUM(Demand!CI18*Capacity!DC$3:DC$25*Capacity!$DI18/(TRANSPOSE(Dists!$B17:$X17)*MMULT(1/Dists!$B17:$X17,Capacity!$DI$3:$DI$25)))</f>
        <v>0.584709281725149</v>
      </c>
      <c r="CJ46" s="21" t="n">
        <f aca="false" t="array" ref="CJ46:CJ46">SUM(Demand!CJ18*Capacity!DD$3:DD$25*Capacity!$DI18/(TRANSPOSE(Dists!$B17:$X17)*MMULT(1/Dists!$B17:$X17,Capacity!$DI$3:$DI$25)))</f>
        <v>0.123692050991949</v>
      </c>
      <c r="CK46" s="21" t="n">
        <f aca="false" t="array" ref="CK46:CK46">SUM(Demand!CK18*Capacity!DE$3:DE$25*Capacity!$DI18/(TRANSPOSE(Dists!$B17:$X17)*MMULT(1/Dists!$B17:$X17,Capacity!$DI$3:$DI$25)))</f>
        <v>10.3217189839796</v>
      </c>
      <c r="CL46" s="22" t="s">
        <v>320</v>
      </c>
      <c r="AMJ46" s="18"/>
    </row>
    <row r="47" customFormat="false" ht="12.8" hidden="false" customHeight="false" outlineLevel="0" collapsed="false">
      <c r="A47" s="4" t="s">
        <v>153</v>
      </c>
      <c r="B47" s="7" t="s">
        <v>39</v>
      </c>
      <c r="C47" s="4" t="n">
        <f aca="false" t="array" ref="C47:C47">SUM(Demand!C19*Capacity!S$3:S$25*Capacity!$DH19/(TRANSPOSE(Dists!$B18:$X18)*MMULT(1/Dists!$B18:$X18,Capacity!$DH$3:$DH$25)))</f>
        <v>0.00688693517855988</v>
      </c>
      <c r="D47" s="4" t="n">
        <f aca="false" t="array" ref="D47:D47">SUM(Demand!D19*Capacity!V$3:V$25*Capacity!$DH19/(TRANSPOSE(Dists!$B18:$X18)*MMULT(1/Dists!$B18:$X18,Capacity!$DH$3:$DH$25)))</f>
        <v>1171.39817393516</v>
      </c>
      <c r="E47" s="4" t="n">
        <f aca="false" t="array" ref="E47:E47">SUM(Demand!E19*Capacity!Y$3:Y$25*Capacity!$DH19/(TRANSPOSE(Dists!$B18:$X18)*MMULT(1/Dists!$B18:$X18,Capacity!$DH$3:$DH$25)))</f>
        <v>635.054692326514</v>
      </c>
      <c r="F47" s="4" t="n">
        <f aca="false">$E19*Capacity!$M19/(2*(1-Capacity!$H$28)*Capacity!$H19)</f>
        <v>145.620869171212</v>
      </c>
      <c r="G47" s="4" t="n">
        <f aca="false" t="array" ref="G47:G47">SUM(Demand!G19*Capacity!AA$3:AA$25*Capacity!$DH19/(TRANSPOSE(Dists!$B18:$X18)*MMULT(1/Dists!$B18:$X18,Capacity!$DH$3:$DH$25)))</f>
        <v>186.376882518582</v>
      </c>
      <c r="H47" s="4" t="n">
        <f aca="false" t="array" ref="H47:H47">SUM(Demand!H19*Capacity!AB$3:AB$25*Capacity!$DH19/(TRANSPOSE(Dists!$B18:$X18)*MMULT(1/Dists!$B18:$X18,Capacity!$DH$3:$DH$25)))</f>
        <v>2.08921471338595</v>
      </c>
      <c r="I47" s="4" t="n">
        <f aca="false" t="array" ref="I47:I47">SUM(Demand!I19*Capacity!AC$3:AC$25*Capacity!$DG19/(TRANSPOSE(Dists!$B18:$X18)*MMULT(1/Dists!$B18:$X18,Capacity!$DG$3:$DG$25)))</f>
        <v>0.929888520771137</v>
      </c>
      <c r="J47" s="4" t="n">
        <f aca="false" t="array" ref="J47:J47">SUM(Demand!J19*Capacity!AD$3:AD$25*Capacity!$DG19/(TRANSPOSE(Dists!$B18:$X18)*MMULT(1/Dists!$B18:$X18,Capacity!$DG$3:$DG$25)))</f>
        <v>0.407492828067905</v>
      </c>
      <c r="K47" s="4" t="n">
        <f aca="false">5479.45205479452*$R19</f>
        <v>429580.607557827</v>
      </c>
      <c r="L47" s="4" t="n">
        <f aca="false">17142.8571428571*$S19</f>
        <v>71037.5869720501</v>
      </c>
      <c r="M47" s="4" t="n">
        <f aca="false">IF(50420.1680672269*$T19&gt;($K19/20),50420.1680672269*$T19-($K19/20),0)</f>
        <v>95295.0851926025</v>
      </c>
      <c r="N47" s="4" t="n">
        <f aca="false" t="array" ref="N47:N47">SUM(Demand!N19*Capacity!AH$3:AH$25*Capacity!$DH19/(TRANSPOSE(Dists!$B18:$X18)*MMULT(1/Dists!$B18:$X18,Capacity!$DH$3:$DH$25)))</f>
        <v>1289.90301176938</v>
      </c>
      <c r="O47" s="4" t="n">
        <f aca="false">D47/0.8</f>
        <v>1464.24771741895</v>
      </c>
      <c r="P47" s="4" t="n">
        <f aca="false">O47/0.8</f>
        <v>1830.30964677369</v>
      </c>
      <c r="Q47" s="4" t="n">
        <f aca="false" t="array" ref="Q47:Q47">SUM(Demand!Q19*Capacity!AK$3:AK$25*Capacity!$DI19/(TRANSPOSE(Dists!$B18:$X18)*MMULT(1/Dists!$B18:$X18,Capacity!$DI$3:$DI$25)))</f>
        <v>4.83727205183989</v>
      </c>
      <c r="R47" s="4" t="n">
        <f aca="false" t="array" ref="R47:R47">SUM(Demand!R19*Capacity!AL$3:AL$25*Capacity!$DH19/(TRANSPOSE(Dists!$B18:$X18)*MMULT(1/Dists!$B18:$X18,Capacity!$DH$3:$DH$25)))</f>
        <v>103.079174048611</v>
      </c>
      <c r="S47" s="4" t="n">
        <f aca="false">SUM($BG47,$BI47,$BK47)*Capacity!AM19/SUM(Capacity!$AM19:$AN19,Capacity!$CX19)</f>
        <v>4.14385924003627</v>
      </c>
      <c r="T47" s="4" t="n">
        <f aca="false">SUM($BG47,$BI47,$BK47)*Capacity!AN19/SUM(Capacity!$AM19:$AN19,Capacity!$CX19)</f>
        <v>2.31601995881479</v>
      </c>
      <c r="U47" s="4" t="n">
        <f aca="false">$M19*120*2/(16*1000*2000)</f>
        <v>0.714713138944518</v>
      </c>
      <c r="V47" s="4" t="n">
        <f aca="false" t="array" ref="V47:V47">SUM(Demand!V19*Capacity!AP$3:AP$25*Capacity!$DH19/(TRANSPOSE(Dists!$B18:$X18)*MMULT(1/Dists!$B18:$X18,Capacity!$DH$3:$DH$25)))</f>
        <v>39.4276871182092</v>
      </c>
      <c r="W47" s="4" t="n">
        <f aca="false" t="array" ref="W47:W47">SUM(Demand!W19*Capacity!AQ$3:AQ$25*Capacity!$DH19/(TRANSPOSE(Dists!$B18:$X18)*MMULT(1/Dists!$B18:$X18,Capacity!$DH$3:$DH$25)))</f>
        <v>863.873672712647</v>
      </c>
      <c r="X47" s="4" t="n">
        <f aca="false" t="array" ref="X47:X47">SUM(Demand!X19*Capacity!AR$3:AR$25*Capacity!$DH19/(TRANSPOSE(Dists!$B18:$X18)*MMULT(1/Dists!$B18:$X18,Capacity!$DH$3:$DH$25)))</f>
        <v>413.800295185426</v>
      </c>
      <c r="Y47" s="4" t="n">
        <f aca="false">$L19*600*6/(90*1000*2000)</f>
        <v>1.420751739441</v>
      </c>
      <c r="Z47" s="4" t="n">
        <f aca="false" t="array" ref="Z47:Z47">SUM(Demand!Z19*Capacity!AT$3:AT$25*Capacity!$DI19/(TRANSPOSE(Dists!$B18:$X18)*MMULT(1/Dists!$B18:$X18,Capacity!$DI$3:$DI$25)))</f>
        <v>73.0340102805278</v>
      </c>
      <c r="AA47" s="4" t="n">
        <f aca="false" t="array" ref="AA47:AA47">SUM(Demand!AA19*Capacity!AU$3:AU$25*Capacity!$DI19/(TRANSPOSE(Dists!$B18:$X18)*MMULT(1/Dists!$B18:$X18,Capacity!$DI$3:$DI$25)))</f>
        <v>52.8676302741904</v>
      </c>
      <c r="AB47" s="4" t="n">
        <f aca="false" t="array" ref="AB47:AB47">SUM(Demand!AB19*Capacity!AV$3:AV$25*Capacity!$DI19/(TRANSPOSE(Dists!$B18:$X18)*MMULT(1/Dists!$B18:$X18,Capacity!$DI$3:$DI$25)))</f>
        <v>44.4439028433057</v>
      </c>
      <c r="AC47" s="4" t="n">
        <f aca="false" t="array" ref="AC47:AC47">SUM(Demand!AC19*Capacity!AW$3:AW$25*Capacity!$DI19/(TRANSPOSE(Dists!$B18:$X18)*MMULT(1/Dists!$B18:$X18,Capacity!$DI$3:$DI$25)))</f>
        <v>11.4960437175886</v>
      </c>
      <c r="AD47" s="4" t="n">
        <f aca="false" t="array" ref="AD47:AD47">SUM(Demand!AD19*Capacity!AX$3:AX$25*Capacity!$DI19/(TRANSPOSE(Dists!$B18:$X18)*MMULT(1/Dists!$B18:$X18,Capacity!$DI$3:$DI$25)))</f>
        <v>7.27594075549908</v>
      </c>
      <c r="AE47" s="4" t="n">
        <f aca="false" t="array" ref="AE47:AE47">SUM(Demand!AE19*Capacity!AY$3:AY$25*Capacity!$DI19/(TRANSPOSE(Dists!$B18:$X18)*MMULT(1/Dists!$B18:$X18,Capacity!$DI$3:$DI$25)))</f>
        <v>9.84431894948127</v>
      </c>
      <c r="AF47" s="4" t="n">
        <f aca="false" t="array" ref="AF47:AF47">SUM(Demand!AF19*Capacity!AZ$3:AZ$25*Capacity!$DI19/(TRANSPOSE(Dists!$B18:$X18)*MMULT(1/Dists!$B18:$X18,Capacity!$DI$3:$DI$25)))</f>
        <v>2.15445260467116</v>
      </c>
      <c r="AG47" s="4" t="n">
        <f aca="false" t="array" ref="AG47:AG47">SUM(Demand!AG19*Capacity!BA$3:BA$25*Capacity!$DI19/(TRANSPOSE(Dists!$B18:$X18)*MMULT(1/Dists!$B18:$X18,Capacity!$DI$3:$DI$25)))</f>
        <v>3.89518699102053</v>
      </c>
      <c r="AH47" s="4" t="n">
        <f aca="false" t="array" ref="AH47:AH47">SUM(Demand!AH19*Capacity!BB$3:BB$25*Capacity!$DI19/(TRANSPOSE(Dists!$B18:$X18)*MMULT(1/Dists!$B18:$X18,Capacity!$DI$3:$DI$25)))</f>
        <v>8.2826303003246</v>
      </c>
      <c r="AI47" s="4" t="n">
        <f aca="false" t="array" ref="AI47:AI47">SUM(Demand!AI19*Capacity!BC$3:BC$25*Capacity!$DI19/(TRANSPOSE(Dists!$B18:$X18)*MMULT(1/Dists!$B18:$X18,Capacity!$DI$3:$DI$25)))</f>
        <v>1.09656389464582</v>
      </c>
      <c r="AJ47" s="4" t="n">
        <f aca="false" t="array" ref="AJ47:AJ47">SUM(Demand!AJ19*Capacity!BD$3:BD$25*Capacity!$DI19/(TRANSPOSE(Dists!$B18:$X18)*MMULT(1/Dists!$B18:$X18,Capacity!$DI$3:$DI$25)))</f>
        <v>1.19258877353494</v>
      </c>
      <c r="AK47" s="4" t="n">
        <f aca="false" t="array" ref="AK47:AK47">SUM(Demand!AK19*Capacity!BE$3:BE$25*Capacity!$DI19/(TRANSPOSE(Dists!$B18:$X18)*MMULT(1/Dists!$B18:$X18,Capacity!$DI$3:$DI$25)))</f>
        <v>2.01271383077583</v>
      </c>
      <c r="AL47" s="4" t="n">
        <f aca="false" t="array" ref="AL47:AL47">SUM(Demand!AL19*Capacity!BF$3:BF$25*Capacity!$DI19/(TRANSPOSE(Dists!$B18:$X18)*MMULT(1/Dists!$B18:$X18,Capacity!$DI$3:$DI$25)))</f>
        <v>1.05614054008451</v>
      </c>
      <c r="AM47" s="4" t="n">
        <f aca="false" t="array" ref="AM47:AM47">SUM(Demand!AM19*Capacity!BG$3:BG$25*Capacity!$DI19/(TRANSPOSE(Dists!$B18:$X18)*MMULT(1/Dists!$B18:$X18,Capacity!$DI$3:$DI$25)))</f>
        <v>0.267407735354019</v>
      </c>
      <c r="AN47" s="4" t="n">
        <f aca="false" t="array" ref="AN47:AN47">SUM(Demand!AN19*Capacity!BH$3:BH$25*Capacity!$DI19/(TRANSPOSE(Dists!$B18:$X18)*MMULT(1/Dists!$B18:$X18,Capacity!$DI$3:$DI$25)))</f>
        <v>1.47019370247531</v>
      </c>
      <c r="AO47" s="4" t="n">
        <f aca="false" t="array" ref="AO47:AO47">SUM(Demand!AO19*Capacity!BI$3:BI$25*Capacity!$DI19/(TRANSPOSE(Dists!$B18:$X18)*MMULT(1/Dists!$B18:$X18,Capacity!$DI$3:$DI$25)))</f>
        <v>5.93396276856703</v>
      </c>
      <c r="AP47" s="4" t="n">
        <f aca="false" t="array" ref="AP47:AP47">SUM(Demand!AP19*Capacity!BJ$3:BJ$25*Capacity!$DI19/(TRANSPOSE(Dists!$B18:$X18)*MMULT(1/Dists!$B18:$X18,Capacity!$DI$3:$DI$25)))</f>
        <v>0.736941454477329</v>
      </c>
      <c r="AQ47" s="4" t="n">
        <f aca="false" t="array" ref="AQ47:AQ47">SUM(Demand!AQ19*Capacity!BK$3:BK$25*Capacity!$DI19/(TRANSPOSE(Dists!$B18:$X18)*MMULT(1/Dists!$B18:$X18,Capacity!$DI$3:$DI$25)))</f>
        <v>0.203550198044807</v>
      </c>
      <c r="AR47" s="4" t="n">
        <f aca="false" t="array" ref="AR47:AR47">SUM(Demand!AR19*Capacity!BL$3:BL$25*Capacity!$DI19/(TRANSPOSE(Dists!$B18:$X18)*MMULT(1/Dists!$B18:$X18,Capacity!$DI$3:$DI$25)))</f>
        <v>0.13226571285913</v>
      </c>
      <c r="AS47" s="4" t="n">
        <f aca="false" t="array" ref="AS47:AS47">SUM(Demand!AS19*Capacity!BM$3:BM$25*Capacity!$DI19/(TRANSPOSE(Dists!$B18:$X18)*MMULT(1/Dists!$B18:$X18,Capacity!$DI$3:$DI$25)))</f>
        <v>0.285027182523694</v>
      </c>
      <c r="AT47" s="4" t="n">
        <f aca="false" t="array" ref="AT47:AT47">SUM(Demand!AT19*Capacity!BN$3:BN$25*Capacity!$DI19/(TRANSPOSE(Dists!$B18:$X18)*MMULT(1/Dists!$B18:$X18,Capacity!$DI$3:$DI$25)))</f>
        <v>13.3531300274837</v>
      </c>
      <c r="AU47" s="4" t="n">
        <f aca="false" t="array" ref="AU47:AU47">SUM(Demand!AU19*Capacity!BO$3:BO$25*Capacity!$DI19/(TRANSPOSE(Dists!$B18:$X18)*MMULT(1/Dists!$B18:$X18,Capacity!$DI$3:$DI$25)))</f>
        <v>2.61674017353476</v>
      </c>
      <c r="AV47" s="4" t="n">
        <f aca="false" t="array" ref="AV47:AV47">SUM(Demand!AV19*Capacity!BP$3:BP$25*Capacity!$DI19/(TRANSPOSE(Dists!$B18:$X18)*MMULT(1/Dists!$B18:$X18,Capacity!$DI$3:$DI$25)))</f>
        <v>0.185243855198886</v>
      </c>
      <c r="AW47" s="4" t="n">
        <f aca="false" t="array" ref="AW47:AW47">SUM(Demand!AW19*Capacity!BQ$3:BQ$25*Capacity!$DI19/(TRANSPOSE(Dists!$B18:$X18)*MMULT(1/Dists!$B18:$X18,Capacity!$DI$3:$DI$25)))</f>
        <v>6.13724015045403</v>
      </c>
      <c r="AX47" s="4" t="n">
        <f aca="false" t="array" ref="AX47:AX47">SUM(Demand!AX19*Capacity!BR$3:BR$25*Capacity!$DI19/(TRANSPOSE(Dists!$B18:$X18)*MMULT(1/Dists!$B18:$X18,Capacity!$DI$3:$DI$25)))</f>
        <v>0.504031200806028</v>
      </c>
      <c r="AY47" s="4" t="n">
        <f aca="false" t="array" ref="AY47:AY47">SUM(Demand!AY19*Capacity!BS$3:BS$25*Capacity!$DI19/(TRANSPOSE(Dists!$B18:$X18)*MMULT(1/Dists!$B18:$X18,Capacity!$DI$3:$DI$25)))</f>
        <v>0.822528314381893</v>
      </c>
      <c r="AZ47" s="4" t="n">
        <f aca="false" t="array" ref="AZ47:AZ47">SUM(Demand!AZ19*Capacity!BT$3:BT$25*Capacity!$DI19/(TRANSPOSE(Dists!$B18:$X18)*MMULT(1/Dists!$B18:$X18,Capacity!$DI$3:$DI$25)))</f>
        <v>4.26976138116008</v>
      </c>
      <c r="BA47" s="4" t="n">
        <f aca="false">BA19</f>
        <v>0.0174111732774633</v>
      </c>
      <c r="BB47" s="4" t="n">
        <f aca="false" t="array" ref="BB47:BB47">SUM(Demand!BB19*Capacity!BV$3:BV$25*Capacity!$DI19/(TRANSPOSE(Dists!$B18:$X18)*MMULT(1/Dists!$B18:$X18,Capacity!$DI$3:$DI$25)))</f>
        <v>0.254420699486137</v>
      </c>
      <c r="BC47" s="4" t="n">
        <f aca="false" t="array" ref="BC47:BC47">SUM(Demand!BC19*Capacity!BW$3:BW$25*Capacity!$DI19/(TRANSPOSE(Dists!$B18:$X18)*MMULT(1/Dists!$B18:$X18,Capacity!$DI$3:$DI$25)))</f>
        <v>0.76109650244444</v>
      </c>
      <c r="BD47" s="4" t="n">
        <f aca="false" t="array" ref="BD47:BD47">SUM(Demand!BD19*Capacity!BX$3:BX$25*Capacity!$DI19/(TRANSPOSE(Dists!$B18:$X18)*MMULT(1/Dists!$B18:$X18,Capacity!$DI$3:$DI$25)))</f>
        <v>0.365171600522452</v>
      </c>
      <c r="BE47" s="4" t="n">
        <f aca="false" t="array" ref="BE47:BE47">SUM(Demand!BE19*Capacity!BY$3:BY$25*Capacity!$DI19/(TRANSPOSE(Dists!$B18:$X18)*MMULT(1/Dists!$B18:$X18,Capacity!$DI$3:$DI$25)))</f>
        <v>0.160458782705954</v>
      </c>
      <c r="BF47" s="4" t="n">
        <f aca="false" t="array" ref="BF47:BF47">SUM(Demand!BF19*Capacity!BZ$3:BZ$25*Capacity!$DI19/(TRANSPOSE(Dists!$B18:$X18)*MMULT(1/Dists!$B18:$X18,Capacity!$DI$3:$DI$25)))</f>
        <v>0.777817948936427</v>
      </c>
      <c r="BG47" s="4" t="n">
        <f aca="false" t="array" ref="BG47:BG47">SUM(Demand!BG19*Capacity!CA$3:CA$25*Capacity!$DI19/(TRANSPOSE(Dists!$B18:$X18)*MMULT(1/Dists!$B18:$X18,Capacity!$DI$3:$DI$25)))</f>
        <v>13.7959396143229</v>
      </c>
      <c r="BH47" s="4" t="n">
        <f aca="false" t="array" ref="BH47:BH47">SUM(Demand!BH19*Capacity!CB$3:CB$25*Capacity!$DI19/(TRANSPOSE(Dists!$B18:$X18)*MMULT(1/Dists!$B18:$X18,Capacity!$DI$3:$DI$25)))</f>
        <v>27.5918792286459</v>
      </c>
      <c r="BI47" s="4" t="n">
        <f aca="false" t="array" ref="BI47:BI47">SUM(Demand!BI19*Capacity!CC$3:CC$25*Capacity!$DI19/(TRANSPOSE(Dists!$B18:$X18)*MMULT(1/Dists!$B18:$X18,Capacity!$DI$3:$DI$25)))</f>
        <v>36.7891723048612</v>
      </c>
      <c r="BJ47" s="4" t="n">
        <f aca="false" t="array" ref="BJ47:BJ47">SUM(Demand!BJ19*Capacity!CD$3:CD$25*Capacity!$DI19/(TRANSPOSE(Dists!$B18:$X18)*MMULT(1/Dists!$B18:$X18,Capacity!$DI$3:$DI$25)))</f>
        <v>90.2619829069128</v>
      </c>
      <c r="BK47" s="4" t="n">
        <f aca="false" t="array" ref="BK47:BK47">SUM(Demand!BK19*Capacity!CE$3:CE$25*Capacity!$DI19/(TRANSPOSE(Dists!$B18:$X18)*MMULT(1/Dists!$B18:$X18,Capacity!$DI$3:$DI$25)))</f>
        <v>18.3945861524306</v>
      </c>
      <c r="BL47" s="4" t="n">
        <f aca="false" t="array" ref="BL47:BL47">SUM(Demand!BL19*Capacity!CF$3:CF$25*Capacity!$DI19/(TRANSPOSE(Dists!$B18:$X18)*MMULT(1/Dists!$B18:$X18,Capacity!$DI$3:$DI$25)))</f>
        <v>1087.35724991673</v>
      </c>
      <c r="BM47" s="4" t="n">
        <f aca="false" t="array" ref="BM47:BM47">SUM(Demand!BM19*Capacity!CG$3:CG$25*Capacity!$DI19/(TRANSPOSE(Dists!$B18:$X18)*MMULT(1/Dists!$B18:$X18,Capacity!$DI$3:$DI$25)))</f>
        <v>214.789683706955</v>
      </c>
      <c r="BN47" s="4" t="n">
        <f aca="false">BN19</f>
        <v>0.000355555149489091</v>
      </c>
      <c r="BO47" s="4" t="n">
        <f aca="false" t="array" ref="BO47:BO47">SUM(Demand!BO19*Capacity!CI$3:CI$25*Capacity!$DI19/(TRANSPOSE(Dists!$B18:$X18)*MMULT(1/Dists!$B18:$X18,Capacity!$DI$3:$DI$25)))</f>
        <v>15.3467898749554</v>
      </c>
      <c r="BP47" s="4" t="n">
        <f aca="false" t="array" ref="BP47:BP47">SUM(Demand!BP19*Capacity!CJ$3:CJ$25*Capacity!$DI19/(TRANSPOSE(Dists!$B18:$X18)*MMULT(1/Dists!$B18:$X18,Capacity!$DI$3:$DI$25)))</f>
        <v>34.964667388429</v>
      </c>
      <c r="BQ47" s="4" t="n">
        <f aca="false">BQ19</f>
        <v>0.000231110847167909</v>
      </c>
      <c r="BR47" s="4" t="n">
        <f aca="false" t="array" ref="BR47:BR47">SUM(Demand!BR19*Capacity!CL$3:CL$25*Capacity!$DI19/(TRANSPOSE(Dists!$B18:$X18)*MMULT(1/Dists!$B18:$X18,Capacity!$DI$3:$DI$25)))</f>
        <v>0.511559767362838</v>
      </c>
      <c r="BS47" s="4" t="n">
        <f aca="false" t="array" ref="BS47:BS47">SUM(Demand!BS19*Capacity!CM$3:CM$25*Capacity!$DI19/(TRANSPOSE(Dists!$B18:$X18)*MMULT(1/Dists!$B18:$X18,Capacity!$DI$3:$DI$25)))</f>
        <v>0.0511559767362838</v>
      </c>
      <c r="BT47" s="4" t="n">
        <f aca="false">BT19</f>
        <v>6.01775925235808</v>
      </c>
      <c r="BU47" s="4" t="n">
        <f aca="false">BU19</f>
        <v>0.601775925235808</v>
      </c>
      <c r="BV47" s="4" t="n">
        <f aca="false">BV19</f>
        <v>0.0601775925235808</v>
      </c>
      <c r="BW47" s="4" t="n">
        <f aca="false">BW19</f>
        <v>1765.45204466771</v>
      </c>
      <c r="BX47" s="4" t="n">
        <f aca="false" t="array" ref="BX47:BX47">SUM(Demand!BX19*Capacity!CR$3:CR$25*Capacity!$DI19/(TRANSPOSE(Dists!$B18:$X18)*MMULT(1/Dists!$B18:$X18,Capacity!$DI$3:$DI$25)))</f>
        <v>0.145372255107893</v>
      </c>
      <c r="BY47" s="4" t="n">
        <f aca="false" t="array" ref="BY47:BY47">SUM(Demand!BY19*Capacity!CS$3:CS$25*Capacity!$DI19/(TRANSPOSE(Dists!$B18:$X18)*MMULT(1/Dists!$B18:$X18,Capacity!$DI$3:$DI$25)))</f>
        <v>289.625274592142</v>
      </c>
      <c r="BZ47" s="4" t="n">
        <f aca="false" t="array" ref="BZ47:BZ47">SUM(Demand!BZ19*Capacity!CT$3:CT$25*Capacity!$DI19/(TRANSPOSE(Dists!$B18:$X18)*MMULT(1/Dists!$B18:$X18,Capacity!$DI$3:$DI$25)))</f>
        <v>0.669458561105686</v>
      </c>
      <c r="CA47" s="4" t="n">
        <f aca="false" t="array" ref="CA47:CA47">SUM(Demand!CA19*Capacity!CU$3:CU$25*Capacity!$DI19/(TRANSPOSE(Dists!$B18:$X18)*MMULT(1/Dists!$B18:$X18,Capacity!$DI$3:$DI$25)))</f>
        <v>0.349022350211847</v>
      </c>
      <c r="CB47" s="4" t="n">
        <f aca="false" t="array" ref="CB47:CB47">SUM(Demand!CB19*Capacity!CV$3:CV$25*Capacity!$DI19/(TRANSPOSE(Dists!$B18:$X18)*MMULT(1/Dists!$B18:$X18,Capacity!$DI$3:$DI$25)))</f>
        <v>2404.26634630764</v>
      </c>
      <c r="CC47" s="4" t="n">
        <f aca="false" t="array" ref="CC47:CC47">SUM(Demand!CC19*Capacity!CW$3:CW$25*Capacity!$DI19/(TRANSPOSE(Dists!$B18:$X18)*MMULT(1/Dists!$B18:$X18,Capacity!$DI$3:$DI$25)))</f>
        <v>1870.28330472449</v>
      </c>
      <c r="CD47" s="4" t="n">
        <f aca="false">SUM($BG47,$BI47,$BK47)*Capacity!CX19/SUM(Capacity!$AM19:$AN19,Capacity!$CX19)</f>
        <v>62.5198188727636</v>
      </c>
      <c r="CE47" s="4" t="n">
        <f aca="false" t="array" ref="CE47:CE47">SUM(Demand!CE19*Capacity!CY$3:CY$25*Capacity!$DI19/(TRANSPOSE(Dists!$B18:$X18)*MMULT(1/Dists!$B18:$X18,Capacity!$DI$3:$DI$25)))</f>
        <v>10.8722384581013</v>
      </c>
      <c r="CF47" s="4" t="n">
        <f aca="false" t="array" ref="CF47:CF47">SUM(Demand!CF19*Capacity!CZ$3:CZ$25*Capacity!$DI19/(TRANSPOSE(Dists!$B18:$X18)*MMULT(1/Dists!$B18:$X18,Capacity!$DI$3:$DI$25)))</f>
        <v>1383.15662633349</v>
      </c>
      <c r="CG47" s="4" t="n">
        <f aca="false" t="array" ref="CG47:CG47">SUM(Demand!CG19*Capacity!DA$3:DA$25*Capacity!$DI19/(TRANSPOSE(Dists!$B18:$X18)*MMULT(1/Dists!$B18:$X18,Capacity!$DI$3:$DI$25)))</f>
        <v>2.75255086230561</v>
      </c>
      <c r="CH47" s="4" t="n">
        <f aca="false" t="array" ref="CH47:CH47">SUM(Demand!CH19*Capacity!DB$3:DB$25*Capacity!$DI19/(TRANSPOSE(Dists!$B18:$X18)*MMULT(1/Dists!$B18:$X18,Capacity!$DI$3:$DI$25)))</f>
        <v>1.02787946556893</v>
      </c>
      <c r="CI47" s="4" t="n">
        <f aca="false" t="array" ref="CI47:CI47">SUM(Demand!CI19*Capacity!DC$3:DC$25*Capacity!$DI19/(TRANSPOSE(Dists!$B18:$X18)*MMULT(1/Dists!$B18:$X18,Capacity!$DI$3:$DI$25)))</f>
        <v>0.0702189769315997</v>
      </c>
      <c r="CJ47" s="4" t="n">
        <f aca="false" t="array" ref="CJ47:CJ47">SUM(Demand!CJ19*Capacity!DD$3:DD$25*Capacity!$DI19/(TRANSPOSE(Dists!$B18:$X18)*MMULT(1/Dists!$B18:$X18,Capacity!$DI$3:$DI$25)))</f>
        <v>0.13552500377879</v>
      </c>
      <c r="CK47" s="4" t="n">
        <f aca="false" t="array" ref="CK47:CK47">SUM(Demand!CK19*Capacity!DE$3:DE$25*Capacity!$DI19/(TRANSPOSE(Dists!$B18:$X18)*MMULT(1/Dists!$B18:$X18,Capacity!$DI$3:$DI$25)))</f>
        <v>8.38033758438174</v>
      </c>
      <c r="CL47" s="7" t="s">
        <v>320</v>
      </c>
    </row>
    <row r="48" customFormat="false" ht="12.8" hidden="false" customHeight="false" outlineLevel="0" collapsed="false">
      <c r="A48" s="4" t="s">
        <v>155</v>
      </c>
      <c r="B48" s="7" t="s">
        <v>39</v>
      </c>
      <c r="C48" s="4" t="n">
        <f aca="false" t="array" ref="C48:C48">SUM(Demand!C20*Capacity!S$3:S$25*Capacity!$DH20/(TRANSPOSE(Dists!$B19:$X19)*MMULT(1/Dists!$B19:$X19,Capacity!$DH$3:$DH$25)))</f>
        <v>0.0017625542999268</v>
      </c>
      <c r="D48" s="4" t="n">
        <f aca="false" t="array" ref="D48:D48">SUM(Demand!D20*Capacity!V$3:V$25*Capacity!$DH20/(TRANSPOSE(Dists!$B19:$X19)*MMULT(1/Dists!$B19:$X19,Capacity!$DH$3:$DH$25)))</f>
        <v>182.051792192091</v>
      </c>
      <c r="E48" s="4" t="n">
        <f aca="false" t="array" ref="E48:E48">SUM(Demand!E20*Capacity!Y$3:Y$25*Capacity!$DH20/(TRANSPOSE(Dists!$B19:$X19)*MMULT(1/Dists!$B19:$X19,Capacity!$DH$3:$DH$25)))</f>
        <v>61.9081048500073</v>
      </c>
      <c r="F48" s="4" t="n">
        <f aca="false">$E20*Capacity!$M20/(2*(1-Capacity!$H$28)*Capacity!$H20)</f>
        <v>11.4377756549021</v>
      </c>
      <c r="G48" s="4" t="n">
        <f aca="false" t="array" ref="G48:G48">SUM(Demand!G20*Capacity!AA$3:AA$25*Capacity!$DH20/(TRANSPOSE(Dists!$B19:$X19)*MMULT(1/Dists!$B19:$X19,Capacity!$DH$3:$DH$25)))</f>
        <v>7.36993986410744</v>
      </c>
      <c r="H48" s="4" t="n">
        <f aca="false" t="array" ref="H48:H48">SUM(Demand!H20*Capacity!AB$3:AB$25*Capacity!$DH20/(TRANSPOSE(Dists!$B19:$X19)*MMULT(1/Dists!$B19:$X19,Capacity!$DH$3:$DH$25)))</f>
        <v>0.0184615587889731</v>
      </c>
      <c r="I48" s="4" t="n">
        <f aca="false" t="array" ref="I48:I48">SUM(Demand!I20*Capacity!AC$3:AC$25*Capacity!$DG20/(TRANSPOSE(Dists!$B19:$X19)*MMULT(1/Dists!$B19:$X19,Capacity!$DG$3:$DG$25)))</f>
        <v>0.38795779785252</v>
      </c>
      <c r="J48" s="4" t="n">
        <f aca="false" t="array" ref="J48:J48">SUM(Demand!J20*Capacity!AD$3:AD$25*Capacity!$DG20/(TRANSPOSE(Dists!$B19:$X19)*MMULT(1/Dists!$B19:$X19,Capacity!$DG$3:$DG$25)))</f>
        <v>0.0488507006159851</v>
      </c>
      <c r="K48" s="4" t="n">
        <f aca="false">5479.45205479452*$R20</f>
        <v>122280.331858387</v>
      </c>
      <c r="L48" s="4" t="n">
        <f aca="false">17142.8571428571*$S20</f>
        <v>19858.8972309352</v>
      </c>
      <c r="M48" s="4" t="n">
        <f aca="false">IF(50420.1680672269*$T20&gt;($K20/20),50420.1680672269*$T20-($K20/20),0)</f>
        <v>26530.7459784811</v>
      </c>
      <c r="N48" s="4" t="n">
        <f aca="false" t="array" ref="N48:N48">SUM(Demand!N20*Capacity!AH$3:AH$25*Capacity!$DH20/(TRANSPOSE(Dists!$B19:$X19)*MMULT(1/Dists!$B19:$X19,Capacity!$DH$3:$DH$25)))</f>
        <v>67.5677749433329</v>
      </c>
      <c r="O48" s="4" t="n">
        <f aca="false">D48/0.8</f>
        <v>227.564740240114</v>
      </c>
      <c r="P48" s="4" t="n">
        <f aca="false">O48/0.8</f>
        <v>284.455925300142</v>
      </c>
      <c r="Q48" s="4" t="n">
        <f aca="false" t="array" ref="Q48:Q48">SUM(Demand!Q20*Capacity!AK$3:AK$25*Capacity!$DI20/(TRANSPOSE(Dists!$B19:$X19)*MMULT(1/Dists!$B19:$X19,Capacity!$DI$3:$DI$25)))</f>
        <v>1.52282667205157</v>
      </c>
      <c r="R48" s="4" t="n">
        <f aca="false" t="array" ref="R48:R48">SUM(Demand!R20*Capacity!AL$3:AL$25*Capacity!$DH20/(TRANSPOSE(Dists!$B19:$X19)*MMULT(1/Dists!$B19:$X19,Capacity!$DH$3:$DH$25)))</f>
        <v>77.5865426075586</v>
      </c>
      <c r="S48" s="4" t="n">
        <f aca="false">SUM($BG48,$BI48,$BK48)*Capacity!AM20/SUM(Capacity!$AM20:$AN20,Capacity!$CX20)</f>
        <v>1.15843567180455</v>
      </c>
      <c r="T48" s="4" t="n">
        <f aca="false">SUM($BG48,$BI48,$BK48)*Capacity!AN20/SUM(Capacity!$AM20:$AN20,Capacity!$CX20)</f>
        <v>0.647454457666109</v>
      </c>
      <c r="U48" s="4" t="n">
        <f aca="false">$M20*120*2/(16*1000*2000)</f>
        <v>0.198980594838608</v>
      </c>
      <c r="V48" s="4" t="n">
        <f aca="false" t="array" ref="V48:V48">SUM(Demand!V20*Capacity!AP$3:AP$25*Capacity!$DH20/(TRANSPOSE(Dists!$B19:$X19)*MMULT(1/Dists!$B19:$X19,Capacity!$DH$3:$DH$25)))</f>
        <v>209.015474797197</v>
      </c>
      <c r="W48" s="4" t="n">
        <f aca="false" t="array" ref="W48:W48">SUM(Demand!W20*Capacity!AQ$3:AQ$25*Capacity!$DH20/(TRANSPOSE(Dists!$B19:$X19)*MMULT(1/Dists!$B19:$X19,Capacity!$DH$3:$DH$25)))</f>
        <v>841.840473141929</v>
      </c>
      <c r="X48" s="4" t="n">
        <f aca="false" t="array" ref="X48:X48">SUM(Demand!X20*Capacity!AR$3:AR$25*Capacity!$DH20/(TRANSPOSE(Dists!$B19:$X19)*MMULT(1/Dists!$B19:$X19,Capacity!$DH$3:$DH$25)))</f>
        <v>1450.57453525212</v>
      </c>
      <c r="Y48" s="4" t="n">
        <f aca="false">$L20*600*6/(90*1000*2000)</f>
        <v>0.397177944618704</v>
      </c>
      <c r="Z48" s="4" t="n">
        <f aca="false" t="array" ref="Z48:Z48">SUM(Demand!Z20*Capacity!AT$3:AT$25*Capacity!$DI20/(TRANSPOSE(Dists!$B19:$X19)*MMULT(1/Dists!$B19:$X19,Capacity!$DI$3:$DI$25)))</f>
        <v>1.18602025119823</v>
      </c>
      <c r="AA48" s="4" t="n">
        <f aca="false" t="array" ref="AA48:AA48">SUM(Demand!AA20*Capacity!AU$3:AU$25*Capacity!$DI20/(TRANSPOSE(Dists!$B19:$X19)*MMULT(1/Dists!$B19:$X19,Capacity!$DI$3:$DI$25)))</f>
        <v>1.87376007578469</v>
      </c>
      <c r="AB48" s="4" t="n">
        <f aca="false" t="array" ref="AB48:AB48">SUM(Demand!AB20*Capacity!AV$3:AV$25*Capacity!$DI20/(TRANSPOSE(Dists!$B19:$X19)*MMULT(1/Dists!$B19:$X19,Capacity!$DI$3:$DI$25)))</f>
        <v>4.33259974363319</v>
      </c>
      <c r="AC48" s="4" t="n">
        <f aca="false" t="array" ref="AC48:AC48">SUM(Demand!AC20*Capacity!AW$3:AW$25*Capacity!$DI20/(TRANSPOSE(Dists!$B19:$X19)*MMULT(1/Dists!$B19:$X19,Capacity!$DI$3:$DI$25)))</f>
        <v>0.205475490853341</v>
      </c>
      <c r="AD48" s="4" t="n">
        <f aca="false" t="array" ref="AD48:AD48">SUM(Demand!AD20*Capacity!AX$3:AX$25*Capacity!$DI20/(TRANSPOSE(Dists!$B19:$X19)*MMULT(1/Dists!$B19:$X19,Capacity!$DI$3:$DI$25)))</f>
        <v>0.70929277212912</v>
      </c>
      <c r="AE48" s="4" t="n">
        <f aca="false" t="array" ref="AE48:AE48">SUM(Demand!AE20*Capacity!AY$3:AY$25*Capacity!$DI20/(TRANSPOSE(Dists!$B19:$X19)*MMULT(1/Dists!$B19:$X19,Capacity!$DI$3:$DI$25)))</f>
        <v>1.58847278714047</v>
      </c>
      <c r="AF48" s="4" t="n">
        <f aca="false" t="array" ref="AF48:AF48">SUM(Demand!AF20*Capacity!AZ$3:AZ$25*Capacity!$DI20/(TRANSPOSE(Dists!$B19:$X19)*MMULT(1/Dists!$B19:$X19,Capacity!$DI$3:$DI$25)))</f>
        <v>0.817579443590846</v>
      </c>
      <c r="AG48" s="4" t="n">
        <f aca="false" t="array" ref="AG48:AG48">SUM(Demand!AG20*Capacity!BA$3:BA$25*Capacity!$DI20/(TRANSPOSE(Dists!$B19:$X19)*MMULT(1/Dists!$B19:$X19,Capacity!$DI$3:$DI$25)))</f>
        <v>2.73077469735844</v>
      </c>
      <c r="AH48" s="4" t="n">
        <f aca="false" t="array" ref="AH48:AH48">SUM(Demand!AH20*Capacity!BB$3:BB$25*Capacity!$DI20/(TRANSPOSE(Dists!$B19:$X19)*MMULT(1/Dists!$B19:$X19,Capacity!$DI$3:$DI$25)))</f>
        <v>0.70307160472052</v>
      </c>
      <c r="AI48" s="4" t="n">
        <f aca="false" t="array" ref="AI48:AI48">SUM(Demand!AI20*Capacity!BC$3:BC$25*Capacity!$DI20/(TRANSPOSE(Dists!$B19:$X19)*MMULT(1/Dists!$B19:$X19,Capacity!$DI$3:$DI$25)))</f>
        <v>0.452603657190639</v>
      </c>
      <c r="AJ48" s="4" t="n">
        <f aca="false" t="array" ref="AJ48:AJ48">SUM(Demand!AJ20*Capacity!BD$3:BD$25*Capacity!$DI20/(TRANSPOSE(Dists!$B19:$X19)*MMULT(1/Dists!$B19:$X19,Capacity!$DI$3:$DI$25)))</f>
        <v>0.300281637214932</v>
      </c>
      <c r="AK48" s="4" t="n">
        <f aca="false" t="array" ref="AK48:AK48">SUM(Demand!AK20*Capacity!BE$3:BE$25*Capacity!$DI20/(TRANSPOSE(Dists!$B19:$X19)*MMULT(1/Dists!$B19:$X19,Capacity!$DI$3:$DI$25)))</f>
        <v>0.669550060927992</v>
      </c>
      <c r="AL48" s="4" t="n">
        <f aca="false" t="array" ref="AL48:AL48">SUM(Demand!AL20*Capacity!BF$3:BF$25*Capacity!$DI20/(TRANSPOSE(Dists!$B19:$X19)*MMULT(1/Dists!$B19:$X19,Capacity!$DI$3:$DI$25)))</f>
        <v>0.369984667685199</v>
      </c>
      <c r="AM48" s="4" t="n">
        <f aca="false" t="array" ref="AM48:AM48">SUM(Demand!AM20*Capacity!BG$3:BG$25*Capacity!$DI20/(TRANSPOSE(Dists!$B19:$X19)*MMULT(1/Dists!$B19:$X19,Capacity!$DI$3:$DI$25)))</f>
        <v>1.40540044985188</v>
      </c>
      <c r="AN48" s="4" t="n">
        <f aca="false" t="array" ref="AN48:AN48">SUM(Demand!AN20*Capacity!BH$3:BH$25*Capacity!$DI20/(TRANSPOSE(Dists!$B19:$X19)*MMULT(1/Dists!$B19:$X19,Capacity!$DI$3:$DI$25)))</f>
        <v>0.416951164846192</v>
      </c>
      <c r="AO48" s="4" t="n">
        <f aca="false" t="array" ref="AO48:AO48">SUM(Demand!AO20*Capacity!BI$3:BI$25*Capacity!$DI20/(TRANSPOSE(Dists!$B19:$X19)*MMULT(1/Dists!$B19:$X19,Capacity!$DI$3:$DI$25)))</f>
        <v>0.812606799415173</v>
      </c>
      <c r="AP48" s="4" t="n">
        <f aca="false" t="array" ref="AP48:AP48">SUM(Demand!AP20*Capacity!BJ$3:BJ$25*Capacity!$DI20/(TRANSPOSE(Dists!$B19:$X19)*MMULT(1/Dists!$B19:$X19,Capacity!$DI$3:$DI$25)))</f>
        <v>0.341510396164844</v>
      </c>
      <c r="AQ48" s="4" t="n">
        <f aca="false" t="array" ref="AQ48:AQ48">SUM(Demand!AQ20*Capacity!BK$3:BK$25*Capacity!$DI20/(TRANSPOSE(Dists!$B19:$X19)*MMULT(1/Dists!$B19:$X19,Capacity!$DI$3:$DI$25)))</f>
        <v>0.116907088255616</v>
      </c>
      <c r="AR48" s="4" t="n">
        <f aca="false" t="array" ref="AR48:AR48">SUM(Demand!AR20*Capacity!BL$3:BL$25*Capacity!$DI20/(TRANSPOSE(Dists!$B19:$X19)*MMULT(1/Dists!$B19:$X19,Capacity!$DI$3:$DI$25)))</f>
        <v>0.235109518300595</v>
      </c>
      <c r="AS48" s="4" t="n">
        <f aca="false" t="array" ref="AS48:AS48">SUM(Demand!AS20*Capacity!BM$3:BM$25*Capacity!$DI20/(TRANSPOSE(Dists!$B19:$X19)*MMULT(1/Dists!$B19:$X19,Capacity!$DI$3:$DI$25)))</f>
        <v>0.242476264236552</v>
      </c>
      <c r="AT48" s="4" t="n">
        <f aca="false" t="array" ref="AT48:AT48">SUM(Demand!AT20*Capacity!BN$3:BN$25*Capacity!$DI20/(TRANSPOSE(Dists!$B19:$X19)*MMULT(1/Dists!$B19:$X19,Capacity!$DI$3:$DI$25)))</f>
        <v>1.50887236664818</v>
      </c>
      <c r="AU48" s="4" t="n">
        <f aca="false" t="array" ref="AU48:AU48">SUM(Demand!AU20*Capacity!BO$3:BO$25*Capacity!$DI20/(TRANSPOSE(Dists!$B19:$X19)*MMULT(1/Dists!$B19:$X19,Capacity!$DI$3:$DI$25)))</f>
        <v>2.25835220379057</v>
      </c>
      <c r="AV48" s="4" t="n">
        <f aca="false" t="array" ref="AV48:AV48">SUM(Demand!AV20*Capacity!BP$3:BP$25*Capacity!$DI20/(TRANSPOSE(Dists!$B19:$X19)*MMULT(1/Dists!$B19:$X19,Capacity!$DI$3:$DI$25)))</f>
        <v>0.140736011057873</v>
      </c>
      <c r="AW48" s="4" t="n">
        <f aca="false" t="array" ref="AW48:AW48">SUM(Demand!AW20*Capacity!BQ$3:BQ$25*Capacity!$DI20/(TRANSPOSE(Dists!$B19:$X19)*MMULT(1/Dists!$B19:$X19,Capacity!$DI$3:$DI$25)))</f>
        <v>0.137239792460665</v>
      </c>
      <c r="AX48" s="4" t="n">
        <f aca="false" t="array" ref="AX48:AX48">SUM(Demand!AX20*Capacity!BR$3:BR$25*Capacity!$DI20/(TRANSPOSE(Dists!$B19:$X19)*MMULT(1/Dists!$B19:$X19,Capacity!$DI$3:$DI$25)))</f>
        <v>0.310396719103584</v>
      </c>
      <c r="AY48" s="4" t="n">
        <f aca="false" t="array" ref="AY48:AY48">SUM(Demand!AY20*Capacity!BS$3:BS$25*Capacity!$DI20/(TRANSPOSE(Dists!$B19:$X19)*MMULT(1/Dists!$B19:$X19,Capacity!$DI$3:$DI$25)))</f>
        <v>0.0222642596098273</v>
      </c>
      <c r="AZ48" s="4" t="n">
        <f aca="false" t="array" ref="AZ48:AZ48">SUM(Demand!AZ20*Capacity!BT$3:BT$25*Capacity!$DI20/(TRANSPOSE(Dists!$B19:$X19)*MMULT(1/Dists!$B19:$X19,Capacity!$DI$3:$DI$25)))</f>
        <v>0.209801452064244</v>
      </c>
      <c r="BA48" s="4" t="n">
        <f aca="false">BA20</f>
        <v>0.00486737677228803</v>
      </c>
      <c r="BB48" s="4" t="n">
        <f aca="false" t="array" ref="BB48:BB48">SUM(Demand!BB20*Capacity!BV$3:BV$25*Capacity!$DI20/(TRANSPOSE(Dists!$B19:$X19)*MMULT(1/Dists!$B19:$X19,Capacity!$DI$3:$DI$25)))</f>
        <v>0.312796705214768</v>
      </c>
      <c r="BC48" s="4" t="n">
        <f aca="false" t="array" ref="BC48:BC48">SUM(Demand!BC20*Capacity!BW$3:BW$25*Capacity!$DI20/(TRANSPOSE(Dists!$B19:$X19)*MMULT(1/Dists!$B19:$X19,Capacity!$DI$3:$DI$25)))</f>
        <v>0.307130238072722</v>
      </c>
      <c r="BD48" s="4" t="n">
        <f aca="false" t="array" ref="BD48:BD48">SUM(Demand!BD20*Capacity!BX$3:BX$25*Capacity!$DI20/(TRANSPOSE(Dists!$B19:$X19)*MMULT(1/Dists!$B19:$X19,Capacity!$DI$3:$DI$25)))</f>
        <v>0.169105969792573</v>
      </c>
      <c r="BE48" s="4" t="n">
        <f aca="false" t="array" ref="BE48:BE48">SUM(Demand!BE20*Capacity!BY$3:BY$25*Capacity!$DI20/(TRANSPOSE(Dists!$B19:$X19)*MMULT(1/Dists!$B19:$X19,Capacity!$DI$3:$DI$25)))</f>
        <v>0.0708173621991066</v>
      </c>
      <c r="BF48" s="4" t="n">
        <f aca="false" t="array" ref="BF48:BF48">SUM(Demand!BF20*Capacity!BZ$3:BZ$25*Capacity!$DI20/(TRANSPOSE(Dists!$B19:$X19)*MMULT(1/Dists!$B19:$X19,Capacity!$DI$3:$DI$25)))</f>
        <v>2.87264092988268</v>
      </c>
      <c r="BG48" s="4" t="n">
        <f aca="false" t="array" ref="BG48:BG48">SUM(Demand!BG20*Capacity!CA$3:CA$25*Capacity!$DI20/(TRANSPOSE(Dists!$B19:$X19)*MMULT(1/Dists!$B19:$X19,Capacity!$DI$3:$DI$25)))</f>
        <v>1.88235073103179</v>
      </c>
      <c r="BH48" s="4" t="n">
        <f aca="false" t="array" ref="BH48:BH48">SUM(Demand!BH20*Capacity!CB$3:CB$25*Capacity!$DI20/(TRANSPOSE(Dists!$B19:$X19)*MMULT(1/Dists!$B19:$X19,Capacity!$DI$3:$DI$25)))</f>
        <v>0.00249586582753119</v>
      </c>
      <c r="BI48" s="4" t="n">
        <f aca="false" t="array" ref="BI48:BI48">SUM(Demand!BI20*Capacity!CC$3:CC$25*Capacity!$DI20/(TRANSPOSE(Dists!$B19:$X19)*MMULT(1/Dists!$B19:$X19,Capacity!$DI$3:$DI$25)))</f>
        <v>5.01960194941812</v>
      </c>
      <c r="BJ48" s="4" t="n">
        <f aca="false" t="array" ref="BJ48:BJ48">SUM(Demand!BJ20*Capacity!CD$3:CD$25*Capacity!$DI20/(TRANSPOSE(Dists!$B19:$X19)*MMULT(1/Dists!$B19:$X19,Capacity!$DI$3:$DI$25)))</f>
        <v>720.920650152002</v>
      </c>
      <c r="BK48" s="4" t="n">
        <f aca="false" t="array" ref="BK48:BK48">SUM(Demand!BK20*Capacity!CE$3:CE$25*Capacity!$DI20/(TRANSPOSE(Dists!$B19:$X19)*MMULT(1/Dists!$B19:$X19,Capacity!$DI$3:$DI$25)))</f>
        <v>2.50980097470906</v>
      </c>
      <c r="BL48" s="4" t="n">
        <f aca="false" t="array" ref="BL48:BL48">SUM(Demand!BL20*Capacity!CF$3:CF$25*Capacity!$DI20/(TRANSPOSE(Dists!$B19:$X19)*MMULT(1/Dists!$B19:$X19,Capacity!$DI$3:$DI$25)))</f>
        <v>594.23411129186</v>
      </c>
      <c r="BM48" s="4" t="n">
        <f aca="false" t="array" ref="BM48:BM48">SUM(Demand!BM20*Capacity!CG$3:CG$25*Capacity!$DI20/(TRANSPOSE(Dists!$B19:$X19)*MMULT(1/Dists!$B19:$X19,Capacity!$DI$3:$DI$25)))</f>
        <v>29.0753303894822</v>
      </c>
      <c r="BN48" s="4" t="n">
        <f aca="false">BN20</f>
        <v>26.5421001426843</v>
      </c>
      <c r="BO48" s="4" t="n">
        <f aca="false" t="array" ref="BO48:BO48">SUM(Demand!BO20*Capacity!CI$3:CI$25*Capacity!$DI20/(TRANSPOSE(Dists!$B19:$X19)*MMULT(1/Dists!$B19:$X19,Capacity!$DI$3:$DI$25)))</f>
        <v>0.151083629091371</v>
      </c>
      <c r="BP48" s="4" t="n">
        <f aca="false" t="array" ref="BP48:BP48">SUM(Demand!BP20*Capacity!CJ$3:CJ$25*Capacity!$DI20/(TRANSPOSE(Dists!$B19:$X19)*MMULT(1/Dists!$B19:$X19,Capacity!$DI$3:$DI$25)))</f>
        <v>0.814804804690555</v>
      </c>
      <c r="BQ48" s="4" t="n">
        <f aca="false">BQ20</f>
        <v>17.2523650927448</v>
      </c>
      <c r="BR48" s="4" t="n">
        <f aca="false" t="array" ref="BR48:BR48">SUM(Demand!BR20*Capacity!CL$3:CL$25*Capacity!$DI20/(TRANSPOSE(Dists!$B19:$X19)*MMULT(1/Dists!$B19:$X19,Capacity!$DI$3:$DI$25)))</f>
        <v>0.0050361217342071</v>
      </c>
      <c r="BS48" s="4" t="n">
        <f aca="false" t="array" ref="BS48:BS48">SUM(Demand!BS20*Capacity!CM$3:CM$25*Capacity!$DI20/(TRANSPOSE(Dists!$B19:$X19)*MMULT(1/Dists!$B19:$X19,Capacity!$DI$3:$DI$25)))</f>
        <v>0.00050361217342071</v>
      </c>
      <c r="BT48" s="4" t="n">
        <f aca="false">BT20</f>
        <v>0.117475462811634</v>
      </c>
      <c r="BU48" s="4" t="n">
        <f aca="false">BU20</f>
        <v>0.0117475462811634</v>
      </c>
      <c r="BV48" s="4" t="n">
        <f aca="false">BV20</f>
        <v>0.00117475462811634</v>
      </c>
      <c r="BW48" s="4" t="n">
        <f aca="false">BW20</f>
        <v>172.10453148302</v>
      </c>
      <c r="BX48" s="4" t="n">
        <f aca="false" t="array" ref="BX48:BX48">SUM(Demand!BX20*Capacity!CR$3:CR$25*Capacity!$DI20/(TRANSPOSE(Dists!$B19:$X19)*MMULT(1/Dists!$B19:$X19,Capacity!$DI$3:$DI$25)))</f>
        <v>2.87713447438503</v>
      </c>
      <c r="BY48" s="4" t="n">
        <f aca="false" t="array" ref="BY48:BY48">SUM(Demand!BY20*Capacity!CS$3:CS$25*Capacity!$DI20/(TRANSPOSE(Dists!$B19:$X19)*MMULT(1/Dists!$B19:$X19,Capacity!$DI$3:$DI$25)))</f>
        <v>107.243129990272</v>
      </c>
      <c r="BZ48" s="4" t="n">
        <f aca="false" t="array" ref="BZ48:BZ48">SUM(Demand!BZ20*Capacity!CT$3:CT$25*Capacity!$DI20/(TRANSPOSE(Dists!$B19:$X19)*MMULT(1/Dists!$B19:$X19,Capacity!$DI$3:$DI$25)))</f>
        <v>0.15430953416527</v>
      </c>
      <c r="CA48" s="4" t="n">
        <f aca="false" t="array" ref="CA48:CA48">SUM(Demand!CA20*Capacity!CU$3:CU$25*Capacity!$DI20/(TRANSPOSE(Dists!$B19:$X19)*MMULT(1/Dists!$B19:$X19,Capacity!$DI$3:$DI$25)))</f>
        <v>0.0716713823929896</v>
      </c>
      <c r="CB48" s="4" t="n">
        <f aca="false" t="array" ref="CB48:CB48">SUM(Demand!CB20*Capacity!CV$3:CV$25*Capacity!$DI20/(TRANSPOSE(Dists!$B19:$X19)*MMULT(1/Dists!$B19:$X19,Capacity!$DI$3:$DI$25)))</f>
        <v>392.504088314229</v>
      </c>
      <c r="CC48" s="4" t="n">
        <f aca="false" t="array" ref="CC48:CC48">SUM(Demand!CC20*Capacity!CW$3:CW$25*Capacity!$DI20/(TRANSPOSE(Dists!$B19:$X19)*MMULT(1/Dists!$B19:$X19,Capacity!$DI$3:$DI$25)))</f>
        <v>936.78061744498</v>
      </c>
      <c r="CD48" s="4" t="n">
        <f aca="false">SUM($BG48,$BI48,$BK48)*Capacity!CX20/SUM(Capacity!$AM20:$AN20,Capacity!$CX20)</f>
        <v>7.60586352568831</v>
      </c>
      <c r="CE48" s="4" t="n">
        <f aca="false" t="array" ref="CE48:CE48">SUM(Demand!CE20*Capacity!CY$3:CY$25*Capacity!$DI20/(TRANSPOSE(Dists!$B19:$X19)*MMULT(1/Dists!$B19:$X19,Capacity!$DI$3:$DI$25)))</f>
        <v>0.368415074922163</v>
      </c>
      <c r="CF48" s="4" t="n">
        <f aca="false" t="array" ref="CF48:CF48">SUM(Demand!CF20*Capacity!CZ$3:CZ$25*Capacity!$DI20/(TRANSPOSE(Dists!$B19:$X19)*MMULT(1/Dists!$B19:$X19,Capacity!$DI$3:$DI$25)))</f>
        <v>931.843629749983</v>
      </c>
      <c r="CG48" s="4" t="n">
        <f aca="false" t="array" ref="CG48:CG48">SUM(Demand!CG20*Capacity!DA$3:DA$25*Capacity!$DI20/(TRANSPOSE(Dists!$B19:$X19)*MMULT(1/Dists!$B19:$X19,Capacity!$DI$3:$DI$25)))</f>
        <v>0.32961027751317</v>
      </c>
      <c r="CH48" s="4" t="n">
        <f aca="false" t="array" ref="CH48:CH48">SUM(Demand!CH20*Capacity!DB$3:DB$25*Capacity!$DI20/(TRANSPOSE(Dists!$B19:$X19)*MMULT(1/Dists!$B19:$X19,Capacity!$DI$3:$DI$25)))</f>
        <v>5.85646606928388</v>
      </c>
      <c r="CI48" s="4" t="n">
        <f aca="false" t="array" ref="CI48:CI48">SUM(Demand!CI20*Capacity!DC$3:DC$25*Capacity!$DI20/(TRANSPOSE(Dists!$B19:$X19)*MMULT(1/Dists!$B19:$X19,Capacity!$DI$3:$DI$25)))</f>
        <v>0.124755522916142</v>
      </c>
      <c r="CJ48" s="4" t="n">
        <f aca="false" t="array" ref="CJ48:CJ48">SUM(Demand!CJ20*Capacity!DD$3:DD$25*Capacity!$DI20/(TRANSPOSE(Dists!$B19:$X19)*MMULT(1/Dists!$B19:$X19,Capacity!$DI$3:$DI$25)))</f>
        <v>0.0087856855330547</v>
      </c>
      <c r="CK48" s="4" t="n">
        <f aca="false" t="array" ref="CK48:CK48">SUM(Demand!CK20*Capacity!DE$3:DE$25*Capacity!$DI20/(TRANSPOSE(Dists!$B19:$X19)*MMULT(1/Dists!$B19:$X19,Capacity!$DI$3:$DI$25)))</f>
        <v>4.57729072283164</v>
      </c>
      <c r="CL48" s="7" t="s">
        <v>320</v>
      </c>
    </row>
    <row r="49" customFormat="false" ht="12.8" hidden="false" customHeight="false" outlineLevel="0" collapsed="false">
      <c r="A49" s="4" t="s">
        <v>156</v>
      </c>
      <c r="B49" s="7" t="s">
        <v>39</v>
      </c>
      <c r="C49" s="4" t="n">
        <f aca="false" t="array" ref="C49:C49">SUM(Demand!C21*Capacity!S$3:S$25*Capacity!$DH21/(TRANSPOSE(Dists!$B20:$X20)*MMULT(1/Dists!$B20:$X20,Capacity!$DH$3:$DH$25)))</f>
        <v>0.0168004309882177</v>
      </c>
      <c r="D49" s="4" t="n">
        <f aca="false" t="array" ref="D49:D49">SUM(Demand!D21*Capacity!V$3:V$25*Capacity!$DH21/(TRANSPOSE(Dists!$B20:$X20)*MMULT(1/Dists!$B20:$X20,Capacity!$DH$3:$DH$25)))</f>
        <v>2356.3580002776</v>
      </c>
      <c r="E49" s="4" t="n">
        <f aca="false" t="array" ref="E49:E49">SUM(Demand!E21*Capacity!Y$3:Y$25*Capacity!$DH21/(TRANSPOSE(Dists!$B20:$X20)*MMULT(1/Dists!$B20:$X20,Capacity!$DH$3:$DH$25)))</f>
        <v>1499.77540551305</v>
      </c>
      <c r="F49" s="4" t="n">
        <f aca="false">$E21*Capacity!$M21/(2*(1-Capacity!$H$28)*Capacity!$H21)</f>
        <v>676.417840644403</v>
      </c>
      <c r="G49" s="4" t="n">
        <f aca="false" t="array" ref="G49:G49">SUM(Demand!G21*Capacity!AA$3:AA$25*Capacity!$DH21/(TRANSPOSE(Dists!$B20:$X20)*MMULT(1/Dists!$B20:$X20,Capacity!$DH$3:$DH$25)))</f>
        <v>2800.04567405586</v>
      </c>
      <c r="H49" s="4" t="n">
        <f aca="false" t="array" ref="H49:H49">SUM(Demand!H21*Capacity!AB$3:AB$25*Capacity!$DH21/(TRANSPOSE(Dists!$B20:$X20)*MMULT(1/Dists!$B20:$X20,Capacity!$DH$3:$DH$25)))</f>
        <v>5.47396692313825</v>
      </c>
      <c r="I49" s="4" t="n">
        <f aca="false" t="array" ref="I49:I49">SUM(Demand!I21*Capacity!AC$3:AC$25*Capacity!$DG21/(TRANSPOSE(Dists!$B20:$X20)*MMULT(1/Dists!$B20:$X20,Capacity!$DG$3:$DG$25)))</f>
        <v>1.79510502789848</v>
      </c>
      <c r="J49" s="4" t="n">
        <f aca="false" t="array" ref="J49:J49">SUM(Demand!J21*Capacity!AD$3:AD$25*Capacity!$DG21/(TRANSPOSE(Dists!$B20:$X20)*MMULT(1/Dists!$B20:$X20,Capacity!$DG$3:$DG$25)))</f>
        <v>5.81252702505132</v>
      </c>
      <c r="K49" s="4" t="n">
        <f aca="false">5479.45205479452*$R21</f>
        <v>860581.620898486</v>
      </c>
      <c r="L49" s="4" t="n">
        <f aca="false">17142.8571428571*$S21</f>
        <v>169158.591149078</v>
      </c>
      <c r="M49" s="4" t="n">
        <f aca="false">IF(50420.1680672269*$T21&gt;($K21/20),50420.1680672269*$T21-($K21/20),0)</f>
        <v>235039.835912464</v>
      </c>
      <c r="N49" s="4" t="n">
        <f aca="false" t="array" ref="N49:N49">SUM(Demand!N21*Capacity!AH$3:AH$25*Capacity!$DH21/(TRANSPOSE(Dists!$B20:$X20)*MMULT(1/Dists!$B20:$X20,Capacity!$DH$3:$DH$25)))</f>
        <v>2906.29248699048</v>
      </c>
      <c r="O49" s="4" t="n">
        <f aca="false">D49/0.8</f>
        <v>2945.44750034701</v>
      </c>
      <c r="P49" s="4" t="n">
        <f aca="false">O49/0.8</f>
        <v>3681.80937543376</v>
      </c>
      <c r="Q49" s="4" t="n">
        <f aca="false" t="array" ref="Q49:Q49">SUM(Demand!Q21*Capacity!AK$3:AK$25*Capacity!$DI21/(TRANSPOSE(Dists!$B20:$X20)*MMULT(1/Dists!$B20:$X20,Capacity!$DI$3:$DI$25)))</f>
        <v>35.9049011750607</v>
      </c>
      <c r="R49" s="4" t="n">
        <f aca="false" t="array" ref="R49:R49">SUM(Demand!R21*Capacity!AL$3:AL$25*Capacity!$DH21/(TRANSPOSE(Dists!$B20:$X20)*MMULT(1/Dists!$B20:$X20,Capacity!$DH$3:$DH$25)))</f>
        <v>106.814644210187</v>
      </c>
      <c r="S49" s="4" t="n">
        <f aca="false">SUM($BG49,$BI49,$BK49)*Capacity!AM21/SUM(Capacity!$AM21:$AN21,Capacity!$CX21)</f>
        <v>9.86758448369625</v>
      </c>
      <c r="T49" s="4" t="n">
        <f aca="false">SUM($BG49,$BI49,$BK49)*Capacity!AN21/SUM(Capacity!$AM21:$AN21,Capacity!$CX21)</f>
        <v>5.51503351965487</v>
      </c>
      <c r="U49" s="4" t="n">
        <f aca="false">$M21*120*2/(16*1000*2000)</f>
        <v>1.76279876934348</v>
      </c>
      <c r="V49" s="4" t="n">
        <f aca="false" t="array" ref="V49:V49">SUM(Demand!V21*Capacity!AP$3:AP$25*Capacity!$DH21/(TRANSPOSE(Dists!$B20:$X20)*MMULT(1/Dists!$B20:$X20,Capacity!$DH$3:$DH$25)))</f>
        <v>63.340939182105</v>
      </c>
      <c r="W49" s="4" t="n">
        <f aca="false" t="array" ref="W49:W49">SUM(Demand!W21*Capacity!AQ$3:AQ$25*Capacity!$DH21/(TRANSPOSE(Dists!$B20:$X20)*MMULT(1/Dists!$B20:$X20,Capacity!$DH$3:$DH$25)))</f>
        <v>917.181520480471</v>
      </c>
      <c r="X49" s="4" t="n">
        <f aca="false" t="array" ref="X49:X49">SUM(Demand!X21*Capacity!AR$3:AR$25*Capacity!$DH21/(TRANSPOSE(Dists!$B20:$X20)*MMULT(1/Dists!$B20:$X20,Capacity!$DH$3:$DH$25)))</f>
        <v>35.3287782935361</v>
      </c>
      <c r="Y49" s="4" t="n">
        <f aca="false">$L21*600*6/(90*1000*2000)</f>
        <v>3.38317182298156</v>
      </c>
      <c r="Z49" s="4" t="n">
        <f aca="false" t="array" ref="Z49:Z49">SUM(Demand!Z21*Capacity!AT$3:AT$25*Capacity!$DI21/(TRANSPOSE(Dists!$B20:$X20)*MMULT(1/Dists!$B20:$X20,Capacity!$DI$3:$DI$25)))</f>
        <v>186.129520323917</v>
      </c>
      <c r="AA49" s="4" t="n">
        <f aca="false" t="array" ref="AA49:AA49">SUM(Demand!AA21*Capacity!AU$3:AU$25*Capacity!$DI21/(TRANSPOSE(Dists!$B20:$X20)*MMULT(1/Dists!$B20:$X20,Capacity!$DI$3:$DI$25)))</f>
        <v>137.045952205854</v>
      </c>
      <c r="AB49" s="4" t="n">
        <f aca="false" t="array" ref="AB49:AB49">SUM(Demand!AB21*Capacity!AV$3:AV$25*Capacity!$DI21/(TRANSPOSE(Dists!$B20:$X20)*MMULT(1/Dists!$B20:$X20,Capacity!$DI$3:$DI$25)))</f>
        <v>104.960837570082</v>
      </c>
      <c r="AC49" s="4" t="n">
        <f aca="false" t="array" ref="AC49:AC49">SUM(Demand!AC21*Capacity!AW$3:AW$25*Capacity!$DI21/(TRANSPOSE(Dists!$B20:$X20)*MMULT(1/Dists!$B20:$X20,Capacity!$DI$3:$DI$25)))</f>
        <v>29.0208861154222</v>
      </c>
      <c r="AD49" s="4" t="n">
        <f aca="false" t="array" ref="AD49:AD49">SUM(Demand!AD21*Capacity!AX$3:AX$25*Capacity!$DI21/(TRANSPOSE(Dists!$B20:$X20)*MMULT(1/Dists!$B20:$X20,Capacity!$DI$3:$DI$25)))</f>
        <v>17.1832082006836</v>
      </c>
      <c r="AE49" s="4" t="n">
        <f aca="false" t="array" ref="AE49:AE49">SUM(Demand!AE21*Capacity!AY$3:AY$25*Capacity!$DI21/(TRANSPOSE(Dists!$B20:$X20)*MMULT(1/Dists!$B20:$X20,Capacity!$DI$3:$DI$25)))</f>
        <v>14.6933263738767</v>
      </c>
      <c r="AF49" s="4" t="n">
        <f aca="false" t="array" ref="AF49:AF49">SUM(Demand!AF21*Capacity!AZ$3:AZ$25*Capacity!$DI21/(TRANSPOSE(Dists!$B20:$X20)*MMULT(1/Dists!$B20:$X20,Capacity!$DI$3:$DI$25)))</f>
        <v>0.970258337651371</v>
      </c>
      <c r="AG49" s="4" t="n">
        <f aca="false" t="array" ref="AG49:AG49">SUM(Demand!AG21*Capacity!BA$3:BA$25*Capacity!$DI21/(TRANSPOSE(Dists!$B20:$X20)*MMULT(1/Dists!$B20:$X20,Capacity!$DI$3:$DI$25)))</f>
        <v>11.1149315501122</v>
      </c>
      <c r="AH49" s="4" t="n">
        <f aca="false" t="array" ref="AH49:AH49">SUM(Demand!AH21*Capacity!BB$3:BB$25*Capacity!$DI21/(TRANSPOSE(Dists!$B20:$X20)*MMULT(1/Dists!$B20:$X20,Capacity!$DI$3:$DI$25)))</f>
        <v>9.01421312736349</v>
      </c>
      <c r="AI49" s="4" t="n">
        <f aca="false" t="array" ref="AI49:AI49">SUM(Demand!AI21*Capacity!BC$3:BC$25*Capacity!$DI21/(TRANSPOSE(Dists!$B20:$X20)*MMULT(1/Dists!$B20:$X20,Capacity!$DI$3:$DI$25)))</f>
        <v>0.581644709248108</v>
      </c>
      <c r="AJ49" s="4" t="n">
        <f aca="false" t="array" ref="AJ49:AJ49">SUM(Demand!AJ21*Capacity!BD$3:BD$25*Capacity!$DI21/(TRANSPOSE(Dists!$B20:$X20)*MMULT(1/Dists!$B20:$X20,Capacity!$DI$3:$DI$25)))</f>
        <v>3.1297820843791</v>
      </c>
      <c r="AK49" s="4" t="n">
        <f aca="false" t="array" ref="AK49:AK49">SUM(Demand!AK21*Capacity!BE$3:BE$25*Capacity!$DI21/(TRANSPOSE(Dists!$B20:$X20)*MMULT(1/Dists!$B20:$X20,Capacity!$DI$3:$DI$25)))</f>
        <v>1.75897215665804</v>
      </c>
      <c r="AL49" s="4" t="n">
        <f aca="false" t="array" ref="AL49:AL49">SUM(Demand!AL21*Capacity!BF$3:BF$25*Capacity!$DI21/(TRANSPOSE(Dists!$B20:$X20)*MMULT(1/Dists!$B20:$X20,Capacity!$DI$3:$DI$25)))</f>
        <v>0.655983424559905</v>
      </c>
      <c r="AM49" s="4" t="n">
        <f aca="false" t="array" ref="AM49:AM49">SUM(Demand!AM21*Capacity!BG$3:BG$25*Capacity!$DI21/(TRANSPOSE(Dists!$B20:$X20)*MMULT(1/Dists!$B20:$X20,Capacity!$DI$3:$DI$25)))</f>
        <v>2.49760766606999</v>
      </c>
      <c r="AN49" s="4" t="n">
        <f aca="false" t="array" ref="AN49:AN49">SUM(Demand!AN21*Capacity!BH$3:BH$25*Capacity!$DI21/(TRANSPOSE(Dists!$B20:$X20)*MMULT(1/Dists!$B20:$X20,Capacity!$DI$3:$DI$25)))</f>
        <v>1.58549124918877</v>
      </c>
      <c r="AO49" s="4" t="n">
        <f aca="false" t="array" ref="AO49:AO49">SUM(Demand!AO21*Capacity!BI$3:BI$25*Capacity!$DI21/(TRANSPOSE(Dists!$B20:$X20)*MMULT(1/Dists!$B20:$X20,Capacity!$DI$3:$DI$25)))</f>
        <v>3.13679923045726</v>
      </c>
      <c r="AP49" s="4" t="n">
        <f aca="false" t="array" ref="AP49:AP49">SUM(Demand!AP21*Capacity!BJ$3:BJ$25*Capacity!$DI21/(TRANSPOSE(Dists!$B20:$X20)*MMULT(1/Dists!$B20:$X20,Capacity!$DI$3:$DI$25)))</f>
        <v>3.52187109458356</v>
      </c>
      <c r="AQ49" s="4" t="n">
        <f aca="false" t="array" ref="AQ49:AQ49">SUM(Demand!AQ21*Capacity!BK$3:BK$25*Capacity!$DI21/(TRANSPOSE(Dists!$B20:$X20)*MMULT(1/Dists!$B20:$X20,Capacity!$DI$3:$DI$25)))</f>
        <v>0.344377681556515</v>
      </c>
      <c r="AR49" s="4" t="n">
        <f aca="false" t="array" ref="AR49:AR49">SUM(Demand!AR21*Capacity!BL$3:BL$25*Capacity!$DI21/(TRANSPOSE(Dists!$B20:$X20)*MMULT(1/Dists!$B20:$X20,Capacity!$DI$3:$DI$25)))</f>
        <v>0.477240617252791</v>
      </c>
      <c r="AS49" s="4" t="n">
        <f aca="false" t="array" ref="AS49:AS49">SUM(Demand!AS21*Capacity!BM$3:BM$25*Capacity!$DI21/(TRANSPOSE(Dists!$B20:$X20)*MMULT(1/Dists!$B20:$X20,Capacity!$DI$3:$DI$25)))</f>
        <v>0.712846785775829</v>
      </c>
      <c r="AT49" s="4" t="n">
        <f aca="false" t="array" ref="AT49:AT49">SUM(Demand!AT21*Capacity!BN$3:BN$25*Capacity!$DI21/(TRANSPOSE(Dists!$B20:$X20)*MMULT(1/Dists!$B20:$X20,Capacity!$DI$3:$DI$25)))</f>
        <v>3.22161797404954</v>
      </c>
      <c r="AU49" s="4" t="n">
        <f aca="false" t="array" ref="AU49:AU49">SUM(Demand!AU21*Capacity!BO$3:BO$25*Capacity!$DI21/(TRANSPOSE(Dists!$B20:$X20)*MMULT(1/Dists!$B20:$X20,Capacity!$DI$3:$DI$25)))</f>
        <v>13.6622976242847</v>
      </c>
      <c r="AV49" s="4" t="n">
        <f aca="false" t="array" ref="AV49:AV49">SUM(Demand!AV21*Capacity!BP$3:BP$25*Capacity!$DI21/(TRANSPOSE(Dists!$B20:$X20)*MMULT(1/Dists!$B20:$X20,Capacity!$DI$3:$DI$25)))</f>
        <v>0.209809182829614</v>
      </c>
      <c r="AW49" s="4" t="n">
        <f aca="false" t="array" ref="AW49:AW49">SUM(Demand!AW21*Capacity!BQ$3:BQ$25*Capacity!$DI21/(TRANSPOSE(Dists!$B20:$X20)*MMULT(1/Dists!$B20:$X20,Capacity!$DI$3:$DI$25)))</f>
        <v>15.4592287784327</v>
      </c>
      <c r="AX49" s="4" t="n">
        <f aca="false" t="array" ref="AX49:AX49">SUM(Demand!AX21*Capacity!BR$3:BR$25*Capacity!$DI21/(TRANSPOSE(Dists!$B20:$X20)*MMULT(1/Dists!$B20:$X20,Capacity!$DI$3:$DI$25)))</f>
        <v>0.966486775199579</v>
      </c>
      <c r="AY49" s="4" t="n">
        <f aca="false" t="array" ref="AY49:AY49">SUM(Demand!AY21*Capacity!BS$3:BS$25*Capacity!$DI21/(TRANSPOSE(Dists!$B20:$X20)*MMULT(1/Dists!$B20:$X20,Capacity!$DI$3:$DI$25)))</f>
        <v>1.89492135464761</v>
      </c>
      <c r="AZ49" s="4" t="n">
        <f aca="false" t="array" ref="AZ49:AZ49">SUM(Demand!AZ21*Capacity!BT$3:BT$25*Capacity!$DI21/(TRANSPOSE(Dists!$B20:$X20)*MMULT(1/Dists!$B20:$X20,Capacity!$DI$3:$DI$25)))</f>
        <v>9.73853885393434</v>
      </c>
      <c r="BA49" s="4" t="n">
        <f aca="false">BA21</f>
        <v>0.041460439007127</v>
      </c>
      <c r="BB49" s="4" t="n">
        <f aca="false" t="array" ref="BB49:BB49">SUM(Demand!BB21*Capacity!BV$3:BV$25*Capacity!$DI21/(TRANSPOSE(Dists!$B20:$X20)*MMULT(1/Dists!$B20:$X20,Capacity!$DI$3:$DI$25)))</f>
        <v>0.939243132020258</v>
      </c>
      <c r="BC49" s="4" t="n">
        <f aca="false" t="array" ref="BC49:BC49">SUM(Demand!BC21*Capacity!BW$3:BW$25*Capacity!$DI21/(TRANSPOSE(Dists!$B20:$X20)*MMULT(1/Dists!$B20:$X20,Capacity!$DI$3:$DI$25)))</f>
        <v>0.394608802623092</v>
      </c>
      <c r="BD49" s="4" t="n">
        <f aca="false" t="array" ref="BD49:BD49">SUM(Demand!BD21*Capacity!BX$3:BX$25*Capacity!$DI21/(TRANSPOSE(Dists!$B20:$X20)*MMULT(1/Dists!$B20:$X20,Capacity!$DI$3:$DI$25)))</f>
        <v>0.162382259325505</v>
      </c>
      <c r="BE49" s="4" t="n">
        <f aca="false" t="array" ref="BE49:BE49">SUM(Demand!BE21*Capacity!BY$3:BY$25*Capacity!$DI21/(TRANSPOSE(Dists!$B20:$X20)*MMULT(1/Dists!$B20:$X20,Capacity!$DI$3:$DI$25)))</f>
        <v>0.23184940643816</v>
      </c>
      <c r="BF49" s="4" t="n">
        <f aca="false" t="array" ref="BF49:BF49">SUM(Demand!BF21*Capacity!BZ$3:BZ$25*Capacity!$DI21/(TRANSPOSE(Dists!$B20:$X20)*MMULT(1/Dists!$B20:$X20,Capacity!$DI$3:$DI$25)))</f>
        <v>3.5438633494562</v>
      </c>
      <c r="BG49" s="4" t="n">
        <f aca="false" t="array" ref="BG49:BG49">SUM(Demand!BG21*Capacity!CA$3:CA$25*Capacity!$DI21/(TRANSPOSE(Dists!$B20:$X20)*MMULT(1/Dists!$B20:$X20,Capacity!$DI$3:$DI$25)))</f>
        <v>32.5811480168806</v>
      </c>
      <c r="BH49" s="4" t="n">
        <f aca="false" t="array" ref="BH49:BH49">SUM(Demand!BH21*Capacity!CB$3:CB$25*Capacity!$DI21/(TRANSPOSE(Dists!$B20:$X20)*MMULT(1/Dists!$B20:$X20,Capacity!$DI$3:$DI$25)))</f>
        <v>65.1622960337612</v>
      </c>
      <c r="BI49" s="4" t="n">
        <f aca="false" t="array" ref="BI49:BI49">SUM(Demand!BI21*Capacity!CC$3:CC$25*Capacity!$DI21/(TRANSPOSE(Dists!$B20:$X20)*MMULT(1/Dists!$B20:$X20,Capacity!$DI$3:$DI$25)))</f>
        <v>86.8830613783482</v>
      </c>
      <c r="BJ49" s="4" t="n">
        <f aca="false" t="array" ref="BJ49:BJ49">SUM(Demand!BJ21*Capacity!CD$3:CD$25*Capacity!$DI21/(TRANSPOSE(Dists!$B20:$X20)*MMULT(1/Dists!$B20:$X20,Capacity!$DI$3:$DI$25)))</f>
        <v>1163.36260331946</v>
      </c>
      <c r="BK49" s="4" t="n">
        <f aca="false" t="array" ref="BK49:BK49">SUM(Demand!BK21*Capacity!CE$3:CE$25*Capacity!$DI21/(TRANSPOSE(Dists!$B20:$X20)*MMULT(1/Dists!$B20:$X20,Capacity!$DI$3:$DI$25)))</f>
        <v>43.4415306891741</v>
      </c>
      <c r="BL49" s="4" t="n">
        <f aca="false" t="array" ref="BL49:BL49">SUM(Demand!BL21*Capacity!CF$3:CF$25*Capacity!$DI21/(TRANSPOSE(Dists!$B20:$X20)*MMULT(1/Dists!$B20:$X20,Capacity!$DI$3:$DI$25)))</f>
        <v>32.7776307016177</v>
      </c>
      <c r="BM49" s="4" t="n">
        <f aca="false" t="array" ref="BM49:BM49">SUM(Demand!BM21*Capacity!CG$3:CG$25*Capacity!$DI21/(TRANSPOSE(Dists!$B20:$X20)*MMULT(1/Dists!$B20:$X20,Capacity!$DI$3:$DI$25)))</f>
        <v>232.340977304139</v>
      </c>
      <c r="BN49" s="4" t="n">
        <f aca="false">BN21</f>
        <v>0.00130567995839793</v>
      </c>
      <c r="BO49" s="4" t="n">
        <f aca="false" t="array" ref="BO49:BO49">SUM(Demand!BO21*Capacity!CI$3:CI$25*Capacity!$DI21/(TRANSPOSE(Dists!$B20:$X20)*MMULT(1/Dists!$B20:$X20,Capacity!$DI$3:$DI$25)))</f>
        <v>60.8499202393732</v>
      </c>
      <c r="BP49" s="4" t="n">
        <f aca="false" t="array" ref="BP49:BP49">SUM(Demand!BP21*Capacity!CJ$3:CJ$25*Capacity!$DI21/(TRANSPOSE(Dists!$B20:$X20)*MMULT(1/Dists!$B20:$X20,Capacity!$DI$3:$DI$25)))</f>
        <v>86.8587653434414</v>
      </c>
      <c r="BQ49" s="4" t="n">
        <f aca="false">BQ21</f>
        <v>0.000848691972958657</v>
      </c>
      <c r="BR49" s="4" t="n">
        <f aca="false" t="array" ref="BR49:BR49">SUM(Demand!BR21*Capacity!CL$3:CL$25*Capacity!$DI21/(TRANSPOSE(Dists!$B20:$X20)*MMULT(1/Dists!$B20:$X20,Capacity!$DI$3:$DI$25)))</f>
        <v>2.02833112633489</v>
      </c>
      <c r="BS49" s="4" t="n">
        <f aca="false" t="array" ref="BS49:BS49">SUM(Demand!BS21*Capacity!CM$3:CM$25*Capacity!$DI21/(TRANSPOSE(Dists!$B20:$X20)*MMULT(1/Dists!$B20:$X20,Capacity!$DI$3:$DI$25)))</f>
        <v>0.20283311263349</v>
      </c>
      <c r="BT49" s="4" t="n">
        <f aca="false">BT21</f>
        <v>24.5014276018937</v>
      </c>
      <c r="BU49" s="4" t="n">
        <f aca="false">BU21</f>
        <v>2.45014276018937</v>
      </c>
      <c r="BV49" s="4" t="n">
        <f aca="false">BV21</f>
        <v>0.245014276018937</v>
      </c>
      <c r="BW49" s="4" t="n">
        <f aca="false">BW21</f>
        <v>4169.37562732627</v>
      </c>
      <c r="BX49" s="4" t="n">
        <f aca="false" t="array" ref="BX49:BX49">SUM(Demand!BX21*Capacity!CR$3:CR$25*Capacity!$DI21/(TRANSPOSE(Dists!$B20:$X20)*MMULT(1/Dists!$B20:$X20,Capacity!$DI$3:$DI$25)))</f>
        <v>15.3747044537898</v>
      </c>
      <c r="BY49" s="4" t="n">
        <f aca="false" t="array" ref="BY49:BY49">SUM(Demand!BY21*Capacity!CS$3:CS$25*Capacity!$DI21/(TRANSPOSE(Dists!$B20:$X20)*MMULT(1/Dists!$B20:$X20,Capacity!$DI$3:$DI$25)))</f>
        <v>71.7156811200776</v>
      </c>
      <c r="BZ49" s="4" t="n">
        <f aca="false" t="array" ref="BZ49:BZ49">SUM(Demand!BZ21*Capacity!CT$3:CT$25*Capacity!$DI21/(TRANSPOSE(Dists!$B20:$X20)*MMULT(1/Dists!$B20:$X20,Capacity!$DI$3:$DI$25)))</f>
        <v>0.0199760397083181</v>
      </c>
      <c r="CA49" s="4" t="n">
        <f aca="false" t="array" ref="CA49:CA49">SUM(Demand!CA21*Capacity!CU$3:CU$25*Capacity!$DI21/(TRANSPOSE(Dists!$B20:$X20)*MMULT(1/Dists!$B20:$X20,Capacity!$DI$3:$DI$25)))</f>
        <v>0.00602274078380646</v>
      </c>
      <c r="CB49" s="4" t="n">
        <f aca="false" t="array" ref="CB49:CB49">SUM(Demand!CB21*Capacity!CV$3:CV$25*Capacity!$DI21/(TRANSPOSE(Dists!$B20:$X20)*MMULT(1/Dists!$B20:$X20,Capacity!$DI$3:$DI$25)))</f>
        <v>112.896330347993</v>
      </c>
      <c r="CC49" s="4" t="n">
        <f aca="false" t="array" ref="CC49:CC49">SUM(Demand!CC21*Capacity!CW$3:CW$25*Capacity!$DI21/(TRANSPOSE(Dists!$B20:$X20)*MMULT(1/Dists!$B20:$X20,Capacity!$DI$3:$DI$25)))</f>
        <v>37.7754764557867</v>
      </c>
      <c r="CD49" s="4" t="n">
        <f aca="false">SUM($BG49,$BI49,$BK49)*Capacity!CX21/SUM(Capacity!$AM21:$AN21,Capacity!$CX21)</f>
        <v>147.523122081052</v>
      </c>
      <c r="CE49" s="4" t="n">
        <f aca="false" t="array" ref="CE49:CE49">SUM(Demand!CE21*Capacity!CY$3:CY$25*Capacity!$DI21/(TRANSPOSE(Dists!$B20:$X20)*MMULT(1/Dists!$B20:$X20,Capacity!$DI$3:$DI$25)))</f>
        <v>41.6011914607397</v>
      </c>
      <c r="CF49" s="4" t="n">
        <f aca="false" t="array" ref="CF49:CF49">SUM(Demand!CF21*Capacity!CZ$3:CZ$25*Capacity!$DI21/(TRANSPOSE(Dists!$B20:$X20)*MMULT(1/Dists!$B20:$X20,Capacity!$DI$3:$DI$25)))</f>
        <v>8.841573595338</v>
      </c>
      <c r="CG49" s="4" t="n">
        <f aca="false" t="array" ref="CG49:CG49">SUM(Demand!CG21*Capacity!DA$3:DA$25*Capacity!$DI21/(TRANSPOSE(Dists!$B20:$X20)*MMULT(1/Dists!$B20:$X20,Capacity!$DI$3:$DI$25)))</f>
        <v>0.148615769180794</v>
      </c>
      <c r="CH49" s="4" t="n">
        <f aca="false" t="array" ref="CH49:CH49">SUM(Demand!CH21*Capacity!DB$3:DB$25*Capacity!$DI21/(TRANSPOSE(Dists!$B20:$X20)*MMULT(1/Dists!$B20:$X20,Capacity!$DI$3:$DI$25)))</f>
        <v>0.148883214411086</v>
      </c>
      <c r="CI49" s="4" t="n">
        <f aca="false" t="array" ref="CI49:CI49">SUM(Demand!CI21*Capacity!DC$3:DC$25*Capacity!$DI21/(TRANSPOSE(Dists!$B20:$X20)*MMULT(1/Dists!$B20:$X20,Capacity!$DI$3:$DI$25)))</f>
        <v>0.39783274973297</v>
      </c>
      <c r="CJ49" s="4" t="n">
        <f aca="false" t="array" ref="CJ49:CJ49">SUM(Demand!CJ21*Capacity!DD$3:DD$25*Capacity!$DI21/(TRANSPOSE(Dists!$B20:$X20)*MMULT(1/Dists!$B20:$X20,Capacity!$DI$3:$DI$25)))</f>
        <v>0.107927482442894</v>
      </c>
      <c r="CK49" s="4" t="n">
        <f aca="false" t="array" ref="CK49:CK49">SUM(Demand!CK21*Capacity!DE$3:DE$25*Capacity!$DI21/(TRANSPOSE(Dists!$B20:$X20)*MMULT(1/Dists!$B20:$X20,Capacity!$DI$3:$DI$25)))</f>
        <v>16.4096513795929</v>
      </c>
      <c r="CL49" s="7" t="s">
        <v>320</v>
      </c>
    </row>
    <row r="50" customFormat="false" ht="12.8" hidden="false" customHeight="false" outlineLevel="0" collapsed="false">
      <c r="A50" s="4" t="s">
        <v>157</v>
      </c>
      <c r="B50" s="7" t="s">
        <v>39</v>
      </c>
      <c r="C50" s="4" t="n">
        <f aca="false" t="array" ref="C50:C50">SUM(Demand!C22*Capacity!S$3:S$25*Capacity!$DH22/(TRANSPOSE(Dists!$B21:$X21)*MMULT(1/Dists!$B21:$X21,Capacity!$DH$3:$DH$25)))</f>
        <v>0.00586733988315615</v>
      </c>
      <c r="D50" s="4" t="n">
        <f aca="false" t="array" ref="D50:D50">SUM(Demand!D22*Capacity!V$3:V$25*Capacity!$DH22/(TRANSPOSE(Dists!$B21:$X21)*MMULT(1/Dists!$B21:$X21,Capacity!$DH$3:$DH$25)))</f>
        <v>516.929820756129</v>
      </c>
      <c r="E50" s="4" t="n">
        <f aca="false" t="array" ref="E50:E50">SUM(Demand!E22*Capacity!Y$3:Y$25*Capacity!$DH22/(TRANSPOSE(Dists!$B21:$X21)*MMULT(1/Dists!$B21:$X21,Capacity!$DH$3:$DH$25)))</f>
        <v>182.435544962048</v>
      </c>
      <c r="F50" s="4" t="n">
        <f aca="false">$E22*Capacity!$M22/(2*(1-Capacity!$H$28)*Capacity!$H22)</f>
        <v>64.2003248939659</v>
      </c>
      <c r="G50" s="4" t="n">
        <f aca="false" t="array" ref="G50:G50">SUM(Demand!G22*Capacity!AA$3:AA$25*Capacity!$DH22/(TRANSPOSE(Dists!$B21:$X21)*MMULT(1/Dists!$B21:$X21,Capacity!$DH$3:$DH$25)))</f>
        <v>235.772016677108</v>
      </c>
      <c r="H50" s="4" t="n">
        <f aca="false" t="array" ref="H50:H50">SUM(Demand!H22*Capacity!AB$3:AB$25*Capacity!$DH22/(TRANSPOSE(Dists!$B21:$X21)*MMULT(1/Dists!$B21:$X21,Capacity!$DH$3:$DH$25)))</f>
        <v>0.230162925085821</v>
      </c>
      <c r="I50" s="4" t="n">
        <f aca="false" t="array" ref="I50:I50">SUM(Demand!I22*Capacity!AC$3:AC$25*Capacity!$DG22/(TRANSPOSE(Dists!$B21:$X21)*MMULT(1/Dists!$B21:$X21,Capacity!$DG$3:$DG$25)))</f>
        <v>1.46102192615638</v>
      </c>
      <c r="J50" s="4" t="n">
        <f aca="false" t="array" ref="J50:J50">SUM(Demand!J22*Capacity!AD$3:AD$25*Capacity!$DG22/(TRANSPOSE(Dists!$B21:$X21)*MMULT(1/Dists!$B21:$X21,Capacity!$DG$3:$DG$25)))</f>
        <v>1.91143987598479</v>
      </c>
      <c r="K50" s="4" t="n">
        <f aca="false">5479.45205479452*$R22</f>
        <v>378546.134030664</v>
      </c>
      <c r="L50" s="4" t="n">
        <f aca="false">17142.8571428571*$S22</f>
        <v>59340.2901745443</v>
      </c>
      <c r="M50" s="4" t="n">
        <f aca="false">IF(50420.1680672269*$T22&gt;($K22/20),50420.1680672269*$T22-($K22/20),0)</f>
        <v>78618.37577717</v>
      </c>
      <c r="N50" s="4" t="n">
        <f aca="false" t="array" ref="N50:N50">SUM(Demand!N22*Capacity!AH$3:AH$25*Capacity!$DH22/(TRANSPOSE(Dists!$B21:$X21)*MMULT(1/Dists!$B21:$X21,Capacity!$DH$3:$DH$25)))</f>
        <v>184.425939161364</v>
      </c>
      <c r="O50" s="4" t="n">
        <f aca="false">D50/0.8</f>
        <v>646.162275945161</v>
      </c>
      <c r="P50" s="4" t="n">
        <f aca="false">O50/0.8</f>
        <v>807.702844931451</v>
      </c>
      <c r="Q50" s="4" t="n">
        <f aca="false" t="array" ref="Q50:Q50">SUM(Demand!Q22*Capacity!AK$3:AK$25*Capacity!$DI22/(TRANSPOSE(Dists!$B21:$X21)*MMULT(1/Dists!$B21:$X21,Capacity!$DI$3:$DI$25)))</f>
        <v>19.5149763387446</v>
      </c>
      <c r="R50" s="4" t="n">
        <f aca="false" t="array" ref="R50:R50">SUM(Demand!R22*Capacity!AL$3:AL$25*Capacity!$DH22/(TRANSPOSE(Dists!$B21:$X21)*MMULT(1/Dists!$B21:$X21,Capacity!$DH$3:$DH$25)))</f>
        <v>125.550422374953</v>
      </c>
      <c r="S50" s="4" t="n">
        <f aca="false">SUM($BG50,$BI50,$BK50)*Capacity!AM22/SUM(Capacity!$AM22:$AN22,Capacity!$CX22)</f>
        <v>3.46151692684843</v>
      </c>
      <c r="T50" s="4" t="n">
        <f aca="false">SUM($BG50,$BI50,$BK50)*Capacity!AN22/SUM(Capacity!$AM22:$AN22,Capacity!$CX22)</f>
        <v>1.93465603582761</v>
      </c>
      <c r="U50" s="4" t="n">
        <f aca="false">$M22*120*2/(16*1000*2000)</f>
        <v>0.589637818328775</v>
      </c>
      <c r="V50" s="4" t="n">
        <f aca="false" t="array" ref="V50:V50">SUM(Demand!V22*Capacity!AP$3:AP$25*Capacity!$DH22/(TRANSPOSE(Dists!$B21:$X21)*MMULT(1/Dists!$B21:$X21,Capacity!$DH$3:$DH$25)))</f>
        <v>21.6277646399271</v>
      </c>
      <c r="W50" s="4" t="n">
        <f aca="false" t="array" ref="W50:W50">SUM(Demand!W22*Capacity!AQ$3:AQ$25*Capacity!$DH22/(TRANSPOSE(Dists!$B21:$X21)*MMULT(1/Dists!$B21:$X21,Capacity!$DH$3:$DH$25)))</f>
        <v>441.80399030882</v>
      </c>
      <c r="X50" s="4" t="n">
        <f aca="false" t="array" ref="X50:X50">SUM(Demand!X22*Capacity!AR$3:AR$25*Capacity!$DH22/(TRANSPOSE(Dists!$B21:$X21)*MMULT(1/Dists!$B21:$X21,Capacity!$DH$3:$DH$25)))</f>
        <v>1263.32129761417</v>
      </c>
      <c r="Y50" s="4" t="n">
        <f aca="false">$L22*600*6/(90*1000*2000)</f>
        <v>1.18680580349089</v>
      </c>
      <c r="Z50" s="4" t="n">
        <f aca="false" t="array" ref="Z50:Z50">SUM(Demand!Z22*Capacity!AT$3:AT$25*Capacity!$DI22/(TRANSPOSE(Dists!$B21:$X21)*MMULT(1/Dists!$B21:$X21,Capacity!$DI$3:$DI$25)))</f>
        <v>5.16970164200359</v>
      </c>
      <c r="AA50" s="4" t="n">
        <f aca="false" t="array" ref="AA50:AA50">SUM(Demand!AA22*Capacity!AU$3:AU$25*Capacity!$DI22/(TRANSPOSE(Dists!$B21:$X21)*MMULT(1/Dists!$B21:$X21,Capacity!$DI$3:$DI$25)))</f>
        <v>8.38583332925873</v>
      </c>
      <c r="AB50" s="4" t="n">
        <f aca="false" t="array" ref="AB50:AB50">SUM(Demand!AB22*Capacity!AV$3:AV$25*Capacity!$DI22/(TRANSPOSE(Dists!$B21:$X21)*MMULT(1/Dists!$B21:$X21,Capacity!$DI$3:$DI$25)))</f>
        <v>12.7676367617326</v>
      </c>
      <c r="AC50" s="4" t="n">
        <f aca="false" t="array" ref="AC50:AC50">SUM(Demand!AC22*Capacity!AW$3:AW$25*Capacity!$DI22/(TRANSPOSE(Dists!$B21:$X21)*MMULT(1/Dists!$B21:$X21,Capacity!$DI$3:$DI$25)))</f>
        <v>0.920632028730721</v>
      </c>
      <c r="AD50" s="4" t="n">
        <f aca="false" t="array" ref="AD50:AD50">SUM(Demand!AD22*Capacity!AX$3:AX$25*Capacity!$DI22/(TRANSPOSE(Dists!$B21:$X21)*MMULT(1/Dists!$B21:$X21,Capacity!$DI$3:$DI$25)))</f>
        <v>2.09019826619685</v>
      </c>
      <c r="AE50" s="4" t="n">
        <f aca="false" t="array" ref="AE50:AE50">SUM(Demand!AE22*Capacity!AY$3:AY$25*Capacity!$DI22/(TRANSPOSE(Dists!$B21:$X21)*MMULT(1/Dists!$B21:$X21,Capacity!$DI$3:$DI$25)))</f>
        <v>2.84748860792045</v>
      </c>
      <c r="AF50" s="4" t="n">
        <f aca="false" t="array" ref="AF50:AF50">SUM(Demand!AF22*Capacity!AZ$3:AZ$25*Capacity!$DI22/(TRANSPOSE(Dists!$B21:$X21)*MMULT(1/Dists!$B21:$X21,Capacity!$DI$3:$DI$25)))</f>
        <v>1.32107915592487</v>
      </c>
      <c r="AG50" s="4" t="n">
        <f aca="false" t="array" ref="AG50:AG50">SUM(Demand!AG22*Capacity!BA$3:BA$25*Capacity!$DI22/(TRANSPOSE(Dists!$B21:$X21)*MMULT(1/Dists!$B21:$X21,Capacity!$DI$3:$DI$25)))</f>
        <v>3.49502527036711</v>
      </c>
      <c r="AH50" s="4" t="n">
        <f aca="false" t="array" ref="AH50:AH50">SUM(Demand!AH22*Capacity!BB$3:BB$25*Capacity!$DI22/(TRANSPOSE(Dists!$B21:$X21)*MMULT(1/Dists!$B21:$X21,Capacity!$DI$3:$DI$25)))</f>
        <v>2.56586400962391</v>
      </c>
      <c r="AI50" s="4" t="n">
        <f aca="false" t="array" ref="AI50:AI50">SUM(Demand!AI22*Capacity!BC$3:BC$25*Capacity!$DI22/(TRANSPOSE(Dists!$B21:$X21)*MMULT(1/Dists!$B21:$X21,Capacity!$DI$3:$DI$25)))</f>
        <v>0.307865713723819</v>
      </c>
      <c r="AJ50" s="4" t="n">
        <f aca="false" t="array" ref="AJ50:AJ50">SUM(Demand!AJ22*Capacity!BD$3:BD$25*Capacity!$DI22/(TRANSPOSE(Dists!$B21:$X21)*MMULT(1/Dists!$B21:$X21,Capacity!$DI$3:$DI$25)))</f>
        <v>0.275399399999333</v>
      </c>
      <c r="AK50" s="4" t="n">
        <f aca="false" t="array" ref="AK50:AK50">SUM(Demand!AK22*Capacity!BE$3:BE$25*Capacity!$DI22/(TRANSPOSE(Dists!$B21:$X21)*MMULT(1/Dists!$B21:$X21,Capacity!$DI$3:$DI$25)))</f>
        <v>0.115847201766084</v>
      </c>
      <c r="AL50" s="4" t="n">
        <f aca="false" t="array" ref="AL50:AL50">SUM(Demand!AL22*Capacity!BF$3:BF$25*Capacity!$DI22/(TRANSPOSE(Dists!$B21:$X21)*MMULT(1/Dists!$B21:$X21,Capacity!$DI$3:$DI$25)))</f>
        <v>0.310756119153103</v>
      </c>
      <c r="AM50" s="4" t="n">
        <f aca="false" t="array" ref="AM50:AM50">SUM(Demand!AM22*Capacity!BG$3:BG$25*Capacity!$DI22/(TRANSPOSE(Dists!$B21:$X21)*MMULT(1/Dists!$B21:$X21,Capacity!$DI$3:$DI$25)))</f>
        <v>0.870163854273105</v>
      </c>
      <c r="AN50" s="4" t="n">
        <f aca="false" t="array" ref="AN50:AN50">SUM(Demand!AN22*Capacity!BH$3:BH$25*Capacity!$DI22/(TRANSPOSE(Dists!$B21:$X21)*MMULT(1/Dists!$B21:$X21,Capacity!$DI$3:$DI$25)))</f>
        <v>0.18722171345827</v>
      </c>
      <c r="AO50" s="4" t="n">
        <f aca="false" t="array" ref="AO50:AO50">SUM(Demand!AO22*Capacity!BI$3:BI$25*Capacity!$DI22/(TRANSPOSE(Dists!$B21:$X21)*MMULT(1/Dists!$B21:$X21,Capacity!$DI$3:$DI$25)))</f>
        <v>1.06656854073504</v>
      </c>
      <c r="AP50" s="4" t="n">
        <f aca="false" t="array" ref="AP50:AP50">SUM(Demand!AP22*Capacity!BJ$3:BJ$25*Capacity!$DI22/(TRANSPOSE(Dists!$B21:$X21)*MMULT(1/Dists!$B21:$X21,Capacity!$DI$3:$DI$25)))</f>
        <v>0.548798099983276</v>
      </c>
      <c r="AQ50" s="4" t="n">
        <f aca="false" t="array" ref="AQ50:AQ50">SUM(Demand!AQ22*Capacity!BK$3:BK$25*Capacity!$DI22/(TRANSPOSE(Dists!$B21:$X21)*MMULT(1/Dists!$B21:$X21,Capacity!$DI$3:$DI$25)))</f>
        <v>0.0973754778703839</v>
      </c>
      <c r="AR50" s="4" t="n">
        <f aca="false" t="array" ref="AR50:AR50">SUM(Demand!AR22*Capacity!BL$3:BL$25*Capacity!$DI22/(TRANSPOSE(Dists!$B21:$X21)*MMULT(1/Dists!$B21:$X21,Capacity!$DI$3:$DI$25)))</f>
        <v>0.220673452459049</v>
      </c>
      <c r="AS50" s="4" t="n">
        <f aca="false" t="array" ref="AS50:AS50">SUM(Demand!AS22*Capacity!BM$3:BM$25*Capacity!$DI22/(TRANSPOSE(Dists!$B21:$X21)*MMULT(1/Dists!$B21:$X21,Capacity!$DI$3:$DI$25)))</f>
        <v>0.531825107613737</v>
      </c>
      <c r="AT50" s="4" t="n">
        <f aca="false" t="array" ref="AT50:AT50">SUM(Demand!AT22*Capacity!BN$3:BN$25*Capacity!$DI22/(TRANSPOSE(Dists!$B21:$X21)*MMULT(1/Dists!$B21:$X21,Capacity!$DI$3:$DI$25)))</f>
        <v>3.7891154740967</v>
      </c>
      <c r="AU50" s="4" t="n">
        <f aca="false" t="array" ref="AU50:AU50">SUM(Demand!AU22*Capacity!BO$3:BO$25*Capacity!$DI22/(TRANSPOSE(Dists!$B21:$X21)*MMULT(1/Dists!$B21:$X21,Capacity!$DI$3:$DI$25)))</f>
        <v>1.04079057734037</v>
      </c>
      <c r="AV50" s="4" t="n">
        <f aca="false" t="array" ref="AV50:AV50">SUM(Demand!AV22*Capacity!BP$3:BP$25*Capacity!$DI22/(TRANSPOSE(Dists!$B21:$X21)*MMULT(1/Dists!$B21:$X21,Capacity!$DI$3:$DI$25)))</f>
        <v>0.193920778277134</v>
      </c>
      <c r="AW50" s="4" t="n">
        <f aca="false" t="array" ref="AW50:AW50">SUM(Demand!AW22*Capacity!BQ$3:BQ$25*Capacity!$DI22/(TRANSPOSE(Dists!$B21:$X21)*MMULT(1/Dists!$B21:$X21,Capacity!$DI$3:$DI$25)))</f>
        <v>0.540615120313171</v>
      </c>
      <c r="AX50" s="4" t="n">
        <f aca="false" t="array" ref="AX50:AX50">SUM(Demand!AX22*Capacity!BR$3:BR$25*Capacity!$DI22/(TRANSPOSE(Dists!$B21:$X21)*MMULT(1/Dists!$B21:$X21,Capacity!$DI$3:$DI$25)))</f>
        <v>0.301807187037147</v>
      </c>
      <c r="AY50" s="4" t="n">
        <f aca="false" t="array" ref="AY50:AY50">SUM(Demand!AY22*Capacity!BS$3:BS$25*Capacity!$DI22/(TRANSPOSE(Dists!$B21:$X21)*MMULT(1/Dists!$B21:$X21,Capacity!$DI$3:$DI$25)))</f>
        <v>0.0789730997974041</v>
      </c>
      <c r="AZ50" s="4" t="n">
        <f aca="false" t="array" ref="AZ50:AZ50">SUM(Demand!AZ22*Capacity!BT$3:BT$25*Capacity!$DI22/(TRANSPOSE(Dists!$B21:$X21)*MMULT(1/Dists!$B21:$X21,Capacity!$DI$3:$DI$25)))</f>
        <v>0.622774803370065</v>
      </c>
      <c r="BA50" s="4" t="n">
        <f aca="false">BA22</f>
        <v>0.0145441887682707</v>
      </c>
      <c r="BB50" s="4" t="n">
        <f aca="false" t="array" ref="BB50:BB50">SUM(Demand!BB22*Capacity!BV$3:BV$25*Capacity!$DI22/(TRANSPOSE(Dists!$B21:$X21)*MMULT(1/Dists!$B21:$X21,Capacity!$DI$3:$DI$25)))</f>
        <v>0.60863782546332</v>
      </c>
      <c r="BC50" s="4" t="n">
        <f aca="false" t="array" ref="BC50:BC50">SUM(Demand!BC22*Capacity!BW$3:BW$25*Capacity!$DI22/(TRANSPOSE(Dists!$B21:$X21)*MMULT(1/Dists!$B21:$X21,Capacity!$DI$3:$DI$25)))</f>
        <v>0.522585380882256</v>
      </c>
      <c r="BD50" s="4" t="n">
        <f aca="false" t="array" ref="BD50:BD50">SUM(Demand!BD22*Capacity!BX$3:BX$25*Capacity!$DI22/(TRANSPOSE(Dists!$B21:$X21)*MMULT(1/Dists!$B21:$X21,Capacity!$DI$3:$DI$25)))</f>
        <v>0.16398222228309</v>
      </c>
      <c r="BE50" s="4" t="n">
        <f aca="false" t="array" ref="BE50:BE50">SUM(Demand!BE22*Capacity!BY$3:BY$25*Capacity!$DI22/(TRANSPOSE(Dists!$B21:$X21)*MMULT(1/Dists!$B21:$X21,Capacity!$DI$3:$DI$25)))</f>
        <v>0.0368258949222553</v>
      </c>
      <c r="BF50" s="4" t="n">
        <f aca="false" t="array" ref="BF50:BF50">SUM(Demand!BF22*Capacity!BZ$3:BZ$25*Capacity!$DI22/(TRANSPOSE(Dists!$B21:$X21)*MMULT(1/Dists!$B21:$X21,Capacity!$DI$3:$DI$25)))</f>
        <v>3.34642822145295</v>
      </c>
      <c r="BG50" s="4" t="n">
        <f aca="false" t="array" ref="BG50:BG50">SUM(Demand!BG22*Capacity!CA$3:CA$25*Capacity!$DI22/(TRANSPOSE(Dists!$B21:$X21)*MMULT(1/Dists!$B21:$X21,Capacity!$DI$3:$DI$25)))</f>
        <v>5.54800372432457</v>
      </c>
      <c r="BH50" s="4" t="n">
        <f aca="false" t="array" ref="BH50:BH50">SUM(Demand!BH22*Capacity!CB$3:CB$25*Capacity!$DI22/(TRANSPOSE(Dists!$B21:$X21)*MMULT(1/Dists!$B21:$X21,Capacity!$DI$3:$DI$25)))</f>
        <v>0.00261291153531598</v>
      </c>
      <c r="BI50" s="4" t="n">
        <f aca="false" t="array" ref="BI50:BI50">SUM(Demand!BI22*Capacity!CC$3:CC$25*Capacity!$DI22/(TRANSPOSE(Dists!$B21:$X21)*MMULT(1/Dists!$B21:$X21,Capacity!$DI$3:$DI$25)))</f>
        <v>14.7946765981989</v>
      </c>
      <c r="BJ50" s="4" t="n">
        <f aca="false" t="array" ref="BJ50:BJ50">SUM(Demand!BJ22*Capacity!CD$3:CD$25*Capacity!$DI22/(TRANSPOSE(Dists!$B21:$X21)*MMULT(1/Dists!$B21:$X21,Capacity!$DI$3:$DI$25)))</f>
        <v>633.688853503183</v>
      </c>
      <c r="BK50" s="4" t="n">
        <f aca="false" t="array" ref="BK50:BK50">SUM(Demand!BK22*Capacity!CE$3:CE$25*Capacity!$DI22/(TRANSPOSE(Dists!$B21:$X21)*MMULT(1/Dists!$B21:$X21,Capacity!$DI$3:$DI$25)))</f>
        <v>7.39733829909943</v>
      </c>
      <c r="BL50" s="4" t="n">
        <f aca="false" t="array" ref="BL50:BL50">SUM(Demand!BL22*Capacity!CF$3:CF$25*Capacity!$DI22/(TRANSPOSE(Dists!$B21:$X21)*MMULT(1/Dists!$B21:$X21,Capacity!$DI$3:$DI$25)))</f>
        <v>1653.92228622531</v>
      </c>
      <c r="BM50" s="4" t="n">
        <f aca="false" t="array" ref="BM50:BM50">SUM(Demand!BM22*Capacity!CG$3:CG$25*Capacity!$DI22/(TRANSPOSE(Dists!$B21:$X21)*MMULT(1/Dists!$B21:$X21,Capacity!$DI$3:$DI$25)))</f>
        <v>104.35122648325</v>
      </c>
      <c r="BN50" s="4" t="n">
        <f aca="false">BN22</f>
        <v>361.955716550224</v>
      </c>
      <c r="BO50" s="4" t="n">
        <f aca="false" t="array" ref="BO50:BO50">SUM(Demand!BO22*Capacity!CI$3:CI$25*Capacity!$DI22/(TRANSPOSE(Dists!$B21:$X21)*MMULT(1/Dists!$B21:$X21,Capacity!$DI$3:$DI$25)))</f>
        <v>1.07215751861861</v>
      </c>
      <c r="BP50" s="4" t="n">
        <f aca="false" t="array" ref="BP50:BP50">SUM(Demand!BP22*Capacity!CJ$3:CJ$25*Capacity!$DI22/(TRANSPOSE(Dists!$B21:$X21)*MMULT(1/Dists!$B21:$X21,Capacity!$DI$3:$DI$25)))</f>
        <v>3.02840366676942</v>
      </c>
      <c r="BQ50" s="4" t="n">
        <f aca="false">BQ22</f>
        <v>235.271215757645</v>
      </c>
      <c r="BR50" s="4" t="n">
        <f aca="false" t="array" ref="BR50:BR50">SUM(Demand!BR22*Capacity!CL$3:CL$25*Capacity!$DI22/(TRANSPOSE(Dists!$B21:$X21)*MMULT(1/Dists!$B21:$X21,Capacity!$DI$3:$DI$25)))</f>
        <v>0.0357385900804264</v>
      </c>
      <c r="BS50" s="4" t="n">
        <f aca="false" t="array" ref="BS50:BS50">SUM(Demand!BS22*Capacity!CM$3:CM$25*Capacity!$DI22/(TRANSPOSE(Dists!$B21:$X21)*MMULT(1/Dists!$B21:$X21,Capacity!$DI$3:$DI$25)))</f>
        <v>0.00357385900804264</v>
      </c>
      <c r="BT50" s="4" t="n">
        <f aca="false">BT22</f>
        <v>0.832711480691443</v>
      </c>
      <c r="BU50" s="4" t="n">
        <f aca="false">BU22</f>
        <v>0.0832711480691443</v>
      </c>
      <c r="BV50" s="4" t="n">
        <f aca="false">BV22</f>
        <v>0.00832711480691443</v>
      </c>
      <c r="BW50" s="4" t="n">
        <f aca="false">BW22</f>
        <v>507.170814994494</v>
      </c>
      <c r="BX50" s="4" t="n">
        <f aca="false" t="array" ref="BX50:BX50">SUM(Demand!BX22*Capacity!CR$3:CR$25*Capacity!$DI22/(TRANSPOSE(Dists!$B21:$X21)*MMULT(1/Dists!$B21:$X21,Capacity!$DI$3:$DI$25)))</f>
        <v>2.1177867996946</v>
      </c>
      <c r="BY50" s="4" t="n">
        <f aca="false" t="array" ref="BY50:BY50">SUM(Demand!BY22*Capacity!CS$3:CS$25*Capacity!$DI22/(TRANSPOSE(Dists!$B21:$X21)*MMULT(1/Dists!$B21:$X21,Capacity!$DI$3:$DI$25)))</f>
        <v>15.6972202425549</v>
      </c>
      <c r="BZ50" s="4" t="n">
        <f aca="false" t="array" ref="BZ50:BZ50">SUM(Demand!BZ22*Capacity!CT$3:CT$25*Capacity!$DI22/(TRANSPOSE(Dists!$B21:$X21)*MMULT(1/Dists!$B21:$X21,Capacity!$DI$3:$DI$25)))</f>
        <v>1.0535950056027</v>
      </c>
      <c r="CA50" s="4" t="n">
        <f aca="false" t="array" ref="CA50:CA50">SUM(Demand!CA22*Capacity!CU$3:CU$25*Capacity!$DI22/(TRANSPOSE(Dists!$B21:$X21)*MMULT(1/Dists!$B21:$X21,Capacity!$DI$3:$DI$25)))</f>
        <v>0.0518571963522128</v>
      </c>
      <c r="CB50" s="4" t="n">
        <f aca="false" t="array" ref="CB50:CB50">SUM(Demand!CB22*Capacity!CV$3:CV$25*Capacity!$DI22/(TRANSPOSE(Dists!$B21:$X21)*MMULT(1/Dists!$B21:$X21,Capacity!$DI$3:$DI$25)))</f>
        <v>883.452443004233</v>
      </c>
      <c r="CC50" s="4" t="n">
        <f aca="false" t="array" ref="CC50:CC50">SUM(Demand!CC22*Capacity!CW$3:CW$25*Capacity!$DI22/(TRANSPOSE(Dists!$B21:$X21)*MMULT(1/Dists!$B21:$X21,Capacity!$DI$3:$DI$25)))</f>
        <v>1382.18058234262</v>
      </c>
      <c r="CD50" s="4" t="n">
        <f aca="false">SUM($BG50,$BI50,$BK50)*Capacity!CX22/SUM(Capacity!$AM22:$AN22,Capacity!$CX22)</f>
        <v>22.3438456589468</v>
      </c>
      <c r="CE50" s="4" t="n">
        <f aca="false" t="array" ref="CE50:CE50">SUM(Demand!CE22*Capacity!CY$3:CY$25*Capacity!$DI22/(TRANSPOSE(Dists!$B21:$X21)*MMULT(1/Dists!$B21:$X21,Capacity!$DI$3:$DI$25)))</f>
        <v>2.67966869623217</v>
      </c>
      <c r="CF50" s="4" t="n">
        <f aca="false" t="array" ref="CF50:CF50">SUM(Demand!CF22*Capacity!CZ$3:CZ$25*Capacity!$DI22/(TRANSPOSE(Dists!$B21:$X21)*MMULT(1/Dists!$B21:$X21,Capacity!$DI$3:$DI$25)))</f>
        <v>2179.44649926559</v>
      </c>
      <c r="CG50" s="4" t="n">
        <f aca="false" t="array" ref="CG50:CG50">SUM(Demand!CG22*Capacity!DA$3:DA$25*Capacity!$DI22/(TRANSPOSE(Dists!$B21:$X21)*MMULT(1/Dists!$B21:$X21,Capacity!$DI$3:$DI$25)))</f>
        <v>1.76486896938084</v>
      </c>
      <c r="CH50" s="4" t="n">
        <f aca="false" t="array" ref="CH50:CH50">SUM(Demand!CH22*Capacity!DB$3:DB$25*Capacity!$DI22/(TRANSPOSE(Dists!$B21:$X21)*MMULT(1/Dists!$B21:$X21,Capacity!$DI$3:$DI$25)))</f>
        <v>4.40310543355577</v>
      </c>
      <c r="CI50" s="4" t="n">
        <f aca="false" t="array" ref="CI50:CI50">SUM(Demand!CI22*Capacity!DC$3:DC$25*Capacity!$DI22/(TRANSPOSE(Dists!$B21:$X21)*MMULT(1/Dists!$B21:$X21,Capacity!$DI$3:$DI$25)))</f>
        <v>0.397128176870711</v>
      </c>
      <c r="CJ50" s="4" t="n">
        <f aca="false" t="array" ref="CJ50:CJ50">SUM(Demand!CJ22*Capacity!DD$3:DD$25*Capacity!$DI22/(TRANSPOSE(Dists!$B21:$X21)*MMULT(1/Dists!$B21:$X21,Capacity!$DI$3:$DI$25)))</f>
        <v>0.0170912042022242</v>
      </c>
      <c r="CK50" s="4" t="n">
        <f aca="false" t="array" ref="CK50:CK50">SUM(Demand!CK22*Capacity!DE$3:DE$25*Capacity!$DI22/(TRANSPOSE(Dists!$B21:$X21)*MMULT(1/Dists!$B21:$X21,Capacity!$DI$3:$DI$25)))</f>
        <v>13.2608832503941</v>
      </c>
      <c r="CL50" s="7" t="s">
        <v>320</v>
      </c>
    </row>
    <row r="51" customFormat="false" ht="12.8" hidden="false" customHeight="false" outlineLevel="0" collapsed="false">
      <c r="A51" s="4" t="s">
        <v>158</v>
      </c>
      <c r="B51" s="7" t="s">
        <v>39</v>
      </c>
      <c r="C51" s="4" t="n">
        <f aca="false" t="array" ref="C51:C51">SUM(Demand!C23*Capacity!S$3:S$25*Capacity!$DH23/(TRANSPOSE(Dists!$B22:$X22)*MMULT(1/Dists!$B22:$X22,Capacity!$DH$3:$DH$25)))</f>
        <v>0.0174005223498346</v>
      </c>
      <c r="D51" s="4" t="n">
        <f aca="false" t="array" ref="D51:D51">SUM(Demand!D23*Capacity!V$3:V$25*Capacity!$DH23/(TRANSPOSE(Dists!$B22:$X22)*MMULT(1/Dists!$B22:$X22,Capacity!$DH$3:$DH$25)))</f>
        <v>1577.24774136306</v>
      </c>
      <c r="E51" s="4" t="n">
        <f aca="false" t="array" ref="E51:E51">SUM(Demand!E23*Capacity!Y$3:Y$25*Capacity!$DH23/(TRANSPOSE(Dists!$B22:$X22)*MMULT(1/Dists!$B22:$X22,Capacity!$DH$3:$DH$25)))</f>
        <v>933.262081776342</v>
      </c>
      <c r="F51" s="4" t="n">
        <f aca="false">$E23*Capacity!$M23/(2*(1-Capacity!$H$28)*Capacity!$H23)</f>
        <v>479.403184078737</v>
      </c>
      <c r="G51" s="4" t="n">
        <f aca="false" t="array" ref="G51:G51">SUM(Demand!G23*Capacity!AA$3:AA$25*Capacity!$DH23/(TRANSPOSE(Dists!$B22:$X22)*MMULT(1/Dists!$B22:$X22,Capacity!$DH$3:$DH$25)))</f>
        <v>534.761455287814</v>
      </c>
      <c r="H51" s="4" t="n">
        <f aca="false" t="array" ref="H51:H51">SUM(Demand!H23*Capacity!AB$3:AB$25*Capacity!$DH23/(TRANSPOSE(Dists!$B22:$X22)*MMULT(1/Dists!$B22:$X22,Capacity!$DH$3:$DH$25)))</f>
        <v>4.98797250961848</v>
      </c>
      <c r="I51" s="4" t="n">
        <f aca="false" t="array" ref="I51:I51">SUM(Demand!I23*Capacity!AC$3:AC$25*Capacity!$DG23/(TRANSPOSE(Dists!$B22:$X22)*MMULT(1/Dists!$B22:$X22,Capacity!$DG$3:$DG$25)))</f>
        <v>0.26348929579982</v>
      </c>
      <c r="J51" s="4" t="n">
        <f aca="false" t="array" ref="J51:J51">SUM(Demand!J23*Capacity!AD$3:AD$25*Capacity!$DG23/(TRANSPOSE(Dists!$B22:$X22)*MMULT(1/Dists!$B22:$X22,Capacity!$DG$3:$DG$25)))</f>
        <v>2.26146666553635</v>
      </c>
      <c r="K51" s="4" t="n">
        <f aca="false">5479.45205479452*$R23</f>
        <v>793564.67376339</v>
      </c>
      <c r="L51" s="4" t="n">
        <f aca="false">17142.8571428571*$S23</f>
        <v>124835.520071137</v>
      </c>
      <c r="M51" s="4" t="n">
        <f aca="false">IF(50420.1680672269*$T23&gt;($K23/20),50420.1680672269*$T23-($K23/20),0)</f>
        <v>165530.840401373</v>
      </c>
      <c r="N51" s="4" t="n">
        <f aca="false" t="array" ref="N51:N51">SUM(Demand!N23*Capacity!AH$3:AH$25*Capacity!$DH23/(TRANSPOSE(Dists!$B22:$X22)*MMULT(1/Dists!$B22:$X22,Capacity!$DH$3:$DH$25)))</f>
        <v>1304.99448213563</v>
      </c>
      <c r="O51" s="4" t="n">
        <f aca="false">D51/0.8</f>
        <v>1971.55967670383</v>
      </c>
      <c r="P51" s="4" t="n">
        <f aca="false">O51/0.8</f>
        <v>2464.44959587978</v>
      </c>
      <c r="Q51" s="4" t="n">
        <f aca="false" t="array" ref="Q51:Q51">SUM(Demand!Q23*Capacity!AK$3:AK$25*Capacity!$DI23/(TRANSPOSE(Dists!$B22:$X22)*MMULT(1/Dists!$B22:$X22,Capacity!$DI$3:$DI$25)))</f>
        <v>14.3489065225422</v>
      </c>
      <c r="R51" s="4" t="n">
        <f aca="false" t="array" ref="R51:R51">SUM(Demand!R23*Capacity!AL$3:AL$25*Capacity!$DH23/(TRANSPOSE(Dists!$B22:$X22)*MMULT(1/Dists!$B22:$X22,Capacity!$DH$3:$DH$25)))</f>
        <v>111.174740865024</v>
      </c>
      <c r="S51" s="4" t="n">
        <f aca="false">SUM($BG51,$BI51,$BK51)*Capacity!AM23/SUM(Capacity!$AM23:$AN23,Capacity!$CX23)</f>
        <v>7.2820720041497</v>
      </c>
      <c r="T51" s="4" t="n">
        <f aca="false">SUM($BG51,$BI51,$BK51)*Capacity!AN23/SUM(Capacity!$AM23:$AN23,Capacity!$CX23)</f>
        <v>4.06997996944259</v>
      </c>
      <c r="U51" s="4" t="n">
        <f aca="false">$M23*120*2/(16*1000*2000)</f>
        <v>1.2414813030103</v>
      </c>
      <c r="V51" s="4" t="n">
        <f aca="false" t="array" ref="V51:V51">SUM(Demand!V23*Capacity!AP$3:AP$25*Capacity!$DH23/(TRANSPOSE(Dists!$B22:$X22)*MMULT(1/Dists!$B22:$X22,Capacity!$DH$3:$DH$25)))</f>
        <v>191.781635714454</v>
      </c>
      <c r="W51" s="4" t="n">
        <f aca="false" t="array" ref="W51:W51">SUM(Demand!W23*Capacity!AQ$3:AQ$25*Capacity!$DH23/(TRANSPOSE(Dists!$B22:$X22)*MMULT(1/Dists!$B22:$X22,Capacity!$DH$3:$DH$25)))</f>
        <v>1359.72676815927</v>
      </c>
      <c r="X51" s="4" t="n">
        <f aca="false" t="array" ref="X51:X51">SUM(Demand!X23*Capacity!AR$3:AR$25*Capacity!$DH23/(TRANSPOSE(Dists!$B22:$X22)*MMULT(1/Dists!$B22:$X22,Capacity!$DH$3:$DH$25)))</f>
        <v>704.617837952945</v>
      </c>
      <c r="Y51" s="4" t="n">
        <f aca="false">$L23*600*6/(90*1000*2000)</f>
        <v>2.49671040142275</v>
      </c>
      <c r="Z51" s="4" t="n">
        <f aca="false" t="array" ref="Z51:Z51">SUM(Demand!Z23*Capacity!AT$3:AT$25*Capacity!$DI23/(TRANSPOSE(Dists!$B22:$X22)*MMULT(1/Dists!$B22:$X22,Capacity!$DI$3:$DI$25)))</f>
        <v>78.6007802748908</v>
      </c>
      <c r="AA51" s="4" t="n">
        <f aca="false" t="array" ref="AA51:AA51">SUM(Demand!AA23*Capacity!AU$3:AU$25*Capacity!$DI23/(TRANSPOSE(Dists!$B22:$X22)*MMULT(1/Dists!$B22:$X22,Capacity!$DI$3:$DI$25)))</f>
        <v>63.2792290095775</v>
      </c>
      <c r="AB51" s="4" t="n">
        <f aca="false" t="array" ref="AB51:AB51">SUM(Demand!AB23*Capacity!AV$3:AV$25*Capacity!$DI23/(TRANSPOSE(Dists!$B22:$X22)*MMULT(1/Dists!$B22:$X22,Capacity!$DI$3:$DI$25)))</f>
        <v>65.3137592572628</v>
      </c>
      <c r="AC51" s="4" t="n">
        <f aca="false" t="array" ref="AC51:AC51">SUM(Demand!AC23*Capacity!AW$3:AW$25*Capacity!$DI23/(TRANSPOSE(Dists!$B22:$X22)*MMULT(1/Dists!$B22:$X22,Capacity!$DI$3:$DI$25)))</f>
        <v>12.1060485715534</v>
      </c>
      <c r="AD51" s="4" t="n">
        <f aca="false" t="array" ref="AD51:AD51">SUM(Demand!AD23*Capacity!AX$3:AX$25*Capacity!$DI23/(TRANSPOSE(Dists!$B22:$X22)*MMULT(1/Dists!$B22:$X22,Capacity!$DI$3:$DI$25)))</f>
        <v>10.6925587644775</v>
      </c>
      <c r="AE51" s="4" t="n">
        <f aca="false" t="array" ref="AE51:AE51">SUM(Demand!AE23*Capacity!AY$3:AY$25*Capacity!$DI23/(TRANSPOSE(Dists!$B22:$X22)*MMULT(1/Dists!$B22:$X22,Capacity!$DI$3:$DI$25)))</f>
        <v>13.1107671614047</v>
      </c>
      <c r="AF51" s="4" t="n">
        <f aca="false" t="array" ref="AF51:AF51">SUM(Demand!AF23*Capacity!AZ$3:AZ$25*Capacity!$DI23/(TRANSPOSE(Dists!$B22:$X22)*MMULT(1/Dists!$B22:$X22,Capacity!$DI$3:$DI$25)))</f>
        <v>1.61209742432474</v>
      </c>
      <c r="AG51" s="4" t="n">
        <f aca="false" t="array" ref="AG51:AG51">SUM(Demand!AG23*Capacity!BA$3:BA$25*Capacity!$DI23/(TRANSPOSE(Dists!$B22:$X22)*MMULT(1/Dists!$B22:$X22,Capacity!$DI$3:$DI$25)))</f>
        <v>11.730929956592</v>
      </c>
      <c r="AH51" s="4" t="n">
        <f aca="false" t="array" ref="AH51:AH51">SUM(Demand!AH23*Capacity!BB$3:BB$25*Capacity!$DI23/(TRANSPOSE(Dists!$B22:$X22)*MMULT(1/Dists!$B22:$X22,Capacity!$DI$3:$DI$25)))</f>
        <v>2.85585834252365</v>
      </c>
      <c r="AI51" s="4" t="n">
        <f aca="false" t="array" ref="AI51:AI51">SUM(Demand!AI23*Capacity!BC$3:BC$25*Capacity!$DI23/(TRANSPOSE(Dists!$B22:$X22)*MMULT(1/Dists!$B22:$X22,Capacity!$DI$3:$DI$25)))</f>
        <v>0.967106724279639</v>
      </c>
      <c r="AJ51" s="4" t="n">
        <f aca="false" t="array" ref="AJ51:AJ51">SUM(Demand!AJ23*Capacity!BD$3:BD$25*Capacity!$DI23/(TRANSPOSE(Dists!$B22:$X22)*MMULT(1/Dists!$B22:$X22,Capacity!$DI$3:$DI$25)))</f>
        <v>4.21743376469509</v>
      </c>
      <c r="AK51" s="4" t="n">
        <f aca="false" t="array" ref="AK51:AK51">SUM(Demand!AK23*Capacity!BE$3:BE$25*Capacity!$DI23/(TRANSPOSE(Dists!$B22:$X22)*MMULT(1/Dists!$B22:$X22,Capacity!$DI$3:$DI$25)))</f>
        <v>0.665816815168602</v>
      </c>
      <c r="AL51" s="4" t="n">
        <f aca="false" t="array" ref="AL51:AL51">SUM(Demand!AL23*Capacity!BF$3:BF$25*Capacity!$DI23/(TRANSPOSE(Dists!$B22:$X22)*MMULT(1/Dists!$B22:$X22,Capacity!$DI$3:$DI$25)))</f>
        <v>1.23214326675548</v>
      </c>
      <c r="AM51" s="4" t="n">
        <f aca="false" t="array" ref="AM51:AM51">SUM(Demand!AM23*Capacity!BG$3:BG$25*Capacity!$DI23/(TRANSPOSE(Dists!$B22:$X22)*MMULT(1/Dists!$B22:$X22,Capacity!$DI$3:$DI$25)))</f>
        <v>3.57858403230422</v>
      </c>
      <c r="AN51" s="4" t="n">
        <f aca="false" t="array" ref="AN51:AN51">SUM(Demand!AN23*Capacity!BH$3:BH$25*Capacity!$DI23/(TRANSPOSE(Dists!$B22:$X22)*MMULT(1/Dists!$B22:$X22,Capacity!$DI$3:$DI$25)))</f>
        <v>2.06777360641778</v>
      </c>
      <c r="AO51" s="4" t="n">
        <f aca="false" t="array" ref="AO51:AO51">SUM(Demand!AO23*Capacity!BI$3:BI$25*Capacity!$DI23/(TRANSPOSE(Dists!$B22:$X22)*MMULT(1/Dists!$B22:$X22,Capacity!$DI$3:$DI$25)))</f>
        <v>5.40990706520491</v>
      </c>
      <c r="AP51" s="4" t="n">
        <f aca="false" t="array" ref="AP51:AP51">SUM(Demand!AP23*Capacity!BJ$3:BJ$25*Capacity!$DI23/(TRANSPOSE(Dists!$B22:$X22)*MMULT(1/Dists!$B22:$X22,Capacity!$DI$3:$DI$25)))</f>
        <v>3.39689783401147</v>
      </c>
      <c r="AQ51" s="4" t="n">
        <f aca="false" t="array" ref="AQ51:AQ51">SUM(Demand!AQ23*Capacity!BK$3:BK$25*Capacity!$DI23/(TRANSPOSE(Dists!$B22:$X22)*MMULT(1/Dists!$B22:$X22,Capacity!$DI$3:$DI$25)))</f>
        <v>0.334572256919642</v>
      </c>
      <c r="AR51" s="4" t="n">
        <f aca="false" t="array" ref="AR51:AR51">SUM(Demand!AR23*Capacity!BL$3:BL$25*Capacity!$DI23/(TRANSPOSE(Dists!$B22:$X22)*MMULT(1/Dists!$B22:$X22,Capacity!$DI$3:$DI$25)))</f>
        <v>0.46502038495638</v>
      </c>
      <c r="AS51" s="4" t="n">
        <f aca="false" t="array" ref="AS51:AS51">SUM(Demand!AS23*Capacity!BM$3:BM$25*Capacity!$DI23/(TRANSPOSE(Dists!$B22:$X22)*MMULT(1/Dists!$B22:$X22,Capacity!$DI$3:$DI$25)))</f>
        <v>0.0898394974571195</v>
      </c>
      <c r="AT51" s="4" t="n">
        <f aca="false" t="array" ref="AT51:AT51">SUM(Demand!AT23*Capacity!BN$3:BN$25*Capacity!$DI23/(TRANSPOSE(Dists!$B22:$X22)*MMULT(1/Dists!$B22:$X22,Capacity!$DI$3:$DI$25)))</f>
        <v>3.96351821568896</v>
      </c>
      <c r="AU51" s="4" t="n">
        <f aca="false" t="array" ref="AU51:AU51">SUM(Demand!AU23*Capacity!BO$3:BO$25*Capacity!$DI23/(TRANSPOSE(Dists!$B22:$X22)*MMULT(1/Dists!$B22:$X22,Capacity!$DI$3:$DI$25)))</f>
        <v>2.74089239199907</v>
      </c>
      <c r="AV51" s="4" t="n">
        <f aca="false" t="array" ref="AV51:AV51">SUM(Demand!AV23*Capacity!BP$3:BP$25*Capacity!$DI23/(TRANSPOSE(Dists!$B22:$X22)*MMULT(1/Dists!$B22:$X22,Capacity!$DI$3:$DI$25)))</f>
        <v>0.25607671684645</v>
      </c>
      <c r="AW51" s="4" t="n">
        <f aca="false" t="array" ref="AW51:AW51">SUM(Demand!AW23*Capacity!BQ$3:BQ$25*Capacity!$DI23/(TRANSPOSE(Dists!$B22:$X22)*MMULT(1/Dists!$B22:$X22,Capacity!$DI$3:$DI$25)))</f>
        <v>6.83811552269423</v>
      </c>
      <c r="AX51" s="4" t="n">
        <f aca="false" t="array" ref="AX51:AX51">SUM(Demand!AX23*Capacity!BR$3:BR$25*Capacity!$DI23/(TRANSPOSE(Dists!$B22:$X22)*MMULT(1/Dists!$B22:$X22,Capacity!$DI$3:$DI$25)))</f>
        <v>0.720038542192419</v>
      </c>
      <c r="AY51" s="4" t="n">
        <f aca="false" t="array" ref="AY51:AY51">SUM(Demand!AY23*Capacity!BS$3:BS$25*Capacity!$DI23/(TRANSPOSE(Dists!$B22:$X22)*MMULT(1/Dists!$B22:$X22,Capacity!$DI$3:$DI$25)))</f>
        <v>0.748554327049031</v>
      </c>
      <c r="AZ51" s="4" t="n">
        <f aca="false" t="array" ref="AZ51:AZ51">SUM(Demand!AZ23*Capacity!BT$3:BT$25*Capacity!$DI23/(TRANSPOSE(Dists!$B22:$X22)*MMULT(1/Dists!$B22:$X22,Capacity!$DI$3:$DI$25)))</f>
        <v>5.39401777531538</v>
      </c>
      <c r="BA51" s="4" t="n">
        <f aca="false">BA23</f>
        <v>0.0305969411939062</v>
      </c>
      <c r="BB51" s="4" t="n">
        <f aca="false" t="array" ref="BB51:BB51">SUM(Demand!BB23*Capacity!BV$3:BV$25*Capacity!$DI23/(TRANSPOSE(Dists!$B22:$X22)*MMULT(1/Dists!$B22:$X22,Capacity!$DI$3:$DI$25)))</f>
        <v>0.316280611813982</v>
      </c>
      <c r="BC51" s="4" t="n">
        <f aca="false" t="array" ref="BC51:BC51">SUM(Demand!BC23*Capacity!BW$3:BW$25*Capacity!$DI23/(TRANSPOSE(Dists!$B22:$X22)*MMULT(1/Dists!$B22:$X22,Capacity!$DI$3:$DI$25)))</f>
        <v>0.310801547720809</v>
      </c>
      <c r="BD51" s="4" t="n">
        <f aca="false" t="array" ref="BD51:BD51">SUM(Demand!BD23*Capacity!BX$3:BX$25*Capacity!$DI23/(TRANSPOSE(Dists!$B22:$X22)*MMULT(1/Dists!$B22:$X22,Capacity!$DI$3:$DI$25)))</f>
        <v>0.255890841672556</v>
      </c>
      <c r="BE51" s="4" t="n">
        <f aca="false" t="array" ref="BE51:BE51">SUM(Demand!BE23*Capacity!BY$3:BY$25*Capacity!$DI23/(TRANSPOSE(Dists!$B22:$X22)*MMULT(1/Dists!$B22:$X22,Capacity!$DI$3:$DI$25)))</f>
        <v>0.157144635088686</v>
      </c>
      <c r="BF51" s="4" t="n">
        <f aca="false" t="array" ref="BF51:BF51">SUM(Demand!BF23*Capacity!BZ$3:BZ$25*Capacity!$DI23/(TRANSPOSE(Dists!$B22:$X22)*MMULT(1/Dists!$B22:$X22,Capacity!$DI$3:$DI$25)))</f>
        <v>1.33868409381497</v>
      </c>
      <c r="BG51" s="4" t="n">
        <f aca="false" t="array" ref="BG51:BG51">SUM(Demand!BG23*Capacity!CA$3:CA$25*Capacity!$DI23/(TRANSPOSE(Dists!$B22:$X22)*MMULT(1/Dists!$B22:$X22,Capacity!$DI$3:$DI$25)))</f>
        <v>20.2742023326456</v>
      </c>
      <c r="BH51" s="4" t="n">
        <f aca="false" t="array" ref="BH51:BH51">SUM(Demand!BH23*Capacity!CB$3:CB$25*Capacity!$DI23/(TRANSPOSE(Dists!$B22:$X22)*MMULT(1/Dists!$B22:$X22,Capacity!$DI$3:$DI$25)))</f>
        <v>40.5484046652912</v>
      </c>
      <c r="BI51" s="4" t="n">
        <f aca="false" t="array" ref="BI51:BI51">SUM(Demand!BI23*Capacity!CC$3:CC$25*Capacity!$DI23/(TRANSPOSE(Dists!$B22:$X22)*MMULT(1/Dists!$B22:$X22,Capacity!$DI$3:$DI$25)))</f>
        <v>54.0645395537216</v>
      </c>
      <c r="BJ51" s="4" t="n">
        <f aca="false" t="array" ref="BJ51:BJ51">SUM(Demand!BJ23*Capacity!CD$3:CD$25*Capacity!$DI23/(TRANSPOSE(Dists!$B22:$X22)*MMULT(1/Dists!$B22:$X22,Capacity!$DI$3:$DI$25)))</f>
        <v>2459.56038048829</v>
      </c>
      <c r="BK51" s="4" t="n">
        <f aca="false" t="array" ref="BK51:BK51">SUM(Demand!BK23*Capacity!CE$3:CE$25*Capacity!$DI23/(TRANSPOSE(Dists!$B22:$X22)*MMULT(1/Dists!$B22:$X22,Capacity!$DI$3:$DI$25)))</f>
        <v>27.0322697768608</v>
      </c>
      <c r="BL51" s="4" t="n">
        <f aca="false" t="array" ref="BL51:BL51">SUM(Demand!BL23*Capacity!CF$3:CF$25*Capacity!$DI23/(TRANSPOSE(Dists!$B22:$X22)*MMULT(1/Dists!$B22:$X22,Capacity!$DI$3:$DI$25)))</f>
        <v>1111.49757291799</v>
      </c>
      <c r="BM51" s="4" t="n">
        <f aca="false" t="array" ref="BM51:BM51">SUM(Demand!BM23*Capacity!CG$3:CG$25*Capacity!$DI23/(TRANSPOSE(Dists!$B22:$X22)*MMULT(1/Dists!$B22:$X22,Capacity!$DI$3:$DI$25)))</f>
        <v>192.824379093299</v>
      </c>
      <c r="BN51" s="4" t="n">
        <f aca="false">BN23</f>
        <v>0.000516015497040069</v>
      </c>
      <c r="BO51" s="4" t="n">
        <f aca="false" t="array" ref="BO51:BO51">SUM(Demand!BO23*Capacity!CI$3:CI$25*Capacity!$DI23/(TRANSPOSE(Dists!$B22:$X22)*MMULT(1/Dists!$B22:$X22,Capacity!$DI$3:$DI$25)))</f>
        <v>17.5851190049552</v>
      </c>
      <c r="BP51" s="4" t="n">
        <f aca="false" t="array" ref="BP51:BP51">SUM(Demand!BP23*Capacity!CJ$3:CJ$25*Capacity!$DI23/(TRANSPOSE(Dists!$B22:$X22)*MMULT(1/Dists!$B22:$X22,Capacity!$DI$3:$DI$25)))</f>
        <v>35.8284755270056</v>
      </c>
      <c r="BQ51" s="4" t="n">
        <f aca="false">BQ23</f>
        <v>0.000335410073076045</v>
      </c>
      <c r="BR51" s="4" t="n">
        <f aca="false" t="array" ref="BR51:BR51">SUM(Demand!BR23*Capacity!CL$3:CL$25*Capacity!$DI23/(TRANSPOSE(Dists!$B22:$X22)*MMULT(1/Dists!$B22:$X22,Capacity!$DI$3:$DI$25)))</f>
        <v>0.586170803907203</v>
      </c>
      <c r="BS51" s="4" t="n">
        <f aca="false" t="array" ref="BS51:BS51">SUM(Demand!BS23*Capacity!CM$3:CM$25*Capacity!$DI23/(TRANSPOSE(Dists!$B22:$X22)*MMULT(1/Dists!$B22:$X22,Capacity!$DI$3:$DI$25)))</f>
        <v>0.0586170803907203</v>
      </c>
      <c r="BT51" s="4" t="n">
        <f aca="false">BT23</f>
        <v>7.83754307870694</v>
      </c>
      <c r="BU51" s="4" t="n">
        <f aca="false">BU23</f>
        <v>0.783754307870693</v>
      </c>
      <c r="BV51" s="4" t="n">
        <f aca="false">BV23</f>
        <v>0.0783754307870694</v>
      </c>
      <c r="BW51" s="4" t="n">
        <f aca="false">BW23</f>
        <v>2594.46858733823</v>
      </c>
      <c r="BX51" s="4" t="n">
        <f aca="false" t="array" ref="BX51:BX51">SUM(Demand!BX23*Capacity!CR$3:CR$25*Capacity!$DI23/(TRANSPOSE(Dists!$B22:$X22)*MMULT(1/Dists!$B22:$X22,Capacity!$DI$3:$DI$25)))</f>
        <v>4.96659303055462</v>
      </c>
      <c r="BY51" s="4" t="n">
        <f aca="false" t="array" ref="BY51:BY51">SUM(Demand!BY23*Capacity!CS$3:CS$25*Capacity!$DI23/(TRANSPOSE(Dists!$B22:$X22)*MMULT(1/Dists!$B22:$X22,Capacity!$DI$3:$DI$25)))</f>
        <v>119.520179868754</v>
      </c>
      <c r="BZ51" s="4" t="n">
        <f aca="false" t="array" ref="BZ51:BZ51">SUM(Demand!BZ23*Capacity!CT$3:CT$25*Capacity!$DI23/(TRANSPOSE(Dists!$B22:$X22)*MMULT(1/Dists!$B22:$X22,Capacity!$DI$3:$DI$25)))</f>
        <v>1.26501742737663</v>
      </c>
      <c r="CA51" s="4" t="n">
        <f aca="false" t="array" ref="CA51:CA51">SUM(Demand!CA23*Capacity!CU$3:CU$25*Capacity!$DI23/(TRANSPOSE(Dists!$B22:$X22)*MMULT(1/Dists!$B22:$X22,Capacity!$DI$3:$DI$25)))</f>
        <v>0.121436270381244</v>
      </c>
      <c r="CB51" s="4" t="n">
        <f aca="false" t="array" ref="CB51:CB51">SUM(Demand!CB23*Capacity!CV$3:CV$25*Capacity!$DI23/(TRANSPOSE(Dists!$B22:$X22)*MMULT(1/Dists!$B22:$X22,Capacity!$DI$3:$DI$25)))</f>
        <v>435.783639035674</v>
      </c>
      <c r="CC51" s="4" t="n">
        <f aca="false" t="array" ref="CC51:CC51">SUM(Demand!CC23*Capacity!CW$3:CW$25*Capacity!$DI23/(TRANSPOSE(Dists!$B22:$X22)*MMULT(1/Dists!$B22:$X22,Capacity!$DI$3:$DI$25)))</f>
        <v>1909.50761085307</v>
      </c>
      <c r="CD51" s="4" t="n">
        <f aca="false">SUM($BG51,$BI51,$BK51)*Capacity!CX23/SUM(Capacity!$AM23:$AN23,Capacity!$CX23)</f>
        <v>90.0189596896357</v>
      </c>
      <c r="CE51" s="4" t="n">
        <f aca="false" t="array" ref="CE51:CE51">SUM(Demand!CE23*Capacity!CY$3:CY$25*Capacity!$DI23/(TRANSPOSE(Dists!$B22:$X22)*MMULT(1/Dists!$B22:$X22,Capacity!$DI$3:$DI$25)))</f>
        <v>1.10982844194948</v>
      </c>
      <c r="CF51" s="4" t="n">
        <f aca="false" t="array" ref="CF51:CF51">SUM(Demand!CF23*Capacity!CZ$3:CZ$25*Capacity!$DI23/(TRANSPOSE(Dists!$B22:$X22)*MMULT(1/Dists!$B22:$X22,Capacity!$DI$3:$DI$25)))</f>
        <v>1374.94267835239</v>
      </c>
      <c r="CG51" s="4" t="n">
        <f aca="false" t="array" ref="CG51:CG51">SUM(Demand!CG23*Capacity!DA$3:DA$25*Capacity!$DI23/(TRANSPOSE(Dists!$B22:$X22)*MMULT(1/Dists!$B22:$X22,Capacity!$DI$3:$DI$25)))</f>
        <v>2.57812292556677</v>
      </c>
      <c r="CH51" s="4" t="n">
        <f aca="false" t="array" ref="CH51:CH51">SUM(Demand!CH23*Capacity!DB$3:DB$25*Capacity!$DI23/(TRANSPOSE(Dists!$B22:$X22)*MMULT(1/Dists!$B22:$X22,Capacity!$DI$3:$DI$25)))</f>
        <v>1.59103742965615</v>
      </c>
      <c r="CI51" s="4" t="n">
        <f aca="false" t="array" ref="CI51:CI51">SUM(Demand!CI23*Capacity!DC$3:DC$25*Capacity!$DI23/(TRANSPOSE(Dists!$B22:$X22)*MMULT(1/Dists!$B22:$X22,Capacity!$DI$3:$DI$25)))</f>
        <v>0.502784812302131</v>
      </c>
      <c r="CJ51" s="4" t="n">
        <f aca="false" t="array" ref="CJ51:CJ51">SUM(Demand!CJ23*Capacity!DD$3:DD$25*Capacity!$DI23/(TRANSPOSE(Dists!$B22:$X22)*MMULT(1/Dists!$B22:$X22,Capacity!$DI$3:$DI$25)))</f>
        <v>0.226243700568895</v>
      </c>
      <c r="CK51" s="4" t="n">
        <f aca="false" t="array" ref="CK51:CK51">SUM(Demand!CK23*Capacity!DE$3:DE$25*Capacity!$DI23/(TRANSPOSE(Dists!$B22:$X22)*MMULT(1/Dists!$B22:$X22,Capacity!$DI$3:$DI$25)))</f>
        <v>0.825915197244789</v>
      </c>
      <c r="CL51" s="7" t="s">
        <v>320</v>
      </c>
    </row>
    <row r="52" customFormat="false" ht="12.8" hidden="false" customHeight="false" outlineLevel="0" collapsed="false">
      <c r="A52" s="4" t="s">
        <v>159</v>
      </c>
      <c r="B52" s="7" t="s">
        <v>39</v>
      </c>
      <c r="C52" s="4" t="n">
        <f aca="false" t="array" ref="C52:C52">SUM(Demand!C24*Capacity!S$3:S$25*Capacity!$DH24/(TRANSPOSE(Dists!$B23:$X23)*MMULT(1/Dists!$B23:$X23,Capacity!$DH$3:$DH$25)))</f>
        <v>0.00473220483583091</v>
      </c>
      <c r="D52" s="4" t="n">
        <f aca="false" t="array" ref="D52:D52">SUM(Demand!D24*Capacity!V$3:V$25*Capacity!$DH24/(TRANSPOSE(Dists!$B23:$X23)*MMULT(1/Dists!$B23:$X23,Capacity!$DH$3:$DH$25)))</f>
        <v>338.03491391932</v>
      </c>
      <c r="E52" s="4" t="n">
        <f aca="false" t="array" ref="E52:E52">SUM(Demand!E24*Capacity!Y$3:Y$25*Capacity!$DH24/(TRANSPOSE(Dists!$B23:$X23)*MMULT(1/Dists!$B23:$X23,Capacity!$DH$3:$DH$25)))</f>
        <v>108.397178740016</v>
      </c>
      <c r="F52" s="4" t="n">
        <f aca="false">$E24*Capacity!$M24/(2*(1-Capacity!$H$28)*Capacity!$H24)</f>
        <v>22.2214820009571</v>
      </c>
      <c r="G52" s="4" t="n">
        <f aca="false" t="array" ref="G52:G52">SUM(Demand!G24*Capacity!AA$3:AA$25*Capacity!$DH24/(TRANSPOSE(Dists!$B23:$X23)*MMULT(1/Dists!$B23:$X23,Capacity!$DH$3:$DH$25)))</f>
        <v>79.417996654939</v>
      </c>
      <c r="H52" s="4" t="n">
        <f aca="false" t="array" ref="H52:H52">SUM(Demand!H24*Capacity!AB$3:AB$25*Capacity!$DH24/(TRANSPOSE(Dists!$B23:$X23)*MMULT(1/Dists!$B23:$X23,Capacity!$DH$3:$DH$25)))</f>
        <v>0.181236145270257</v>
      </c>
      <c r="I52" s="4" t="n">
        <f aca="false" t="array" ref="I52:I52">SUM(Demand!I24*Capacity!AC$3:AC$25*Capacity!$DG24/(TRANSPOSE(Dists!$B23:$X23)*MMULT(1/Dists!$B23:$X23,Capacity!$DG$3:$DG$25)))</f>
        <v>0.987546755184484</v>
      </c>
      <c r="J52" s="4" t="n">
        <f aca="false" t="array" ref="J52:J52">SUM(Demand!J24*Capacity!AD$3:AD$25*Capacity!$DG24/(TRANSPOSE(Dists!$B23:$X23)*MMULT(1/Dists!$B23:$X23,Capacity!$DG$3:$DG$25)))</f>
        <v>1.10864576989752</v>
      </c>
      <c r="K52" s="4" t="n">
        <f aca="false">5479.45205479452*$R24</f>
        <v>272196.924099691</v>
      </c>
      <c r="L52" s="4" t="n">
        <f aca="false">17142.8571428571*$S24</f>
        <v>29912.4510192137</v>
      </c>
      <c r="M52" s="4" t="n">
        <f aca="false">IF(50420.1680672269*$T24&gt;($K24/20),50420.1680672269*$T24-($K24/20),0)</f>
        <v>35561.306155367</v>
      </c>
      <c r="N52" s="4" t="n">
        <f aca="false" t="array" ref="N52:N52">SUM(Demand!N24*Capacity!AH$3:AH$25*Capacity!$DH24/(TRANSPOSE(Dists!$B23:$X23)*MMULT(1/Dists!$B23:$X23,Capacity!$DH$3:$DH$25)))</f>
        <v>130.626025112688</v>
      </c>
      <c r="O52" s="4" t="n">
        <f aca="false">D52/0.8</f>
        <v>422.54364239915</v>
      </c>
      <c r="P52" s="4" t="n">
        <f aca="false">O52/0.8</f>
        <v>528.179552998938</v>
      </c>
      <c r="Q52" s="4" t="n">
        <f aca="false" t="array" ref="Q52:Q52">SUM(Demand!Q24*Capacity!AK$3:AK$25*Capacity!$DI24/(TRANSPOSE(Dists!$B23:$X23)*MMULT(1/Dists!$B23:$X23,Capacity!$DI$3:$DI$25)))</f>
        <v>9.62141808587021</v>
      </c>
      <c r="R52" s="4" t="n">
        <f aca="false" t="array" ref="R52:R52">SUM(Demand!R24*Capacity!AL$3:AL$25*Capacity!$DH24/(TRANSPOSE(Dists!$B23:$X23)*MMULT(1/Dists!$B23:$X23,Capacity!$DH$3:$DH$25)))</f>
        <v>77.6981662297956</v>
      </c>
      <c r="S52" s="4" t="n">
        <f aca="false">SUM($BG52,$BI52,$BK52)*Capacity!AM24/SUM(Capacity!$AM24:$AN24,Capacity!$CX24)</f>
        <v>1.7448929761208</v>
      </c>
      <c r="T52" s="4" t="n">
        <f aca="false">SUM($BG52,$BI52,$BK52)*Capacity!AN24/SUM(Capacity!$AM24:$AN24,Capacity!$CX24)</f>
        <v>0.975227855146972</v>
      </c>
      <c r="U52" s="4" t="n">
        <f aca="false">$M24*120*2/(16*1000*2000)</f>
        <v>0.266709796165252</v>
      </c>
      <c r="V52" s="4" t="n">
        <f aca="false" t="array" ref="V52:V52">SUM(Demand!V24*Capacity!AP$3:AP$25*Capacity!$DH24/(TRANSPOSE(Dists!$B23:$X23)*MMULT(1/Dists!$B23:$X23,Capacity!$DH$3:$DH$25)))</f>
        <v>146.506564492214</v>
      </c>
      <c r="W52" s="4" t="n">
        <f aca="false" t="array" ref="W52:W52">SUM(Demand!W24*Capacity!AQ$3:AQ$25*Capacity!$DH24/(TRANSPOSE(Dists!$B23:$X23)*MMULT(1/Dists!$B23:$X23,Capacity!$DH$3:$DH$25)))</f>
        <v>207.185820596523</v>
      </c>
      <c r="X52" s="4" t="n">
        <f aca="false" t="array" ref="X52:X52">SUM(Demand!X24*Capacity!AR$3:AR$25*Capacity!$DH24/(TRANSPOSE(Dists!$B23:$X23)*MMULT(1/Dists!$B23:$X23,Capacity!$DH$3:$DH$25)))</f>
        <v>323.654041769923</v>
      </c>
      <c r="Y52" s="4" t="n">
        <f aca="false">$L24*600*6/(90*1000*2000)</f>
        <v>0.598249020384274</v>
      </c>
      <c r="Z52" s="4" t="n">
        <f aca="false" t="array" ref="Z52:Z52">SUM(Demand!Z24*Capacity!AT$3:AT$25*Capacity!$DI24/(TRANSPOSE(Dists!$B23:$X23)*MMULT(1/Dists!$B23:$X23,Capacity!$DI$3:$DI$25)))</f>
        <v>5.73351955871224</v>
      </c>
      <c r="AA52" s="4" t="n">
        <f aca="false" t="array" ref="AA52:AA52">SUM(Demand!AA24*Capacity!AU$3:AU$25*Capacity!$DI24/(TRANSPOSE(Dists!$B23:$X23)*MMULT(1/Dists!$B23:$X23,Capacity!$DI$3:$DI$25)))</f>
        <v>5.45603018709747</v>
      </c>
      <c r="AB52" s="4" t="n">
        <f aca="false" t="array" ref="AB52:AB52">SUM(Demand!AB24*Capacity!AV$3:AV$25*Capacity!$DI24/(TRANSPOSE(Dists!$B23:$X23)*MMULT(1/Dists!$B23:$X23,Capacity!$DI$3:$DI$25)))</f>
        <v>7.58610831259358</v>
      </c>
      <c r="AC52" s="4" t="n">
        <f aca="false" t="array" ref="AC52:AC52">SUM(Demand!AC24*Capacity!AW$3:AW$25*Capacity!$DI24/(TRANSPOSE(Dists!$B23:$X23)*MMULT(1/Dists!$B23:$X23,Capacity!$DI$3:$DI$25)))</f>
        <v>0.958050370144387</v>
      </c>
      <c r="AD52" s="4" t="n">
        <f aca="false" t="array" ref="AD52:AD52">SUM(Demand!AD24*Capacity!AX$3:AX$25*Capacity!$DI24/(TRANSPOSE(Dists!$B23:$X23)*MMULT(1/Dists!$B23:$X23,Capacity!$DI$3:$DI$25)))</f>
        <v>1.24192681371465</v>
      </c>
      <c r="AE52" s="4" t="n">
        <f aca="false" t="array" ref="AE52:AE52">SUM(Demand!AE24*Capacity!AY$3:AY$25*Capacity!$DI24/(TRANSPOSE(Dists!$B23:$X23)*MMULT(1/Dists!$B23:$X23,Capacity!$DI$3:$DI$25)))</f>
        <v>0.529991055262141</v>
      </c>
      <c r="AF52" s="4" t="n">
        <f aca="false" t="array" ref="AF52:AF52">SUM(Demand!AF24*Capacity!AZ$3:AZ$25*Capacity!$DI24/(TRANSPOSE(Dists!$B23:$X23)*MMULT(1/Dists!$B23:$X23,Capacity!$DI$3:$DI$25)))</f>
        <v>0.790695794683915</v>
      </c>
      <c r="AG52" s="4" t="n">
        <f aca="false" t="array" ref="AG52:AG52">SUM(Demand!AG24*Capacity!BA$3:BA$25*Capacity!$DI24/(TRANSPOSE(Dists!$B23:$X23)*MMULT(1/Dists!$B23:$X23,Capacity!$DI$3:$DI$25)))</f>
        <v>5.16508647470989</v>
      </c>
      <c r="AH52" s="4" t="n">
        <f aca="false" t="array" ref="AH52:AH52">SUM(Demand!AH24*Capacity!BB$3:BB$25*Capacity!$DI24/(TRANSPOSE(Dists!$B23:$X23)*MMULT(1/Dists!$B23:$X23,Capacity!$DI$3:$DI$25)))</f>
        <v>3.57126809478132</v>
      </c>
      <c r="AI52" s="4" t="n">
        <f aca="false" t="array" ref="AI52:AI52">SUM(Demand!AI24*Capacity!BC$3:BC$25*Capacity!$DI24/(TRANSPOSE(Dists!$B23:$X23)*MMULT(1/Dists!$B23:$X23,Capacity!$DI$3:$DI$25)))</f>
        <v>0.037222510119221</v>
      </c>
      <c r="AJ52" s="4" t="n">
        <f aca="false" t="array" ref="AJ52:AJ52">SUM(Demand!AJ24*Capacity!BD$3:BD$25*Capacity!$DI24/(TRANSPOSE(Dists!$B23:$X23)*MMULT(1/Dists!$B23:$X23,Capacity!$DI$3:$DI$25)))</f>
        <v>0.61713447502961</v>
      </c>
      <c r="AK52" s="4" t="n">
        <f aca="false" t="array" ref="AK52:AK52">SUM(Demand!AK24*Capacity!BE$3:BE$25*Capacity!$DI24/(TRANSPOSE(Dists!$B23:$X23)*MMULT(1/Dists!$B23:$X23,Capacity!$DI$3:$DI$25)))</f>
        <v>0.148903336605597</v>
      </c>
      <c r="AL52" s="4" t="n">
        <f aca="false" t="array" ref="AL52:AL52">SUM(Demand!AL24*Capacity!BF$3:BF$25*Capacity!$DI24/(TRANSPOSE(Dists!$B23:$X23)*MMULT(1/Dists!$B23:$X23,Capacity!$DI$3:$DI$25)))</f>
        <v>0.16420295385499</v>
      </c>
      <c r="AM52" s="4" t="n">
        <f aca="false" t="array" ref="AM52:AM52">SUM(Demand!AM24*Capacity!BG$3:BG$25*Capacity!$DI24/(TRANSPOSE(Dists!$B23:$X23)*MMULT(1/Dists!$B23:$X23,Capacity!$DI$3:$DI$25)))</f>
        <v>0.0953960963709411</v>
      </c>
      <c r="AN52" s="4" t="n">
        <f aca="false" t="array" ref="AN52:AN52">SUM(Demand!AN24*Capacity!BH$3:BH$25*Capacity!$DI24/(TRANSPOSE(Dists!$B23:$X23)*MMULT(1/Dists!$B23:$X23,Capacity!$DI$3:$DI$25)))</f>
        <v>1.18065492434126</v>
      </c>
      <c r="AO52" s="4" t="n">
        <f aca="false" t="array" ref="AO52:AO52">SUM(Demand!AO24*Capacity!BI$3:BI$25*Capacity!$DI24/(TRANSPOSE(Dists!$B23:$X23)*MMULT(1/Dists!$B23:$X23,Capacity!$DI$3:$DI$25)))</f>
        <v>1.58824061419952</v>
      </c>
      <c r="AP52" s="4" t="n">
        <f aca="false" t="array" ref="AP52:AP52">SUM(Demand!AP24*Capacity!BJ$3:BJ$25*Capacity!$DI24/(TRANSPOSE(Dists!$B23:$X23)*MMULT(1/Dists!$B23:$X23,Capacity!$DI$3:$DI$25)))</f>
        <v>1.25149028966218</v>
      </c>
      <c r="AQ52" s="4" t="n">
        <f aca="false" t="array" ref="AQ52:AQ52">SUM(Demand!AQ24*Capacity!BK$3:BK$25*Capacity!$DI24/(TRANSPOSE(Dists!$B23:$X23)*MMULT(1/Dists!$B23:$X23,Capacity!$DI$3:$DI$25)))</f>
        <v>0.0957430105280323</v>
      </c>
      <c r="AR52" s="4" t="n">
        <f aca="false" t="array" ref="AR52:AR52">SUM(Demand!AR24*Capacity!BL$3:BL$25*Capacity!$DI24/(TRANSPOSE(Dists!$B23:$X23)*MMULT(1/Dists!$B23:$X23,Capacity!$DI$3:$DI$25)))</f>
        <v>0.0550667767403834</v>
      </c>
      <c r="AS52" s="4" t="n">
        <f aca="false" t="array" ref="AS52:AS52">SUM(Demand!AS24*Capacity!BM$3:BM$25*Capacity!$DI24/(TRANSPOSE(Dists!$B23:$X23)*MMULT(1/Dists!$B23:$X23,Capacity!$DI$3:$DI$25)))</f>
        <v>0.353562885013382</v>
      </c>
      <c r="AT52" s="4" t="n">
        <f aca="false" t="array" ref="AT52:AT52">SUM(Demand!AT24*Capacity!BN$3:BN$25*Capacity!$DI24/(TRANSPOSE(Dists!$B23:$X23)*MMULT(1/Dists!$B23:$X23,Capacity!$DI$3:$DI$25)))</f>
        <v>4.67793672697766</v>
      </c>
      <c r="AU52" s="4" t="n">
        <f aca="false" t="array" ref="AU52:AU52">SUM(Demand!AU24*Capacity!BO$3:BO$25*Capacity!$DI24/(TRANSPOSE(Dists!$B23:$X23)*MMULT(1/Dists!$B23:$X23,Capacity!$DI$3:$DI$25)))</f>
        <v>7.16817265030933</v>
      </c>
      <c r="AV52" s="4" t="n">
        <f aca="false" t="array" ref="AV52:AV52">SUM(Demand!AV24*Capacity!BP$3:BP$25*Capacity!$DI24/(TRANSPOSE(Dists!$B23:$X23)*MMULT(1/Dists!$B23:$X23,Capacity!$DI$3:$DI$25)))</f>
        <v>0.0369844667310451</v>
      </c>
      <c r="AW52" s="4" t="n">
        <f aca="false" t="array" ref="AW52:AW52">SUM(Demand!AW24*Capacity!BQ$3:BQ$25*Capacity!$DI24/(TRANSPOSE(Dists!$B23:$X23)*MMULT(1/Dists!$B23:$X23,Capacity!$DI$3:$DI$25)))</f>
        <v>0.566235364751128</v>
      </c>
      <c r="AX52" s="4" t="n">
        <f aca="false" t="array" ref="AX52:AX52">SUM(Demand!AX24*Capacity!BR$3:BR$25*Capacity!$DI24/(TRANSPOSE(Dists!$B23:$X23)*MMULT(1/Dists!$B23:$X23,Capacity!$DI$3:$DI$25)))</f>
        <v>0.40857505765537</v>
      </c>
      <c r="AY52" s="4" t="n">
        <f aca="false" t="array" ref="AY52:AY52">SUM(Demand!AY24*Capacity!BS$3:BS$25*Capacity!$DI24/(TRANSPOSE(Dists!$B23:$X23)*MMULT(1/Dists!$B23:$X23,Capacity!$DI$3:$DI$25)))</f>
        <v>0.0741656493552519</v>
      </c>
      <c r="AZ52" s="4" t="n">
        <f aca="false" t="array" ref="AZ52:AZ52">SUM(Demand!AZ24*Capacity!BT$3:BT$25*Capacity!$DI24/(TRANSPOSE(Dists!$B23:$X23)*MMULT(1/Dists!$B23:$X23,Capacity!$DI$3:$DI$25)))</f>
        <v>0.58091177679556</v>
      </c>
      <c r="BA52" s="4" t="n">
        <f aca="false">BA24</f>
        <v>0.00733148309294453</v>
      </c>
      <c r="BB52" s="4" t="n">
        <f aca="false" t="array" ref="BB52:BB52">SUM(Demand!BB24*Capacity!BV$3:BV$25*Capacity!$DI24/(TRANSPOSE(Dists!$B23:$X23)*MMULT(1/Dists!$B23:$X23,Capacity!$DI$3:$DI$25)))</f>
        <v>0.142876989634862</v>
      </c>
      <c r="BC52" s="4" t="n">
        <f aca="false" t="array" ref="BC52:BC52">SUM(Demand!BC24*Capacity!BW$3:BW$25*Capacity!$DI24/(TRANSPOSE(Dists!$B23:$X23)*MMULT(1/Dists!$B23:$X23,Capacity!$DI$3:$DI$25)))</f>
        <v>0.270652981366867</v>
      </c>
      <c r="BD52" s="4" t="n">
        <f aca="false" t="array" ref="BD52:BD52">SUM(Demand!BD24*Capacity!BX$3:BX$25*Capacity!$DI24/(TRANSPOSE(Dists!$B23:$X23)*MMULT(1/Dists!$B23:$X23,Capacity!$DI$3:$DI$25)))</f>
        <v>0.0594108390613606</v>
      </c>
      <c r="BE52" s="4" t="n">
        <f aca="false" t="array" ref="BE52:BE52">SUM(Demand!BE24*Capacity!BY$3:BY$25*Capacity!$DI24/(TRANSPOSE(Dists!$B23:$X23)*MMULT(1/Dists!$B23:$X23,Capacity!$DI$3:$DI$25)))</f>
        <v>0.145945389706123</v>
      </c>
      <c r="BF52" s="4" t="n">
        <f aca="false" t="array" ref="BF52:BF52">SUM(Demand!BF24*Capacity!BZ$3:BZ$25*Capacity!$DI24/(TRANSPOSE(Dists!$B23:$X23)*MMULT(1/Dists!$B23:$X23,Capacity!$DI$3:$DI$25)))</f>
        <v>0.668064109984675</v>
      </c>
      <c r="BG52" s="4" t="n">
        <f aca="false" t="array" ref="BG52:BG52">SUM(Demand!BG24*Capacity!CA$3:CA$25*Capacity!$DI24/(TRANSPOSE(Dists!$B23:$X23)*MMULT(1/Dists!$B23:$X23,Capacity!$DI$3:$DI$25)))</f>
        <v>2.35482227016024</v>
      </c>
      <c r="BH52" s="4" t="n">
        <f aca="false" t="array" ref="BH52:BH52">SUM(Demand!BH24*Capacity!CB$3:CB$25*Capacity!$DI24/(TRANSPOSE(Dists!$B23:$X23)*MMULT(1/Dists!$B23:$X23,Capacity!$DI$3:$DI$25)))</f>
        <v>4.70964454032048</v>
      </c>
      <c r="BI52" s="4" t="n">
        <f aca="false" t="array" ref="BI52:BI52">SUM(Demand!BI24*Capacity!CC$3:CC$25*Capacity!$DI24/(TRANSPOSE(Dists!$B23:$X23)*MMULT(1/Dists!$B23:$X23,Capacity!$DI$3:$DI$25)))</f>
        <v>6.27952605376064</v>
      </c>
      <c r="BJ52" s="4" t="n">
        <f aca="false" t="array" ref="BJ52:BJ52">SUM(Demand!BJ24*Capacity!CD$3:CD$25*Capacity!$DI24/(TRANSPOSE(Dists!$B23:$X23)*MMULT(1/Dists!$B23:$X23,Capacity!$DI$3:$DI$25)))</f>
        <v>606.429126968956</v>
      </c>
      <c r="BK52" s="4" t="n">
        <f aca="false" t="array" ref="BK52:BK52">SUM(Demand!BK24*Capacity!CE$3:CE$25*Capacity!$DI24/(TRANSPOSE(Dists!$B23:$X23)*MMULT(1/Dists!$B23:$X23,Capacity!$DI$3:$DI$25)))</f>
        <v>3.13976302688032</v>
      </c>
      <c r="BL52" s="4" t="n">
        <f aca="false" t="array" ref="BL52:BL52">SUM(Demand!BL24*Capacity!CF$3:CF$25*Capacity!$DI24/(TRANSPOSE(Dists!$B23:$X23)*MMULT(1/Dists!$B23:$X23,Capacity!$DI$3:$DI$25)))</f>
        <v>1056.92129689111</v>
      </c>
      <c r="BM52" s="4" t="n">
        <f aca="false" t="array" ref="BM52:BM52">SUM(Demand!BM24*Capacity!CG$3:CG$25*Capacity!$DI24/(TRANSPOSE(Dists!$B23:$X23)*MMULT(1/Dists!$B23:$X23,Capacity!$DI$3:$DI$25)))</f>
        <v>29.7041146034334</v>
      </c>
      <c r="BN52" s="4" t="n">
        <f aca="false">BN24</f>
        <v>3.75915732174716E-005</v>
      </c>
      <c r="BO52" s="4" t="n">
        <f aca="false" t="array" ref="BO52:BO52">SUM(Demand!BO24*Capacity!CI$3:CI$25*Capacity!$DI24/(TRANSPOSE(Dists!$B23:$X23)*MMULT(1/Dists!$B23:$X23,Capacity!$DI$3:$DI$25)))</f>
        <v>0.766153546106172</v>
      </c>
      <c r="BP52" s="4" t="n">
        <f aca="false" t="array" ref="BP52:BP52">SUM(Demand!BP24*Capacity!CJ$3:CJ$25*Capacity!$DI24/(TRANSPOSE(Dists!$B23:$X23)*MMULT(1/Dists!$B23:$X23,Capacity!$DI$3:$DI$25)))</f>
        <v>3.40779122778668</v>
      </c>
      <c r="BQ52" s="4" t="n">
        <f aca="false">BQ24</f>
        <v>2.44345225913566E-005</v>
      </c>
      <c r="BR52" s="4" t="n">
        <f aca="false" t="array" ref="BR52:BR52">SUM(Demand!BR24*Capacity!CL$3:CL$25*Capacity!$DI24/(TRANSPOSE(Dists!$B23:$X23)*MMULT(1/Dists!$B23:$X23,Capacity!$DI$3:$DI$25)))</f>
        <v>0.0255384611056076</v>
      </c>
      <c r="BS52" s="4" t="n">
        <f aca="false" t="array" ref="BS52:BS52">SUM(Demand!BS24*Capacity!CM$3:CM$25*Capacity!$DI24/(TRANSPOSE(Dists!$B23:$X23)*MMULT(1/Dists!$B23:$X23,Capacity!$DI$3:$DI$25)))</f>
        <v>0.00255384611056076</v>
      </c>
      <c r="BT52" s="4" t="n">
        <f aca="false">BT24</f>
        <v>0.372031862293047</v>
      </c>
      <c r="BU52" s="4" t="n">
        <f aca="false">BU24</f>
        <v>0.0372031862293047</v>
      </c>
      <c r="BV52" s="4" t="n">
        <f aca="false">BV24</f>
        <v>0.00372031862293047</v>
      </c>
      <c r="BW52" s="4" t="n">
        <f aca="false">BW24</f>
        <v>301.344156897245</v>
      </c>
      <c r="BX52" s="4" t="n">
        <f aca="false" t="array" ref="BX52:BX52">SUM(Demand!BX24*Capacity!CR$3:CR$25*Capacity!$DI24/(TRANSPOSE(Dists!$B23:$X23)*MMULT(1/Dists!$B23:$X23,Capacity!$DI$3:$DI$25)))</f>
        <v>5.70616648810039</v>
      </c>
      <c r="BY52" s="4" t="n">
        <f aca="false" t="array" ref="BY52:BY52">SUM(Demand!BY24*Capacity!CS$3:CS$25*Capacity!$DI24/(TRANSPOSE(Dists!$B23:$X23)*MMULT(1/Dists!$B23:$X23,Capacity!$DI$3:$DI$25)))</f>
        <v>163.926211928139</v>
      </c>
      <c r="BZ52" s="4" t="n">
        <f aca="false" t="array" ref="BZ52:BZ52">SUM(Demand!BZ24*Capacity!CT$3:CT$25*Capacity!$DI24/(TRANSPOSE(Dists!$B23:$X23)*MMULT(1/Dists!$B23:$X23,Capacity!$DI$3:$DI$25)))</f>
        <v>0.670934663491786</v>
      </c>
      <c r="CA52" s="4" t="n">
        <f aca="false" t="array" ref="CA52:CA52">SUM(Demand!CA24*Capacity!CU$3:CU$25*Capacity!$DI24/(TRANSPOSE(Dists!$B23:$X23)*MMULT(1/Dists!$B23:$X23,Capacity!$DI$3:$DI$25)))</f>
        <v>0.223789749868277</v>
      </c>
      <c r="CB52" s="4" t="n">
        <f aca="false" t="array" ref="CB52:CB52">SUM(Demand!CB24*Capacity!CV$3:CV$25*Capacity!$DI24/(TRANSPOSE(Dists!$B23:$X23)*MMULT(1/Dists!$B23:$X23,Capacity!$DI$3:$DI$25)))</f>
        <v>696.401673594824</v>
      </c>
      <c r="CC52" s="4" t="n">
        <f aca="false" t="array" ref="CC52:CC52">SUM(Demand!CC24*Capacity!CW$3:CW$25*Capacity!$DI24/(TRANSPOSE(Dists!$B23:$X23)*MMULT(1/Dists!$B23:$X23,Capacity!$DI$3:$DI$25)))</f>
        <v>2459.81461396744</v>
      </c>
      <c r="CD52" s="4" t="n">
        <f aca="false">SUM($BG52,$BI52,$BK52)*Capacity!CX24/SUM(Capacity!$AM24:$AN24,Capacity!$CX24)</f>
        <v>9.05399051953342</v>
      </c>
      <c r="CE52" s="4" t="n">
        <f aca="false" t="array" ref="CE52:CE52">SUM(Demand!CE24*Capacity!CY$3:CY$25*Capacity!$DI24/(TRANSPOSE(Dists!$B23:$X23)*MMULT(1/Dists!$B23:$X23,Capacity!$DI$3:$DI$25)))</f>
        <v>0.128666440406643</v>
      </c>
      <c r="CF52" s="4" t="n">
        <f aca="false" t="array" ref="CF52:CF52">SUM(Demand!CF24*Capacity!CZ$3:CZ$25*Capacity!$DI24/(TRANSPOSE(Dists!$B23:$X23)*MMULT(1/Dists!$B23:$X23,Capacity!$DI$3:$DI$25)))</f>
        <v>3404.27550227862</v>
      </c>
      <c r="CG52" s="4" t="n">
        <f aca="false" t="array" ref="CG52:CG52">SUM(Demand!CG24*Capacity!DA$3:DA$25*Capacity!$DI24/(TRANSPOSE(Dists!$B23:$X23)*MMULT(1/Dists!$B23:$X23,Capacity!$DI$3:$DI$25)))</f>
        <v>0.229575718290871</v>
      </c>
      <c r="CH52" s="4" t="n">
        <f aca="false" t="array" ref="CH52:CH52">SUM(Demand!CH24*Capacity!DB$3:DB$25*Capacity!$DI24/(TRANSPOSE(Dists!$B23:$X23)*MMULT(1/Dists!$B23:$X23,Capacity!$DI$3:$DI$25)))</f>
        <v>0.85627208559573</v>
      </c>
      <c r="CI52" s="4" t="n">
        <f aca="false" t="array" ref="CI52:CI52">SUM(Demand!CI24*Capacity!DC$3:DC$25*Capacity!$DI24/(TRANSPOSE(Dists!$B23:$X23)*MMULT(1/Dists!$B23:$X23,Capacity!$DI$3:$DI$25)))</f>
        <v>0.280432274050175</v>
      </c>
      <c r="CJ52" s="4" t="n">
        <f aca="false" t="array" ref="CJ52:CJ52">SUM(Demand!CJ24*Capacity!DD$3:DD$25*Capacity!$DI24/(TRANSPOSE(Dists!$B23:$X23)*MMULT(1/Dists!$B23:$X23,Capacity!$DI$3:$DI$25)))</f>
        <v>0.113528001848685</v>
      </c>
      <c r="CK52" s="4" t="n">
        <f aca="false" t="array" ref="CK52:CK52">SUM(Demand!CK24*Capacity!DE$3:DE$25*Capacity!$DI24/(TRANSPOSE(Dists!$B23:$X23)*MMULT(1/Dists!$B23:$X23,Capacity!$DI$3:$DI$25)))</f>
        <v>0.503314152725335</v>
      </c>
      <c r="CL52" s="7" t="s">
        <v>320</v>
      </c>
    </row>
    <row r="53" customFormat="false" ht="12.8" hidden="false" customHeight="false" outlineLevel="0" collapsed="false">
      <c r="A53" s="4" t="s">
        <v>160</v>
      </c>
      <c r="B53" s="7" t="s">
        <v>39</v>
      </c>
      <c r="C53" s="4" t="n">
        <f aca="false" t="array" ref="C53:C53">SUM(Demand!C25*Capacity!S$3:S$25*Capacity!$DH25/(TRANSPOSE(Dists!$B24:$X24)*MMULT(1/Dists!$B24:$X24,Capacity!$DH$3:$DH$25)))</f>
        <v>0.00736122149460868</v>
      </c>
      <c r="D53" s="4" t="n">
        <f aca="false" t="array" ref="D53:D53">SUM(Demand!D25*Capacity!V$3:V$25*Capacity!$DH25/(TRANSPOSE(Dists!$B24:$X24)*MMULT(1/Dists!$B24:$X24,Capacity!$DH$3:$DH$25)))</f>
        <v>506.318112916566</v>
      </c>
      <c r="E53" s="4" t="n">
        <f aca="false" t="array" ref="E53:E53">SUM(Demand!E25*Capacity!Y$3:Y$25*Capacity!$DH25/(TRANSPOSE(Dists!$B24:$X24)*MMULT(1/Dists!$B24:$X24,Capacity!$DH$3:$DH$25)))</f>
        <v>165.566838879589</v>
      </c>
      <c r="F53" s="4" t="n">
        <f aca="false">$E25*Capacity!$M25/(2*(1-Capacity!$H$28)*Capacity!$H25)</f>
        <v>47.2850487864784</v>
      </c>
      <c r="G53" s="4" t="n">
        <f aca="false" t="array" ref="G53:G53">SUM(Demand!G25*Capacity!AA$3:AA$25*Capacity!$DH25/(TRANSPOSE(Dists!$B24:$X24)*MMULT(1/Dists!$B24:$X24,Capacity!$DH$3:$DH$25)))</f>
        <v>148.902940299196</v>
      </c>
      <c r="H53" s="4" t="n">
        <f aca="false" t="array" ref="H53:H53">SUM(Demand!H25*Capacity!AB$3:AB$25*Capacity!$DH25/(TRANSPOSE(Dists!$B24:$X24)*MMULT(1/Dists!$B24:$X24,Capacity!$DH$3:$DH$25)))</f>
        <v>0.218259731606864</v>
      </c>
      <c r="I53" s="4" t="n">
        <f aca="false" t="array" ref="I53:I53">SUM(Demand!I25*Capacity!AC$3:AC$25*Capacity!$DG25/(TRANSPOSE(Dists!$B24:$X24)*MMULT(1/Dists!$B24:$X24,Capacity!$DG$3:$DG$25)))</f>
        <v>0.126712268225453</v>
      </c>
      <c r="J53" s="4" t="n">
        <f aca="false" t="array" ref="J53:J53">SUM(Demand!J25*Capacity!AD$3:AD$25*Capacity!$DG25/(TRANSPOSE(Dists!$B24:$X24)*MMULT(1/Dists!$B24:$X24,Capacity!$DG$3:$DG$25)))</f>
        <v>4.60921711092867</v>
      </c>
      <c r="K53" s="4" t="n">
        <f aca="false">5479.45205479452*$R25</f>
        <v>421301.685617209</v>
      </c>
      <c r="L53" s="4" t="n">
        <f aca="false">17142.8571428571*$S25</f>
        <v>45944.018003213</v>
      </c>
      <c r="M53" s="4" t="n">
        <f aca="false">IF(50420.1680672269*$T25&gt;($K25/20),50420.1680672269*$T25-($K25/20),0)</f>
        <v>54459.3288751065</v>
      </c>
      <c r="N53" s="4" t="n">
        <f aca="false" t="array" ref="N53:N53">SUM(Demand!N25*Capacity!AH$3:AH$25*Capacity!$DH25/(TRANSPOSE(Dists!$B24:$X24)*MMULT(1/Dists!$B24:$X24,Capacity!$DH$3:$DH$25)))</f>
        <v>226.097807866147</v>
      </c>
      <c r="O53" s="4" t="n">
        <f aca="false">D53/0.8</f>
        <v>632.897641145707</v>
      </c>
      <c r="P53" s="4" t="n">
        <f aca="false">O53/0.8</f>
        <v>791.122051432134</v>
      </c>
      <c r="Q53" s="4" t="n">
        <f aca="false" t="array" ref="Q53:Q53">SUM(Demand!Q25*Capacity!AK$3:AK$25*Capacity!$DI25/(TRANSPOSE(Dists!$B24:$X24)*MMULT(1/Dists!$B24:$X24,Capacity!$DI$3:$DI$25)))</f>
        <v>11.4312469023019</v>
      </c>
      <c r="R53" s="4" t="n">
        <f aca="false" t="array" ref="R53:R53">SUM(Demand!R25*Capacity!AL$3:AL$25*Capacity!$DH25/(TRANSPOSE(Dists!$B24:$X24)*MMULT(1/Dists!$B24:$X24,Capacity!$DH$3:$DH$25)))</f>
        <v>85.4734229521132</v>
      </c>
      <c r="S53" s="4" t="n">
        <f aca="false">SUM($BG53,$BI53,$BK53)*Capacity!AM25/SUM(Capacity!$AM25:$AN25,Capacity!$CX25)</f>
        <v>2.6800677168541</v>
      </c>
      <c r="T53" s="4" t="n">
        <f aca="false">SUM($BG53,$BI53,$BK53)*Capacity!AN25/SUM(Capacity!$AM25:$AN25,Capacity!$CX25)</f>
        <v>1.49790086092668</v>
      </c>
      <c r="U53" s="4" t="n">
        <f aca="false">$M25*120*2/(16*1000*2000)</f>
        <v>0.408444966563299</v>
      </c>
      <c r="V53" s="4" t="n">
        <f aca="false" t="array" ref="V53:V53">SUM(Demand!V25*Capacity!AP$3:AP$25*Capacity!$DH25/(TRANSPOSE(Dists!$B24:$X24)*MMULT(1/Dists!$B24:$X24,Capacity!$DH$3:$DH$25)))</f>
        <v>175.049254190106</v>
      </c>
      <c r="W53" s="4" t="n">
        <f aca="false" t="array" ref="W53:W53">SUM(Demand!W25*Capacity!AQ$3:AQ$25*Capacity!$DH25/(TRANSPOSE(Dists!$B24:$X24)*MMULT(1/Dists!$B24:$X24,Capacity!$DH$3:$DH$25)))</f>
        <v>509.628956550968</v>
      </c>
      <c r="X53" s="4" t="n">
        <f aca="false" t="array" ref="X53:X53">SUM(Demand!X25*Capacity!AR$3:AR$25*Capacity!$DH25/(TRANSPOSE(Dists!$B24:$X24)*MMULT(1/Dists!$B24:$X24,Capacity!$DH$3:$DH$25)))</f>
        <v>162.724485194259</v>
      </c>
      <c r="Y53" s="4" t="n">
        <f aca="false">$L25*600*6/(90*1000*2000)</f>
        <v>0.91888036006426</v>
      </c>
      <c r="Z53" s="4" t="n">
        <f aca="false" t="array" ref="Z53:Z53">SUM(Demand!Z25*Capacity!AT$3:AT$25*Capacity!$DI25/(TRANSPOSE(Dists!$B24:$X24)*MMULT(1/Dists!$B24:$X24,Capacity!$DI$3:$DI$25)))</f>
        <v>9.64854514505298</v>
      </c>
      <c r="AA53" s="4" t="n">
        <f aca="false" t="array" ref="AA53:AA53">SUM(Demand!AA25*Capacity!AU$3:AU$25*Capacity!$DI25/(TRANSPOSE(Dists!$B24:$X24)*MMULT(1/Dists!$B24:$X24,Capacity!$DI$3:$DI$25)))</f>
        <v>9.45123107187057</v>
      </c>
      <c r="AB53" s="4" t="n">
        <f aca="false" t="array" ref="AB53:AB53">SUM(Demand!AB25*Capacity!AV$3:AV$25*Capacity!$DI25/(TRANSPOSE(Dists!$B24:$X24)*MMULT(1/Dists!$B24:$X24,Capacity!$DI$3:$DI$25)))</f>
        <v>11.5870909862585</v>
      </c>
      <c r="AC53" s="4" t="n">
        <f aca="false" t="array" ref="AC53:AC53">SUM(Demand!AC25*Capacity!AW$3:AW$25*Capacity!$DI25/(TRANSPOSE(Dists!$B24:$X24)*MMULT(1/Dists!$B24:$X24,Capacity!$DI$3:$DI$25)))</f>
        <v>1.7157198982908</v>
      </c>
      <c r="AD53" s="4" t="n">
        <f aca="false" t="array" ref="AD53:AD53">SUM(Demand!AD25*Capacity!AX$3:AX$25*Capacity!$DI25/(TRANSPOSE(Dists!$B24:$X24)*MMULT(1/Dists!$B24:$X24,Capacity!$DI$3:$DI$25)))</f>
        <v>1.89693033579504</v>
      </c>
      <c r="AE53" s="4" t="n">
        <f aca="false" t="array" ref="AE53:AE53">SUM(Demand!AE25*Capacity!AY$3:AY$25*Capacity!$DI25/(TRANSPOSE(Dists!$B24:$X24)*MMULT(1/Dists!$B24:$X24,Capacity!$DI$3:$DI$25)))</f>
        <v>3.39946112535612</v>
      </c>
      <c r="AF53" s="4" t="n">
        <f aca="false" t="array" ref="AF53:AF53">SUM(Demand!AF25*Capacity!AZ$3:AZ$25*Capacity!$DI25/(TRANSPOSE(Dists!$B24:$X24)*MMULT(1/Dists!$B24:$X24,Capacity!$DI$3:$DI$25)))</f>
        <v>0.408523526158152</v>
      </c>
      <c r="AG53" s="4" t="n">
        <f aca="false" t="array" ref="AG53:AG53">SUM(Demand!AG25*Capacity!BA$3:BA$25*Capacity!$DI25/(TRANSPOSE(Dists!$B24:$X24)*MMULT(1/Dists!$B24:$X24,Capacity!$DI$3:$DI$25)))</f>
        <v>4.75149455740416</v>
      </c>
      <c r="AH53" s="4" t="n">
        <f aca="false" t="array" ref="AH53:AH53">SUM(Demand!AH25*Capacity!BB$3:BB$25*Capacity!$DI25/(TRANSPOSE(Dists!$B24:$X24)*MMULT(1/Dists!$B24:$X24,Capacity!$DI$3:$DI$25)))</f>
        <v>4.67109658415289</v>
      </c>
      <c r="AI53" s="4" t="n">
        <f aca="false" t="array" ref="AI53:AI53">SUM(Demand!AI25*Capacity!BC$3:BC$25*Capacity!$DI25/(TRANSPOSE(Dists!$B24:$X24)*MMULT(1/Dists!$B24:$X24,Capacity!$DI$3:$DI$25)))</f>
        <v>0.16849649164769</v>
      </c>
      <c r="AJ53" s="4" t="n">
        <f aca="false" t="array" ref="AJ53:AJ53">SUM(Demand!AJ25*Capacity!BD$3:BD$25*Capacity!$DI25/(TRANSPOSE(Dists!$B24:$X24)*MMULT(1/Dists!$B24:$X24,Capacity!$DI$3:$DI$25)))</f>
        <v>2.13745327589384</v>
      </c>
      <c r="AK53" s="4" t="n">
        <f aca="false" t="array" ref="AK53:AK53">SUM(Demand!AK25*Capacity!BE$3:BE$25*Capacity!$DI25/(TRANSPOSE(Dists!$B24:$X24)*MMULT(1/Dists!$B24:$X24,Capacity!$DI$3:$DI$25)))</f>
        <v>1.27082922234613</v>
      </c>
      <c r="AL53" s="4" t="n">
        <f aca="false" t="array" ref="AL53:AL53">SUM(Demand!AL25*Capacity!BF$3:BF$25*Capacity!$DI25/(TRANSPOSE(Dists!$B24:$X24)*MMULT(1/Dists!$B24:$X24,Capacity!$DI$3:$DI$25)))</f>
        <v>0.150825203196822</v>
      </c>
      <c r="AM53" s="4" t="n">
        <f aca="false" t="array" ref="AM53:AM53">SUM(Demand!AM25*Capacity!BG$3:BG$25*Capacity!$DI25/(TRANSPOSE(Dists!$B24:$X24)*MMULT(1/Dists!$B24:$X24,Capacity!$DI$3:$DI$25)))</f>
        <v>1.87580171241754</v>
      </c>
      <c r="AN53" s="4" t="n">
        <f aca="false" t="array" ref="AN53:AN53">SUM(Demand!AN25*Capacity!BH$3:BH$25*Capacity!$DI25/(TRANSPOSE(Dists!$B24:$X24)*MMULT(1/Dists!$B24:$X24,Capacity!$DI$3:$DI$25)))</f>
        <v>1.35077935214274</v>
      </c>
      <c r="AO53" s="4" t="n">
        <f aca="false" t="array" ref="AO53:AO53">SUM(Demand!AO25*Capacity!BI$3:BI$25*Capacity!$DI25/(TRANSPOSE(Dists!$B24:$X24)*MMULT(1/Dists!$B24:$X24,Capacity!$DI$3:$DI$25)))</f>
        <v>1.48981706417398</v>
      </c>
      <c r="AP53" s="4" t="n">
        <f aca="false" t="array" ref="AP53:AP53">SUM(Demand!AP25*Capacity!BJ$3:BJ$25*Capacity!$DI25/(TRANSPOSE(Dists!$B24:$X24)*MMULT(1/Dists!$B24:$X24,Capacity!$DI$3:$DI$25)))</f>
        <v>0.387128974994211</v>
      </c>
      <c r="AQ53" s="4" t="n">
        <f aca="false" t="array" ref="AQ53:AQ53">SUM(Demand!AQ25*Capacity!BK$3:BK$25*Capacity!$DI25/(TRANSPOSE(Dists!$B24:$X24)*MMULT(1/Dists!$B24:$X24,Capacity!$DI$3:$DI$25)))</f>
        <v>0.191864801928554</v>
      </c>
      <c r="AR53" s="4" t="n">
        <f aca="false" t="array" ref="AR53:AR53">SUM(Demand!AR25*Capacity!BL$3:BL$25*Capacity!$DI25/(TRANSPOSE(Dists!$B24:$X24)*MMULT(1/Dists!$B24:$X24,Capacity!$DI$3:$DI$25)))</f>
        <v>0.0271454044327973</v>
      </c>
      <c r="AS53" s="4" t="n">
        <f aca="false" t="array" ref="AS53:AS53">SUM(Demand!AS25*Capacity!BM$3:BM$25*Capacity!$DI25/(TRANSPOSE(Dists!$B24:$X24)*MMULT(1/Dists!$B24:$X24,Capacity!$DI$3:$DI$25)))</f>
        <v>0.439631686282122</v>
      </c>
      <c r="AT53" s="4" t="n">
        <f aca="false" t="array" ref="AT53:AT53">SUM(Demand!AT25*Capacity!BN$3:BN$25*Capacity!$DI25/(TRANSPOSE(Dists!$B24:$X24)*MMULT(1/Dists!$B24:$X24,Capacity!$DI$3:$DI$25)))</f>
        <v>6.4538587382039</v>
      </c>
      <c r="AU53" s="4" t="n">
        <f aca="false" t="array" ref="AU53:AU53">SUM(Demand!AU25*Capacity!BO$3:BO$25*Capacity!$DI25/(TRANSPOSE(Dists!$B24:$X24)*MMULT(1/Dists!$B24:$X24,Capacity!$DI$3:$DI$25)))</f>
        <v>3.70229184029666</v>
      </c>
      <c r="AV53" s="4" t="n">
        <f aca="false" t="array" ref="AV53:AV53">SUM(Demand!AV25*Capacity!BP$3:BP$25*Capacity!$DI25/(TRANSPOSE(Dists!$B24:$X24)*MMULT(1/Dists!$B24:$X24,Capacity!$DI$3:$DI$25)))</f>
        <v>0.345225364202089</v>
      </c>
      <c r="AW53" s="4" t="n">
        <f aca="false" t="array" ref="AW53:AW53">SUM(Demand!AW25*Capacity!BQ$3:BQ$25*Capacity!$DI25/(TRANSPOSE(Dists!$B24:$X24)*MMULT(1/Dists!$B24:$X24,Capacity!$DI$3:$DI$25)))</f>
        <v>0.983540599545997</v>
      </c>
      <c r="AX53" s="4" t="n">
        <f aca="false" t="array" ref="AX53:AX53">SUM(Demand!AX25*Capacity!BR$3:BR$25*Capacity!$DI25/(TRANSPOSE(Dists!$B24:$X24)*MMULT(1/Dists!$B24:$X24,Capacity!$DI$3:$DI$25)))</f>
        <v>0.413713716828341</v>
      </c>
      <c r="AY53" s="4" t="n">
        <f aca="false" t="array" ref="AY53:AY53">SUM(Demand!AY25*Capacity!BS$3:BS$25*Capacity!$DI25/(TRANSPOSE(Dists!$B24:$X24)*MMULT(1/Dists!$B24:$X24,Capacity!$DI$3:$DI$25)))</f>
        <v>0.139606563746819</v>
      </c>
      <c r="AZ53" s="4" t="n">
        <f aca="false" t="array" ref="AZ53:AZ53">SUM(Demand!AZ25*Capacity!BT$3:BT$25*Capacity!$DI25/(TRANSPOSE(Dists!$B24:$X24)*MMULT(1/Dists!$B24:$X24,Capacity!$DI$3:$DI$25)))</f>
        <v>0.940354979143541</v>
      </c>
      <c r="BA53" s="4" t="n">
        <f aca="false">BA25</f>
        <v>0.0112607887262777</v>
      </c>
      <c r="BB53" s="4" t="n">
        <f aca="false" t="array" ref="BB53:BB53">SUM(Demand!BB25*Capacity!BV$3:BV$25*Capacity!$DI25/(TRANSPOSE(Dists!$B24:$X24)*MMULT(1/Dists!$B24:$X24,Capacity!$DI$3:$DI$25)))</f>
        <v>0.663153536581219</v>
      </c>
      <c r="BC53" s="4" t="n">
        <f aca="false" t="array" ref="BC53:BC53">SUM(Demand!BC25*Capacity!BW$3:BW$25*Capacity!$DI25/(TRANSPOSE(Dists!$B24:$X24)*MMULT(1/Dists!$B24:$X24,Capacity!$DI$3:$DI$25)))</f>
        <v>0.284534457694665</v>
      </c>
      <c r="BD53" s="4" t="n">
        <f aca="false" t="array" ref="BD53:BD53">SUM(Demand!BD25*Capacity!BX$3:BX$25*Capacity!$DI25/(TRANSPOSE(Dists!$B24:$X24)*MMULT(1/Dists!$B24:$X24,Capacity!$DI$3:$DI$25)))</f>
        <v>0.0445896790080406</v>
      </c>
      <c r="BE53" s="4" t="n">
        <f aca="false" t="array" ref="BE53:BE53">SUM(Demand!BE25*Capacity!BY$3:BY$25*Capacity!$DI25/(TRANSPOSE(Dists!$B24:$X24)*MMULT(1/Dists!$B24:$X24,Capacity!$DI$3:$DI$25)))</f>
        <v>0.114610238327502</v>
      </c>
      <c r="BF53" s="4" t="n">
        <f aca="false" t="array" ref="BF53:BF53">SUM(Demand!BF25*Capacity!BZ$3:BZ$25*Capacity!$DI25/(TRANSPOSE(Dists!$B24:$X24)*MMULT(1/Dists!$B24:$X24,Capacity!$DI$3:$DI$25)))</f>
        <v>0</v>
      </c>
      <c r="BG53" s="4" t="n">
        <f aca="false" t="array" ref="BG53:BG53">SUM(Demand!BG25*Capacity!CA$3:CA$25*Capacity!$DI25/(TRANSPOSE(Dists!$B24:$X24)*MMULT(1/Dists!$B24:$X24,Capacity!$DI$3:$DI$25)))</f>
        <v>3.59677700033865</v>
      </c>
      <c r="BH53" s="4" t="n">
        <f aca="false" t="array" ref="BH53:BH53">SUM(Demand!BH25*Capacity!CB$3:CB$25*Capacity!$DI25/(TRANSPOSE(Dists!$B24:$X24)*MMULT(1/Dists!$B24:$X24,Capacity!$DI$3:$DI$25)))</f>
        <v>7.1935540006773</v>
      </c>
      <c r="BI53" s="4" t="n">
        <f aca="false" t="array" ref="BI53:BI53">SUM(Demand!BI25*Capacity!CC$3:CC$25*Capacity!$DI25/(TRANSPOSE(Dists!$B24:$X24)*MMULT(1/Dists!$B24:$X24,Capacity!$DI$3:$DI$25)))</f>
        <v>9.5914053342364</v>
      </c>
      <c r="BJ53" s="4" t="n">
        <f aca="false" t="array" ref="BJ53:BJ53">SUM(Demand!BJ25*Capacity!CD$3:CD$25*Capacity!$DI25/(TRANSPOSE(Dists!$B24:$X24)*MMULT(1/Dists!$B24:$X24,Capacity!$DI$3:$DI$25)))</f>
        <v>887.200337749064</v>
      </c>
      <c r="BK53" s="4" t="n">
        <f aca="false" t="array" ref="BK53:BK53">SUM(Demand!BK25*Capacity!CE$3:CE$25*Capacity!$DI25/(TRANSPOSE(Dists!$B24:$X24)*MMULT(1/Dists!$B24:$X24,Capacity!$DI$3:$DI$25)))</f>
        <v>4.7957026671182</v>
      </c>
      <c r="BL53" s="4" t="n">
        <f aca="false" t="array" ref="BL53:BL53">SUM(Demand!BL25*Capacity!CF$3:CF$25*Capacity!$DI25/(TRANSPOSE(Dists!$B24:$X24)*MMULT(1/Dists!$B24:$X24,Capacity!$DI$3:$DI$25)))</f>
        <v>952.779383465883</v>
      </c>
      <c r="BM53" s="4" t="n">
        <f aca="false" t="array" ref="BM53:BM53">SUM(Demand!BM25*Capacity!CG$3:CG$25*Capacity!$DI25/(TRANSPOSE(Dists!$B24:$X24)*MMULT(1/Dists!$B24:$X24,Capacity!$DI$3:$DI$25)))</f>
        <v>53.0993834452845</v>
      </c>
      <c r="BN53" s="4" t="n">
        <f aca="false">BN25</f>
        <v>8.75028245353936E-005</v>
      </c>
      <c r="BO53" s="4" t="n">
        <f aca="false" t="array" ref="BO53:BO53">SUM(Demand!BO25*Capacity!CI$3:CI$25*Capacity!$DI25/(TRANSPOSE(Dists!$B24:$X24)*MMULT(1/Dists!$B24:$X24,Capacity!$DI$3:$DI$25)))</f>
        <v>1.87220748998032</v>
      </c>
      <c r="BP53" s="4" t="n">
        <f aca="false" t="array" ref="BP53:BP53">SUM(Demand!BP25*Capacity!CJ$3:CJ$25*Capacity!$DI25/(TRANSPOSE(Dists!$B24:$X24)*MMULT(1/Dists!$B24:$X24,Capacity!$DI$3:$DI$25)))</f>
        <v>5.8145338722372</v>
      </c>
      <c r="BQ53" s="4" t="n">
        <f aca="false">BQ25</f>
        <v>5.68768359480059E-005</v>
      </c>
      <c r="BR53" s="4" t="n">
        <f aca="false" t="array" ref="BR53:BR53">SUM(Demand!BR25*Capacity!CL$3:CL$25*Capacity!$DI25/(TRANSPOSE(Dists!$B24:$X24)*MMULT(1/Dists!$B24:$X24,Capacity!$DI$3:$DI$25)))</f>
        <v>0.0624069395545235</v>
      </c>
      <c r="BS53" s="4" t="n">
        <f aca="false" t="array" ref="BS53:BS53">SUM(Demand!BS25*Capacity!CM$3:CM$25*Capacity!$DI25/(TRANSPOSE(Dists!$B24:$X24)*MMULT(1/Dists!$B24:$X24,Capacity!$DI$3:$DI$25)))</f>
        <v>0.00624069395545235</v>
      </c>
      <c r="BT53" s="4" t="n">
        <f aca="false">BT25</f>
        <v>0.879370452869086</v>
      </c>
      <c r="BU53" s="4" t="n">
        <f aca="false">BU25</f>
        <v>0.0879370452869087</v>
      </c>
      <c r="BV53" s="4" t="n">
        <f aca="false">BV25</f>
        <v>0.00879370452869087</v>
      </c>
      <c r="BW53" s="4" t="n">
        <f aca="false">BW25</f>
        <v>460.275812085257</v>
      </c>
      <c r="BX53" s="4" t="n">
        <f aca="false" t="array" ref="BX53:BX53">SUM(Demand!BX25*Capacity!CR$3:CR$25*Capacity!$DI25/(TRANSPOSE(Dists!$B24:$X24)*MMULT(1/Dists!$B24:$X24,Capacity!$DI$3:$DI$25)))</f>
        <v>6.6589888325406</v>
      </c>
      <c r="BY53" s="4" t="n">
        <f aca="false" t="array" ref="BY53:BY53">SUM(Demand!BY25*Capacity!CS$3:CS$25*Capacity!$DI25/(TRANSPOSE(Dists!$B24:$X24)*MMULT(1/Dists!$B24:$X24,Capacity!$DI$3:$DI$25)))</f>
        <v>76.7391908564619</v>
      </c>
      <c r="BZ53" s="4" t="n">
        <f aca="false" t="array" ref="BZ53:BZ53">SUM(Demand!BZ25*Capacity!CT$3:CT$25*Capacity!$DI25/(TRANSPOSE(Dists!$B24:$X24)*MMULT(1/Dists!$B24:$X24,Capacity!$DI$3:$DI$25)))</f>
        <v>1.05345651553706</v>
      </c>
      <c r="CA53" s="4" t="n">
        <f aca="false" t="array" ref="CA53:CA53">SUM(Demand!CA25*Capacity!CU$3:CU$25*Capacity!$DI25/(TRANSPOSE(Dists!$B24:$X24)*MMULT(1/Dists!$B24:$X24,Capacity!$DI$3:$DI$25)))</f>
        <v>0.0992446958224532</v>
      </c>
      <c r="CB53" s="4" t="n">
        <f aca="false" t="array" ref="CB53:CB53">SUM(Demand!CB25*Capacity!CV$3:CV$25*Capacity!$DI25/(TRANSPOSE(Dists!$B24:$X24)*MMULT(1/Dists!$B24:$X24,Capacity!$DI$3:$DI$25)))</f>
        <v>414.808544726342</v>
      </c>
      <c r="CC53" s="4" t="n">
        <f aca="false" t="array" ref="CC53:CC53">SUM(Demand!CC25*Capacity!CW$3:CW$25*Capacity!$DI25/(TRANSPOSE(Dists!$B24:$X24)*MMULT(1/Dists!$B24:$X24,Capacity!$DI$3:$DI$25)))</f>
        <v>1471.56629878187</v>
      </c>
      <c r="CD53" s="4" t="n">
        <f aca="false">SUM($BG53,$BI53,$BK53)*Capacity!CX25/SUM(Capacity!$AM25:$AN25,Capacity!$CX25)</f>
        <v>13.8059164239125</v>
      </c>
      <c r="CE53" s="4" t="n">
        <f aca="false" t="array" ref="CE53:CE53">SUM(Demand!CE25*Capacity!CY$3:CY$25*Capacity!$DI25/(TRANSPOSE(Dists!$B24:$X24)*MMULT(1/Dists!$B24:$X24,Capacity!$DI$3:$DI$25)))</f>
        <v>1.14417297516947</v>
      </c>
      <c r="CF53" s="4" t="n">
        <f aca="false" t="array" ref="CF53:CF53">SUM(Demand!CF25*Capacity!CZ$3:CZ$25*Capacity!$DI25/(TRANSPOSE(Dists!$B24:$X24)*MMULT(1/Dists!$B24:$X24,Capacity!$DI$3:$DI$25)))</f>
        <v>2392.61049271944</v>
      </c>
      <c r="CG53" s="4" t="n">
        <f aca="false" t="array" ref="CG53:CG53">SUM(Demand!CG25*Capacity!DA$3:DA$25*Capacity!$DI25/(TRANSPOSE(Dists!$B24:$X24)*MMULT(1/Dists!$B24:$X24,Capacity!$DI$3:$DI$25)))</f>
        <v>1.24242624702637</v>
      </c>
      <c r="CH53" s="4" t="n">
        <f aca="false" t="array" ref="CH53:CH53">SUM(Demand!CH25*Capacity!DB$3:DB$25*Capacity!$DI25/(TRANSPOSE(Dists!$B24:$X24)*MMULT(1/Dists!$B24:$X24,Capacity!$DI$3:$DI$25)))</f>
        <v>3.50885637718042</v>
      </c>
      <c r="CI53" s="4" t="n">
        <f aca="false" t="array" ref="CI53:CI53">SUM(Demand!CI25*Capacity!DC$3:DC$25*Capacity!$DI25/(TRANSPOSE(Dists!$B24:$X24)*MMULT(1/Dists!$B24:$X24,Capacity!$DI$3:$DI$25)))</f>
        <v>0.121392396283567</v>
      </c>
      <c r="CJ53" s="4" t="n">
        <f aca="false" t="array" ref="CJ53:CJ53">SUM(Demand!CJ25*Capacity!DD$3:DD$25*Capacity!$DI25/(TRANSPOSE(Dists!$B24:$X24)*MMULT(1/Dists!$B24:$X24,Capacity!$DI$3:$DI$25)))</f>
        <v>0.0326949637691479</v>
      </c>
      <c r="CK53" s="4" t="n">
        <f aca="false" t="array" ref="CK53:CK53">SUM(Demand!CK25*Capacity!DE$3:DE$25*Capacity!$DI25/(TRANSPOSE(Dists!$B24:$X24)*MMULT(1/Dists!$B24:$X24,Capacity!$DI$3:$DI$25)))</f>
        <v>3.17043750075051</v>
      </c>
      <c r="CL53" s="7" t="s">
        <v>320</v>
      </c>
    </row>
    <row r="54" customFormat="false" ht="12.8" hidden="false" customHeight="false" outlineLevel="0" collapsed="false">
      <c r="B54" s="7" t="s">
        <v>39</v>
      </c>
      <c r="CL54" s="7" t="s">
        <v>320</v>
      </c>
    </row>
    <row r="55" customFormat="false" ht="12.8" hidden="false" customHeight="false" outlineLevel="0" collapsed="false">
      <c r="A55" s="4" t="s">
        <v>322</v>
      </c>
      <c r="B55" s="7" t="s">
        <v>39</v>
      </c>
      <c r="C55" s="4" t="n">
        <f aca="false">SUM(C31:C53)</f>
        <v>0.27603077318147</v>
      </c>
      <c r="D55" s="4" t="n">
        <f aca="false">SUM(D31:D53)</f>
        <v>26518.9447152687</v>
      </c>
      <c r="E55" s="4" t="n">
        <f aca="false">SUM(E31:E53)</f>
        <v>14271.8999724116</v>
      </c>
      <c r="F55" s="4" t="n">
        <f aca="false">SUM(F31:F53)</f>
        <v>6728.58395981961</v>
      </c>
      <c r="G55" s="4" t="n">
        <f aca="false">SUM(G31:G53)</f>
        <v>13871.5297228166</v>
      </c>
      <c r="H55" s="4" t="n">
        <f aca="false">SUM(H31:H53)</f>
        <v>48.3056939489494</v>
      </c>
      <c r="I55" s="4" t="n">
        <f aca="false">SUM(I31:I53)</f>
        <v>53.0082992300398</v>
      </c>
      <c r="J55" s="4" t="n">
        <f aca="false">SUM(J31:J53)</f>
        <v>47.6095353072186</v>
      </c>
      <c r="K55" s="4" t="n">
        <f aca="false">SUM(K31:K53)</f>
        <v>13847825.2256962</v>
      </c>
      <c r="L55" s="4" t="n">
        <f aca="false">SUM(L31:L53)</f>
        <v>2326181.2979168</v>
      </c>
      <c r="M55" s="4" t="n">
        <f aca="false">SUM(M31:M53)</f>
        <v>3131468.40652363</v>
      </c>
      <c r="N55" s="4" t="n">
        <f aca="false">SUM(N31:N53)</f>
        <v>21203.8733018046</v>
      </c>
      <c r="O55" s="4" t="n">
        <f aca="false">SUM(O31:O53)</f>
        <v>33148.6808940859</v>
      </c>
      <c r="P55" s="4" t="n">
        <f aca="false">SUM(P31:P53)</f>
        <v>41435.8511176073</v>
      </c>
      <c r="Q55" s="4" t="n">
        <f aca="false">SUM(Q31:Q53)</f>
        <v>345.185052412054</v>
      </c>
      <c r="R55" s="4" t="n">
        <f aca="false">SUM(R31:R53)</f>
        <v>2553.04320174375</v>
      </c>
      <c r="S55" s="4" t="n">
        <f aca="false">SUM(S31:S53)</f>
        <v>135.693909045147</v>
      </c>
      <c r="T55" s="4" t="n">
        <f aca="false">SUM(T31:T53)</f>
        <v>75.8398834115342</v>
      </c>
      <c r="U55" s="4" t="n">
        <f aca="false">SUM(U31:U53)</f>
        <v>23.4860130489273</v>
      </c>
      <c r="V55" s="4" t="n">
        <f aca="false">SUM(V31:V53)</f>
        <v>4190.08328328139</v>
      </c>
      <c r="W55" s="4" t="n">
        <f aca="false">SUM(W31:W53)</f>
        <v>17888.1266091073</v>
      </c>
      <c r="X55" s="4" t="n">
        <f aca="false">SUM(X31:X53)</f>
        <v>18171.7400648157</v>
      </c>
      <c r="Y55" s="4" t="n">
        <f aca="false">SUM(Y31:Y53)</f>
        <v>46.523625958336</v>
      </c>
      <c r="Z55" s="4" t="n">
        <f aca="false">SUM(Z31:Z53)</f>
        <v>1081.41605417235</v>
      </c>
      <c r="AA55" s="4" t="n">
        <f aca="false">SUM(AA31:AA53)</f>
        <v>967.093400911323</v>
      </c>
      <c r="AB55" s="4" t="n">
        <f aca="false">SUM(AB31:AB53)</f>
        <v>998.809934683726</v>
      </c>
      <c r="AC55" s="4" t="n">
        <f aca="false">SUM(AC31:AC53)</f>
        <v>178.509727524063</v>
      </c>
      <c r="AD55" s="4" t="n">
        <f aca="false">SUM(AD31:AD53)</f>
        <v>163.515835600323</v>
      </c>
      <c r="AE55" s="4" t="n">
        <f aca="false">SUM(AE31:AE53)</f>
        <v>122.350183833467</v>
      </c>
      <c r="AF55" s="4" t="n">
        <f aca="false">SUM(AF31:AF53)</f>
        <v>23.0926021215344</v>
      </c>
      <c r="AG55" s="4" t="n">
        <f aca="false">SUM(AG31:AG53)</f>
        <v>110.755691228974</v>
      </c>
      <c r="AH55" s="4" t="n">
        <f aca="false">SUM(AH31:AH53)</f>
        <v>91.921350341478</v>
      </c>
      <c r="AI55" s="4" t="n">
        <f aca="false">SUM(AI31:AI53)</f>
        <v>13.3267756414451</v>
      </c>
      <c r="AJ55" s="4" t="n">
        <f aca="false">SUM(AJ31:AJ53)</f>
        <v>37.7863010001748</v>
      </c>
      <c r="AK55" s="4" t="n">
        <f aca="false">SUM(AK31:AK53)</f>
        <v>22.5447109441195</v>
      </c>
      <c r="AL55" s="4" t="n">
        <f aca="false">SUM(AL31:AL53)</f>
        <v>14.1670568730708</v>
      </c>
      <c r="AM55" s="4" t="n">
        <f aca="false">SUM(AM31:AM53)</f>
        <v>36.3302075186322</v>
      </c>
      <c r="AN55" s="4" t="n">
        <f aca="false">SUM(AN31:AN53)</f>
        <v>23.1800598980075</v>
      </c>
      <c r="AO55" s="4" t="n">
        <f aca="false">SUM(AO31:AO53)</f>
        <v>59.5251030996484</v>
      </c>
      <c r="AP55" s="4" t="n">
        <f aca="false">SUM(AP31:AP53)</f>
        <v>35.4233714528295</v>
      </c>
      <c r="AQ55" s="4" t="n">
        <f aca="false">SUM(AQ31:AQ53)</f>
        <v>3.54795237797334</v>
      </c>
      <c r="AR55" s="4" t="n">
        <f aca="false">SUM(AR31:AR53)</f>
        <v>5.38719467121776</v>
      </c>
      <c r="AS55" s="4" t="n">
        <f aca="false">SUM(AS31:AS53)</f>
        <v>10.7630384923813</v>
      </c>
      <c r="AT55" s="4" t="n">
        <f aca="false">SUM(AT31:AT53)</f>
        <v>120.540636116858</v>
      </c>
      <c r="AU55" s="4" t="n">
        <f aca="false">SUM(AU31:AU53)</f>
        <v>93.340527347518</v>
      </c>
      <c r="AV55" s="4" t="n">
        <f aca="false">SUM(AV31:AV53)</f>
        <v>4.56977006622664</v>
      </c>
      <c r="AW55" s="4" t="n">
        <f aca="false">SUM(AW31:AW53)</f>
        <v>97.4637239039291</v>
      </c>
      <c r="AX55" s="4" t="n">
        <f aca="false">SUM(AX31:AX53)</f>
        <v>9.10813992572096</v>
      </c>
      <c r="AY55" s="4" t="n">
        <f aca="false">SUM(AY31:AY53)</f>
        <v>12.4610704488821</v>
      </c>
      <c r="AZ55" s="4" t="n">
        <f aca="false">SUM(AZ31:AZ53)</f>
        <v>79.9914130741581</v>
      </c>
      <c r="BA55" s="4" t="n">
        <f aca="false">SUM(BA31:BA53)</f>
        <v>0.570142474979607</v>
      </c>
      <c r="BB55" s="4" t="n">
        <f aca="false">SUM(BB31:BB53)</f>
        <v>12.3583898245853</v>
      </c>
      <c r="BC55" s="4" t="n">
        <f aca="false">SUM(BC31:BC53)</f>
        <v>8.23186198100576</v>
      </c>
      <c r="BD55" s="4" t="n">
        <f aca="false">SUM(BD31:BD53)</f>
        <v>4.94549794743601</v>
      </c>
      <c r="BE55" s="4" t="n">
        <f aca="false">SUM(BE31:BE53)</f>
        <v>3.29919086891414</v>
      </c>
      <c r="BF55" s="4" t="n">
        <f aca="false">SUM(BF31:BF53)</f>
        <v>101.469331263009</v>
      </c>
      <c r="BG55" s="4" t="n">
        <f aca="false">SUM(BG31:BG53)</f>
        <v>340.026805136083</v>
      </c>
      <c r="BH55" s="4" t="n">
        <f aca="false">SUM(BH31:BH53)</f>
        <v>470.167065014777</v>
      </c>
      <c r="BI55" s="4" t="n">
        <f aca="false">SUM(BI31:BI53)</f>
        <v>906.738147029556</v>
      </c>
      <c r="BJ55" s="4" t="n">
        <f aca="false">SUM(BJ31:BJ53)</f>
        <v>25986.1972073849</v>
      </c>
      <c r="BK55" s="4" t="n">
        <f aca="false">SUM(BK31:BK53)</f>
        <v>453.369073514778</v>
      </c>
      <c r="BL55" s="4" t="n">
        <f aca="false">SUM(BL31:BL53)</f>
        <v>21557.6782334669</v>
      </c>
      <c r="BM55" s="4" t="n">
        <f aca="false">SUM(BM31:BM53)</f>
        <v>2335.73860934916</v>
      </c>
      <c r="BN55" s="4" t="n">
        <f aca="false">SUM(BN31:BN53)</f>
        <v>23768.9557913461</v>
      </c>
      <c r="BO55" s="4" t="n">
        <f aca="false">SUM(BO31:BO53)</f>
        <v>338.39844960375</v>
      </c>
      <c r="BP55" s="4" t="n">
        <f aca="false">SUM(BP31:BP53)</f>
        <v>521.311067728422</v>
      </c>
      <c r="BQ55" s="4" t="n">
        <f aca="false">SUM(BQ31:BQ53)</f>
        <v>15449.821264375</v>
      </c>
      <c r="BR55" s="4" t="n">
        <f aca="false">SUM(BR31:BR53)</f>
        <v>11.2799518235307</v>
      </c>
      <c r="BS55" s="4" t="n">
        <f aca="false">SUM(BS31:BS53)</f>
        <v>1.12799518235307</v>
      </c>
      <c r="BT55" s="4" t="n">
        <f aca="false">SUM(BT31:BT53)</f>
        <v>156.210288258313</v>
      </c>
      <c r="BU55" s="4" t="n">
        <f aca="false">SUM(BU31:BU53)</f>
        <v>15.6210288258313</v>
      </c>
      <c r="BV55" s="4" t="n">
        <f aca="false">SUM(BV31:BV53)</f>
        <v>1.56210288258313</v>
      </c>
      <c r="BW55" s="4" t="n">
        <f aca="false">SUM(BW31:BW53)</f>
        <v>39675.8819233043</v>
      </c>
      <c r="BX55" s="4" t="n">
        <f aca="false">SUM(BX31:BX53)</f>
        <v>158.023108006215</v>
      </c>
      <c r="BY55" s="4" t="n">
        <f aca="false">SUM(BY31:BY53)</f>
        <v>3938.31866198738</v>
      </c>
      <c r="BZ55" s="4" t="n">
        <f aca="false">SUM(BZ31:BZ53)</f>
        <v>18.1100943673105</v>
      </c>
      <c r="CA55" s="4" t="n">
        <f aca="false">SUM(CA31:CA53)</f>
        <v>3.93244974470539</v>
      </c>
      <c r="CB55" s="4" t="n">
        <f aca="false">SUM(CB31:CB53)</f>
        <v>19150.59679838</v>
      </c>
      <c r="CC55" s="4" t="n">
        <f aca="false">SUM(CC31:CC53)</f>
        <v>26657.9396103427</v>
      </c>
      <c r="CD55" s="4" t="n">
        <f aca="false">SUM(CD31:CD53)</f>
        <v>1488.60023322374</v>
      </c>
      <c r="CE55" s="4" t="n">
        <f aca="false">SUM(CE31:CE53)</f>
        <v>185.259102321296</v>
      </c>
      <c r="CF55" s="4" t="n">
        <f aca="false">SUM(CF31:CF53)</f>
        <v>32819.4708376213</v>
      </c>
      <c r="CG55" s="4" t="n">
        <f aca="false">SUM(CG31:CG53)</f>
        <v>55.8636551505325</v>
      </c>
      <c r="CH55" s="4" t="n">
        <f aca="false">SUM(CH31:CH53)</f>
        <v>52.8765757660105</v>
      </c>
      <c r="CI55" s="4" t="n">
        <f aca="false">SUM(CI31:CI53)</f>
        <v>6.04043523273572</v>
      </c>
      <c r="CJ55" s="4" t="n">
        <f aca="false">SUM(CJ31:CJ53)</f>
        <v>1.75497795568631</v>
      </c>
      <c r="CK55" s="4" t="n">
        <f aca="false">SUM(CK31:CK53)</f>
        <v>188.767660495771</v>
      </c>
      <c r="CL55" s="7" t="s">
        <v>320</v>
      </c>
    </row>
    <row r="56" customFormat="false" ht="12.8" hidden="false" customHeight="false" outlineLevel="0" collapsed="false">
      <c r="B56" s="7" t="s">
        <v>39</v>
      </c>
      <c r="CL56" s="7" t="s">
        <v>320</v>
      </c>
    </row>
    <row r="57" customFormat="false" ht="12.8" hidden="false" customHeight="false" outlineLevel="0" collapsed="false">
      <c r="B57" s="7" t="s">
        <v>39</v>
      </c>
      <c r="CL57" s="7" t="s">
        <v>320</v>
      </c>
    </row>
    <row r="58" customFormat="false" ht="12.8" hidden="false" customHeight="false" outlineLevel="0" collapsed="false">
      <c r="B58" s="7" t="s">
        <v>39</v>
      </c>
      <c r="CL58" s="7" t="s">
        <v>320</v>
      </c>
    </row>
    <row r="59" customFormat="false" ht="12.8" hidden="false" customHeight="false" outlineLevel="0" collapsed="false">
      <c r="B59" s="7" t="s">
        <v>39</v>
      </c>
      <c r="CL59" s="7" t="s">
        <v>320</v>
      </c>
    </row>
    <row r="60" customFormat="false" ht="12.8" hidden="false" customHeight="false" outlineLevel="0" collapsed="false">
      <c r="A60" s="7" t="s">
        <v>324</v>
      </c>
      <c r="B60" s="7" t="s">
        <v>39</v>
      </c>
      <c r="C60" s="19" t="n">
        <v>1</v>
      </c>
      <c r="D60" s="19" t="n">
        <v>2</v>
      </c>
      <c r="E60" s="19" t="n">
        <v>3</v>
      </c>
      <c r="F60" s="19" t="n">
        <v>4</v>
      </c>
      <c r="G60" s="19" t="n">
        <v>5</v>
      </c>
      <c r="H60" s="19" t="n">
        <v>6</v>
      </c>
      <c r="I60" s="19" t="n">
        <v>7</v>
      </c>
      <c r="J60" s="19" t="n">
        <v>8</v>
      </c>
      <c r="K60" s="19" t="n">
        <v>9</v>
      </c>
      <c r="L60" s="19" t="n">
        <v>10</v>
      </c>
      <c r="M60" s="19" t="n">
        <v>11</v>
      </c>
      <c r="N60" s="19" t="n">
        <v>12</v>
      </c>
      <c r="O60" s="19" t="n">
        <v>13</v>
      </c>
      <c r="P60" s="19" t="n">
        <v>14</v>
      </c>
      <c r="Q60" s="19" t="n">
        <v>15</v>
      </c>
      <c r="R60" s="19" t="n">
        <v>16</v>
      </c>
      <c r="S60" s="19" t="n">
        <v>17</v>
      </c>
      <c r="T60" s="19" t="n">
        <v>18</v>
      </c>
      <c r="U60" s="19" t="n">
        <v>19</v>
      </c>
      <c r="V60" s="19" t="n">
        <v>20</v>
      </c>
      <c r="W60" s="19" t="n">
        <v>21</v>
      </c>
      <c r="X60" s="19" t="n">
        <v>22</v>
      </c>
      <c r="Y60" s="19" t="n">
        <v>23</v>
      </c>
      <c r="Z60" s="19" t="n">
        <v>24</v>
      </c>
      <c r="AA60" s="19" t="n">
        <v>25</v>
      </c>
      <c r="AB60" s="19" t="n">
        <v>26</v>
      </c>
      <c r="AC60" s="19" t="n">
        <v>27</v>
      </c>
      <c r="AD60" s="19" t="n">
        <v>28</v>
      </c>
      <c r="AE60" s="19" t="n">
        <v>29</v>
      </c>
      <c r="AF60" s="19" t="n">
        <v>30</v>
      </c>
      <c r="AG60" s="19" t="n">
        <v>31</v>
      </c>
      <c r="AH60" s="19" t="n">
        <v>32</v>
      </c>
      <c r="AI60" s="19" t="n">
        <v>33</v>
      </c>
      <c r="AJ60" s="19" t="n">
        <v>34</v>
      </c>
      <c r="AK60" s="19" t="n">
        <v>35</v>
      </c>
      <c r="AL60" s="19" t="n">
        <v>36</v>
      </c>
      <c r="AM60" s="19" t="n">
        <v>37</v>
      </c>
      <c r="AN60" s="19" t="n">
        <v>38</v>
      </c>
      <c r="AO60" s="19" t="n">
        <v>39</v>
      </c>
      <c r="AP60" s="19" t="n">
        <v>40</v>
      </c>
      <c r="AQ60" s="19" t="n">
        <v>41</v>
      </c>
      <c r="AR60" s="19" t="n">
        <v>42</v>
      </c>
      <c r="AS60" s="19" t="n">
        <v>43</v>
      </c>
      <c r="AT60" s="19" t="n">
        <v>44</v>
      </c>
      <c r="AU60" s="19" t="n">
        <v>45</v>
      </c>
      <c r="AV60" s="19" t="n">
        <v>46</v>
      </c>
      <c r="AW60" s="19" t="n">
        <v>47</v>
      </c>
      <c r="AX60" s="19" t="n">
        <v>48</v>
      </c>
      <c r="AY60" s="19" t="n">
        <v>49</v>
      </c>
      <c r="AZ60" s="19" t="n">
        <v>50</v>
      </c>
      <c r="BA60" s="19" t="n">
        <v>51</v>
      </c>
      <c r="BB60" s="19" t="n">
        <v>52</v>
      </c>
      <c r="BC60" s="19" t="n">
        <v>53</v>
      </c>
      <c r="BD60" s="19" t="n">
        <v>54</v>
      </c>
      <c r="BE60" s="19" t="n">
        <v>55</v>
      </c>
      <c r="BF60" s="19" t="n">
        <v>56</v>
      </c>
      <c r="BG60" s="19" t="n">
        <v>57</v>
      </c>
      <c r="BH60" s="19" t="n">
        <v>58</v>
      </c>
      <c r="BI60" s="19" t="n">
        <v>59</v>
      </c>
      <c r="BJ60" s="19" t="n">
        <v>60</v>
      </c>
      <c r="BK60" s="19" t="n">
        <v>61</v>
      </c>
      <c r="BL60" s="19" t="n">
        <v>62</v>
      </c>
      <c r="BM60" s="19" t="n">
        <v>63</v>
      </c>
      <c r="BN60" s="19" t="n">
        <v>64</v>
      </c>
      <c r="BO60" s="19" t="n">
        <v>65</v>
      </c>
      <c r="BP60" s="19" t="n">
        <v>66</v>
      </c>
      <c r="BQ60" s="19" t="n">
        <v>67</v>
      </c>
      <c r="BR60" s="19" t="n">
        <v>68</v>
      </c>
      <c r="BS60" s="19" t="n">
        <v>69</v>
      </c>
      <c r="BT60" s="19" t="n">
        <v>70</v>
      </c>
      <c r="BU60" s="19" t="n">
        <v>71</v>
      </c>
      <c r="BV60" s="19" t="n">
        <v>72</v>
      </c>
      <c r="BW60" s="19" t="n">
        <v>73</v>
      </c>
      <c r="BX60" s="19" t="n">
        <v>74</v>
      </c>
      <c r="BY60" s="19" t="n">
        <v>75</v>
      </c>
      <c r="BZ60" s="19" t="n">
        <v>76</v>
      </c>
      <c r="CA60" s="19" t="n">
        <v>77</v>
      </c>
      <c r="CB60" s="19" t="n">
        <v>78</v>
      </c>
      <c r="CC60" s="19" t="n">
        <v>79</v>
      </c>
      <c r="CD60" s="19" t="n">
        <v>80</v>
      </c>
      <c r="CE60" s="19" t="n">
        <v>81</v>
      </c>
      <c r="CF60" s="19" t="n">
        <v>82</v>
      </c>
      <c r="CG60" s="19" t="n">
        <v>83</v>
      </c>
      <c r="CH60" s="19" t="n">
        <v>84</v>
      </c>
      <c r="CI60" s="19" t="n">
        <v>85</v>
      </c>
      <c r="CJ60" s="19" t="n">
        <v>86</v>
      </c>
      <c r="CK60" s="19" t="n">
        <v>87</v>
      </c>
      <c r="CL60" s="7" t="s">
        <v>320</v>
      </c>
    </row>
    <row r="61" customFormat="false" ht="12.8" hidden="false" customHeight="false" outlineLevel="0" collapsed="false">
      <c r="A61" s="4" t="s">
        <v>131</v>
      </c>
      <c r="B61" s="7" t="s">
        <v>39</v>
      </c>
      <c r="C61" s="4" t="n">
        <f aca="false">C3-C31</f>
        <v>-0.00148819487953708</v>
      </c>
      <c r="D61" s="4" t="n">
        <f aca="false">D3-D31</f>
        <v>-101.492305070271</v>
      </c>
      <c r="E61" s="4" t="n">
        <f aca="false">E3-E31</f>
        <v>-42.0231573951893</v>
      </c>
      <c r="F61" s="4" t="n">
        <f aca="false">F3-F31</f>
        <v>0</v>
      </c>
      <c r="G61" s="4" t="n">
        <f aca="false">G3-G31</f>
        <v>-0.372334110305912</v>
      </c>
      <c r="H61" s="4" t="n">
        <f aca="false">H3-H31</f>
        <v>-0.0490461121901282</v>
      </c>
      <c r="I61" s="4" t="n">
        <f aca="false">I3-I31</f>
        <v>1.51374662780476</v>
      </c>
      <c r="J61" s="4" t="n">
        <f aca="false">J3-J31</f>
        <v>-0.10341212176833</v>
      </c>
      <c r="K61" s="4" t="n">
        <f aca="false">K3-K31</f>
        <v>0</v>
      </c>
      <c r="L61" s="4" t="n">
        <f aca="false">L3-L31</f>
        <v>0</v>
      </c>
      <c r="M61" s="4" t="n">
        <f aca="false">M3-M31</f>
        <v>0</v>
      </c>
      <c r="N61" s="4" t="n">
        <f aca="false">N3-N31</f>
        <v>-31.6624843465565</v>
      </c>
      <c r="O61" s="4" t="n">
        <f aca="false">O3-O31</f>
        <v>0</v>
      </c>
      <c r="P61" s="4" t="n">
        <f aca="false">P3-P31</f>
        <v>0</v>
      </c>
      <c r="Q61" s="4" t="n">
        <f aca="false">Q3-Q31</f>
        <v>-0.125625347583945</v>
      </c>
      <c r="R61" s="4" t="n">
        <f aca="false">R3-R31</f>
        <v>-24.8547384744101</v>
      </c>
      <c r="S61" s="4" t="n">
        <f aca="false">S3-S31</f>
        <v>0</v>
      </c>
      <c r="T61" s="4" t="n">
        <f aca="false">T3-T31</f>
        <v>0</v>
      </c>
      <c r="U61" s="4" t="n">
        <f aca="false">U3-U31</f>
        <v>0</v>
      </c>
      <c r="V61" s="4" t="n">
        <f aca="false">V3-V31</f>
        <v>-23.8066552400327</v>
      </c>
      <c r="W61" s="4" t="n">
        <f aca="false">W3-W31</f>
        <v>-24.5448126826793</v>
      </c>
      <c r="X61" s="4" t="n">
        <f aca="false">X3-X31</f>
        <v>-1148.27801518002</v>
      </c>
      <c r="Y61" s="4" t="n">
        <f aca="false">Y3-Y31</f>
        <v>0</v>
      </c>
      <c r="Z61" s="4" t="n">
        <f aca="false">Z3-Z31</f>
        <v>4.54887899471597</v>
      </c>
      <c r="AA61" s="4" t="n">
        <f aca="false">AA3-AA31</f>
        <v>-0.445823451998836</v>
      </c>
      <c r="AB61" s="4" t="n">
        <f aca="false">AB3-AB31</f>
        <v>-3.27649038703948</v>
      </c>
      <c r="AC61" s="4" t="n">
        <f aca="false">AC3-AC31</f>
        <v>0.714649323971435</v>
      </c>
      <c r="AD61" s="4" t="n">
        <f aca="false">AD3-AD31</f>
        <v>-0.536396410236782</v>
      </c>
      <c r="AE61" s="4" t="n">
        <f aca="false">AE3-AE31</f>
        <v>-1.16175947447068</v>
      </c>
      <c r="AF61" s="4" t="n">
        <f aca="false">AF3-AF31</f>
        <v>-0.852991141628103</v>
      </c>
      <c r="AG61" s="4" t="n">
        <f aca="false">AG3-AG31</f>
        <v>-0.876787740522323</v>
      </c>
      <c r="AH61" s="4" t="n">
        <f aca="false">AH3-AH31</f>
        <v>-3.523017823183</v>
      </c>
      <c r="AI61" s="4" t="n">
        <f aca="false">AI3-AI31</f>
        <v>-0.565915240909723</v>
      </c>
      <c r="AJ61" s="4" t="n">
        <f aca="false">AJ3-AJ31</f>
        <v>-1.16693262069596</v>
      </c>
      <c r="AK61" s="4" t="n">
        <f aca="false">AK3-AK31</f>
        <v>-0.463825152780651</v>
      </c>
      <c r="AL61" s="4" t="n">
        <f aca="false">AL3-AL31</f>
        <v>-0.394004228831889</v>
      </c>
      <c r="AM61" s="4" t="n">
        <f aca="false">AM3-AM31</f>
        <v>-0.0319055423065585</v>
      </c>
      <c r="AN61" s="4" t="n">
        <f aca="false">AN3-AN31</f>
        <v>0.0466970659522653</v>
      </c>
      <c r="AO61" s="4" t="n">
        <f aca="false">AO3-AO31</f>
        <v>0.0863305331202156</v>
      </c>
      <c r="AP61" s="4" t="n">
        <f aca="false">AP3-AP31</f>
        <v>-0.902576804834416</v>
      </c>
      <c r="AQ61" s="4" t="n">
        <f aca="false">AQ3-AQ31</f>
        <v>-0.0131169123255786</v>
      </c>
      <c r="AR61" s="4" t="n">
        <f aca="false">AR3-AR31</f>
        <v>-0.0689721815218209</v>
      </c>
      <c r="AS61" s="4" t="n">
        <f aca="false">AS3-AS31</f>
        <v>0.0315975429158471</v>
      </c>
      <c r="AT61" s="4" t="n">
        <f aca="false">AT3-AT31</f>
        <v>-0.512454779180272</v>
      </c>
      <c r="AU61" s="4" t="n">
        <f aca="false">AU3-AU31</f>
        <v>-4.16322942429592</v>
      </c>
      <c r="AV61" s="4" t="n">
        <f aca="false">AV3-AV31</f>
        <v>-0.144882457838935</v>
      </c>
      <c r="AW61" s="4" t="n">
        <f aca="false">AW3-AW31</f>
        <v>0.332864752883543</v>
      </c>
      <c r="AX61" s="4" t="n">
        <f aca="false">AX3-AX31</f>
        <v>-0.389414093766174</v>
      </c>
      <c r="AY61" s="4" t="n">
        <f aca="false">AY3-AY31</f>
        <v>-0.0161201731508964</v>
      </c>
      <c r="AZ61" s="4" t="n">
        <f aca="false">AZ3-AZ31</f>
        <v>-0.217111225203938</v>
      </c>
      <c r="BA61" s="4" t="n">
        <f aca="false">BA3-BA31</f>
        <v>0</v>
      </c>
      <c r="BB61" s="4" t="n">
        <f aca="false">BB3-BB31</f>
        <v>-0.314940559264174</v>
      </c>
      <c r="BC61" s="4" t="n">
        <f aca="false">BC3-BC31</f>
        <v>-0.287841216572099</v>
      </c>
      <c r="BD61" s="4" t="n">
        <f aca="false">BD3-BD31</f>
        <v>-0.174469714784996</v>
      </c>
      <c r="BE61" s="4" t="n">
        <f aca="false">BE3-BE31</f>
        <v>-0.0261501865377943</v>
      </c>
      <c r="BF61" s="4" t="n">
        <f aca="false">BF3-BF31</f>
        <v>-0.26560316808699</v>
      </c>
      <c r="BG61" s="4" t="n">
        <f aca="false">BG3-BG31</f>
        <v>0.536573755862682</v>
      </c>
      <c r="BH61" s="4" t="n">
        <f aca="false">BH3-BH31</f>
        <v>0.541296182892991</v>
      </c>
      <c r="BI61" s="4" t="n">
        <f aca="false">BI3-BI31</f>
        <v>-5.19418728835334</v>
      </c>
      <c r="BJ61" s="4" t="n">
        <f aca="false">BJ3-BJ31</f>
        <v>-835.349177976309</v>
      </c>
      <c r="BK61" s="4" t="n">
        <f aca="false">BK3-BK31</f>
        <v>-2.59709364417667</v>
      </c>
      <c r="BL61" s="4" t="n">
        <f aca="false">BL3-BL31</f>
        <v>-963.833498638222</v>
      </c>
      <c r="BM61" s="4" t="n">
        <f aca="false">BM3-BM31</f>
        <v>-18.8201542879067</v>
      </c>
      <c r="BN61" s="4" t="n">
        <f aca="false">BN3-BN31</f>
        <v>0</v>
      </c>
      <c r="BO61" s="4" t="n">
        <f aca="false">BO3-BO31</f>
        <v>-1.07377307888567</v>
      </c>
      <c r="BP61" s="4" t="n">
        <f aca="false">BP3-BP31</f>
        <v>-3.50812529109479</v>
      </c>
      <c r="BQ61" s="4" t="n">
        <f aca="false">BQ3-BQ31</f>
        <v>0</v>
      </c>
      <c r="BR61" s="4" t="n">
        <f aca="false">BR3-BR31</f>
        <v>-0.0357924277251901</v>
      </c>
      <c r="BS61" s="4" t="n">
        <f aca="false">BS3-BS31</f>
        <v>-0.00357923890786346</v>
      </c>
      <c r="BT61" s="4" t="n">
        <f aca="false">BT3-BT31</f>
        <v>0</v>
      </c>
      <c r="BU61" s="4" t="n">
        <f aca="false">BU3-BU31</f>
        <v>0</v>
      </c>
      <c r="BV61" s="4" t="n">
        <f aca="false">BV3-BV31</f>
        <v>0</v>
      </c>
      <c r="BW61" s="4" t="n">
        <f aca="false">BW3-BW31</f>
        <v>0</v>
      </c>
      <c r="BX61" s="4" t="n">
        <f aca="false">BX3-BX31</f>
        <v>-2.30528547546791</v>
      </c>
      <c r="BY61" s="4" t="n">
        <f aca="false">BY3-BY31</f>
        <v>-208.783723165119</v>
      </c>
      <c r="BZ61" s="4" t="n">
        <f aca="false">BZ3-BZ31</f>
        <v>-0.801261725950933</v>
      </c>
      <c r="CA61" s="4" t="n">
        <f aca="false">CA3-CA31</f>
        <v>-0.309705367099202</v>
      </c>
      <c r="CB61" s="4" t="n">
        <f aca="false">CB3-CB31</f>
        <v>-388.550851015913</v>
      </c>
      <c r="CC61" s="4" t="n">
        <f aca="false">CC3-CC31</f>
        <v>-1072.00585398557</v>
      </c>
      <c r="CD61" s="4" t="n">
        <f aca="false">CD3-CD31</f>
        <v>0</v>
      </c>
      <c r="CE61" s="4" t="n">
        <f aca="false">CE3-CE31</f>
        <v>-1.29612349470006</v>
      </c>
      <c r="CF61" s="4" t="n">
        <f aca="false">CF3-CF31</f>
        <v>-189.916501403227</v>
      </c>
      <c r="CG61" s="4" t="n">
        <f aca="false">CG3-CG31</f>
        <v>-0.11495274052663</v>
      </c>
      <c r="CH61" s="4" t="n">
        <f aca="false">CH3-CH31</f>
        <v>-0.626428213523599</v>
      </c>
      <c r="CI61" s="4" t="n">
        <f aca="false">CI3-CI31</f>
        <v>-0.202728116986004</v>
      </c>
      <c r="CJ61" s="4" t="n">
        <f aca="false">CJ3-CJ31</f>
        <v>-0.0497472742118719</v>
      </c>
      <c r="CK61" s="4" t="n">
        <f aca="false">CK3-CK31</f>
        <v>-6.24660387283436</v>
      </c>
      <c r="CL61" s="7" t="s">
        <v>320</v>
      </c>
    </row>
    <row r="62" customFormat="false" ht="12.8" hidden="false" customHeight="false" outlineLevel="0" collapsed="false">
      <c r="A62" s="4" t="s">
        <v>133</v>
      </c>
      <c r="B62" s="7" t="s">
        <v>39</v>
      </c>
      <c r="C62" s="4" t="n">
        <f aca="false">C4-C32</f>
        <v>-0.00151253568618664</v>
      </c>
      <c r="D62" s="4" t="n">
        <f aca="false">D4-D32</f>
        <v>-284.450180463225</v>
      </c>
      <c r="E62" s="4" t="n">
        <f aca="false">E4-E32</f>
        <v>22.8924394598511</v>
      </c>
      <c r="F62" s="4" t="n">
        <f aca="false">F4-F32</f>
        <v>0</v>
      </c>
      <c r="G62" s="4" t="n">
        <f aca="false">G4-G32</f>
        <v>-63.4440561286988</v>
      </c>
      <c r="H62" s="4" t="n">
        <f aca="false">H4-H32</f>
        <v>-0.0893761693009792</v>
      </c>
      <c r="I62" s="4" t="n">
        <f aca="false">I4-I32</f>
        <v>-1.26744514137177</v>
      </c>
      <c r="J62" s="4" t="n">
        <f aca="false">J4-J32</f>
        <v>-0.936573410727544</v>
      </c>
      <c r="K62" s="4" t="n">
        <f aca="false">K4-K32</f>
        <v>0</v>
      </c>
      <c r="L62" s="4" t="n">
        <f aca="false">L4-L32</f>
        <v>0</v>
      </c>
      <c r="M62" s="4" t="n">
        <f aca="false">M4-M32</f>
        <v>0</v>
      </c>
      <c r="N62" s="4" t="n">
        <f aca="false">N4-N32</f>
        <v>-73.8240767626298</v>
      </c>
      <c r="O62" s="4" t="n">
        <f aca="false">O4-O32</f>
        <v>0</v>
      </c>
      <c r="P62" s="4" t="n">
        <f aca="false">P4-P32</f>
        <v>0</v>
      </c>
      <c r="Q62" s="4" t="n">
        <f aca="false">Q4-Q32</f>
        <v>-5.00397480194485</v>
      </c>
      <c r="R62" s="4" t="n">
        <f aca="false">R4-R32</f>
        <v>-13.3885515596402</v>
      </c>
      <c r="S62" s="4" t="n">
        <f aca="false">S4-S32</f>
        <v>0</v>
      </c>
      <c r="T62" s="4" t="n">
        <f aca="false">T4-T32</f>
        <v>0</v>
      </c>
      <c r="U62" s="4" t="n">
        <f aca="false">U4-U32</f>
        <v>0</v>
      </c>
      <c r="V62" s="4" t="n">
        <f aca="false">V4-V32</f>
        <v>-193.339846270851</v>
      </c>
      <c r="W62" s="4" t="n">
        <f aca="false">W4-W32</f>
        <v>-512.586308319746</v>
      </c>
      <c r="X62" s="4" t="n">
        <f aca="false">X4-X32</f>
        <v>-311.347860674085</v>
      </c>
      <c r="Y62" s="4" t="n">
        <f aca="false">Y4-Y32</f>
        <v>0</v>
      </c>
      <c r="Z62" s="4" t="n">
        <f aca="false">Z4-Z32</f>
        <v>-5.04101044015267</v>
      </c>
      <c r="AA62" s="4" t="n">
        <f aca="false">AA4-AA32</f>
        <v>-1.72244197236294</v>
      </c>
      <c r="AB62" s="4" t="n">
        <f aca="false">AB4-AB32</f>
        <v>-10.3126665663982</v>
      </c>
      <c r="AC62" s="4" t="n">
        <f aca="false">AC4-AC32</f>
        <v>2.47721488524796</v>
      </c>
      <c r="AD62" s="4" t="n">
        <f aca="false">AD4-AD32</f>
        <v>-1.6882934703749</v>
      </c>
      <c r="AE62" s="4" t="n">
        <f aca="false">AE4-AE32</f>
        <v>-5.11981901607996</v>
      </c>
      <c r="AF62" s="4" t="n">
        <f aca="false">AF4-AF32</f>
        <v>-0.191571864028114</v>
      </c>
      <c r="AG62" s="4" t="n">
        <f aca="false">AG4-AG32</f>
        <v>-2.96097622246376</v>
      </c>
      <c r="AH62" s="4" t="n">
        <f aca="false">AH4-AH32</f>
        <v>-0.8366627602537</v>
      </c>
      <c r="AI62" s="4" t="n">
        <f aca="false">AI4-AI32</f>
        <v>-0.503341932701089</v>
      </c>
      <c r="AJ62" s="4" t="n">
        <f aca="false">AJ4-AJ32</f>
        <v>0.111326197991016</v>
      </c>
      <c r="AK62" s="4" t="n">
        <f aca="false">AK4-AK32</f>
        <v>-0.209815883029674</v>
      </c>
      <c r="AL62" s="4" t="n">
        <f aca="false">AL4-AL32</f>
        <v>0.148942440815362</v>
      </c>
      <c r="AM62" s="4" t="n">
        <f aca="false">AM4-AM32</f>
        <v>-0.674703778149929</v>
      </c>
      <c r="AN62" s="4" t="n">
        <f aca="false">AN4-AN32</f>
        <v>-0.672922880984146</v>
      </c>
      <c r="AO62" s="4" t="n">
        <f aca="false">AO4-AO32</f>
        <v>0.447727308212929</v>
      </c>
      <c r="AP62" s="4" t="n">
        <f aca="false">AP4-AP32</f>
        <v>-0.891435417871131</v>
      </c>
      <c r="AQ62" s="4" t="n">
        <f aca="false">AQ4-AQ32</f>
        <v>-0.110352979548247</v>
      </c>
      <c r="AR62" s="4" t="n">
        <f aca="false">AR4-AR32</f>
        <v>-0.0438464702601569</v>
      </c>
      <c r="AS62" s="4" t="n">
        <f aca="false">AS4-AS32</f>
        <v>-0.124045283627004</v>
      </c>
      <c r="AT62" s="4" t="n">
        <f aca="false">AT4-AT32</f>
        <v>-2.78075780679042</v>
      </c>
      <c r="AU62" s="4" t="n">
        <f aca="false">AU4-AU32</f>
        <v>0.789471301464903</v>
      </c>
      <c r="AV62" s="4" t="n">
        <f aca="false">AV4-AV32</f>
        <v>-0.159871056741295</v>
      </c>
      <c r="AW62" s="4" t="n">
        <f aca="false">AW4-AW32</f>
        <v>1.29211008631521</v>
      </c>
      <c r="AX62" s="4" t="n">
        <f aca="false">AX4-AX32</f>
        <v>-0.0513646898725386</v>
      </c>
      <c r="AY62" s="4" t="n">
        <f aca="false">AY4-AY32</f>
        <v>0.032423551023996</v>
      </c>
      <c r="AZ62" s="4" t="n">
        <f aca="false">AZ4-AZ32</f>
        <v>-0.168715830717669</v>
      </c>
      <c r="BA62" s="4" t="n">
        <f aca="false">BA4-BA32</f>
        <v>0</v>
      </c>
      <c r="BB62" s="4" t="n">
        <f aca="false">BB4-BB32</f>
        <v>-0.00891828112461296</v>
      </c>
      <c r="BC62" s="4" t="n">
        <f aca="false">BC4-BC32</f>
        <v>-0.0413056249677876</v>
      </c>
      <c r="BD62" s="4" t="n">
        <f aca="false">BD4-BD32</f>
        <v>0.0250299178875286</v>
      </c>
      <c r="BE62" s="4" t="n">
        <f aca="false">BE4-BE32</f>
        <v>-0.0823741450999394</v>
      </c>
      <c r="BF62" s="4" t="n">
        <f aca="false">BF4-BF32</f>
        <v>-1.00746468963739</v>
      </c>
      <c r="BG62" s="4" t="n">
        <f aca="false">BG4-BG32</f>
        <v>-1.09347924150575</v>
      </c>
      <c r="BH62" s="4" t="n">
        <f aca="false">BH4-BH32</f>
        <v>-0.000581608701837749</v>
      </c>
      <c r="BI62" s="4" t="n">
        <f aca="false">BI4-BI32</f>
        <v>-2.80893336801113</v>
      </c>
      <c r="BJ62" s="4" t="n">
        <f aca="false">BJ4-BJ32</f>
        <v>-133.262707982077</v>
      </c>
      <c r="BK62" s="4" t="n">
        <f aca="false">BK4-BK32</f>
        <v>-1.40446668400556</v>
      </c>
      <c r="BL62" s="4" t="n">
        <f aca="false">BL4-BL32</f>
        <v>-455.592420637216</v>
      </c>
      <c r="BM62" s="4" t="n">
        <f aca="false">BM4-BM32</f>
        <v>-19.3904556685675</v>
      </c>
      <c r="BN62" s="4" t="n">
        <f aca="false">BN4-BN32</f>
        <v>0</v>
      </c>
      <c r="BO62" s="4" t="n">
        <f aca="false">BO4-BO32</f>
        <v>4.24630482161735</v>
      </c>
      <c r="BP62" s="4" t="n">
        <f aca="false">BP4-BP32</f>
        <v>7.02416858773781</v>
      </c>
      <c r="BQ62" s="4" t="n">
        <f aca="false">BQ4-BQ32</f>
        <v>0</v>
      </c>
      <c r="BR62" s="4" t="n">
        <f aca="false">BR4-BR32</f>
        <v>0.141543482853466</v>
      </c>
      <c r="BS62" s="4" t="n">
        <f aca="false">BS4-BS32</f>
        <v>0.0141543434884966</v>
      </c>
      <c r="BT62" s="4" t="n">
        <f aca="false">BT4-BT32</f>
        <v>0</v>
      </c>
      <c r="BU62" s="4" t="n">
        <f aca="false">BU4-BU32</f>
        <v>0</v>
      </c>
      <c r="BV62" s="4" t="n">
        <f aca="false">BV4-BV32</f>
        <v>0</v>
      </c>
      <c r="BW62" s="4" t="n">
        <f aca="false">BW4-BW32</f>
        <v>0</v>
      </c>
      <c r="BX62" s="4" t="n">
        <f aca="false">BX4-BX32</f>
        <v>-3.6022298986899</v>
      </c>
      <c r="BY62" s="4" t="n">
        <f aca="false">BY4-BY32</f>
        <v>-53.8289321820953</v>
      </c>
      <c r="BZ62" s="4" t="n">
        <f aca="false">BZ4-BZ32</f>
        <v>-0.259811315294581</v>
      </c>
      <c r="CA62" s="4" t="n">
        <f aca="false">CA4-CA32</f>
        <v>-0.0629463183924328</v>
      </c>
      <c r="CB62" s="4" t="n">
        <f aca="false">CB4-CB32</f>
        <v>-93.6289361540735</v>
      </c>
      <c r="CC62" s="4" t="n">
        <f aca="false">CC4-CC32</f>
        <v>-0.533264977445719</v>
      </c>
      <c r="CD62" s="4" t="n">
        <f aca="false">CD4-CD32</f>
        <v>0</v>
      </c>
      <c r="CE62" s="4" t="n">
        <f aca="false">CE4-CE32</f>
        <v>-0.350713363690811</v>
      </c>
      <c r="CF62" s="4" t="n">
        <f aca="false">CF4-CF32</f>
        <v>-163.111652696176</v>
      </c>
      <c r="CG62" s="4" t="n">
        <f aca="false">CG4-CG32</f>
        <v>10.757507995909</v>
      </c>
      <c r="CH62" s="4" t="n">
        <f aca="false">CH4-CH32</f>
        <v>4.60017084345474</v>
      </c>
      <c r="CI62" s="4" t="n">
        <f aca="false">CI4-CI32</f>
        <v>-0.076710110972325</v>
      </c>
      <c r="CJ62" s="4" t="n">
        <f aca="false">CJ4-CJ32</f>
        <v>-0.0191425412026088</v>
      </c>
      <c r="CK62" s="4" t="n">
        <f aca="false">CK4-CK32</f>
        <v>-5.8875164429959</v>
      </c>
      <c r="CL62" s="7" t="s">
        <v>320</v>
      </c>
    </row>
    <row r="63" customFormat="false" ht="12.8" hidden="false" customHeight="false" outlineLevel="0" collapsed="false">
      <c r="A63" s="4" t="s">
        <v>135</v>
      </c>
      <c r="B63" s="7" t="s">
        <v>39</v>
      </c>
      <c r="C63" s="4" t="n">
        <f aca="false">C5-C33</f>
        <v>-0.00235516454100719</v>
      </c>
      <c r="D63" s="4" t="n">
        <f aca="false">D5-D33</f>
        <v>-35.6663196631453</v>
      </c>
      <c r="E63" s="4" t="n">
        <f aca="false">E5-E33</f>
        <v>-123.99964948918</v>
      </c>
      <c r="F63" s="4" t="n">
        <f aca="false">F5-F33</f>
        <v>0</v>
      </c>
      <c r="G63" s="4" t="n">
        <f aca="false">G5-G33</f>
        <v>5.06505371854121</v>
      </c>
      <c r="H63" s="4" t="n">
        <f aca="false">H5-H33</f>
        <v>0.825439221518191</v>
      </c>
      <c r="I63" s="4" t="n">
        <f aca="false">I5-I33</f>
        <v>1.26964048108391</v>
      </c>
      <c r="J63" s="4" t="n">
        <f aca="false">J5-J33</f>
        <v>0.84599628581991</v>
      </c>
      <c r="K63" s="4" t="n">
        <f aca="false">K5-K33</f>
        <v>0</v>
      </c>
      <c r="L63" s="4" t="n">
        <f aca="false">L5-L33</f>
        <v>0</v>
      </c>
      <c r="M63" s="4" t="n">
        <f aca="false">M5-M33</f>
        <v>0</v>
      </c>
      <c r="N63" s="4" t="n">
        <f aca="false">N5-N33</f>
        <v>-30.5591597355558</v>
      </c>
      <c r="O63" s="4" t="n">
        <f aca="false">O5-O33</f>
        <v>0</v>
      </c>
      <c r="P63" s="4" t="n">
        <f aca="false">P5-P33</f>
        <v>0</v>
      </c>
      <c r="Q63" s="4" t="n">
        <f aca="false">Q5-Q33</f>
        <v>-3.72992529077395</v>
      </c>
      <c r="R63" s="4" t="n">
        <f aca="false">R5-R33</f>
        <v>-9.98636385480359</v>
      </c>
      <c r="S63" s="4" t="n">
        <f aca="false">S5-S33</f>
        <v>0</v>
      </c>
      <c r="T63" s="4" t="n">
        <f aca="false">T5-T33</f>
        <v>0</v>
      </c>
      <c r="U63" s="4" t="n">
        <f aca="false">U5-U33</f>
        <v>0</v>
      </c>
      <c r="V63" s="4" t="n">
        <f aca="false">V5-V33</f>
        <v>121.658626229261</v>
      </c>
      <c r="W63" s="4" t="n">
        <f aca="false">W5-W33</f>
        <v>-441.544825902319</v>
      </c>
      <c r="X63" s="4" t="n">
        <f aca="false">X5-X33</f>
        <v>-450.297463826407</v>
      </c>
      <c r="Y63" s="4" t="n">
        <f aca="false">Y5-Y33</f>
        <v>0</v>
      </c>
      <c r="Z63" s="4" t="n">
        <f aca="false">Z5-Z33</f>
        <v>52.270587279666</v>
      </c>
      <c r="AA63" s="4" t="n">
        <f aca="false">AA5-AA33</f>
        <v>-2.29732423169339</v>
      </c>
      <c r="AB63" s="4" t="n">
        <f aca="false">AB5-AB33</f>
        <v>0.557076309491556</v>
      </c>
      <c r="AC63" s="4" t="n">
        <f aca="false">AC5-AC33</f>
        <v>0.723836658089818</v>
      </c>
      <c r="AD63" s="4" t="n">
        <f aca="false">AD5-AD33</f>
        <v>0.0911993314008281</v>
      </c>
      <c r="AE63" s="4" t="n">
        <f aca="false">AE5-AE33</f>
        <v>-1.31947982295737</v>
      </c>
      <c r="AF63" s="4" t="n">
        <f aca="false">AF5-AF33</f>
        <v>0.540577466007681</v>
      </c>
      <c r="AG63" s="4" t="n">
        <f aca="false">AG5-AG33</f>
        <v>-4.03909763791972</v>
      </c>
      <c r="AH63" s="4" t="n">
        <f aca="false">AH5-AH33</f>
        <v>-3.19857525401633</v>
      </c>
      <c r="AI63" s="4" t="n">
        <f aca="false">AI5-AI33</f>
        <v>0.0671490792330899</v>
      </c>
      <c r="AJ63" s="4" t="n">
        <f aca="false">AJ5-AJ33</f>
        <v>-0.168125751916081</v>
      </c>
      <c r="AK63" s="4" t="n">
        <f aca="false">AK5-AK33</f>
        <v>0.604870812970671</v>
      </c>
      <c r="AL63" s="4" t="n">
        <f aca="false">AL5-AL33</f>
        <v>0.422813685829512</v>
      </c>
      <c r="AM63" s="4" t="n">
        <f aca="false">AM5-AM33</f>
        <v>1.6360831481784</v>
      </c>
      <c r="AN63" s="4" t="n">
        <f aca="false">AN5-AN33</f>
        <v>-0.205917297123801</v>
      </c>
      <c r="AO63" s="4" t="n">
        <f aca="false">AO5-AO33</f>
        <v>1.83663784152588</v>
      </c>
      <c r="AP63" s="4" t="n">
        <f aca="false">AP5-AP33</f>
        <v>-1.18263206181739</v>
      </c>
      <c r="AQ63" s="4" t="n">
        <f aca="false">AQ5-AQ33</f>
        <v>-0.0303309332093786</v>
      </c>
      <c r="AR63" s="4" t="n">
        <f aca="false">AR5-AR33</f>
        <v>0.0530712432063208</v>
      </c>
      <c r="AS63" s="4" t="n">
        <f aca="false">AS5-AS33</f>
        <v>-0.599382379697491</v>
      </c>
      <c r="AT63" s="4" t="n">
        <f aca="false">AT5-AT33</f>
        <v>2.69134303842243</v>
      </c>
      <c r="AU63" s="4" t="n">
        <f aca="false">AU5-AU33</f>
        <v>1.16788516825486</v>
      </c>
      <c r="AV63" s="4" t="n">
        <f aca="false">AV5-AV33</f>
        <v>0.207423286481756</v>
      </c>
      <c r="AW63" s="4" t="n">
        <f aca="false">AW5-AW33</f>
        <v>0.39705754074732</v>
      </c>
      <c r="AX63" s="4" t="n">
        <f aca="false">AX5-AX33</f>
        <v>-0.20715580006766</v>
      </c>
      <c r="AY63" s="4" t="n">
        <f aca="false">AY5-AY33</f>
        <v>-0.00612152232447594</v>
      </c>
      <c r="AZ63" s="4" t="n">
        <f aca="false">AZ5-AZ33</f>
        <v>0.0592090419339</v>
      </c>
      <c r="BA63" s="4" t="n">
        <f aca="false">BA5-BA33</f>
        <v>0</v>
      </c>
      <c r="BB63" s="4" t="n">
        <f aca="false">BB5-BB33</f>
        <v>-0.293346043307342</v>
      </c>
      <c r="BC63" s="4" t="n">
        <f aca="false">BC5-BC33</f>
        <v>-0.134887091044518</v>
      </c>
      <c r="BD63" s="4" t="n">
        <f aca="false">BD5-BD33</f>
        <v>-0.0126266578206815</v>
      </c>
      <c r="BE63" s="4" t="n">
        <f aca="false">BE5-BE33</f>
        <v>-0.0855225502393135</v>
      </c>
      <c r="BF63" s="4" t="n">
        <f aca="false">BF5-BF33</f>
        <v>-12.7096088910552</v>
      </c>
      <c r="BG63" s="4" t="n">
        <f aca="false">BG5-BG33</f>
        <v>4.33586506739655</v>
      </c>
      <c r="BH63" s="4" t="n">
        <f aca="false">BH5-BH33</f>
        <v>1.09251877561073</v>
      </c>
      <c r="BI63" s="4" t="n">
        <f aca="false">BI5-BI33</f>
        <v>-5.95018575343791</v>
      </c>
      <c r="BJ63" s="4" t="n">
        <f aca="false">BJ5-BJ33</f>
        <v>-299.614509740811</v>
      </c>
      <c r="BK63" s="4" t="n">
        <f aca="false">BK5-BK33</f>
        <v>-2.97509287671896</v>
      </c>
      <c r="BL63" s="4" t="n">
        <f aca="false">BL5-BL33</f>
        <v>-101.424768399412</v>
      </c>
      <c r="BM63" s="4" t="n">
        <f aca="false">BM5-BM33</f>
        <v>-30.414973707241</v>
      </c>
      <c r="BN63" s="4" t="n">
        <f aca="false">BN5-BN33</f>
        <v>0</v>
      </c>
      <c r="BO63" s="4" t="n">
        <f aca="false">BO5-BO33</f>
        <v>-15.7369762623745</v>
      </c>
      <c r="BP63" s="4" t="n">
        <f aca="false">BP5-BP33</f>
        <v>-26.3416803693805</v>
      </c>
      <c r="BQ63" s="4" t="n">
        <f aca="false">BQ5-BQ33</f>
        <v>0</v>
      </c>
      <c r="BR63" s="4" t="n">
        <f aca="false">BR5-BR33</f>
        <v>-0.524565839486273</v>
      </c>
      <c r="BS63" s="4" t="n">
        <f aca="false">BS5-BS33</f>
        <v>-0.0524565334851955</v>
      </c>
      <c r="BT63" s="4" t="n">
        <f aca="false">BT5-BT33</f>
        <v>0</v>
      </c>
      <c r="BU63" s="4" t="n">
        <f aca="false">BU5-BU33</f>
        <v>0</v>
      </c>
      <c r="BV63" s="4" t="n">
        <f aca="false">BV5-BV33</f>
        <v>0</v>
      </c>
      <c r="BW63" s="4" t="n">
        <f aca="false">BW5-BW33</f>
        <v>0</v>
      </c>
      <c r="BX63" s="4" t="n">
        <f aca="false">BX5-BX33</f>
        <v>-1.70297228544105</v>
      </c>
      <c r="BY63" s="4" t="n">
        <f aca="false">BY5-BY33</f>
        <v>-43.1441826990557</v>
      </c>
      <c r="BZ63" s="4" t="n">
        <f aca="false">BZ5-BZ33</f>
        <v>-0.0152003633756305</v>
      </c>
      <c r="CA63" s="4" t="n">
        <f aca="false">CA5-CA33</f>
        <v>-0.0217651117828415</v>
      </c>
      <c r="CB63" s="4" t="n">
        <f aca="false">CB5-CB33</f>
        <v>-49.8911588513782</v>
      </c>
      <c r="CC63" s="4" t="n">
        <f aca="false">CC5-CC33</f>
        <v>-50.7857997527658</v>
      </c>
      <c r="CD63" s="4" t="n">
        <f aca="false">CD5-CD33</f>
        <v>0</v>
      </c>
      <c r="CE63" s="4" t="n">
        <f aca="false">CE5-CE33</f>
        <v>-1.61495057351592</v>
      </c>
      <c r="CF63" s="4" t="n">
        <f aca="false">CF5-CF33</f>
        <v>-288.040951649943</v>
      </c>
      <c r="CG63" s="4" t="n">
        <f aca="false">CG5-CG33</f>
        <v>-3.1193979149941</v>
      </c>
      <c r="CH63" s="4" t="n">
        <f aca="false">CH5-CH33</f>
        <v>-0.46875687372649</v>
      </c>
      <c r="CI63" s="4" t="n">
        <f aca="false">CI5-CI33</f>
        <v>-0.0442607594464101</v>
      </c>
      <c r="CJ63" s="4" t="n">
        <f aca="false">CJ5-CJ33</f>
        <v>-0.0021541066610833</v>
      </c>
      <c r="CK63" s="4" t="n">
        <f aca="false">CK5-CK33</f>
        <v>-1.69041682833532</v>
      </c>
      <c r="CL63" s="7" t="s">
        <v>320</v>
      </c>
    </row>
    <row r="64" customFormat="false" ht="12.8" hidden="false" customHeight="false" outlineLevel="0" collapsed="false">
      <c r="A64" s="4" t="s">
        <v>137</v>
      </c>
      <c r="B64" s="7" t="s">
        <v>39</v>
      </c>
      <c r="C64" s="4" t="n">
        <f aca="false">C6-C34</f>
        <v>0.121466880867516</v>
      </c>
      <c r="D64" s="4" t="n">
        <f aca="false">D6-D34</f>
        <v>5199.74598884255</v>
      </c>
      <c r="E64" s="4" t="n">
        <f aca="false">E6-E34</f>
        <v>3919.4490557203</v>
      </c>
      <c r="F64" s="4" t="n">
        <f aca="false">F6-F34</f>
        <v>0</v>
      </c>
      <c r="G64" s="4" t="n">
        <f aca="false">G6-G34</f>
        <v>4565.92442068149</v>
      </c>
      <c r="H64" s="4" t="n">
        <f aca="false">H6-H34</f>
        <v>12.9810103762714</v>
      </c>
      <c r="I64" s="4" t="n">
        <f aca="false">I6-I34</f>
        <v>-10.937554391906</v>
      </c>
      <c r="J64" s="4" t="n">
        <f aca="false">J6-J34</f>
        <v>-4.20633219487413</v>
      </c>
      <c r="K64" s="4" t="n">
        <f aca="false">K6-K34</f>
        <v>0</v>
      </c>
      <c r="L64" s="4" t="n">
        <f aca="false">L6-L34</f>
        <v>0</v>
      </c>
      <c r="M64" s="4" t="n">
        <f aca="false">M6-M34</f>
        <v>0</v>
      </c>
      <c r="N64" s="4" t="n">
        <f aca="false">N6-N34</f>
        <v>5454.81846259873</v>
      </c>
      <c r="O64" s="4" t="n">
        <f aca="false">O6-O34</f>
        <v>0</v>
      </c>
      <c r="P64" s="4" t="n">
        <f aca="false">P6-P34</f>
        <v>0</v>
      </c>
      <c r="Q64" s="4" t="n">
        <f aca="false">Q6-Q34</f>
        <v>31.9145398571536</v>
      </c>
      <c r="R64" s="4" t="n">
        <f aca="false">R6-R34</f>
        <v>264.581010437867</v>
      </c>
      <c r="S64" s="4" t="n">
        <f aca="false">S6-S34</f>
        <v>0</v>
      </c>
      <c r="T64" s="4" t="n">
        <f aca="false">T6-T34</f>
        <v>0</v>
      </c>
      <c r="U64" s="4" t="n">
        <f aca="false">U6-U34</f>
        <v>0</v>
      </c>
      <c r="V64" s="4" t="n">
        <f aca="false">V6-V34</f>
        <v>357.822230116962</v>
      </c>
      <c r="W64" s="4" t="n">
        <f aca="false">W6-W34</f>
        <v>1378.3016507423</v>
      </c>
      <c r="X64" s="4" t="n">
        <f aca="false">X6-X34</f>
        <v>3268.5186608799</v>
      </c>
      <c r="Y64" s="4" t="n">
        <f aca="false">Y6-Y34</f>
        <v>0</v>
      </c>
      <c r="Z64" s="4" t="n">
        <f aca="false">Z6-Z34</f>
        <v>-118.677822595539</v>
      </c>
      <c r="AA64" s="4" t="n">
        <f aca="false">AA6-AA34</f>
        <v>-2.26877699001312</v>
      </c>
      <c r="AB64" s="4" t="n">
        <f aca="false">AB6-AB34</f>
        <v>-8.78614504434925</v>
      </c>
      <c r="AC64" s="4" t="n">
        <f aca="false">AC6-AC34</f>
        <v>8.635045349188</v>
      </c>
      <c r="AD64" s="4" t="n">
        <f aca="false">AD6-AD34</f>
        <v>-1.43838562147194</v>
      </c>
      <c r="AE64" s="4" t="n">
        <f aca="false">AE6-AE34</f>
        <v>9.32710481058032</v>
      </c>
      <c r="AF64" s="4" t="n">
        <f aca="false">AF6-AF34</f>
        <v>1.036051572974</v>
      </c>
      <c r="AG64" s="4" t="n">
        <f aca="false">AG6-AG34</f>
        <v>11.0679658829307</v>
      </c>
      <c r="AH64" s="4" t="n">
        <f aca="false">AH6-AH34</f>
        <v>7.66409851413653</v>
      </c>
      <c r="AI64" s="4" t="n">
        <f aca="false">AI6-AI34</f>
        <v>0.269991101660028</v>
      </c>
      <c r="AJ64" s="4" t="n">
        <f aca="false">AJ6-AJ34</f>
        <v>0.35536469220155</v>
      </c>
      <c r="AK64" s="4" t="n">
        <f aca="false">AK6-AK34</f>
        <v>0.295341005097568</v>
      </c>
      <c r="AL64" s="4" t="n">
        <f aca="false">AL6-AL34</f>
        <v>0.4329679060513</v>
      </c>
      <c r="AM64" s="4" t="n">
        <f aca="false">AM6-AM34</f>
        <v>-0.00287577552042118</v>
      </c>
      <c r="AN64" s="4" t="n">
        <f aca="false">AN6-AN34</f>
        <v>0.891817684650709</v>
      </c>
      <c r="AO64" s="4" t="n">
        <f aca="false">AO6-AO34</f>
        <v>2.88085884721541</v>
      </c>
      <c r="AP64" s="4" t="n">
        <f aca="false">AP6-AP34</f>
        <v>1.67681834181363</v>
      </c>
      <c r="AQ64" s="4" t="n">
        <f aca="false">AQ6-AQ34</f>
        <v>0.288497620407187</v>
      </c>
      <c r="AR64" s="4" t="n">
        <f aca="false">AR6-AR34</f>
        <v>0.505471983966343</v>
      </c>
      <c r="AS64" s="4" t="n">
        <f aca="false">AS6-AS34</f>
        <v>0.16931539585416</v>
      </c>
      <c r="AT64" s="4" t="n">
        <f aca="false">AT6-AT34</f>
        <v>2.72115215232201</v>
      </c>
      <c r="AU64" s="4" t="n">
        <f aca="false">AU6-AU34</f>
        <v>2.94781887057395</v>
      </c>
      <c r="AV64" s="4" t="n">
        <f aca="false">AV6-AV34</f>
        <v>-0.197765977642711</v>
      </c>
      <c r="AW64" s="4" t="n">
        <f aca="false">AW6-AW34</f>
        <v>4.31370682802588</v>
      </c>
      <c r="AX64" s="4" t="n">
        <f aca="false">AX6-AX34</f>
        <v>0.962199559122</v>
      </c>
      <c r="AY64" s="4" t="n">
        <f aca="false">AY6-AY34</f>
        <v>-0.0370213691309627</v>
      </c>
      <c r="AZ64" s="4" t="n">
        <f aca="false">AZ6-AZ34</f>
        <v>-0.862112325374293</v>
      </c>
      <c r="BA64" s="4" t="n">
        <f aca="false">BA6-BA34</f>
        <v>0</v>
      </c>
      <c r="BB64" s="4" t="n">
        <f aca="false">BB6-BB34</f>
        <v>0.363368148529825</v>
      </c>
      <c r="BC64" s="4" t="n">
        <f aca="false">BC6-BC34</f>
        <v>0.281489554868663</v>
      </c>
      <c r="BD64" s="4" t="n">
        <f aca="false">BD6-BD34</f>
        <v>0.109521956553987</v>
      </c>
      <c r="BE64" s="4" t="n">
        <f aca="false">BE6-BE34</f>
        <v>0.116026268901369</v>
      </c>
      <c r="BF64" s="4" t="n">
        <f aca="false">BF6-BF34</f>
        <v>15.1140704333622</v>
      </c>
      <c r="BG64" s="4" t="n">
        <f aca="false">BG6-BG34</f>
        <v>2.79593095842623</v>
      </c>
      <c r="BH64" s="4" t="n">
        <f aca="false">BH6-BH34</f>
        <v>-0.450569734968672</v>
      </c>
      <c r="BI64" s="4" t="n">
        <f aca="false">BI6-BI34</f>
        <v>221.671395385271</v>
      </c>
      <c r="BJ64" s="4" t="n">
        <f aca="false">BJ6-BJ34</f>
        <v>2641.09987935551</v>
      </c>
      <c r="BK64" s="4" t="n">
        <f aca="false">BK6-BK34</f>
        <v>110.835697692635</v>
      </c>
      <c r="BL64" s="4" t="n">
        <f aca="false">BL6-BL34</f>
        <v>90.1195145761829</v>
      </c>
      <c r="BM64" s="4" t="n">
        <f aca="false">BM6-BM34</f>
        <v>90.2235481859055</v>
      </c>
      <c r="BN64" s="4" t="n">
        <f aca="false">BN6-BN34</f>
        <v>0</v>
      </c>
      <c r="BO64" s="4" t="n">
        <f aca="false">BO6-BO34</f>
        <v>-63.1124394982541</v>
      </c>
      <c r="BP64" s="4" t="n">
        <f aca="false">BP6-BP34</f>
        <v>-62.6227552893233</v>
      </c>
      <c r="BQ64" s="4" t="n">
        <f aca="false">BQ6-BQ34</f>
        <v>0</v>
      </c>
      <c r="BR64" s="4" t="n">
        <f aca="false">BR6-BR34</f>
        <v>-2.10374794075418</v>
      </c>
      <c r="BS64" s="4" t="n">
        <f aca="false">BS6-BS34</f>
        <v>-0.21037466507544</v>
      </c>
      <c r="BT64" s="4" t="n">
        <f aca="false">BT6-BT34</f>
        <v>0</v>
      </c>
      <c r="BU64" s="4" t="n">
        <f aca="false">BU6-BU34</f>
        <v>0</v>
      </c>
      <c r="BV64" s="4" t="n">
        <f aca="false">BV6-BV34</f>
        <v>0</v>
      </c>
      <c r="BW64" s="4" t="n">
        <f aca="false">BW6-BW34</f>
        <v>0</v>
      </c>
      <c r="BX64" s="4" t="n">
        <f aca="false">BX6-BX34</f>
        <v>7.17574009298219</v>
      </c>
      <c r="BY64" s="4" t="n">
        <f aca="false">BY6-BY34</f>
        <v>30.1189687756083</v>
      </c>
      <c r="BZ64" s="4" t="n">
        <f aca="false">BZ6-BZ34</f>
        <v>0.402111519191047</v>
      </c>
      <c r="CA64" s="4" t="n">
        <f aca="false">CA6-CA34</f>
        <v>0.0698681139917398</v>
      </c>
      <c r="CB64" s="4" t="n">
        <f aca="false">CB6-CB34</f>
        <v>1248.92472550278</v>
      </c>
      <c r="CC64" s="4" t="n">
        <f aca="false">CC6-CC34</f>
        <v>599.769287357826</v>
      </c>
      <c r="CD64" s="4" t="n">
        <f aca="false">CD6-CD34</f>
        <v>0</v>
      </c>
      <c r="CE64" s="4" t="n">
        <f aca="false">CE6-CE34</f>
        <v>46.2181655408594</v>
      </c>
      <c r="CF64" s="4" t="n">
        <f aca="false">CF6-CF34</f>
        <v>699.102068310012</v>
      </c>
      <c r="CG64" s="4" t="n">
        <f aca="false">CG6-CG34</f>
        <v>-0.0504565617002451</v>
      </c>
      <c r="CH64" s="4" t="n">
        <f aca="false">CH6-CH34</f>
        <v>-0.0833557574540542</v>
      </c>
      <c r="CI64" s="4" t="n">
        <f aca="false">CI6-CI34</f>
        <v>0.303766896629682</v>
      </c>
      <c r="CJ64" s="4" t="n">
        <f aca="false">CJ6-CJ34</f>
        <v>0.102609613252384</v>
      </c>
      <c r="CK64" s="4" t="n">
        <f aca="false">CK6-CK34</f>
        <v>13.2148782837685</v>
      </c>
      <c r="CL64" s="7" t="s">
        <v>320</v>
      </c>
    </row>
    <row r="65" customFormat="false" ht="12.8" hidden="false" customHeight="false" outlineLevel="0" collapsed="false">
      <c r="A65" s="4" t="s">
        <v>139</v>
      </c>
      <c r="B65" s="7" t="s">
        <v>39</v>
      </c>
      <c r="C65" s="4" t="n">
        <f aca="false">C7-C35</f>
        <v>-0.00242823621744563</v>
      </c>
      <c r="D65" s="4" t="n">
        <f aca="false">D7-D35</f>
        <v>-285.565392405618</v>
      </c>
      <c r="E65" s="4" t="n">
        <f aca="false">E7-E35</f>
        <v>-58.4577283809674</v>
      </c>
      <c r="F65" s="4" t="n">
        <f aca="false">F7-F35</f>
        <v>0</v>
      </c>
      <c r="G65" s="4" t="n">
        <f aca="false">G7-G35</f>
        <v>-58.2199244848142</v>
      </c>
      <c r="H65" s="4" t="n">
        <f aca="false">H7-H35</f>
        <v>0</v>
      </c>
      <c r="I65" s="4" t="n">
        <f aca="false">I7-I35</f>
        <v>0.419832353394175</v>
      </c>
      <c r="J65" s="4" t="n">
        <f aca="false">J7-J35</f>
        <v>0.7917230890967</v>
      </c>
      <c r="K65" s="4" t="n">
        <f aca="false">K7-K35</f>
        <v>0</v>
      </c>
      <c r="L65" s="4" t="n">
        <f aca="false">L7-L35</f>
        <v>0</v>
      </c>
      <c r="M65" s="4" t="n">
        <f aca="false">M7-M35</f>
        <v>0</v>
      </c>
      <c r="N65" s="4" t="n">
        <f aca="false">N7-N35</f>
        <v>-80.4430997602875</v>
      </c>
      <c r="O65" s="4" t="n">
        <f aca="false">O7-O35</f>
        <v>0</v>
      </c>
      <c r="P65" s="4" t="n">
        <f aca="false">P7-P35</f>
        <v>0</v>
      </c>
      <c r="Q65" s="4" t="n">
        <f aca="false">Q7-Q35</f>
        <v>-5.53680849855019</v>
      </c>
      <c r="R65" s="4" t="n">
        <f aca="false">R7-R35</f>
        <v>-61.6180051472402</v>
      </c>
      <c r="S65" s="4" t="n">
        <f aca="false">S7-S35</f>
        <v>0</v>
      </c>
      <c r="T65" s="4" t="n">
        <f aca="false">T7-T35</f>
        <v>0</v>
      </c>
      <c r="U65" s="4" t="n">
        <f aca="false">U7-U35</f>
        <v>0</v>
      </c>
      <c r="V65" s="4" t="n">
        <f aca="false">V7-V35</f>
        <v>4.47757768614257</v>
      </c>
      <c r="W65" s="4" t="n">
        <f aca="false">W7-W35</f>
        <v>-365.358259555971</v>
      </c>
      <c r="X65" s="4" t="n">
        <f aca="false">X7-X35</f>
        <v>-82.5505540160453</v>
      </c>
      <c r="Y65" s="4" t="n">
        <f aca="false">Y7-Y35</f>
        <v>0</v>
      </c>
      <c r="Z65" s="4" t="n">
        <f aca="false">Z7-Z35</f>
        <v>-2.82680530447155</v>
      </c>
      <c r="AA65" s="4" t="n">
        <f aca="false">AA7-AA35</f>
        <v>-0.867412699289518</v>
      </c>
      <c r="AB65" s="4" t="n">
        <f aca="false">AB7-AB35</f>
        <v>-4.58550524270574</v>
      </c>
      <c r="AC65" s="4" t="n">
        <f aca="false">AC7-AC35</f>
        <v>1.08657618574645</v>
      </c>
      <c r="AD65" s="4" t="n">
        <f aca="false">AD7-AD35</f>
        <v>-0.750696098800936</v>
      </c>
      <c r="AE65" s="4" t="n">
        <f aca="false">AE7-AE35</f>
        <v>-1.8317800032544</v>
      </c>
      <c r="AF65" s="4" t="n">
        <f aca="false">AF7-AF35</f>
        <v>-0.0382906655105475</v>
      </c>
      <c r="AG65" s="4" t="n">
        <f aca="false">AG7-AG35</f>
        <v>-2.25466428596084</v>
      </c>
      <c r="AH65" s="4" t="n">
        <f aca="false">AH7-AH35</f>
        <v>-0.872844013094167</v>
      </c>
      <c r="AI65" s="4" t="n">
        <f aca="false">AI7-AI35</f>
        <v>-0.455803426526946</v>
      </c>
      <c r="AJ65" s="4" t="n">
        <f aca="false">AJ7-AJ35</f>
        <v>-0.862694874290411</v>
      </c>
      <c r="AK65" s="4" t="n">
        <f aca="false">AK7-AK35</f>
        <v>0.0750281899958045</v>
      </c>
      <c r="AL65" s="4" t="n">
        <f aca="false">AL7-AL35</f>
        <v>-0.284214740239641</v>
      </c>
      <c r="AM65" s="4" t="n">
        <f aca="false">AM7-AM35</f>
        <v>-1.38797786865557</v>
      </c>
      <c r="AN65" s="4" t="n">
        <f aca="false">AN7-AN35</f>
        <v>-0.0623045888788082</v>
      </c>
      <c r="AO65" s="4" t="n">
        <f aca="false">AO7-AO35</f>
        <v>-0.709871444116007</v>
      </c>
      <c r="AP65" s="4" t="n">
        <f aca="false">AP7-AP35</f>
        <v>-0.947099825351773</v>
      </c>
      <c r="AQ65" s="4" t="n">
        <f aca="false">AQ7-AQ35</f>
        <v>-0.0127491513376551</v>
      </c>
      <c r="AR65" s="4" t="n">
        <f aca="false">AR7-AR35</f>
        <v>-0.0530905283106412</v>
      </c>
      <c r="AS65" s="4" t="n">
        <f aca="false">AS7-AS35</f>
        <v>-0.430874048713611</v>
      </c>
      <c r="AT65" s="4" t="n">
        <f aca="false">AT7-AT35</f>
        <v>-0.0640295708247102</v>
      </c>
      <c r="AU65" s="4" t="n">
        <f aca="false">AU7-AU35</f>
        <v>-4.31715178269893</v>
      </c>
      <c r="AV65" s="4" t="n">
        <f aca="false">AV7-AV35</f>
        <v>-0.19249997238748</v>
      </c>
      <c r="AW65" s="4" t="n">
        <f aca="false">AW7-AW35</f>
        <v>0.574742178721371</v>
      </c>
      <c r="AX65" s="4" t="n">
        <f aca="false">AX7-AX35</f>
        <v>0.05649698206675</v>
      </c>
      <c r="AY65" s="4" t="n">
        <f aca="false">AY7-AY35</f>
        <v>0.0116899751637052</v>
      </c>
      <c r="AZ65" s="4" t="n">
        <f aca="false">AZ7-AZ35</f>
        <v>-0.0455290608069023</v>
      </c>
      <c r="BA65" s="4" t="n">
        <f aca="false">BA7-BA35</f>
        <v>0</v>
      </c>
      <c r="BB65" s="4" t="n">
        <f aca="false">BB7-BB35</f>
        <v>-0.243744443814298</v>
      </c>
      <c r="BC65" s="4" t="n">
        <f aca="false">BC7-BC35</f>
        <v>-0.319373595120512</v>
      </c>
      <c r="BD65" s="4" t="n">
        <f aca="false">BD7-BD35</f>
        <v>-0.0865963034176936</v>
      </c>
      <c r="BE65" s="4" t="n">
        <f aca="false">BE7-BE35</f>
        <v>-0.071120384087499</v>
      </c>
      <c r="BF65" s="4" t="n">
        <f aca="false">BF7-BF35</f>
        <v>-0.282368107390444</v>
      </c>
      <c r="BG65" s="4" t="n">
        <f aca="false">BG7-BG35</f>
        <v>-0.75809996064494</v>
      </c>
      <c r="BH65" s="4" t="n">
        <f aca="false">BH7-BH35</f>
        <v>-0.000734382376229075</v>
      </c>
      <c r="BI65" s="4" t="n">
        <f aca="false">BI7-BI35</f>
        <v>-6.12978067324654</v>
      </c>
      <c r="BJ65" s="4" t="n">
        <f aca="false">BJ7-BJ35</f>
        <v>-305.027188399809</v>
      </c>
      <c r="BK65" s="4" t="n">
        <f aca="false">BK7-BK35</f>
        <v>-3.06489033662327</v>
      </c>
      <c r="BL65" s="4" t="n">
        <f aca="false">BL7-BL35</f>
        <v>-601.830690009878</v>
      </c>
      <c r="BM65" s="4" t="n">
        <f aca="false">BM7-BM35</f>
        <v>-56.0199250676974</v>
      </c>
      <c r="BN65" s="4" t="n">
        <f aca="false">BN7-BN35</f>
        <v>0</v>
      </c>
      <c r="BO65" s="4" t="n">
        <f aca="false">BO7-BO35</f>
        <v>0.658576391806708</v>
      </c>
      <c r="BP65" s="4" t="n">
        <f aca="false">BP7-BP35</f>
        <v>1.69507115923296</v>
      </c>
      <c r="BQ65" s="4" t="n">
        <f aca="false">BQ7-BQ35</f>
        <v>0</v>
      </c>
      <c r="BR65" s="4" t="n">
        <f aca="false">BR7-BR35</f>
        <v>0.0219525417591246</v>
      </c>
      <c r="BS65" s="4" t="n">
        <f aca="false">BS7-BS35</f>
        <v>0.00219525292815854</v>
      </c>
      <c r="BT65" s="4" t="n">
        <f aca="false">BT7-BT35</f>
        <v>0</v>
      </c>
      <c r="BU65" s="4" t="n">
        <f aca="false">BU7-BU35</f>
        <v>0</v>
      </c>
      <c r="BV65" s="4" t="n">
        <f aca="false">BV7-BV35</f>
        <v>0</v>
      </c>
      <c r="BW65" s="4" t="n">
        <f aca="false">BW7-BW35</f>
        <v>0</v>
      </c>
      <c r="BX65" s="4" t="n">
        <f aca="false">BX7-BX35</f>
        <v>-3.35617325698825</v>
      </c>
      <c r="BY65" s="4" t="n">
        <f aca="false">BY7-BY35</f>
        <v>-85.5452442779709</v>
      </c>
      <c r="BZ65" s="4" t="n">
        <f aca="false">BZ7-BZ35</f>
        <v>-0.397879156387239</v>
      </c>
      <c r="CA65" s="4" t="n">
        <f aca="false">CA7-CA35</f>
        <v>-0.164421001689442</v>
      </c>
      <c r="CB65" s="4" t="n">
        <f aca="false">CB7-CB35</f>
        <v>-129.627866499942</v>
      </c>
      <c r="CC65" s="4" t="n">
        <f aca="false">CC7-CC35</f>
        <v>-701.361880541744</v>
      </c>
      <c r="CD65" s="4" t="n">
        <f aca="false">CD7-CD35</f>
        <v>0</v>
      </c>
      <c r="CE65" s="4" t="n">
        <f aca="false">CE7-CE35</f>
        <v>-0.158193558220495</v>
      </c>
      <c r="CF65" s="4" t="n">
        <f aca="false">CF7-CF35</f>
        <v>-807.774059938261</v>
      </c>
      <c r="CG65" s="4" t="n">
        <f aca="false">CG7-CG35</f>
        <v>1.94259775637595</v>
      </c>
      <c r="CH65" s="4" t="n">
        <f aca="false">CH7-CH35</f>
        <v>3.19840251260456</v>
      </c>
      <c r="CI65" s="4" t="n">
        <f aca="false">CI7-CI35</f>
        <v>-0.0869741368953251</v>
      </c>
      <c r="CJ65" s="4" t="n">
        <f aca="false">CJ7-CJ35</f>
        <v>-0.00439886607534417</v>
      </c>
      <c r="CK65" s="4" t="n">
        <f aca="false">CK7-CK35</f>
        <v>-1.21801157061809</v>
      </c>
      <c r="CL65" s="7" t="s">
        <v>320</v>
      </c>
    </row>
    <row r="66" customFormat="false" ht="12.8" hidden="false" customHeight="false" outlineLevel="0" collapsed="false">
      <c r="A66" s="4" t="s">
        <v>140</v>
      </c>
      <c r="B66" s="7" t="s">
        <v>39</v>
      </c>
      <c r="C66" s="4" t="n">
        <f aca="false">C8-C36</f>
        <v>0.000686687852690047</v>
      </c>
      <c r="D66" s="4" t="n">
        <f aca="false">D8-D36</f>
        <v>258.857090103218</v>
      </c>
      <c r="E66" s="4" t="n">
        <f aca="false">E8-E36</f>
        <v>-23.6617977490921</v>
      </c>
      <c r="F66" s="4" t="n">
        <f aca="false">F8-F36</f>
        <v>0</v>
      </c>
      <c r="G66" s="4" t="n">
        <f aca="false">G8-G36</f>
        <v>130.59649410104</v>
      </c>
      <c r="H66" s="4" t="n">
        <f aca="false">H8-H36</f>
        <v>0.695710593311237</v>
      </c>
      <c r="I66" s="4" t="n">
        <f aca="false">I8-I36</f>
        <v>0.65848699541015</v>
      </c>
      <c r="J66" s="4" t="n">
        <f aca="false">J8-J36</f>
        <v>0.647798055863465</v>
      </c>
      <c r="K66" s="4" t="n">
        <f aca="false">K8-K36</f>
        <v>0</v>
      </c>
      <c r="L66" s="4" t="n">
        <f aca="false">L8-L36</f>
        <v>0</v>
      </c>
      <c r="M66" s="4" t="n">
        <f aca="false">M8-M36</f>
        <v>0</v>
      </c>
      <c r="N66" s="4" t="n">
        <f aca="false">N8-N36</f>
        <v>177.236721984328</v>
      </c>
      <c r="O66" s="4" t="n">
        <f aca="false">O8-O36</f>
        <v>0</v>
      </c>
      <c r="P66" s="4" t="n">
        <f aca="false">P8-P36</f>
        <v>0</v>
      </c>
      <c r="Q66" s="4" t="n">
        <f aca="false">Q8-Q36</f>
        <v>-1.00920816521007</v>
      </c>
      <c r="R66" s="4" t="n">
        <f aca="false">R8-R36</f>
        <v>7.42911802338396</v>
      </c>
      <c r="S66" s="4" t="n">
        <f aca="false">S8-S36</f>
        <v>0</v>
      </c>
      <c r="T66" s="4" t="n">
        <f aca="false">T8-T36</f>
        <v>0</v>
      </c>
      <c r="U66" s="4" t="n">
        <f aca="false">U8-U36</f>
        <v>0</v>
      </c>
      <c r="V66" s="4" t="n">
        <f aca="false">V8-V36</f>
        <v>-0.370874970549508</v>
      </c>
      <c r="W66" s="4" t="n">
        <f aca="false">W8-W36</f>
        <v>161.600296706413</v>
      </c>
      <c r="X66" s="4" t="n">
        <f aca="false">X8-X36</f>
        <v>-115.915638733887</v>
      </c>
      <c r="Y66" s="4" t="n">
        <f aca="false">Y8-Y36</f>
        <v>0</v>
      </c>
      <c r="Z66" s="4" t="n">
        <f aca="false">Z8-Z36</f>
        <v>14.2890201535947</v>
      </c>
      <c r="AA66" s="4" t="n">
        <f aca="false">AA8-AA36</f>
        <v>-4.53549201039198</v>
      </c>
      <c r="AB66" s="4" t="n">
        <f aca="false">AB8-AB36</f>
        <v>-7.63206664729817</v>
      </c>
      <c r="AC66" s="4" t="n">
        <f aca="false">AC8-AC36</f>
        <v>-1.2054816046986</v>
      </c>
      <c r="AD66" s="4" t="n">
        <f aca="false">AD8-AD36</f>
        <v>-1.24945068311268</v>
      </c>
      <c r="AE66" s="4" t="n">
        <f aca="false">AE8-AE36</f>
        <v>2.63984657996726</v>
      </c>
      <c r="AF66" s="4" t="n">
        <f aca="false">AF8-AF36</f>
        <v>-0.420179190644574</v>
      </c>
      <c r="AG66" s="4" t="n">
        <f aca="false">AG8-AG36</f>
        <v>1.10000739150963</v>
      </c>
      <c r="AH66" s="4" t="n">
        <f aca="false">AH8-AH36</f>
        <v>-0.821728133999755</v>
      </c>
      <c r="AI66" s="4" t="n">
        <f aca="false">AI8-AI36</f>
        <v>-0.0314890564335858</v>
      </c>
      <c r="AJ66" s="4" t="n">
        <f aca="false">AJ8-AJ36</f>
        <v>-0.311199866452504</v>
      </c>
      <c r="AK66" s="4" t="n">
        <f aca="false">AK8-AK36</f>
        <v>0.328596905704956</v>
      </c>
      <c r="AL66" s="4" t="n">
        <f aca="false">AL8-AL36</f>
        <v>-0.428449736041374</v>
      </c>
      <c r="AM66" s="4" t="n">
        <f aca="false">AM8-AM36</f>
        <v>0.362800817096674</v>
      </c>
      <c r="AN66" s="4" t="n">
        <f aca="false">AN8-AN36</f>
        <v>0.409933163331213</v>
      </c>
      <c r="AO66" s="4" t="n">
        <f aca="false">AO8-AO36</f>
        <v>-1.10210882500123</v>
      </c>
      <c r="AP66" s="4" t="n">
        <f aca="false">AP8-AP36</f>
        <v>0.118249070711156</v>
      </c>
      <c r="AQ66" s="4" t="n">
        <f aca="false">AQ8-AQ36</f>
        <v>0.0611426035345338</v>
      </c>
      <c r="AR66" s="4" t="n">
        <f aca="false">AR8-AR36</f>
        <v>-0.160179928817458</v>
      </c>
      <c r="AS66" s="4" t="n">
        <f aca="false">AS8-AS36</f>
        <v>0.000756552268610877</v>
      </c>
      <c r="AT66" s="4" t="n">
        <f aca="false">AT8-AT36</f>
        <v>-1.5524538273159</v>
      </c>
      <c r="AU66" s="4" t="n">
        <f aca="false">AU8-AU36</f>
        <v>1.31630809853284</v>
      </c>
      <c r="AV66" s="4" t="n">
        <f aca="false">AV8-AV36</f>
        <v>0.123547211028844</v>
      </c>
      <c r="AW66" s="4" t="n">
        <f aca="false">AW8-AW36</f>
        <v>-0.700141531048052</v>
      </c>
      <c r="AX66" s="4" t="n">
        <f aca="false">AX8-AX36</f>
        <v>-0.0846608956263356</v>
      </c>
      <c r="AY66" s="4" t="n">
        <f aca="false">AY8-AY36</f>
        <v>-0.12511605289129</v>
      </c>
      <c r="AZ66" s="4" t="n">
        <f aca="false">AZ8-AZ36</f>
        <v>-1.0999165173616</v>
      </c>
      <c r="BA66" s="4" t="n">
        <f aca="false">BA8-BA36</f>
        <v>0</v>
      </c>
      <c r="BB66" s="4" t="n">
        <f aca="false">BB8-BB36</f>
        <v>0.110974248791783</v>
      </c>
      <c r="BC66" s="4" t="n">
        <f aca="false">BC8-BC36</f>
        <v>0.107191457427836</v>
      </c>
      <c r="BD66" s="4" t="n">
        <f aca="false">BD8-BD36</f>
        <v>-0.0724232533622353</v>
      </c>
      <c r="BE66" s="4" t="n">
        <f aca="false">BE8-BE36</f>
        <v>0.0681267647011082</v>
      </c>
      <c r="BF66" s="4" t="n">
        <f aca="false">BF8-BF36</f>
        <v>-2.10483191396704</v>
      </c>
      <c r="BG66" s="4" t="n">
        <f aca="false">BG8-BG36</f>
        <v>-0.593998168487584</v>
      </c>
      <c r="BH66" s="4" t="n">
        <f aca="false">BH8-BH36</f>
        <v>-2.72080913796603</v>
      </c>
      <c r="BI66" s="4" t="n">
        <f aca="false">BI8-BI36</f>
        <v>-1.82775689453545</v>
      </c>
      <c r="BJ66" s="4" t="n">
        <f aca="false">BJ8-BJ36</f>
        <v>-53.2297656707892</v>
      </c>
      <c r="BK66" s="4" t="n">
        <f aca="false">BK8-BK36</f>
        <v>-0.913878447267726</v>
      </c>
      <c r="BL66" s="4" t="n">
        <f aca="false">BL8-BL36</f>
        <v>-87.6548530768225</v>
      </c>
      <c r="BM66" s="4" t="n">
        <f aca="false">BM8-BM36</f>
        <v>-4.22036930008387</v>
      </c>
      <c r="BN66" s="4" t="n">
        <f aca="false">BN8-BN36</f>
        <v>0</v>
      </c>
      <c r="BO66" s="4" t="n">
        <f aca="false">BO8-BO36</f>
        <v>-11.8140673242801</v>
      </c>
      <c r="BP66" s="4" t="n">
        <f aca="false">BP8-BP36</f>
        <v>-19.1572957022331</v>
      </c>
      <c r="BQ66" s="4" t="n">
        <f aca="false">BQ8-BQ36</f>
        <v>0</v>
      </c>
      <c r="BR66" s="4" t="n">
        <f aca="false">BR8-BR36</f>
        <v>-0.393802201896049</v>
      </c>
      <c r="BS66" s="4" t="n">
        <f aca="false">BS8-BS36</f>
        <v>-0.0393802023618838</v>
      </c>
      <c r="BT66" s="4" t="n">
        <f aca="false">BT8-BT36</f>
        <v>0</v>
      </c>
      <c r="BU66" s="4" t="n">
        <f aca="false">BU8-BU36</f>
        <v>0</v>
      </c>
      <c r="BV66" s="4" t="n">
        <f aca="false">BV8-BV36</f>
        <v>0</v>
      </c>
      <c r="BW66" s="4" t="n">
        <f aca="false">BW8-BW36</f>
        <v>0</v>
      </c>
      <c r="BX66" s="4" t="n">
        <f aca="false">BX8-BX36</f>
        <v>-0.777171845165239</v>
      </c>
      <c r="BY66" s="4" t="n">
        <f aca="false">BY8-BY36</f>
        <v>-11.3539313674562</v>
      </c>
      <c r="BZ66" s="4" t="n">
        <f aca="false">BZ8-BZ36</f>
        <v>-0.0484267199300532</v>
      </c>
      <c r="CA66" s="4" t="n">
        <f aca="false">CA8-CA36</f>
        <v>-0.00223294280087875</v>
      </c>
      <c r="CB66" s="4" t="n">
        <f aca="false">CB8-CB36</f>
        <v>-57.7635924160059</v>
      </c>
      <c r="CC66" s="4" t="n">
        <f aca="false">CC8-CC36</f>
        <v>-26.6403887783666</v>
      </c>
      <c r="CD66" s="4" t="n">
        <f aca="false">CD8-CD36</f>
        <v>0</v>
      </c>
      <c r="CE66" s="4" t="n">
        <f aca="false">CE8-CE36</f>
        <v>-0.820955635500841</v>
      </c>
      <c r="CF66" s="4" t="n">
        <f aca="false">CF8-CF36</f>
        <v>-71.4172523151453</v>
      </c>
      <c r="CG66" s="4" t="n">
        <f aca="false">CG8-CG36</f>
        <v>-2.4625149838597</v>
      </c>
      <c r="CH66" s="4" t="n">
        <f aca="false">CH8-CH36</f>
        <v>-0.190429158355298</v>
      </c>
      <c r="CI66" s="4" t="n">
        <f aca="false">CI8-CI36</f>
        <v>-0.0274391502494259</v>
      </c>
      <c r="CJ66" s="4" t="n">
        <f aca="false">CJ8-CJ36</f>
        <v>-0.00147799212863361</v>
      </c>
      <c r="CK66" s="4" t="n">
        <f aca="false">CK8-CK36</f>
        <v>-0.940590727824537</v>
      </c>
      <c r="CL66" s="7" t="s">
        <v>320</v>
      </c>
    </row>
    <row r="67" customFormat="false" ht="12.8" hidden="false" customHeight="false" outlineLevel="0" collapsed="false">
      <c r="A67" s="4" t="s">
        <v>141</v>
      </c>
      <c r="B67" s="7" t="s">
        <v>39</v>
      </c>
      <c r="C67" s="4" t="n">
        <f aca="false">C9-C37</f>
        <v>-0.00166097017491254</v>
      </c>
      <c r="D67" s="4" t="n">
        <f aca="false">D9-D37</f>
        <v>-84.8433039505085</v>
      </c>
      <c r="E67" s="4" t="n">
        <f aca="false">E9-E37</f>
        <v>-107.495533408175</v>
      </c>
      <c r="F67" s="4" t="n">
        <f aca="false">F9-F37</f>
        <v>0</v>
      </c>
      <c r="G67" s="4" t="n">
        <f aca="false">G9-G37</f>
        <v>-15.9033283506964</v>
      </c>
      <c r="H67" s="4" t="n">
        <f aca="false">H9-H37</f>
        <v>0.305401283209083</v>
      </c>
      <c r="I67" s="4" t="n">
        <f aca="false">I9-I37</f>
        <v>0.816268495973218</v>
      </c>
      <c r="J67" s="4" t="n">
        <f aca="false">J9-J37</f>
        <v>0.774535219700187</v>
      </c>
      <c r="K67" s="4" t="n">
        <f aca="false">K9-K37</f>
        <v>0</v>
      </c>
      <c r="L67" s="4" t="n">
        <f aca="false">L9-L37</f>
        <v>0</v>
      </c>
      <c r="M67" s="4" t="n">
        <f aca="false">M9-M37</f>
        <v>0</v>
      </c>
      <c r="N67" s="4" t="n">
        <f aca="false">N9-N37</f>
        <v>-51.3663108830016</v>
      </c>
      <c r="O67" s="4" t="n">
        <f aca="false">O9-O37</f>
        <v>0</v>
      </c>
      <c r="P67" s="4" t="n">
        <f aca="false">P9-P37</f>
        <v>0</v>
      </c>
      <c r="Q67" s="4" t="n">
        <f aca="false">Q9-Q37</f>
        <v>-2.42819921250076</v>
      </c>
      <c r="R67" s="4" t="n">
        <f aca="false">R9-R37</f>
        <v>-12.0188060045192</v>
      </c>
      <c r="S67" s="4" t="n">
        <f aca="false">S9-S37</f>
        <v>0</v>
      </c>
      <c r="T67" s="4" t="n">
        <f aca="false">T9-T37</f>
        <v>0</v>
      </c>
      <c r="U67" s="4" t="n">
        <f aca="false">U9-U37</f>
        <v>0</v>
      </c>
      <c r="V67" s="4" t="n">
        <f aca="false">V9-V37</f>
        <v>-116.296651868002</v>
      </c>
      <c r="W67" s="4" t="n">
        <f aca="false">W9-W37</f>
        <v>-578.115027918125</v>
      </c>
      <c r="X67" s="4" t="n">
        <f aca="false">X9-X37</f>
        <v>302.400817694266</v>
      </c>
      <c r="Y67" s="4" t="n">
        <f aca="false">Y9-Y37</f>
        <v>0</v>
      </c>
      <c r="Z67" s="4" t="n">
        <f aca="false">Z9-Z37</f>
        <v>34.4142216220558</v>
      </c>
      <c r="AA67" s="4" t="n">
        <f aca="false">AA9-AA37</f>
        <v>-2.92378062118615</v>
      </c>
      <c r="AB67" s="4" t="n">
        <f aca="false">AB9-AB37</f>
        <v>-7.1998575135087</v>
      </c>
      <c r="AC67" s="4" t="n">
        <f aca="false">AC9-AC37</f>
        <v>0.912217559993358</v>
      </c>
      <c r="AD67" s="4" t="n">
        <f aca="false">AD9-AD37</f>
        <v>-1.17869343970575</v>
      </c>
      <c r="AE67" s="4" t="n">
        <f aca="false">AE9-AE37</f>
        <v>-2.45687995473444</v>
      </c>
      <c r="AF67" s="4" t="n">
        <f aca="false">AF9-AF37</f>
        <v>0.0740887692363194</v>
      </c>
      <c r="AG67" s="4" t="n">
        <f aca="false">AG9-AG37</f>
        <v>-1.39028644377406</v>
      </c>
      <c r="AH67" s="4" t="n">
        <f aca="false">AH9-AH37</f>
        <v>-2.80353856205911</v>
      </c>
      <c r="AI67" s="4" t="n">
        <f aca="false">AI9-AI37</f>
        <v>0.0722796468715462</v>
      </c>
      <c r="AJ67" s="4" t="n">
        <f aca="false">AJ9-AJ37</f>
        <v>0.153239033114613</v>
      </c>
      <c r="AK67" s="4" t="n">
        <f aca="false">AK9-AK37</f>
        <v>0.132138287060586</v>
      </c>
      <c r="AL67" s="4" t="n">
        <f aca="false">AL9-AL37</f>
        <v>0.105332141844621</v>
      </c>
      <c r="AM67" s="4" t="n">
        <f aca="false">AM9-AM37</f>
        <v>-1.74457844506462</v>
      </c>
      <c r="AN67" s="4" t="n">
        <f aca="false">AN9-AN37</f>
        <v>0.127638267807765</v>
      </c>
      <c r="AO67" s="4" t="n">
        <f aca="false">AO9-AO37</f>
        <v>0.991605544221313</v>
      </c>
      <c r="AP67" s="4" t="n">
        <f aca="false">AP9-AP37</f>
        <v>-1.0816083084915</v>
      </c>
      <c r="AQ67" s="4" t="n">
        <f aca="false">AQ9-AQ37</f>
        <v>-0.0723647550373908</v>
      </c>
      <c r="AR67" s="4" t="n">
        <f aca="false">AR9-AR37</f>
        <v>-0.0737696620624672</v>
      </c>
      <c r="AS67" s="4" t="n">
        <f aca="false">AS9-AS37</f>
        <v>0.19946534717276</v>
      </c>
      <c r="AT67" s="4" t="n">
        <f aca="false">AT9-AT37</f>
        <v>0.456911923901659</v>
      </c>
      <c r="AU67" s="4" t="n">
        <f aca="false">AU9-AU37</f>
        <v>-2.34450734022943</v>
      </c>
      <c r="AV67" s="4" t="n">
        <f aca="false">AV9-AV37</f>
        <v>-0.0524342294951093</v>
      </c>
      <c r="AW67" s="4" t="n">
        <f aca="false">AW9-AW37</f>
        <v>0.405845467990465</v>
      </c>
      <c r="AX67" s="4" t="n">
        <f aca="false">AX9-AX37</f>
        <v>-0.414774442224806</v>
      </c>
      <c r="AY67" s="4" t="n">
        <f aca="false">AY9-AY37</f>
        <v>-0.00811316541790219</v>
      </c>
      <c r="AZ67" s="4" t="n">
        <f aca="false">AZ9-AZ37</f>
        <v>-0.449580601506456</v>
      </c>
      <c r="BA67" s="4" t="n">
        <f aca="false">BA9-BA37</f>
        <v>0</v>
      </c>
      <c r="BB67" s="4" t="n">
        <f aca="false">BB9-BB37</f>
        <v>-0.0122300979378191</v>
      </c>
      <c r="BC67" s="4" t="n">
        <f aca="false">BC9-BC37</f>
        <v>0.149765772536985</v>
      </c>
      <c r="BD67" s="4" t="n">
        <f aca="false">BD9-BD37</f>
        <v>0.0188138275518382</v>
      </c>
      <c r="BE67" s="4" t="n">
        <f aca="false">BE9-BE37</f>
        <v>0.0689431802578893</v>
      </c>
      <c r="BF67" s="4" t="n">
        <f aca="false">BF9-BF37</f>
        <v>2.50553699067458</v>
      </c>
      <c r="BG67" s="4" t="n">
        <f aca="false">BG9-BG37</f>
        <v>1.04039516011928</v>
      </c>
      <c r="BH67" s="4" t="n">
        <f aca="false">BH9-BH37</f>
        <v>1.79558050810446</v>
      </c>
      <c r="BI67" s="4" t="n">
        <f aca="false">BI9-BI37</f>
        <v>-5.45807524815437</v>
      </c>
      <c r="BJ67" s="4" t="n">
        <f aca="false">BJ9-BJ37</f>
        <v>-302.7978888415</v>
      </c>
      <c r="BK67" s="4" t="n">
        <f aca="false">BK9-BK37</f>
        <v>-2.72903762407718</v>
      </c>
      <c r="BL67" s="4" t="n">
        <f aca="false">BL9-BL37</f>
        <v>-299.20624836136</v>
      </c>
      <c r="BM67" s="4" t="n">
        <f aca="false">BM9-BM37</f>
        <v>-9.28152736891086</v>
      </c>
      <c r="BN67" s="4" t="n">
        <f aca="false">BN9-BN37</f>
        <v>0</v>
      </c>
      <c r="BO67" s="4" t="n">
        <f aca="false">BO9-BO37</f>
        <v>-9.52715604653116</v>
      </c>
      <c r="BP67" s="4" t="n">
        <f aca="false">BP9-BP37</f>
        <v>-17.4602028261639</v>
      </c>
      <c r="BQ67" s="4" t="n">
        <f aca="false">BQ9-BQ37</f>
        <v>0</v>
      </c>
      <c r="BR67" s="4" t="n">
        <f aca="false">BR9-BR37</f>
        <v>-0.317571836916321</v>
      </c>
      <c r="BS67" s="4" t="n">
        <f aca="false">BS9-BS37</f>
        <v>-0.0317571451813894</v>
      </c>
      <c r="BT67" s="4" t="n">
        <f aca="false">BT9-BT37</f>
        <v>0</v>
      </c>
      <c r="BU67" s="4" t="n">
        <f aca="false">BU9-BU37</f>
        <v>0</v>
      </c>
      <c r="BV67" s="4" t="n">
        <f aca="false">BV9-BV37</f>
        <v>0</v>
      </c>
      <c r="BW67" s="4" t="n">
        <f aca="false">BW9-BW37</f>
        <v>0</v>
      </c>
      <c r="BX67" s="4" t="n">
        <f aca="false">BX9-BX37</f>
        <v>-3.23424528800699</v>
      </c>
      <c r="BY67" s="4" t="n">
        <f aca="false">BY9-BY37</f>
        <v>-49.3651369013318</v>
      </c>
      <c r="BZ67" s="4" t="n">
        <f aca="false">BZ9-BZ37</f>
        <v>-0.26411286267977</v>
      </c>
      <c r="CA67" s="4" t="n">
        <f aca="false">CA9-CA37</f>
        <v>-0.0239957841126075</v>
      </c>
      <c r="CB67" s="4" t="n">
        <f aca="false">CB9-CB37</f>
        <v>-123.380407235671</v>
      </c>
      <c r="CC67" s="4" t="n">
        <f aca="false">CC9-CC37</f>
        <v>-442.446862480337</v>
      </c>
      <c r="CD67" s="4" t="n">
        <f aca="false">CD9-CD37</f>
        <v>0</v>
      </c>
      <c r="CE67" s="4" t="n">
        <f aca="false">CE9-CE37</f>
        <v>-2.27901838488338</v>
      </c>
      <c r="CF67" s="4" t="n">
        <f aca="false">CF9-CF37</f>
        <v>-281.611758146012</v>
      </c>
      <c r="CG67" s="4" t="n">
        <f aca="false">CG9-CG37</f>
        <v>-0.0213174619824809</v>
      </c>
      <c r="CH67" s="4" t="n">
        <f aca="false">CH9-CH37</f>
        <v>-1.05628904060735</v>
      </c>
      <c r="CI67" s="4" t="n">
        <f aca="false">CI9-CI37</f>
        <v>-0.0187089163391298</v>
      </c>
      <c r="CJ67" s="4" t="n">
        <f aca="false">CJ9-CJ37</f>
        <v>-0.0040508199113611</v>
      </c>
      <c r="CK67" s="4" t="n">
        <f aca="false">CK9-CK37</f>
        <v>-4.44158021383389</v>
      </c>
      <c r="CL67" s="7" t="s">
        <v>320</v>
      </c>
    </row>
    <row r="68" customFormat="false" ht="12.8" hidden="false" customHeight="false" outlineLevel="0" collapsed="false">
      <c r="A68" s="4" t="s">
        <v>142</v>
      </c>
      <c r="B68" s="7" t="s">
        <v>39</v>
      </c>
      <c r="C68" s="4" t="n">
        <f aca="false">C10-C38</f>
        <v>-0.00350810930571546</v>
      </c>
      <c r="D68" s="4" t="n">
        <f aca="false">D10-D38</f>
        <v>-369.975835310345</v>
      </c>
      <c r="E68" s="4" t="n">
        <f aca="false">E10-E38</f>
        <v>-64.492118302922</v>
      </c>
      <c r="F68" s="4" t="n">
        <f aca="false">F10-F38</f>
        <v>0</v>
      </c>
      <c r="G68" s="4" t="n">
        <f aca="false">G10-G38</f>
        <v>-5.07747720403838</v>
      </c>
      <c r="H68" s="4" t="n">
        <f aca="false">H10-H38</f>
        <v>-0.28035191472475</v>
      </c>
      <c r="I68" s="4" t="n">
        <f aca="false">I10-I38</f>
        <v>-0.785589488687446</v>
      </c>
      <c r="J68" s="4" t="n">
        <f aca="false">J10-J38</f>
        <v>1.60506899772535</v>
      </c>
      <c r="K68" s="4" t="n">
        <f aca="false">K10-K38</f>
        <v>0</v>
      </c>
      <c r="L68" s="4" t="n">
        <f aca="false">L10-L38</f>
        <v>0</v>
      </c>
      <c r="M68" s="4" t="n">
        <f aca="false">M10-M38</f>
        <v>0</v>
      </c>
      <c r="N68" s="4" t="n">
        <f aca="false">N10-N38</f>
        <v>-170.184779214964</v>
      </c>
      <c r="O68" s="4" t="n">
        <f aca="false">O10-O38</f>
        <v>0</v>
      </c>
      <c r="P68" s="4" t="n">
        <f aca="false">P10-P38</f>
        <v>0</v>
      </c>
      <c r="Q68" s="4" t="n">
        <f aca="false">Q10-Q38</f>
        <v>-0.3944840067481</v>
      </c>
      <c r="R68" s="4" t="n">
        <f aca="false">R10-R38</f>
        <v>-60.3718036920276</v>
      </c>
      <c r="S68" s="4" t="n">
        <f aca="false">S10-S38</f>
        <v>0</v>
      </c>
      <c r="T68" s="4" t="n">
        <f aca="false">T10-T38</f>
        <v>0</v>
      </c>
      <c r="U68" s="4" t="n">
        <f aca="false">U10-U38</f>
        <v>0</v>
      </c>
      <c r="V68" s="4" t="n">
        <f aca="false">V10-V38</f>
        <v>-98.5718342983888</v>
      </c>
      <c r="W68" s="4" t="n">
        <f aca="false">W10-W38</f>
        <v>-1357.62392470043</v>
      </c>
      <c r="X68" s="4" t="n">
        <f aca="false">X10-X38</f>
        <v>-256.135217759707</v>
      </c>
      <c r="Y68" s="4" t="n">
        <f aca="false">Y10-Y38</f>
        <v>0</v>
      </c>
      <c r="Z68" s="4" t="n">
        <f aca="false">Z10-Z38</f>
        <v>-6.44779305658674</v>
      </c>
      <c r="AA68" s="4" t="n">
        <f aca="false">AA10-AA38</f>
        <v>-0.219508619347817</v>
      </c>
      <c r="AB68" s="4" t="n">
        <f aca="false">AB10-AB38</f>
        <v>-3.66612399339117</v>
      </c>
      <c r="AC68" s="4" t="n">
        <f aca="false">AC10-AC38</f>
        <v>1.79663092468543</v>
      </c>
      <c r="AD68" s="4" t="n">
        <f aca="false">AD10-AD38</f>
        <v>-0.600183585862682</v>
      </c>
      <c r="AE68" s="4" t="n">
        <f aca="false">AE10-AE38</f>
        <v>-0.593777428235924</v>
      </c>
      <c r="AF68" s="4" t="n">
        <f aca="false">AF10-AF38</f>
        <v>-0.595356114572668</v>
      </c>
      <c r="AG68" s="4" t="n">
        <f aca="false">AG10-AG38</f>
        <v>-0.154853922892303</v>
      </c>
      <c r="AH68" s="4" t="n">
        <f aca="false">AH10-AH38</f>
        <v>-1.37912564702151</v>
      </c>
      <c r="AI68" s="4" t="n">
        <f aca="false">AI10-AI38</f>
        <v>0.0483771010443906</v>
      </c>
      <c r="AJ68" s="4" t="n">
        <f aca="false">AJ10-AJ38</f>
        <v>-1.36467971636583</v>
      </c>
      <c r="AK68" s="4" t="n">
        <f aca="false">AK10-AK38</f>
        <v>-0.756323079063416</v>
      </c>
      <c r="AL68" s="4" t="n">
        <f aca="false">AL10-AL38</f>
        <v>-0.380139796982082</v>
      </c>
      <c r="AM68" s="4" t="n">
        <f aca="false">AM10-AM38</f>
        <v>-0.261942062459796</v>
      </c>
      <c r="AN68" s="4" t="n">
        <f aca="false">AN10-AN38</f>
        <v>-0.0548616907906266</v>
      </c>
      <c r="AO68" s="4" t="n">
        <f aca="false">AO10-AO38</f>
        <v>-1.41510727721481</v>
      </c>
      <c r="AP68" s="4" t="n">
        <f aca="false">AP10-AP38</f>
        <v>-1.25210487174271</v>
      </c>
      <c r="AQ68" s="4" t="n">
        <f aca="false">AQ10-AQ38</f>
        <v>-0.193905660719159</v>
      </c>
      <c r="AR68" s="4" t="n">
        <f aca="false">AR10-AR38</f>
        <v>-0.186880230579864</v>
      </c>
      <c r="AS68" s="4" t="n">
        <f aca="false">AS10-AS38</f>
        <v>-0.068064242684303</v>
      </c>
      <c r="AT68" s="4" t="n">
        <f aca="false">AT10-AT38</f>
        <v>-1.25295874960977</v>
      </c>
      <c r="AU68" s="4" t="n">
        <f aca="false">AU10-AU38</f>
        <v>-3.23176623699035</v>
      </c>
      <c r="AV68" s="4" t="n">
        <f aca="false">AV10-AV38</f>
        <v>-0.311858350856604</v>
      </c>
      <c r="AW68" s="4" t="n">
        <f aca="false">AW10-AW38</f>
        <v>0.959520821725857</v>
      </c>
      <c r="AX68" s="4" t="n">
        <f aca="false">AX10-AX38</f>
        <v>-0.117657160886371</v>
      </c>
      <c r="AY68" s="4" t="n">
        <f aca="false">AY10-AY38</f>
        <v>0.0401375783768781</v>
      </c>
      <c r="AZ68" s="4" t="n">
        <f aca="false">AZ10-AZ38</f>
        <v>0.15349435815272</v>
      </c>
      <c r="BA68" s="4" t="n">
        <f aca="false">BA10-BA38</f>
        <v>0</v>
      </c>
      <c r="BB68" s="4" t="n">
        <f aca="false">BB10-BB38</f>
        <v>-0.596361000776987</v>
      </c>
      <c r="BC68" s="4" t="n">
        <f aca="false">BC10-BC38</f>
        <v>-0.122596338444098</v>
      </c>
      <c r="BD68" s="4" t="n">
        <f aca="false">BD10-BD38</f>
        <v>-0.00725158546628125</v>
      </c>
      <c r="BE68" s="4" t="n">
        <f aca="false">BE10-BE38</f>
        <v>-0.133522051864636</v>
      </c>
      <c r="BF68" s="4" t="n">
        <f aca="false">BF10-BF38</f>
        <v>-1.75248993017227</v>
      </c>
      <c r="BG68" s="4" t="n">
        <f aca="false">BG10-BG38</f>
        <v>-0.685665977085453</v>
      </c>
      <c r="BH68" s="4" t="n">
        <f aca="false">BH10-BH38</f>
        <v>-0.000508648667291806</v>
      </c>
      <c r="BI68" s="4" t="n">
        <f aca="false">BI10-BI38</f>
        <v>-8.64778463784271</v>
      </c>
      <c r="BJ68" s="4" t="n">
        <f aca="false">BJ10-BJ38</f>
        <v>-864.200033817273</v>
      </c>
      <c r="BK68" s="4" t="n">
        <f aca="false">BK10-BK38</f>
        <v>-4.32389231892136</v>
      </c>
      <c r="BL68" s="4" t="n">
        <f aca="false">BL10-BL38</f>
        <v>-763.73109559201</v>
      </c>
      <c r="BM68" s="4" t="n">
        <f aca="false">BM10-BM38</f>
        <v>-77.8213875058744</v>
      </c>
      <c r="BN68" s="4" t="n">
        <f aca="false">BN10-BN38</f>
        <v>0</v>
      </c>
      <c r="BO68" s="4" t="n">
        <f aca="false">BO10-BO38</f>
        <v>1.0956768696187</v>
      </c>
      <c r="BP68" s="4" t="n">
        <f aca="false">BP10-BP38</f>
        <v>3.27199173891638</v>
      </c>
      <c r="BQ68" s="4" t="n">
        <f aca="false">BQ10-BQ38</f>
        <v>0</v>
      </c>
      <c r="BR68" s="4" t="n">
        <f aca="false">BR10-BR38</f>
        <v>0.0365225560451481</v>
      </c>
      <c r="BS68" s="4" t="n">
        <f aca="false">BS10-BS38</f>
        <v>0.00365225385421265</v>
      </c>
      <c r="BT68" s="4" t="n">
        <f aca="false">BT10-BT38</f>
        <v>0</v>
      </c>
      <c r="BU68" s="4" t="n">
        <f aca="false">BU10-BU38</f>
        <v>0</v>
      </c>
      <c r="BV68" s="4" t="n">
        <f aca="false">BV10-BV38</f>
        <v>0</v>
      </c>
      <c r="BW68" s="4" t="n">
        <f aca="false">BW10-BW38</f>
        <v>0</v>
      </c>
      <c r="BX68" s="4" t="n">
        <f aca="false">BX10-BX38</f>
        <v>-0.350430349155907</v>
      </c>
      <c r="BY68" s="4" t="n">
        <f aca="false">BY10-BY38</f>
        <v>-95.3699911309971</v>
      </c>
      <c r="BZ68" s="4" t="n">
        <f aca="false">BZ10-BZ38</f>
        <v>-0.0839781701958247</v>
      </c>
      <c r="CA68" s="4" t="n">
        <f aca="false">CA10-CA38</f>
        <v>-0.138975287371948</v>
      </c>
      <c r="CB68" s="4" t="n">
        <f aca="false">CB10-CB38</f>
        <v>-420.662683391637</v>
      </c>
      <c r="CC68" s="4" t="n">
        <f aca="false">CC10-CC38</f>
        <v>-128.498612270723</v>
      </c>
      <c r="CD68" s="4" t="n">
        <f aca="false">CD10-CD38</f>
        <v>0</v>
      </c>
      <c r="CE68" s="4" t="n">
        <f aca="false">CE10-CE38</f>
        <v>-0.64919782902082</v>
      </c>
      <c r="CF68" s="4" t="n">
        <f aca="false">CF10-CF38</f>
        <v>-1411.42647155836</v>
      </c>
      <c r="CG68" s="4" t="n">
        <f aca="false">CG10-CG38</f>
        <v>5.6399900113896</v>
      </c>
      <c r="CH68" s="4" t="n">
        <f aca="false">CH10-CH38</f>
        <v>7.06755415848856</v>
      </c>
      <c r="CI68" s="4" t="n">
        <f aca="false">CI10-CI38</f>
        <v>-0.269945623893305</v>
      </c>
      <c r="CJ68" s="4" t="n">
        <f aca="false">CJ10-CJ38</f>
        <v>-0.0523798891740125</v>
      </c>
      <c r="CK68" s="4" t="n">
        <f aca="false">CK10-CK38</f>
        <v>-4.03535481597264</v>
      </c>
      <c r="CL68" s="7" t="s">
        <v>320</v>
      </c>
    </row>
    <row r="69" customFormat="false" ht="12.8" hidden="false" customHeight="false" outlineLevel="0" collapsed="false">
      <c r="A69" s="4" t="s">
        <v>143</v>
      </c>
      <c r="B69" s="7" t="s">
        <v>39</v>
      </c>
      <c r="C69" s="4" t="n">
        <f aca="false">C11-C39</f>
        <v>0.00796149001167621</v>
      </c>
      <c r="D69" s="4" t="n">
        <f aca="false">D11-D39</f>
        <v>1082.51330582753</v>
      </c>
      <c r="E69" s="4" t="n">
        <f aca="false">E11-E39</f>
        <v>390.716222370135</v>
      </c>
      <c r="F69" s="4" t="n">
        <f aca="false">F11-F39</f>
        <v>0</v>
      </c>
      <c r="G69" s="4" t="n">
        <f aca="false">G11-G39</f>
        <v>666.653166741021</v>
      </c>
      <c r="H69" s="4" t="n">
        <f aca="false">H11-H39</f>
        <v>4.05113853418106</v>
      </c>
      <c r="I69" s="4" t="n">
        <f aca="false">I11-I39</f>
        <v>1.40229639184098</v>
      </c>
      <c r="J69" s="4" t="n">
        <f aca="false">J11-J39</f>
        <v>-0.0112661740251006</v>
      </c>
      <c r="K69" s="4" t="n">
        <f aca="false">K11-K39</f>
        <v>0</v>
      </c>
      <c r="L69" s="4" t="n">
        <f aca="false">L11-L39</f>
        <v>0</v>
      </c>
      <c r="M69" s="4" t="n">
        <f aca="false">M11-M39</f>
        <v>0</v>
      </c>
      <c r="N69" s="4" t="n">
        <f aca="false">N11-N39</f>
        <v>1252.30315161215</v>
      </c>
      <c r="O69" s="4" t="n">
        <f aca="false">O11-O39</f>
        <v>0</v>
      </c>
      <c r="P69" s="4" t="n">
        <f aca="false">P11-P39</f>
        <v>0</v>
      </c>
      <c r="Q69" s="4" t="n">
        <f aca="false">Q11-Q39</f>
        <v>7.95572113656566</v>
      </c>
      <c r="R69" s="4" t="n">
        <f aca="false">R11-R39</f>
        <v>53.9723675854929</v>
      </c>
      <c r="S69" s="4" t="n">
        <f aca="false">S11-S39</f>
        <v>0</v>
      </c>
      <c r="T69" s="4" t="n">
        <f aca="false">T11-T39</f>
        <v>0</v>
      </c>
      <c r="U69" s="4" t="n">
        <f aca="false">U11-U39</f>
        <v>0</v>
      </c>
      <c r="V69" s="4" t="n">
        <f aca="false">V11-V39</f>
        <v>129.506237246542</v>
      </c>
      <c r="W69" s="4" t="n">
        <f aca="false">W11-W39</f>
        <v>391.813232049387</v>
      </c>
      <c r="X69" s="4" t="n">
        <f aca="false">X11-X39</f>
        <v>205.036108914684</v>
      </c>
      <c r="Y69" s="4" t="n">
        <f aca="false">Y11-Y39</f>
        <v>0</v>
      </c>
      <c r="Z69" s="4" t="n">
        <f aca="false">Z11-Z39</f>
        <v>37.703475785226</v>
      </c>
      <c r="AA69" s="4" t="n">
        <f aca="false">AA11-AA39</f>
        <v>1.56849181161809</v>
      </c>
      <c r="AB69" s="4" t="n">
        <f aca="false">AB11-AB39</f>
        <v>12.2111046856479</v>
      </c>
      <c r="AC69" s="4" t="n">
        <f aca="false">AC11-AC39</f>
        <v>-3.34527774394076</v>
      </c>
      <c r="AD69" s="4" t="n">
        <f aca="false">AD11-AD39</f>
        <v>1.99908803160733</v>
      </c>
      <c r="AE69" s="4" t="n">
        <f aca="false">AE11-AE39</f>
        <v>0.0539671804761781</v>
      </c>
      <c r="AF69" s="4" t="n">
        <f aca="false">AF11-AF39</f>
        <v>0.802468544344047</v>
      </c>
      <c r="AG69" s="4" t="n">
        <f aca="false">AG11-AG39</f>
        <v>5.29146340479395</v>
      </c>
      <c r="AH69" s="4" t="n">
        <f aca="false">AH11-AH39</f>
        <v>1.46559967414074</v>
      </c>
      <c r="AI69" s="4" t="n">
        <f aca="false">AI11-AI39</f>
        <v>0.500503546613679</v>
      </c>
      <c r="AJ69" s="4" t="n">
        <f aca="false">AJ11-AJ39</f>
        <v>1.7019815153983</v>
      </c>
      <c r="AK69" s="4" t="n">
        <f aca="false">AK11-AK39</f>
        <v>0.316310679396755</v>
      </c>
      <c r="AL69" s="4" t="n">
        <f aca="false">AL11-AL39</f>
        <v>0.300881248303257</v>
      </c>
      <c r="AM69" s="4" t="n">
        <f aca="false">AM11-AM39</f>
        <v>2.59646421029963</v>
      </c>
      <c r="AN69" s="4" t="n">
        <f aca="false">AN11-AN39</f>
        <v>-0.414517641290241</v>
      </c>
      <c r="AO69" s="4" t="n">
        <f aca="false">AO11-AO39</f>
        <v>0.462118098497712</v>
      </c>
      <c r="AP69" s="4" t="n">
        <f aca="false">AP11-AP39</f>
        <v>2.42163098739794</v>
      </c>
      <c r="AQ69" s="4" t="n">
        <f aca="false">AQ11-AQ39</f>
        <v>0.0532769413284212</v>
      </c>
      <c r="AR69" s="4" t="n">
        <f aca="false">AR11-AR39</f>
        <v>-0.0568577851467554</v>
      </c>
      <c r="AS69" s="4" t="n">
        <f aca="false">AS11-AS39</f>
        <v>0.362248287134592</v>
      </c>
      <c r="AT69" s="4" t="n">
        <f aca="false">AT11-AT39</f>
        <v>1.0563290652131</v>
      </c>
      <c r="AU69" s="4" t="n">
        <f aca="false">AU11-AU39</f>
        <v>4.95961614489547</v>
      </c>
      <c r="AV69" s="4" t="n">
        <f aca="false">AV11-AV39</f>
        <v>0.33262211431362</v>
      </c>
      <c r="AW69" s="4" t="n">
        <f aca="false">AW11-AW39</f>
        <v>-1.66100818926966</v>
      </c>
      <c r="AX69" s="4" t="n">
        <f aca="false">AX11-AX39</f>
        <v>0.255504406281229</v>
      </c>
      <c r="AY69" s="4" t="n">
        <f aca="false">AY11-AY39</f>
        <v>-0.0785708745119018</v>
      </c>
      <c r="AZ69" s="4" t="n">
        <f aca="false">AZ11-AZ39</f>
        <v>0.43586354648693</v>
      </c>
      <c r="BA69" s="4" t="n">
        <f aca="false">BA11-BA39</f>
        <v>0</v>
      </c>
      <c r="BB69" s="4" t="n">
        <f aca="false">BB11-BB39</f>
        <v>0.0161242881875487</v>
      </c>
      <c r="BC69" s="4" t="n">
        <f aca="false">BC11-BC39</f>
        <v>0.483518054627382</v>
      </c>
      <c r="BD69" s="4" t="n">
        <f aca="false">BD11-BD39</f>
        <v>0.14993297477521</v>
      </c>
      <c r="BE69" s="4" t="n">
        <f aca="false">BE11-BE39</f>
        <v>0.0713390479178239</v>
      </c>
      <c r="BF69" s="4" t="n">
        <f aca="false">BF11-BF39</f>
        <v>3.4198026695817</v>
      </c>
      <c r="BG69" s="4" t="n">
        <f aca="false">BG11-BG39</f>
        <v>1.41143072202423</v>
      </c>
      <c r="BH69" s="4" t="n">
        <f aca="false">BH11-BH39</f>
        <v>0.713457473839931</v>
      </c>
      <c r="BI69" s="4" t="n">
        <f aca="false">BI11-BI39</f>
        <v>13.1244212110113</v>
      </c>
      <c r="BJ69" s="4" t="n">
        <f aca="false">BJ11-BJ39</f>
        <v>23.2958329427937</v>
      </c>
      <c r="BK69" s="4" t="n">
        <f aca="false">BK11-BK39</f>
        <v>6.56221060550563</v>
      </c>
      <c r="BL69" s="4" t="n">
        <f aca="false">BL11-BL39</f>
        <v>330.327610074939</v>
      </c>
      <c r="BM69" s="4" t="n">
        <f aca="false">BM11-BM39</f>
        <v>49.3102917245854</v>
      </c>
      <c r="BN69" s="4" t="n">
        <f aca="false">BN11-BN39</f>
        <v>0</v>
      </c>
      <c r="BO69" s="4" t="n">
        <f aca="false">BO11-BO39</f>
        <v>-33.3383785519316</v>
      </c>
      <c r="BP69" s="4" t="n">
        <f aca="false">BP11-BP39</f>
        <v>-50.5544750157972</v>
      </c>
      <c r="BQ69" s="4" t="n">
        <f aca="false">BQ11-BQ39</f>
        <v>0</v>
      </c>
      <c r="BR69" s="4" t="n">
        <f aca="false">BR11-BR39</f>
        <v>-1.11127923401453</v>
      </c>
      <c r="BS69" s="4" t="n">
        <f aca="false">BS11-BS39</f>
        <v>-0.111127875941531</v>
      </c>
      <c r="BT69" s="4" t="n">
        <f aca="false">BT11-BT39</f>
        <v>0</v>
      </c>
      <c r="BU69" s="4" t="n">
        <f aca="false">BU11-BU39</f>
        <v>0</v>
      </c>
      <c r="BV69" s="4" t="n">
        <f aca="false">BV11-BV39</f>
        <v>0</v>
      </c>
      <c r="BW69" s="4" t="n">
        <f aca="false">BW11-BW39</f>
        <v>0</v>
      </c>
      <c r="BX69" s="4" t="n">
        <f aca="false">BX11-BX39</f>
        <v>6.53102699585047</v>
      </c>
      <c r="BY69" s="4" t="n">
        <f aca="false">BY11-BY39</f>
        <v>169.919261020545</v>
      </c>
      <c r="BZ69" s="4" t="n">
        <f aca="false">BZ11-BZ39</f>
        <v>0.0880157061903247</v>
      </c>
      <c r="CA69" s="4" t="n">
        <f aca="false">CA11-CA39</f>
        <v>0.0233176146103965</v>
      </c>
      <c r="CB69" s="4" t="n">
        <f aca="false">CB11-CB39</f>
        <v>578.988864368807</v>
      </c>
      <c r="CC69" s="4" t="n">
        <f aca="false">CC11-CC39</f>
        <v>115.49888499114</v>
      </c>
      <c r="CD69" s="4" t="n">
        <f aca="false">CD11-CD39</f>
        <v>0</v>
      </c>
      <c r="CE69" s="4" t="n">
        <f aca="false">CE11-CE39</f>
        <v>0.857980839038426</v>
      </c>
      <c r="CF69" s="4" t="n">
        <f aca="false">CF11-CF39</f>
        <v>163.075935959503</v>
      </c>
      <c r="CG69" s="4" t="n">
        <f aca="false">CG11-CG39</f>
        <v>-3.85322810157421</v>
      </c>
      <c r="CH69" s="4" t="n">
        <f aca="false">CH11-CH39</f>
        <v>-0.554677247867897</v>
      </c>
      <c r="CI69" s="4" t="n">
        <f aca="false">CI11-CI39</f>
        <v>0.0877672031327195</v>
      </c>
      <c r="CJ69" s="4" t="n">
        <f aca="false">CJ11-CJ39</f>
        <v>0.0448268198180919</v>
      </c>
      <c r="CK69" s="4" t="n">
        <f aca="false">CK11-CK39</f>
        <v>0.95872460775556</v>
      </c>
      <c r="CL69" s="7" t="s">
        <v>320</v>
      </c>
    </row>
    <row r="70" customFormat="false" ht="12.8" hidden="false" customHeight="false" outlineLevel="0" collapsed="false">
      <c r="A70" s="4" t="s">
        <v>144</v>
      </c>
      <c r="B70" s="7" t="s">
        <v>39</v>
      </c>
      <c r="C70" s="4" t="n">
        <f aca="false">C12-C40</f>
        <v>-0.00347780500235849</v>
      </c>
      <c r="D70" s="4" t="n">
        <f aca="false">D12-D40</f>
        <v>-385.795932256088</v>
      </c>
      <c r="E70" s="4" t="n">
        <f aca="false">E12-E40</f>
        <v>-59.7090328175385</v>
      </c>
      <c r="F70" s="4" t="n">
        <f aca="false">F12-F40</f>
        <v>0</v>
      </c>
      <c r="G70" s="4" t="n">
        <f aca="false">G12-G40</f>
        <v>-179.887085554736</v>
      </c>
      <c r="H70" s="4" t="n">
        <f aca="false">H12-H40</f>
        <v>-0.309816899558207</v>
      </c>
      <c r="I70" s="4" t="n">
        <f aca="false">I12-I40</f>
        <v>0.63181401869841</v>
      </c>
      <c r="J70" s="4" t="n">
        <f aca="false">J12-J40</f>
        <v>-0.115943634615588</v>
      </c>
      <c r="K70" s="4" t="n">
        <f aca="false">K12-K40</f>
        <v>0</v>
      </c>
      <c r="L70" s="4" t="n">
        <f aca="false">L12-L40</f>
        <v>0</v>
      </c>
      <c r="M70" s="4" t="n">
        <f aca="false">M12-M40</f>
        <v>0</v>
      </c>
      <c r="N70" s="4" t="n">
        <f aca="false">N12-N40</f>
        <v>-201.337654396984</v>
      </c>
      <c r="O70" s="4" t="n">
        <f aca="false">O12-O40</f>
        <v>0</v>
      </c>
      <c r="P70" s="4" t="n">
        <f aca="false">P12-P40</f>
        <v>0</v>
      </c>
      <c r="Q70" s="4" t="n">
        <f aca="false">Q12-Q40</f>
        <v>-10.8573277043663</v>
      </c>
      <c r="R70" s="4" t="n">
        <f aca="false">R12-R40</f>
        <v>-56.3763486133981</v>
      </c>
      <c r="S70" s="4" t="n">
        <f aca="false">S12-S40</f>
        <v>0</v>
      </c>
      <c r="T70" s="4" t="n">
        <f aca="false">T12-T40</f>
        <v>0</v>
      </c>
      <c r="U70" s="4" t="n">
        <f aca="false">U12-U40</f>
        <v>0</v>
      </c>
      <c r="V70" s="4" t="n">
        <f aca="false">V12-V40</f>
        <v>-313.672312993703</v>
      </c>
      <c r="W70" s="4" t="n">
        <f aca="false">W12-W40</f>
        <v>-1307.68581537283</v>
      </c>
      <c r="X70" s="4" t="n">
        <f aca="false">X12-X40</f>
        <v>-562.991909976729</v>
      </c>
      <c r="Y70" s="4" t="n">
        <f aca="false">Y12-Y40</f>
        <v>0</v>
      </c>
      <c r="Z70" s="4" t="n">
        <f aca="false">Z12-Z40</f>
        <v>-7.941665798685</v>
      </c>
      <c r="AA70" s="4" t="n">
        <f aca="false">AA12-AA40</f>
        <v>-0.38134951848274</v>
      </c>
      <c r="AB70" s="4" t="n">
        <f aca="false">AB12-AB40</f>
        <v>-2.47000810849656</v>
      </c>
      <c r="AC70" s="4" t="n">
        <f aca="false">AC12-AC40</f>
        <v>1.82768555193448</v>
      </c>
      <c r="AD70" s="4" t="n">
        <f aca="false">AD12-AD40</f>
        <v>-0.404366662540535</v>
      </c>
      <c r="AE70" s="4" t="n">
        <f aca="false">AE12-AE40</f>
        <v>-0.573341349702268</v>
      </c>
      <c r="AF70" s="4" t="n">
        <f aca="false">AF12-AF40</f>
        <v>-1.12461978527347</v>
      </c>
      <c r="AG70" s="4" t="n">
        <f aca="false">AG12-AG40</f>
        <v>-0.40068624631725</v>
      </c>
      <c r="AH70" s="4" t="n">
        <f aca="false">AH12-AH40</f>
        <v>0.372569443065402</v>
      </c>
      <c r="AI70" s="4" t="n">
        <f aca="false">AI12-AI40</f>
        <v>-0.440588095937047</v>
      </c>
      <c r="AJ70" s="4" t="n">
        <f aca="false">AJ12-AJ40</f>
        <v>-0.336401824345318</v>
      </c>
      <c r="AK70" s="4" t="n">
        <f aca="false">AK12-AK40</f>
        <v>-0.76867574112099</v>
      </c>
      <c r="AL70" s="4" t="n">
        <f aca="false">AL12-AL40</f>
        <v>-0.805515968885661</v>
      </c>
      <c r="AM70" s="4" t="n">
        <f aca="false">AM12-AM40</f>
        <v>-1.37948413246429</v>
      </c>
      <c r="AN70" s="4" t="n">
        <f aca="false">AN12-AN40</f>
        <v>-0.946500610446086</v>
      </c>
      <c r="AO70" s="4" t="n">
        <f aca="false">AO12-AO40</f>
        <v>-3.31679586797405</v>
      </c>
      <c r="AP70" s="4" t="n">
        <f aca="false">AP12-AP40</f>
        <v>-1.2277975606128</v>
      </c>
      <c r="AQ70" s="4" t="n">
        <f aca="false">AQ12-AQ40</f>
        <v>0.0406032311289494</v>
      </c>
      <c r="AR70" s="4" t="n">
        <f aca="false">AR12-AR40</f>
        <v>-0.00451858600412659</v>
      </c>
      <c r="AS70" s="4" t="n">
        <f aca="false">AS12-AS40</f>
        <v>-0.144264932852379</v>
      </c>
      <c r="AT70" s="4" t="n">
        <f aca="false">AT12-AT40</f>
        <v>-1.97492747227552</v>
      </c>
      <c r="AU70" s="4" t="n">
        <f aca="false">AU12-AU40</f>
        <v>-1.90712380601997</v>
      </c>
      <c r="AV70" s="4" t="n">
        <f aca="false">AV12-AV40</f>
        <v>0.0225096055153076</v>
      </c>
      <c r="AW70" s="4" t="n">
        <f aca="false">AW12-AW40</f>
        <v>0.960873258348658</v>
      </c>
      <c r="AX70" s="4" t="n">
        <f aca="false">AX12-AX40</f>
        <v>-0.102677134919324</v>
      </c>
      <c r="AY70" s="4" t="n">
        <f aca="false">AY12-AY40</f>
        <v>0.0651890834062897</v>
      </c>
      <c r="AZ70" s="4" t="n">
        <f aca="false">AZ12-AZ40</f>
        <v>0.335837592305869</v>
      </c>
      <c r="BA70" s="4" t="n">
        <f aca="false">BA12-BA40</f>
        <v>0</v>
      </c>
      <c r="BB70" s="4" t="n">
        <f aca="false">BB12-BB40</f>
        <v>0.0558174241730247</v>
      </c>
      <c r="BC70" s="4" t="n">
        <f aca="false">BC12-BC40</f>
        <v>-0.247715015111366</v>
      </c>
      <c r="BD70" s="4" t="n">
        <f aca="false">BD12-BD40</f>
        <v>-0.0943898332118372</v>
      </c>
      <c r="BE70" s="4" t="n">
        <f aca="false">BE12-BE40</f>
        <v>-0.0457259716116185</v>
      </c>
      <c r="BF70" s="4" t="n">
        <f aca="false">BF12-BF40</f>
        <v>-0.219386840699458</v>
      </c>
      <c r="BG70" s="4" t="n">
        <f aca="false">BG12-BG40</f>
        <v>-0.975856906791567</v>
      </c>
      <c r="BH70" s="4" t="n">
        <f aca="false">BH12-BH40</f>
        <v>-0.00051385045833676</v>
      </c>
      <c r="BI70" s="4" t="n">
        <f aca="false">BI12-BI40</f>
        <v>-9.0452697745634</v>
      </c>
      <c r="BJ70" s="4" t="n">
        <f aca="false">BJ12-BJ40</f>
        <v>-369.624432864519</v>
      </c>
      <c r="BK70" s="4" t="n">
        <f aca="false">BK12-BK40</f>
        <v>-4.5226348872817</v>
      </c>
      <c r="BL70" s="4" t="n">
        <f aca="false">BL12-BL40</f>
        <v>-521.813591784392</v>
      </c>
      <c r="BM70" s="4" t="n">
        <f aca="false">BM12-BM40</f>
        <v>-46.2843215018349</v>
      </c>
      <c r="BN70" s="4" t="n">
        <f aca="false">BN12-BN40</f>
        <v>0</v>
      </c>
      <c r="BO70" s="4" t="n">
        <f aca="false">BO12-BO40</f>
        <v>2.35037459384558</v>
      </c>
      <c r="BP70" s="4" t="n">
        <f aca="false">BP12-BP40</f>
        <v>6.78755047494387</v>
      </c>
      <c r="BQ70" s="4" t="n">
        <f aca="false">BQ12-BQ40</f>
        <v>0</v>
      </c>
      <c r="BR70" s="4" t="n">
        <f aca="false">BR12-BR40</f>
        <v>0.0783458087320995</v>
      </c>
      <c r="BS70" s="4" t="n">
        <f aca="false">BS12-BS40</f>
        <v>0.00783457684782902</v>
      </c>
      <c r="BT70" s="4" t="n">
        <f aca="false">BT12-BT40</f>
        <v>0</v>
      </c>
      <c r="BU70" s="4" t="n">
        <f aca="false">BU12-BU40</f>
        <v>0</v>
      </c>
      <c r="BV70" s="4" t="n">
        <f aca="false">BV12-BV40</f>
        <v>0</v>
      </c>
      <c r="BW70" s="4" t="n">
        <f aca="false">BW12-BW40</f>
        <v>0</v>
      </c>
      <c r="BX70" s="4" t="n">
        <f aca="false">BX12-BX40</f>
        <v>-4.29451761958778</v>
      </c>
      <c r="BY70" s="4" t="n">
        <f aca="false">BY12-BY40</f>
        <v>-130.480449019742</v>
      </c>
      <c r="BZ70" s="4" t="n">
        <f aca="false">BZ12-BZ40</f>
        <v>-0.59981942091941</v>
      </c>
      <c r="CA70" s="4" t="n">
        <f aca="false">CA12-CA40</f>
        <v>-0.0327556207108712</v>
      </c>
      <c r="CB70" s="4" t="n">
        <f aca="false">CB12-CB40</f>
        <v>-550.140540676456</v>
      </c>
      <c r="CC70" s="4" t="n">
        <f aca="false">CC12-CC40</f>
        <v>-177.413458905211</v>
      </c>
      <c r="CD70" s="4" t="n">
        <f aca="false">CD12-CD40</f>
        <v>0</v>
      </c>
      <c r="CE70" s="4" t="n">
        <f aca="false">CE12-CE40</f>
        <v>-2.04945678627596</v>
      </c>
      <c r="CF70" s="4" t="n">
        <f aca="false">CF12-CF40</f>
        <v>-1475.97963418427</v>
      </c>
      <c r="CG70" s="4" t="n">
        <f aca="false">CG12-CG40</f>
        <v>5.66181727816392</v>
      </c>
      <c r="CH70" s="4" t="n">
        <f aca="false">CH12-CH40</f>
        <v>7.38628858356468</v>
      </c>
      <c r="CI70" s="4" t="n">
        <f aca="false">CI12-CI40</f>
        <v>-0.185097868933568</v>
      </c>
      <c r="CJ70" s="4" t="n">
        <f aca="false">CJ12-CJ40</f>
        <v>-0.0622680088993393</v>
      </c>
      <c r="CK70" s="4" t="n">
        <f aca="false">CK12-CK40</f>
        <v>-10.1032057922001</v>
      </c>
      <c r="CL70" s="7" t="s">
        <v>320</v>
      </c>
    </row>
    <row r="71" customFormat="false" ht="12.8" hidden="false" customHeight="false" outlineLevel="0" collapsed="false">
      <c r="A71" s="4" t="s">
        <v>145</v>
      </c>
      <c r="B71" s="7" t="s">
        <v>39</v>
      </c>
      <c r="C71" s="4" t="n">
        <f aca="false">C13-C41</f>
        <v>-0.000665946654644872</v>
      </c>
      <c r="D71" s="4" t="n">
        <f aca="false">D13-D41</f>
        <v>-120.000484283929</v>
      </c>
      <c r="E71" s="4" t="n">
        <f aca="false">E13-E41</f>
        <v>-113.769680048693</v>
      </c>
      <c r="F71" s="4" t="n">
        <f aca="false">F13-F41</f>
        <v>0</v>
      </c>
      <c r="G71" s="4" t="n">
        <f aca="false">G13-G41</f>
        <v>-90.4317957963806</v>
      </c>
      <c r="H71" s="4" t="n">
        <f aca="false">H13-H41</f>
        <v>-0.599755002707491</v>
      </c>
      <c r="I71" s="4" t="n">
        <f aca="false">I13-I41</f>
        <v>0.936745659425174</v>
      </c>
      <c r="J71" s="4" t="n">
        <f aca="false">J13-J41</f>
        <v>0.0254001925512637</v>
      </c>
      <c r="K71" s="4" t="n">
        <f aca="false">K13-K41</f>
        <v>0</v>
      </c>
      <c r="L71" s="4" t="n">
        <f aca="false">L13-L41</f>
        <v>0</v>
      </c>
      <c r="M71" s="4" t="n">
        <f aca="false">M13-M41</f>
        <v>0</v>
      </c>
      <c r="N71" s="4" t="n">
        <f aca="false">N13-N41</f>
        <v>-165.674840679801</v>
      </c>
      <c r="O71" s="4" t="n">
        <f aca="false">O13-O41</f>
        <v>0</v>
      </c>
      <c r="P71" s="4" t="n">
        <f aca="false">P13-P41</f>
        <v>0</v>
      </c>
      <c r="Q71" s="4" t="n">
        <f aca="false">Q13-Q41</f>
        <v>-3.60065239172568</v>
      </c>
      <c r="R71" s="4" t="n">
        <f aca="false">R13-R41</f>
        <v>-12.2157809335186</v>
      </c>
      <c r="S71" s="4" t="n">
        <f aca="false">S13-S41</f>
        <v>0</v>
      </c>
      <c r="T71" s="4" t="n">
        <f aca="false">T13-T41</f>
        <v>0</v>
      </c>
      <c r="U71" s="4" t="n">
        <f aca="false">U13-U41</f>
        <v>0</v>
      </c>
      <c r="V71" s="4" t="n">
        <f aca="false">V13-V41</f>
        <v>-24.1667091083479</v>
      </c>
      <c r="W71" s="4" t="n">
        <f aca="false">W13-W41</f>
        <v>-89.7137058983373</v>
      </c>
      <c r="X71" s="4" t="n">
        <f aca="false">X13-X41</f>
        <v>35.264775816355</v>
      </c>
      <c r="Y71" s="4" t="n">
        <f aca="false">Y13-Y41</f>
        <v>0</v>
      </c>
      <c r="Z71" s="4" t="n">
        <f aca="false">Z13-Z41</f>
        <v>16.0188921167798</v>
      </c>
      <c r="AA71" s="4" t="n">
        <f aca="false">AA13-AA41</f>
        <v>-3.54485975684075</v>
      </c>
      <c r="AB71" s="4" t="n">
        <f aca="false">AB13-AB41</f>
        <v>-15.4024339074994</v>
      </c>
      <c r="AC71" s="4" t="n">
        <f aca="false">AC13-AC41</f>
        <v>-1.24684573021203</v>
      </c>
      <c r="AD71" s="4" t="n">
        <f aca="false">AD13-AD41</f>
        <v>-2.5215426511161</v>
      </c>
      <c r="AE71" s="4" t="n">
        <f aca="false">AE13-AE41</f>
        <v>-1.59970643930368</v>
      </c>
      <c r="AF71" s="4" t="n">
        <f aca="false">AF13-AF41</f>
        <v>-0.116716144644401</v>
      </c>
      <c r="AG71" s="4" t="n">
        <f aca="false">AG13-AG41</f>
        <v>1.71923827498145</v>
      </c>
      <c r="AH71" s="4" t="n">
        <f aca="false">AH13-AH41</f>
        <v>-0.0901017750429123</v>
      </c>
      <c r="AI71" s="4" t="n">
        <f aca="false">AI13-AI41</f>
        <v>0.371446431917496</v>
      </c>
      <c r="AJ71" s="4" t="n">
        <f aca="false">AJ13-AJ41</f>
        <v>-0.839033318926587</v>
      </c>
      <c r="AK71" s="4" t="n">
        <f aca="false">AK13-AK41</f>
        <v>-0.64655716279447</v>
      </c>
      <c r="AL71" s="4" t="n">
        <f aca="false">AL13-AL41</f>
        <v>-0.0744006316701007</v>
      </c>
      <c r="AM71" s="4" t="n">
        <f aca="false">AM13-AM41</f>
        <v>-1.18106938611588</v>
      </c>
      <c r="AN71" s="4" t="n">
        <f aca="false">AN13-AN41</f>
        <v>-0.559756560004887</v>
      </c>
      <c r="AO71" s="4" t="n">
        <f aca="false">AO13-AO41</f>
        <v>-1.09460854640048</v>
      </c>
      <c r="AP71" s="4" t="n">
        <f aca="false">AP13-AP41</f>
        <v>-0.726276057254349</v>
      </c>
      <c r="AQ71" s="4" t="n">
        <f aca="false">AQ13-AQ41</f>
        <v>0.0369277738157263</v>
      </c>
      <c r="AR71" s="4" t="n">
        <f aca="false">AR13-AR41</f>
        <v>0.00410299758338781</v>
      </c>
      <c r="AS71" s="4" t="n">
        <f aca="false">AS13-AS41</f>
        <v>-0.170709188377763</v>
      </c>
      <c r="AT71" s="4" t="n">
        <f aca="false">AT13-AT41</f>
        <v>-0.113569634257857</v>
      </c>
      <c r="AU71" s="4" t="n">
        <f aca="false">AU13-AU41</f>
        <v>1.82143491720289</v>
      </c>
      <c r="AV71" s="4" t="n">
        <f aca="false">AV13-AV41</f>
        <v>-0.0213701626727635</v>
      </c>
      <c r="AW71" s="4" t="n">
        <f aca="false">AW13-AW41</f>
        <v>-0.732652262494662</v>
      </c>
      <c r="AX71" s="4" t="n">
        <f aca="false">AX13-AX41</f>
        <v>0.00911234986621257</v>
      </c>
      <c r="AY71" s="4" t="n">
        <f aca="false">AY13-AY41</f>
        <v>-0.159472132722743</v>
      </c>
      <c r="AZ71" s="4" t="n">
        <f aca="false">AZ13-AZ41</f>
        <v>-1.72883574259806</v>
      </c>
      <c r="BA71" s="4" t="n">
        <f aca="false">BA13-BA41</f>
        <v>0</v>
      </c>
      <c r="BB71" s="4" t="n">
        <f aca="false">BB13-BB41</f>
        <v>-0.222016225835643</v>
      </c>
      <c r="BC71" s="4" t="n">
        <f aca="false">BC13-BC41</f>
        <v>0.119642370549977</v>
      </c>
      <c r="BD71" s="4" t="n">
        <f aca="false">BD13-BD41</f>
        <v>-0.132137123110751</v>
      </c>
      <c r="BE71" s="4" t="n">
        <f aca="false">BE13-BE41</f>
        <v>-0.0167164144080508</v>
      </c>
      <c r="BF71" s="4" t="n">
        <f aca="false">BF13-BF41</f>
        <v>-1.15271396256134</v>
      </c>
      <c r="BG71" s="4" t="n">
        <f aca="false">BG13-BG41</f>
        <v>-3.41374390079228</v>
      </c>
      <c r="BH71" s="4" t="n">
        <f aca="false">BH13-BH41</f>
        <v>-7.67747203463033</v>
      </c>
      <c r="BI71" s="4" t="n">
        <f aca="false">BI13-BI41</f>
        <v>-4.56478832159015</v>
      </c>
      <c r="BJ71" s="4" t="n">
        <f aca="false">BJ13-BJ41</f>
        <v>-85.3586530288582</v>
      </c>
      <c r="BK71" s="4" t="n">
        <f aca="false">BK13-BK41</f>
        <v>-2.28239416079507</v>
      </c>
      <c r="BL71" s="4" t="n">
        <f aca="false">BL13-BL41</f>
        <v>-156.169327872792</v>
      </c>
      <c r="BM71" s="4" t="n">
        <f aca="false">BM13-BM41</f>
        <v>-15.0659876137565</v>
      </c>
      <c r="BN71" s="4" t="n">
        <f aca="false">BN13-BN41</f>
        <v>0</v>
      </c>
      <c r="BO71" s="4" t="n">
        <f aca="false">BO13-BO41</f>
        <v>-12.7962793382233</v>
      </c>
      <c r="BP71" s="4" t="n">
        <f aca="false">BP13-BP41</f>
        <v>-20.8063514008061</v>
      </c>
      <c r="BQ71" s="4" t="n">
        <f aca="false">BQ13-BQ41</f>
        <v>0</v>
      </c>
      <c r="BR71" s="4" t="n">
        <f aca="false">BR13-BR41</f>
        <v>-0.426542599775682</v>
      </c>
      <c r="BS71" s="4" t="n">
        <f aca="false">BS13-BS41</f>
        <v>-0.0426542389398575</v>
      </c>
      <c r="BT71" s="4" t="n">
        <f aca="false">BT13-BT41</f>
        <v>0</v>
      </c>
      <c r="BU71" s="4" t="n">
        <f aca="false">BU13-BU41</f>
        <v>0</v>
      </c>
      <c r="BV71" s="4" t="n">
        <f aca="false">BV13-BV41</f>
        <v>0</v>
      </c>
      <c r="BW71" s="4" t="n">
        <f aca="false">BW13-BW41</f>
        <v>0</v>
      </c>
      <c r="BX71" s="4" t="n">
        <f aca="false">BX13-BX41</f>
        <v>-0.22601282838203</v>
      </c>
      <c r="BY71" s="4" t="n">
        <f aca="false">BY13-BY41</f>
        <v>-14.2867179919229</v>
      </c>
      <c r="BZ71" s="4" t="n">
        <f aca="false">BZ13-BZ41</f>
        <v>0.034172148927794</v>
      </c>
      <c r="CA71" s="4" t="n">
        <f aca="false">CA13-CA41</f>
        <v>0.0144225493958072</v>
      </c>
      <c r="CB71" s="4" t="n">
        <f aca="false">CB13-CB41</f>
        <v>-145.467910139322</v>
      </c>
      <c r="CC71" s="4" t="n">
        <f aca="false">CC13-CC41</f>
        <v>-148.560548705166</v>
      </c>
      <c r="CD71" s="4" t="n">
        <f aca="false">CD13-CD41</f>
        <v>0</v>
      </c>
      <c r="CE71" s="4" t="n">
        <f aca="false">CE13-CE41</f>
        <v>-1.2721185584173</v>
      </c>
      <c r="CF71" s="4" t="n">
        <f aca="false">CF13-CF41</f>
        <v>-124.272018030143</v>
      </c>
      <c r="CG71" s="4" t="n">
        <f aca="false">CG13-CG41</f>
        <v>-1.52043609408449</v>
      </c>
      <c r="CH71" s="4" t="n">
        <f aca="false">CH13-CH41</f>
        <v>-1.64472339508181</v>
      </c>
      <c r="CI71" s="4" t="n">
        <f aca="false">CI13-CI41</f>
        <v>-0.0522971951574327</v>
      </c>
      <c r="CJ71" s="4" t="n">
        <f aca="false">CJ13-CJ41</f>
        <v>-0.0205886458861402</v>
      </c>
      <c r="CK71" s="4" t="n">
        <f aca="false">CK13-CK41</f>
        <v>-1.36151584123082</v>
      </c>
      <c r="CL71" s="7" t="s">
        <v>320</v>
      </c>
    </row>
    <row r="72" customFormat="false" ht="12.8" hidden="false" customHeight="false" outlineLevel="0" collapsed="false">
      <c r="A72" s="4" t="s">
        <v>147</v>
      </c>
      <c r="B72" s="7" t="s">
        <v>39</v>
      </c>
      <c r="C72" s="4" t="n">
        <f aca="false">C14-C42</f>
        <v>-0.00233961361410827</v>
      </c>
      <c r="D72" s="4" t="n">
        <f aca="false">D14-D42</f>
        <v>-399.897287286043</v>
      </c>
      <c r="E72" s="4" t="n">
        <f aca="false">E14-E42</f>
        <v>-211.113336981055</v>
      </c>
      <c r="F72" s="4" t="n">
        <f aca="false">F14-F42</f>
        <v>0</v>
      </c>
      <c r="G72" s="4" t="n">
        <f aca="false">G14-G42</f>
        <v>-206.644895311558</v>
      </c>
      <c r="H72" s="4" t="n">
        <f aca="false">H14-H42</f>
        <v>-0.894570510092539</v>
      </c>
      <c r="I72" s="4" t="n">
        <f aca="false">I14-I42</f>
        <v>0.594257552268588</v>
      </c>
      <c r="J72" s="4" t="n">
        <f aca="false">J14-J42</f>
        <v>0.843529507913835</v>
      </c>
      <c r="K72" s="4" t="n">
        <f aca="false">K14-K42</f>
        <v>0</v>
      </c>
      <c r="L72" s="4" t="n">
        <f aca="false">L14-L42</f>
        <v>0</v>
      </c>
      <c r="M72" s="4" t="n">
        <f aca="false">M14-M42</f>
        <v>0</v>
      </c>
      <c r="N72" s="4" t="n">
        <f aca="false">N14-N42</f>
        <v>-220.495607995453</v>
      </c>
      <c r="O72" s="4" t="n">
        <f aca="false">O14-O42</f>
        <v>0</v>
      </c>
      <c r="P72" s="4" t="n">
        <f aca="false">P14-P42</f>
        <v>0</v>
      </c>
      <c r="Q72" s="4" t="n">
        <f aca="false">Q14-Q42</f>
        <v>-9.87569447048608</v>
      </c>
      <c r="R72" s="4" t="n">
        <f aca="false">R14-R42</f>
        <v>-40.9519458588406</v>
      </c>
      <c r="S72" s="4" t="n">
        <f aca="false">S14-S42</f>
        <v>0</v>
      </c>
      <c r="T72" s="4" t="n">
        <f aca="false">T14-T42</f>
        <v>0</v>
      </c>
      <c r="U72" s="4" t="n">
        <f aca="false">U14-U42</f>
        <v>0</v>
      </c>
      <c r="V72" s="4" t="n">
        <f aca="false">V14-V42</f>
        <v>-107.726672426426</v>
      </c>
      <c r="W72" s="4" t="n">
        <f aca="false">W14-W42</f>
        <v>218.61686228283</v>
      </c>
      <c r="X72" s="4" t="n">
        <f aca="false">X14-X42</f>
        <v>-632.702812530818</v>
      </c>
      <c r="Y72" s="4" t="n">
        <f aca="false">Y14-Y42</f>
        <v>0</v>
      </c>
      <c r="Z72" s="4" t="n">
        <f aca="false">Z14-Z42</f>
        <v>21.5106031292251</v>
      </c>
      <c r="AA72" s="4" t="n">
        <f aca="false">AA14-AA42</f>
        <v>-2.2740235503001</v>
      </c>
      <c r="AB72" s="4" t="n">
        <f aca="false">AB14-AB42</f>
        <v>-13.1527953221684</v>
      </c>
      <c r="AC72" s="4" t="n">
        <f aca="false">AC14-AC42</f>
        <v>0.508138413936752</v>
      </c>
      <c r="AD72" s="4" t="n">
        <f aca="false">AD14-AD42</f>
        <v>-2.15325282909346</v>
      </c>
      <c r="AE72" s="4" t="n">
        <f aca="false">AE14-AE42</f>
        <v>-5.7999808084922</v>
      </c>
      <c r="AF72" s="4" t="n">
        <f aca="false">AF14-AF42</f>
        <v>-0.465170289309182</v>
      </c>
      <c r="AG72" s="4" t="n">
        <f aca="false">AG14-AG42</f>
        <v>-3.44623255831868</v>
      </c>
      <c r="AH72" s="4" t="n">
        <f aca="false">AH14-AH42</f>
        <v>-1.09348779826902</v>
      </c>
      <c r="AI72" s="4" t="n">
        <f aca="false">AI14-AI42</f>
        <v>-0.00511845258916083</v>
      </c>
      <c r="AJ72" s="4" t="n">
        <f aca="false">AJ14-AJ42</f>
        <v>-0.0258704892216131</v>
      </c>
      <c r="AK72" s="4" t="n">
        <f aca="false">AK14-AK42</f>
        <v>-0.813707487721576</v>
      </c>
      <c r="AL72" s="4" t="n">
        <f aca="false">AL14-AL42</f>
        <v>-0.291388320194378</v>
      </c>
      <c r="AM72" s="4" t="n">
        <f aca="false">AM14-AM42</f>
        <v>-0.1036828711943</v>
      </c>
      <c r="AN72" s="4" t="n">
        <f aca="false">AN14-AN42</f>
        <v>-0.981981341895496</v>
      </c>
      <c r="AO72" s="4" t="n">
        <f aca="false">AO14-AO42</f>
        <v>-0.631315451942819</v>
      </c>
      <c r="AP72" s="4" t="n">
        <f aca="false">AP14-AP42</f>
        <v>0.0769023158572794</v>
      </c>
      <c r="AQ72" s="4" t="n">
        <f aca="false">AQ14-AQ42</f>
        <v>-0.0326992649080462</v>
      </c>
      <c r="AR72" s="4" t="n">
        <f aca="false">AR14-AR42</f>
        <v>-0.0997721161516683</v>
      </c>
      <c r="AS72" s="4" t="n">
        <f aca="false">AS14-AS42</f>
        <v>-0.709738329258192</v>
      </c>
      <c r="AT72" s="4" t="n">
        <f aca="false">AT14-AT42</f>
        <v>0.0288469549087633</v>
      </c>
      <c r="AU72" s="4" t="n">
        <f aca="false">AU14-AU42</f>
        <v>-4.29892573706973</v>
      </c>
      <c r="AV72" s="4" t="n">
        <f aca="false">AV14-AV42</f>
        <v>0.0414176549983382</v>
      </c>
      <c r="AW72" s="4" t="n">
        <f aca="false">AW14-AW42</f>
        <v>0.238346056149533</v>
      </c>
      <c r="AX72" s="4" t="n">
        <f aca="false">AX14-AX42</f>
        <v>-0.0380797272636614</v>
      </c>
      <c r="AY72" s="4" t="n">
        <f aca="false">AY14-AY42</f>
        <v>-0.0340088895940077</v>
      </c>
      <c r="AZ72" s="4" t="n">
        <f aca="false">AZ14-AZ42</f>
        <v>-0.976311799571327</v>
      </c>
      <c r="BA72" s="4" t="n">
        <f aca="false">BA14-BA42</f>
        <v>0</v>
      </c>
      <c r="BB72" s="4" t="n">
        <f aca="false">BB14-BB42</f>
        <v>-0.287791272335909</v>
      </c>
      <c r="BC72" s="4" t="n">
        <f aca="false">BC14-BC42</f>
        <v>-0.061582542012265</v>
      </c>
      <c r="BD72" s="4" t="n">
        <f aca="false">BD14-BD42</f>
        <v>-0.127382206295408</v>
      </c>
      <c r="BE72" s="4" t="n">
        <f aca="false">BE14-BE42</f>
        <v>-0.0487538828344345</v>
      </c>
      <c r="BF72" s="4" t="n">
        <f aca="false">BF14-BF42</f>
        <v>-2.39310067245584</v>
      </c>
      <c r="BG72" s="4" t="n">
        <f aca="false">BG14-BG42</f>
        <v>-1.74819367908573</v>
      </c>
      <c r="BH72" s="4" t="n">
        <f aca="false">BH14-BH42</f>
        <v>-3.69325343728373</v>
      </c>
      <c r="BI72" s="4" t="n">
        <f aca="false">BI14-BI42</f>
        <v>-10.2869556367647</v>
      </c>
      <c r="BJ72" s="4" t="n">
        <f aca="false">BJ14-BJ42</f>
        <v>-545.959381557525</v>
      </c>
      <c r="BK72" s="4" t="n">
        <f aca="false">BK14-BK42</f>
        <v>-5.14347781838234</v>
      </c>
      <c r="BL72" s="4" t="n">
        <f aca="false">BL14-BL42</f>
        <v>-33.2924757512174</v>
      </c>
      <c r="BM72" s="4" t="n">
        <f aca="false">BM14-BM42</f>
        <v>-93.2202726116965</v>
      </c>
      <c r="BN72" s="4" t="n">
        <f aca="false">BN14-BN42</f>
        <v>0</v>
      </c>
      <c r="BO72" s="4" t="n">
        <f aca="false">BO14-BO42</f>
        <v>-5.4812607601959</v>
      </c>
      <c r="BP72" s="4" t="n">
        <f aca="false">BP14-BP42</f>
        <v>-11.5322765254554</v>
      </c>
      <c r="BQ72" s="4" t="n">
        <f aca="false">BQ14-BQ42</f>
        <v>0</v>
      </c>
      <c r="BR72" s="4" t="n">
        <f aca="false">BR14-BR42</f>
        <v>-0.182708667475783</v>
      </c>
      <c r="BS72" s="4" t="n">
        <f aca="false">BS14-BS42</f>
        <v>-0.0182708476566027</v>
      </c>
      <c r="BT72" s="4" t="n">
        <f aca="false">BT14-BT42</f>
        <v>0</v>
      </c>
      <c r="BU72" s="4" t="n">
        <f aca="false">BU14-BU42</f>
        <v>0</v>
      </c>
      <c r="BV72" s="4" t="n">
        <f aca="false">BV14-BV42</f>
        <v>0</v>
      </c>
      <c r="BW72" s="4" t="n">
        <f aca="false">BW14-BW42</f>
        <v>0</v>
      </c>
      <c r="BX72" s="4" t="n">
        <f aca="false">BX14-BX42</f>
        <v>-0.31018927089393</v>
      </c>
      <c r="BY72" s="4" t="n">
        <f aca="false">BY14-BY42</f>
        <v>-150.856618289898</v>
      </c>
      <c r="BZ72" s="4" t="n">
        <f aca="false">BZ14-BZ42</f>
        <v>-0.303983638422671</v>
      </c>
      <c r="CA72" s="4" t="n">
        <f aca="false">CA14-CA42</f>
        <v>-0.00119508328594731</v>
      </c>
      <c r="CB72" s="4" t="n">
        <f aca="false">CB14-CB42</f>
        <v>-240.249870043947</v>
      </c>
      <c r="CC72" s="4" t="n">
        <f aca="false">CC14-CC42</f>
        <v>-778.483362513327</v>
      </c>
      <c r="CD72" s="4" t="n">
        <f aca="false">CD14-CD42</f>
        <v>0</v>
      </c>
      <c r="CE72" s="4" t="n">
        <f aca="false">CE14-CE42</f>
        <v>-0.433871126216364</v>
      </c>
      <c r="CF72" s="4" t="n">
        <f aca="false">CF14-CF42</f>
        <v>-539.664488438934</v>
      </c>
      <c r="CG72" s="4" t="n">
        <f aca="false">CG14-CG42</f>
        <v>-0.172332365841954</v>
      </c>
      <c r="CH72" s="4" t="n">
        <f aca="false">CH14-CH42</f>
        <v>-2.00772471428471</v>
      </c>
      <c r="CI72" s="4" t="n">
        <f aca="false">CI14-CI42</f>
        <v>-0.0221247301867972</v>
      </c>
      <c r="CJ72" s="4" t="n">
        <f aca="false">CJ14-CJ42</f>
        <v>-0.0486722975056024</v>
      </c>
      <c r="CK72" s="4" t="n">
        <f aca="false">CK14-CK42</f>
        <v>-0.881593673482976</v>
      </c>
      <c r="CL72" s="7" t="s">
        <v>320</v>
      </c>
    </row>
    <row r="73" customFormat="false" ht="12.8" hidden="false" customHeight="false" outlineLevel="0" collapsed="false">
      <c r="A73" s="4" t="s">
        <v>148</v>
      </c>
      <c r="B73" s="7" t="s">
        <v>39</v>
      </c>
      <c r="C73" s="4" t="n">
        <f aca="false">C15-C43</f>
        <v>0.00073216757838868</v>
      </c>
      <c r="D73" s="4" t="n">
        <f aca="false">D15-D43</f>
        <v>84.1631315725062</v>
      </c>
      <c r="E73" s="4" t="n">
        <f aca="false">E15-E43</f>
        <v>37.4261834639464</v>
      </c>
      <c r="F73" s="4" t="n">
        <f aca="false">F15-F43</f>
        <v>0</v>
      </c>
      <c r="G73" s="4" t="n">
        <f aca="false">G15-G43</f>
        <v>52.9304673804877</v>
      </c>
      <c r="H73" s="4" t="n">
        <f aca="false">H15-H43</f>
        <v>-0.421143336059196</v>
      </c>
      <c r="I73" s="4" t="n">
        <f aca="false">I15-I43</f>
        <v>0.387050250201673</v>
      </c>
      <c r="J73" s="4" t="n">
        <f aca="false">J15-J43</f>
        <v>0.87712590920514</v>
      </c>
      <c r="K73" s="4" t="n">
        <f aca="false">K15-K43</f>
        <v>0</v>
      </c>
      <c r="L73" s="4" t="n">
        <f aca="false">L15-L43</f>
        <v>0</v>
      </c>
      <c r="M73" s="4" t="n">
        <f aca="false">M15-M43</f>
        <v>0</v>
      </c>
      <c r="N73" s="4" t="n">
        <f aca="false">N15-N43</f>
        <v>-12.8700635824117</v>
      </c>
      <c r="O73" s="4" t="n">
        <f aca="false">O15-O43</f>
        <v>0</v>
      </c>
      <c r="P73" s="4" t="n">
        <f aca="false">P15-P43</f>
        <v>0</v>
      </c>
      <c r="Q73" s="4" t="n">
        <f aca="false">Q15-Q43</f>
        <v>-4.89688183272965</v>
      </c>
      <c r="R73" s="4" t="n">
        <f aca="false">R15-R43</f>
        <v>6.85617425212868</v>
      </c>
      <c r="S73" s="4" t="n">
        <f aca="false">S15-S43</f>
        <v>0</v>
      </c>
      <c r="T73" s="4" t="n">
        <f aca="false">T15-T43</f>
        <v>0</v>
      </c>
      <c r="U73" s="4" t="n">
        <f aca="false">U15-U43</f>
        <v>0</v>
      </c>
      <c r="V73" s="4" t="n">
        <f aca="false">V15-V43</f>
        <v>-59.8577168886307</v>
      </c>
      <c r="W73" s="4" t="n">
        <f aca="false">W15-W43</f>
        <v>190.081431726434</v>
      </c>
      <c r="X73" s="4" t="n">
        <f aca="false">X15-X43</f>
        <v>471.498909143259</v>
      </c>
      <c r="Y73" s="4" t="n">
        <f aca="false">Y15-Y43</f>
        <v>0</v>
      </c>
      <c r="Z73" s="4" t="n">
        <f aca="false">Z15-Z43</f>
        <v>-11.3027792089406</v>
      </c>
      <c r="AA73" s="4" t="n">
        <f aca="false">AA15-AA43</f>
        <v>-3.80369924910582</v>
      </c>
      <c r="AB73" s="4" t="n">
        <f aca="false">AB15-AB43</f>
        <v>-11.7951347413786</v>
      </c>
      <c r="AC73" s="4" t="n">
        <f aca="false">AC15-AC43</f>
        <v>1.99278685613617</v>
      </c>
      <c r="AD73" s="4" t="n">
        <f aca="false">AD15-AD43</f>
        <v>-1.93098931666678</v>
      </c>
      <c r="AE73" s="4" t="n">
        <f aca="false">AE15-AE43</f>
        <v>-0.822663021942285</v>
      </c>
      <c r="AF73" s="4" t="n">
        <f aca="false">AF15-AF43</f>
        <v>-0.147913755452096</v>
      </c>
      <c r="AG73" s="4" t="n">
        <f aca="false">AG15-AG43</f>
        <v>-2.93673753413168</v>
      </c>
      <c r="AH73" s="4" t="n">
        <f aca="false">AH15-AH43</f>
        <v>-1.52084234674369</v>
      </c>
      <c r="AI73" s="4" t="n">
        <f aca="false">AI15-AI43</f>
        <v>-0.29236222396257</v>
      </c>
      <c r="AJ73" s="4" t="n">
        <f aca="false">AJ15-AJ43</f>
        <v>0.0881229984984979</v>
      </c>
      <c r="AK73" s="4" t="n">
        <f aca="false">AK15-AK43</f>
        <v>0.402350020616446</v>
      </c>
      <c r="AL73" s="4" t="n">
        <f aca="false">AL15-AL43</f>
        <v>0.00801219525973701</v>
      </c>
      <c r="AM73" s="4" t="n">
        <f aca="false">AM15-AM43</f>
        <v>0.0858194754387005</v>
      </c>
      <c r="AN73" s="4" t="n">
        <f aca="false">AN15-AN43</f>
        <v>-0.301602559907172</v>
      </c>
      <c r="AO73" s="4" t="n">
        <f aca="false">AO15-AO43</f>
        <v>0.0111766556663619</v>
      </c>
      <c r="AP73" s="4" t="n">
        <f aca="false">AP15-AP43</f>
        <v>-0.712848172122312</v>
      </c>
      <c r="AQ73" s="4" t="n">
        <f aca="false">AQ15-AQ43</f>
        <v>0.0441213191684473</v>
      </c>
      <c r="AR73" s="4" t="n">
        <f aca="false">AR15-AR43</f>
        <v>-0.18673104813392</v>
      </c>
      <c r="AS73" s="4" t="n">
        <f aca="false">AS15-AS43</f>
        <v>0.125629555258126</v>
      </c>
      <c r="AT73" s="4" t="n">
        <f aca="false">AT15-AT43</f>
        <v>-2.73247540380619</v>
      </c>
      <c r="AU73" s="4" t="n">
        <f aca="false">AU15-AU43</f>
        <v>1.71888691840146</v>
      </c>
      <c r="AV73" s="4" t="n">
        <f aca="false">AV15-AV43</f>
        <v>-0.0240435048724054</v>
      </c>
      <c r="AW73" s="4" t="n">
        <f aca="false">AW15-AW43</f>
        <v>1.01487849084657</v>
      </c>
      <c r="AX73" s="4" t="n">
        <f aca="false">AX15-AX43</f>
        <v>0.0770433979603414</v>
      </c>
      <c r="AY73" s="4" t="n">
        <f aca="false">AY15-AY43</f>
        <v>-0.0716682607000608</v>
      </c>
      <c r="AZ73" s="4" t="n">
        <f aca="false">AZ15-AZ43</f>
        <v>-0.924164677792099</v>
      </c>
      <c r="BA73" s="4" t="n">
        <f aca="false">BA15-BA43</f>
        <v>0</v>
      </c>
      <c r="BB73" s="4" t="n">
        <f aca="false">BB15-BB43</f>
        <v>-0.232412900180297</v>
      </c>
      <c r="BC73" s="4" t="n">
        <f aca="false">BC15-BC43</f>
        <v>-0.0507083333299433</v>
      </c>
      <c r="BD73" s="4" t="n">
        <f aca="false">BD15-BD43</f>
        <v>-0.135257831210821</v>
      </c>
      <c r="BE73" s="4" t="n">
        <f aca="false">BE15-BE43</f>
        <v>-0.0348762047689132</v>
      </c>
      <c r="BF73" s="4" t="n">
        <f aca="false">BF15-BF43</f>
        <v>0.27574299523997</v>
      </c>
      <c r="BG73" s="4" t="n">
        <f aca="false">BG15-BG43</f>
        <v>-1.93894584400133</v>
      </c>
      <c r="BH73" s="4" t="n">
        <f aca="false">BH15-BH43</f>
        <v>-0.00131172886568794</v>
      </c>
      <c r="BI73" s="4" t="n">
        <f aca="false">BI15-BI43</f>
        <v>3.34915880569788</v>
      </c>
      <c r="BJ73" s="4" t="n">
        <f aca="false">BJ15-BJ43</f>
        <v>10.6500406655621</v>
      </c>
      <c r="BK73" s="4" t="n">
        <f aca="false">BK15-BK43</f>
        <v>1.67457940284894</v>
      </c>
      <c r="BL73" s="4" t="n">
        <f aca="false">BL15-BL43</f>
        <v>-202.747467902858</v>
      </c>
      <c r="BM73" s="4" t="n">
        <f aca="false">BM15-BM43</f>
        <v>-3.39435555811269</v>
      </c>
      <c r="BN73" s="4" t="n">
        <f aca="false">BN15-BN43</f>
        <v>0</v>
      </c>
      <c r="BO73" s="4" t="n">
        <f aca="false">BO15-BO43</f>
        <v>-11.1939725565955</v>
      </c>
      <c r="BP73" s="4" t="n">
        <f aca="false">BP15-BP43</f>
        <v>-17.8181093394213</v>
      </c>
      <c r="BQ73" s="4" t="n">
        <f aca="false">BQ15-BQ43</f>
        <v>0</v>
      </c>
      <c r="BR73" s="4" t="n">
        <f aca="false">BR15-BR43</f>
        <v>-0.373132377981934</v>
      </c>
      <c r="BS73" s="4" t="n">
        <f aca="false">BS15-BS43</f>
        <v>-0.0373132040617882</v>
      </c>
      <c r="BT73" s="4" t="n">
        <f aca="false">BT15-BT43</f>
        <v>0</v>
      </c>
      <c r="BU73" s="4" t="n">
        <f aca="false">BU15-BU43</f>
        <v>0</v>
      </c>
      <c r="BV73" s="4" t="n">
        <f aca="false">BV15-BV43</f>
        <v>0</v>
      </c>
      <c r="BW73" s="4" t="n">
        <f aca="false">BW15-BW43</f>
        <v>0</v>
      </c>
      <c r="BX73" s="4" t="n">
        <f aca="false">BX15-BX43</f>
        <v>-2.04278468970403</v>
      </c>
      <c r="BY73" s="4" t="n">
        <f aca="false">BY15-BY43</f>
        <v>-37.7198291652847</v>
      </c>
      <c r="BZ73" s="4" t="n">
        <f aca="false">BZ15-BZ43</f>
        <v>0.0427030251117089</v>
      </c>
      <c r="CA73" s="4" t="n">
        <f aca="false">CA15-CA43</f>
        <v>0.0142538426587109</v>
      </c>
      <c r="CB73" s="4" t="n">
        <f aca="false">CB15-CB43</f>
        <v>-406.954514358975</v>
      </c>
      <c r="CC73" s="4" t="n">
        <f aca="false">CC15-CC43</f>
        <v>140.384687930695</v>
      </c>
      <c r="CD73" s="4" t="n">
        <f aca="false">CD15-CD43</f>
        <v>0</v>
      </c>
      <c r="CE73" s="4" t="n">
        <f aca="false">CE15-CE43</f>
        <v>0.33548599258697</v>
      </c>
      <c r="CF73" s="4" t="n">
        <f aca="false">CF15-CF43</f>
        <v>40.419470970359</v>
      </c>
      <c r="CG73" s="4" t="n">
        <f aca="false">CG15-CG43</f>
        <v>-2.31341776153687</v>
      </c>
      <c r="CH73" s="4" t="n">
        <f aca="false">CH15-CH43</f>
        <v>-0.0232010019965364</v>
      </c>
      <c r="CI73" s="4" t="n">
        <f aca="false">CI15-CI43</f>
        <v>-0.0184713696790274</v>
      </c>
      <c r="CJ73" s="4" t="n">
        <f aca="false">CJ15-CJ43</f>
        <v>-0.00598631666877822</v>
      </c>
      <c r="CK73" s="4" t="n">
        <f aca="false">CK15-CK43</f>
        <v>-1.19995113631484</v>
      </c>
      <c r="CL73" s="7" t="s">
        <v>320</v>
      </c>
    </row>
    <row r="74" customFormat="false" ht="12.8" hidden="false" customHeight="false" outlineLevel="0" collapsed="false">
      <c r="A74" s="4" t="s">
        <v>150</v>
      </c>
      <c r="B74" s="7" t="s">
        <v>39</v>
      </c>
      <c r="C74" s="4" t="n">
        <f aca="false">C16-C44</f>
        <v>-0.00229761802900405</v>
      </c>
      <c r="D74" s="4" t="n">
        <f aca="false">D16-D44</f>
        <v>-403.613837148054</v>
      </c>
      <c r="E74" s="4" t="n">
        <f aca="false">E16-E44</f>
        <v>-213.247545885638</v>
      </c>
      <c r="F74" s="4" t="n">
        <f aca="false">F16-F44</f>
        <v>0</v>
      </c>
      <c r="G74" s="4" t="n">
        <f aca="false">G16-G44</f>
        <v>-141.120873566264</v>
      </c>
      <c r="H74" s="4" t="n">
        <f aca="false">H16-H44</f>
        <v>-1.03999512070652</v>
      </c>
      <c r="I74" s="4" t="n">
        <f aca="false">I16-I44</f>
        <v>1.10313106377245</v>
      </c>
      <c r="J74" s="4" t="n">
        <f aca="false">J16-J44</f>
        <v>0.256887007492435</v>
      </c>
      <c r="K74" s="4" t="n">
        <f aca="false">K16-K44</f>
        <v>0</v>
      </c>
      <c r="L74" s="4" t="n">
        <f aca="false">L16-L44</f>
        <v>0</v>
      </c>
      <c r="M74" s="4" t="n">
        <f aca="false">M16-M44</f>
        <v>0</v>
      </c>
      <c r="N74" s="4" t="n">
        <f aca="false">N16-N44</f>
        <v>-364.636375203517</v>
      </c>
      <c r="O74" s="4" t="n">
        <f aca="false">O16-O44</f>
        <v>0</v>
      </c>
      <c r="P74" s="4" t="n">
        <f aca="false">P16-P44</f>
        <v>0</v>
      </c>
      <c r="Q74" s="4" t="n">
        <f aca="false">Q16-Q44</f>
        <v>-5.257132483903</v>
      </c>
      <c r="R74" s="4" t="n">
        <f aca="false">R16-R44</f>
        <v>-38.9787182595192</v>
      </c>
      <c r="S74" s="4" t="n">
        <f aca="false">S16-S44</f>
        <v>0</v>
      </c>
      <c r="T74" s="4" t="n">
        <f aca="false">T16-T44</f>
        <v>0</v>
      </c>
      <c r="U74" s="4" t="n">
        <f aca="false">U16-U44</f>
        <v>0</v>
      </c>
      <c r="V74" s="4" t="n">
        <f aca="false">V16-V44</f>
        <v>-80.6745003688557</v>
      </c>
      <c r="W74" s="4" t="n">
        <f aca="false">W16-W44</f>
        <v>-219.696540151632</v>
      </c>
      <c r="X74" s="4" t="n">
        <f aca="false">X16-X44</f>
        <v>-852.276673548678</v>
      </c>
      <c r="Y74" s="4" t="n">
        <f aca="false">Y16-Y44</f>
        <v>0</v>
      </c>
      <c r="Z74" s="4" t="n">
        <f aca="false">Z16-Z44</f>
        <v>14.8276015483758</v>
      </c>
      <c r="AA74" s="4" t="n">
        <f aca="false">AA16-AA44</f>
        <v>1.19968350013743</v>
      </c>
      <c r="AB74" s="4" t="n">
        <f aca="false">AB16-AB44</f>
        <v>-7.03753916649112</v>
      </c>
      <c r="AC74" s="4" t="n">
        <f aca="false">AC16-AC44</f>
        <v>-1.42963027319563</v>
      </c>
      <c r="AD74" s="4" t="n">
        <f aca="false">AD16-AD44</f>
        <v>-1.15212019566383</v>
      </c>
      <c r="AE74" s="4" t="n">
        <f aca="false">AE16-AE44</f>
        <v>-1.37922668818848</v>
      </c>
      <c r="AF74" s="4" t="n">
        <f aca="false">AF16-AF44</f>
        <v>0.241200084758889</v>
      </c>
      <c r="AG74" s="4" t="n">
        <f aca="false">AG16-AG44</f>
        <v>-4.37064086020489</v>
      </c>
      <c r="AH74" s="4" t="n">
        <f aca="false">AH16-AH44</f>
        <v>-2.95348781455983</v>
      </c>
      <c r="AI74" s="4" t="n">
        <f aca="false">AI16-AI44</f>
        <v>-0.350784097684398</v>
      </c>
      <c r="AJ74" s="4" t="n">
        <f aca="false">AJ16-AJ44</f>
        <v>-0.621662352411822</v>
      </c>
      <c r="AK74" s="4" t="n">
        <f aca="false">AK16-AK44</f>
        <v>-0.537785057804794</v>
      </c>
      <c r="AL74" s="4" t="n">
        <f aca="false">AL16-AL44</f>
        <v>-0.389074985530736</v>
      </c>
      <c r="AM74" s="4" t="n">
        <f aca="false">AM16-AM44</f>
        <v>-2.23787441378709</v>
      </c>
      <c r="AN74" s="4" t="n">
        <f aca="false">AN16-AN44</f>
        <v>0.182379696246578</v>
      </c>
      <c r="AO74" s="4" t="n">
        <f aca="false">AO16-AO44</f>
        <v>-2.39254290038636</v>
      </c>
      <c r="AP74" s="4" t="n">
        <f aca="false">AP16-AP44</f>
        <v>-1.24938054535261</v>
      </c>
      <c r="AQ74" s="4" t="n">
        <f aca="false">AQ16-AQ44</f>
        <v>-0.0557900526511422</v>
      </c>
      <c r="AR74" s="4" t="n">
        <f aca="false">AR16-AR44</f>
        <v>-0.0248804804538279</v>
      </c>
      <c r="AS74" s="4" t="n">
        <f aca="false">AS16-AS44</f>
        <v>-0.0541515579481254</v>
      </c>
      <c r="AT74" s="4" t="n">
        <f aca="false">AT16-AT44</f>
        <v>-3.07643034405954</v>
      </c>
      <c r="AU74" s="4" t="n">
        <f aca="false">AU16-AU44</f>
        <v>-1.18686731495701</v>
      </c>
      <c r="AV74" s="4" t="n">
        <f aca="false">AV16-AV44</f>
        <v>-0.223057084870484</v>
      </c>
      <c r="AW74" s="4" t="n">
        <f aca="false">AW16-AW44</f>
        <v>-0.64337576175522</v>
      </c>
      <c r="AX74" s="4" t="n">
        <f aca="false">AX16-AX44</f>
        <v>0.106997584079979</v>
      </c>
      <c r="AY74" s="4" t="n">
        <f aca="false">AY16-AY44</f>
        <v>-0.086561843743473</v>
      </c>
      <c r="AZ74" s="4" t="n">
        <f aca="false">AZ16-AZ44</f>
        <v>-1.01963773322829</v>
      </c>
      <c r="BA74" s="4" t="n">
        <f aca="false">BA16-BA44</f>
        <v>0</v>
      </c>
      <c r="BB74" s="4" t="n">
        <f aca="false">BB16-BB44</f>
        <v>-0.354030084899051</v>
      </c>
      <c r="BC74" s="4" t="n">
        <f aca="false">BC16-BC44</f>
        <v>-0.37240553115818</v>
      </c>
      <c r="BD74" s="4" t="n">
        <f aca="false">BD16-BD44</f>
        <v>-0.237050401125197</v>
      </c>
      <c r="BE74" s="4" t="n">
        <f aca="false">BE16-BE44</f>
        <v>-0.119380589188957</v>
      </c>
      <c r="BF74" s="4" t="n">
        <f aca="false">BF16-BF44</f>
        <v>-7.50272090575126</v>
      </c>
      <c r="BG74" s="4" t="n">
        <f aca="false">BG16-BG44</f>
        <v>-2.32451360497349</v>
      </c>
      <c r="BH74" s="4" t="n">
        <f aca="false">BH16-BH44</f>
        <v>-4.5322359874198</v>
      </c>
      <c r="BI74" s="4" t="n">
        <f aca="false">BI16-BI44</f>
        <v>-13.2982389709826</v>
      </c>
      <c r="BJ74" s="4" t="n">
        <f aca="false">BJ16-BJ44</f>
        <v>-754.238846202564</v>
      </c>
      <c r="BK74" s="4" t="n">
        <f aca="false">BK16-BK44</f>
        <v>-6.6491194854913</v>
      </c>
      <c r="BL74" s="4" t="n">
        <f aca="false">BL16-BL44</f>
        <v>-508.241949449335</v>
      </c>
      <c r="BM74" s="4" t="n">
        <f aca="false">BM16-BM44</f>
        <v>-48.8141661563078</v>
      </c>
      <c r="BN74" s="4" t="n">
        <f aca="false">BN16-BN44</f>
        <v>0</v>
      </c>
      <c r="BO74" s="4" t="n">
        <f aca="false">BO16-BO44</f>
        <v>-9.22006213454469</v>
      </c>
      <c r="BP74" s="4" t="n">
        <f aca="false">BP16-BP44</f>
        <v>-21.8297156823167</v>
      </c>
      <c r="BQ74" s="4" t="n">
        <f aca="false">BQ16-BQ44</f>
        <v>0</v>
      </c>
      <c r="BR74" s="4" t="n">
        <f aca="false">BR16-BR44</f>
        <v>-0.307335380501187</v>
      </c>
      <c r="BS74" s="4" t="n">
        <f aca="false">BS16-BS44</f>
        <v>-0.0307335273284725</v>
      </c>
      <c r="BT74" s="4" t="n">
        <f aca="false">BT16-BT44</f>
        <v>0</v>
      </c>
      <c r="BU74" s="4" t="n">
        <f aca="false">BU16-BU44</f>
        <v>0</v>
      </c>
      <c r="BV74" s="4" t="n">
        <f aca="false">BV16-BV44</f>
        <v>0</v>
      </c>
      <c r="BW74" s="4" t="n">
        <f aca="false">BW16-BW44</f>
        <v>0</v>
      </c>
      <c r="BX74" s="4" t="n">
        <f aca="false">BX16-BX44</f>
        <v>-4.06242466859819</v>
      </c>
      <c r="BY74" s="4" t="n">
        <f aca="false">BY16-BY44</f>
        <v>-16.3934232186446</v>
      </c>
      <c r="BZ74" s="4" t="n">
        <f aca="false">BZ16-BZ44</f>
        <v>-0.206577350090408</v>
      </c>
      <c r="CA74" s="4" t="n">
        <f aca="false">CA16-CA44</f>
        <v>-0.0283738940137839</v>
      </c>
      <c r="CB74" s="4" t="n">
        <f aca="false">CB16-CB44</f>
        <v>-211.92278929813</v>
      </c>
      <c r="CC74" s="4" t="n">
        <f aca="false">CC16-CC44</f>
        <v>-62.4757798133228</v>
      </c>
      <c r="CD74" s="4" t="n">
        <f aca="false">CD16-CD44</f>
        <v>0</v>
      </c>
      <c r="CE74" s="4" t="n">
        <f aca="false">CE16-CE44</f>
        <v>-3.74740854163156</v>
      </c>
      <c r="CF74" s="4" t="n">
        <f aca="false">CF16-CF44</f>
        <v>-203.710189638042</v>
      </c>
      <c r="CG74" s="4" t="n">
        <f aca="false">CG16-CG44</f>
        <v>-7.52325735028747</v>
      </c>
      <c r="CH74" s="4" t="n">
        <f aca="false">CH16-CH44</f>
        <v>-2.50894591181088</v>
      </c>
      <c r="CI74" s="4" t="n">
        <f aca="false">CI16-CI44</f>
        <v>-0.114742018783233</v>
      </c>
      <c r="CJ74" s="4" t="n">
        <f aca="false">CJ16-CJ44</f>
        <v>-0.0186457741536966</v>
      </c>
      <c r="CK74" s="4" t="n">
        <f aca="false">CK16-CK44</f>
        <v>-4.25701901916852</v>
      </c>
      <c r="CL74" s="7" t="s">
        <v>320</v>
      </c>
    </row>
    <row r="75" customFormat="false" ht="12.8" hidden="false" customHeight="false" outlineLevel="0" collapsed="false">
      <c r="A75" s="4" t="s">
        <v>151</v>
      </c>
      <c r="B75" s="7" t="s">
        <v>39</v>
      </c>
      <c r="C75" s="4" t="n">
        <f aca="false">C17-C45</f>
        <v>0.0121491851262849</v>
      </c>
      <c r="D75" s="4" t="n">
        <f aca="false">D17-D45</f>
        <v>1435.91345077801</v>
      </c>
      <c r="E75" s="4" t="n">
        <f aca="false">E17-E45</f>
        <v>640.281625437944</v>
      </c>
      <c r="F75" s="4" t="n">
        <f aca="false">F17-F45</f>
        <v>0</v>
      </c>
      <c r="G75" s="4" t="n">
        <f aca="false">G17-G45</f>
        <v>1009.62699743828</v>
      </c>
      <c r="H75" s="4" t="n">
        <f aca="false">H17-H45</f>
        <v>4.99872030171315</v>
      </c>
      <c r="I75" s="4" t="n">
        <f aca="false">I17-I45</f>
        <v>-0.0809806874394132</v>
      </c>
      <c r="J75" s="4" t="n">
        <f aca="false">J17-J45</f>
        <v>0.179087199042821</v>
      </c>
      <c r="K75" s="4" t="n">
        <f aca="false">K17-K45</f>
        <v>0</v>
      </c>
      <c r="L75" s="4" t="n">
        <f aca="false">L17-L45</f>
        <v>0</v>
      </c>
      <c r="M75" s="4" t="n">
        <f aca="false">M17-M45</f>
        <v>0</v>
      </c>
      <c r="N75" s="4" t="n">
        <f aca="false">N17-N45</f>
        <v>1381.73955704761</v>
      </c>
      <c r="O75" s="4" t="n">
        <f aca="false">O17-O45</f>
        <v>0</v>
      </c>
      <c r="P75" s="4" t="n">
        <f aca="false">P17-P45</f>
        <v>0</v>
      </c>
      <c r="Q75" s="4" t="n">
        <f aca="false">Q17-Q45</f>
        <v>11.4269353973196</v>
      </c>
      <c r="R75" s="4" t="n">
        <f aca="false">R17-R45</f>
        <v>70.6453591927286</v>
      </c>
      <c r="S75" s="4" t="n">
        <f aca="false">S17-S45</f>
        <v>0</v>
      </c>
      <c r="T75" s="4" t="n">
        <f aca="false">T17-T45</f>
        <v>0</v>
      </c>
      <c r="U75" s="4" t="n">
        <f aca="false">U17-U45</f>
        <v>0</v>
      </c>
      <c r="V75" s="4" t="n">
        <f aca="false">V17-V45</f>
        <v>38.6113596931006</v>
      </c>
      <c r="W75" s="4" t="n">
        <f aca="false">W17-W45</f>
        <v>1232.24512373447</v>
      </c>
      <c r="X75" s="4" t="n">
        <f aca="false">X17-X45</f>
        <v>945.678111147416</v>
      </c>
      <c r="Y75" s="4" t="n">
        <f aca="false">Y17-Y45</f>
        <v>0</v>
      </c>
      <c r="Z75" s="4" t="n">
        <f aca="false">Z17-Z45</f>
        <v>44.6994299418136</v>
      </c>
      <c r="AA75" s="4" t="n">
        <f aca="false">AA17-AA45</f>
        <v>-1.6298203181628</v>
      </c>
      <c r="AB75" s="4" t="n">
        <f aca="false">AB17-AB45</f>
        <v>5.50329013414475</v>
      </c>
      <c r="AC75" s="4" t="n">
        <f aca="false">AC17-AC45</f>
        <v>-2.06508468102223</v>
      </c>
      <c r="AD75" s="4" t="n">
        <f aca="false">AD17-AD45</f>
        <v>0.900947270934621</v>
      </c>
      <c r="AE75" s="4" t="n">
        <f aca="false">AE17-AE45</f>
        <v>4.76866883293184</v>
      </c>
      <c r="AF75" s="4" t="n">
        <f aca="false">AF17-AF45</f>
        <v>0.239465508971678</v>
      </c>
      <c r="AG75" s="4" t="n">
        <f aca="false">AG17-AG45</f>
        <v>5.58657209127922</v>
      </c>
      <c r="AH75" s="4" t="n">
        <f aca="false">AH17-AH45</f>
        <v>4.41124969514622</v>
      </c>
      <c r="AI75" s="4" t="n">
        <f aca="false">AI17-AI45</f>
        <v>-0.206890769643476</v>
      </c>
      <c r="AJ75" s="4" t="n">
        <f aca="false">AJ17-AJ45</f>
        <v>1.77280772823627</v>
      </c>
      <c r="AK75" s="4" t="n">
        <f aca="false">AK17-AK45</f>
        <v>0.884137334463933</v>
      </c>
      <c r="AL75" s="4" t="n">
        <f aca="false">AL17-AL45</f>
        <v>0.10883582075364</v>
      </c>
      <c r="AM75" s="4" t="n">
        <f aca="false">AM17-AM45</f>
        <v>0.334060769372968</v>
      </c>
      <c r="AN75" s="4" t="n">
        <f aca="false">AN17-AN45</f>
        <v>1.49788472444189</v>
      </c>
      <c r="AO75" s="4" t="n">
        <f aca="false">AO17-AO45</f>
        <v>1.62138003064287</v>
      </c>
      <c r="AP75" s="4" t="n">
        <f aca="false">AP17-AP45</f>
        <v>2.22899243142153</v>
      </c>
      <c r="AQ75" s="4" t="n">
        <f aca="false">AQ17-AQ45</f>
        <v>0.211136649652404</v>
      </c>
      <c r="AR75" s="4" t="n">
        <f aca="false">AR17-AR45</f>
        <v>-0.0733489559157824</v>
      </c>
      <c r="AS75" s="4" t="n">
        <f aca="false">AS17-AS45</f>
        <v>0.432065311063632</v>
      </c>
      <c r="AT75" s="4" t="n">
        <f aca="false">AT17-AT45</f>
        <v>-1.46006613370594</v>
      </c>
      <c r="AU75" s="4" t="n">
        <f aca="false">AU17-AU45</f>
        <v>-2.09078445079036</v>
      </c>
      <c r="AV75" s="4" t="n">
        <f aca="false">AV17-AV45</f>
        <v>0.0385443117375285</v>
      </c>
      <c r="AW75" s="4" t="n">
        <f aca="false">AW17-AW45</f>
        <v>-1.05709801384066</v>
      </c>
      <c r="AX75" s="4" t="n">
        <f aca="false">AX17-AX45</f>
        <v>0.377108562877648</v>
      </c>
      <c r="AY75" s="4" t="n">
        <f aca="false">AY17-AY45</f>
        <v>-0.0189758545214422</v>
      </c>
      <c r="AZ75" s="4" t="n">
        <f aca="false">AZ17-AZ45</f>
        <v>0.185317981543575</v>
      </c>
      <c r="BA75" s="4" t="n">
        <f aca="false">BA17-BA45</f>
        <v>0</v>
      </c>
      <c r="BB75" s="4" t="n">
        <f aca="false">BB17-BB45</f>
        <v>0.418451094546911</v>
      </c>
      <c r="BC75" s="4" t="n">
        <f aca="false">BC17-BC45</f>
        <v>0.188124331900713</v>
      </c>
      <c r="BD75" s="4" t="n">
        <f aca="false">BD17-BD45</f>
        <v>0.29970148054255</v>
      </c>
      <c r="BE75" s="4" t="n">
        <f aca="false">BE17-BE45</f>
        <v>0.0972068008115572</v>
      </c>
      <c r="BF75" s="4" t="n">
        <f aca="false">BF17-BF45</f>
        <v>-3.86295287317219</v>
      </c>
      <c r="BG75" s="4" t="n">
        <f aca="false">BG17-BG45</f>
        <v>0.664448298200352</v>
      </c>
      <c r="BH75" s="4" t="n">
        <f aca="false">BH17-BH45</f>
        <v>3.32371440921202</v>
      </c>
      <c r="BI75" s="4" t="n">
        <f aca="false">BI17-BI45</f>
        <v>27.9734648220858</v>
      </c>
      <c r="BJ75" s="4" t="n">
        <f aca="false">BJ17-BJ45</f>
        <v>240.937140314016</v>
      </c>
      <c r="BK75" s="4" t="n">
        <f aca="false">BK17-BK45</f>
        <v>13.9867324110429</v>
      </c>
      <c r="BL75" s="4" t="n">
        <f aca="false">BL17-BL45</f>
        <v>520.550934797445</v>
      </c>
      <c r="BM75" s="4" t="n">
        <f aca="false">BM17-BM45</f>
        <v>21.3648860162874</v>
      </c>
      <c r="BN75" s="4" t="n">
        <f aca="false">BN17-BN45</f>
        <v>0</v>
      </c>
      <c r="BO75" s="4" t="n">
        <f aca="false">BO17-BO45</f>
        <v>-36.2748329273571</v>
      </c>
      <c r="BP75" s="4" t="n">
        <f aca="false">BP17-BP45</f>
        <v>-49.390646021884</v>
      </c>
      <c r="BQ75" s="4" t="n">
        <f aca="false">BQ17-BQ45</f>
        <v>0</v>
      </c>
      <c r="BR75" s="4" t="n">
        <f aca="false">BR17-BR45</f>
        <v>-1.20916105746998</v>
      </c>
      <c r="BS75" s="4" t="n">
        <f aca="false">BS17-BS45</f>
        <v>-0.120916033607333</v>
      </c>
      <c r="BT75" s="4" t="n">
        <f aca="false">BT17-BT45</f>
        <v>0</v>
      </c>
      <c r="BU75" s="4" t="n">
        <f aca="false">BU17-BU45</f>
        <v>0</v>
      </c>
      <c r="BV75" s="4" t="n">
        <f aca="false">BV17-BV45</f>
        <v>0</v>
      </c>
      <c r="BW75" s="4" t="n">
        <f aca="false">BW17-BW45</f>
        <v>0</v>
      </c>
      <c r="BX75" s="4" t="n">
        <f aca="false">BX17-BX45</f>
        <v>0.853986079706506</v>
      </c>
      <c r="BY75" s="4" t="n">
        <f aca="false">BY17-BY45</f>
        <v>112.602942403132</v>
      </c>
      <c r="BZ75" s="4" t="n">
        <f aca="false">BZ17-BZ45</f>
        <v>0.110594786325999</v>
      </c>
      <c r="CA75" s="4" t="n">
        <f aca="false">CA17-CA45</f>
        <v>0.123885552889818</v>
      </c>
      <c r="CB75" s="4" t="n">
        <f aca="false">CB17-CB45</f>
        <v>884.568817252679</v>
      </c>
      <c r="CC75" s="4" t="n">
        <f aca="false">CC17-CC45</f>
        <v>596.535093896733</v>
      </c>
      <c r="CD75" s="4" t="n">
        <f aca="false">CD17-CD45</f>
        <v>0</v>
      </c>
      <c r="CE75" s="4" t="n">
        <f aca="false">CE17-CE45</f>
        <v>0.98800956411253</v>
      </c>
      <c r="CF75" s="4" t="n">
        <f aca="false">CF17-CF45</f>
        <v>258.130476861348</v>
      </c>
      <c r="CG75" s="4" t="n">
        <f aca="false">CG17-CG45</f>
        <v>-2.22527371288095</v>
      </c>
      <c r="CH75" s="4" t="n">
        <f aca="false">CH17-CH45</f>
        <v>-0.148277722864463</v>
      </c>
      <c r="CI75" s="4" t="n">
        <f aca="false">CI17-CI45</f>
        <v>0.124666177654282</v>
      </c>
      <c r="CJ75" s="4" t="n">
        <f aca="false">CJ17-CJ45</f>
        <v>0.053486593343852</v>
      </c>
      <c r="CK75" s="4" t="n">
        <f aca="false">CK17-CK45</f>
        <v>0.6611977754995</v>
      </c>
      <c r="CL75" s="7" t="s">
        <v>320</v>
      </c>
    </row>
    <row r="76" s="21" customFormat="true" ht="12.8" hidden="false" customHeight="false" outlineLevel="0" collapsed="false">
      <c r="A76" s="21" t="s">
        <v>152</v>
      </c>
      <c r="B76" s="22" t="s">
        <v>39</v>
      </c>
      <c r="C76" s="21" t="n">
        <f aca="false">C18-C46</f>
        <v>-0.00137183711565501</v>
      </c>
      <c r="D76" s="21" t="n">
        <f aca="false">D18-D46</f>
        <v>17.6858198029513</v>
      </c>
      <c r="E76" s="21" t="n">
        <f aca="false">E18-E46</f>
        <v>-135.559699170238</v>
      </c>
      <c r="F76" s="21" t="n">
        <f aca="false">F18-F46</f>
        <v>0</v>
      </c>
      <c r="G76" s="21" t="n">
        <f aca="false">G18-G46</f>
        <v>1.14888699980505</v>
      </c>
      <c r="H76" s="21" t="n">
        <f aca="false">H18-H46</f>
        <v>2.15232399309362</v>
      </c>
      <c r="I76" s="21" t="n">
        <f aca="false">I18-I46</f>
        <v>-0.666307256639325</v>
      </c>
      <c r="J76" s="21" t="n">
        <f aca="false">J18-J46</f>
        <v>1.52322496848254</v>
      </c>
      <c r="K76" s="21" t="n">
        <f aca="false">K18-K46</f>
        <v>0</v>
      </c>
      <c r="L76" s="21" t="n">
        <f aca="false">L18-L46</f>
        <v>0</v>
      </c>
      <c r="M76" s="21" t="n">
        <f aca="false">M18-M46</f>
        <v>0</v>
      </c>
      <c r="N76" s="21" t="n">
        <f aca="false">N18-N46</f>
        <v>138.894353446132</v>
      </c>
      <c r="O76" s="21" t="n">
        <f aca="false">O18-O46</f>
        <v>0</v>
      </c>
      <c r="P76" s="21" t="n">
        <f aca="false">P18-P46</f>
        <v>0</v>
      </c>
      <c r="Q76" s="21" t="n">
        <f aca="false">Q18-Q46</f>
        <v>0.387283588316611</v>
      </c>
      <c r="R76" s="21" t="n">
        <f aca="false">R18-R46</f>
        <v>-9.40543781280485</v>
      </c>
      <c r="S76" s="21" t="n">
        <f aca="false">S18-S46</f>
        <v>0</v>
      </c>
      <c r="T76" s="21" t="n">
        <f aca="false">T18-T46</f>
        <v>0</v>
      </c>
      <c r="U76" s="21" t="n">
        <f aca="false">U18-U46</f>
        <v>0</v>
      </c>
      <c r="V76" s="21" t="n">
        <f aca="false">V18-V46</f>
        <v>-141.366576197411</v>
      </c>
      <c r="W76" s="21" t="n">
        <f aca="false">W18-W46</f>
        <v>835.731346441218</v>
      </c>
      <c r="X76" s="21" t="n">
        <f aca="false">X18-X46</f>
        <v>-295.012985132114</v>
      </c>
      <c r="Y76" s="21" t="n">
        <f aca="false">Y18-Y46</f>
        <v>0</v>
      </c>
      <c r="Z76" s="21" t="n">
        <f aca="false">Z18-Z46</f>
        <v>71.1790449808593</v>
      </c>
      <c r="AA76" s="21" t="n">
        <f aca="false">AA18-AA46</f>
        <v>4.25676602667863</v>
      </c>
      <c r="AB76" s="21" t="n">
        <f aca="false">AB18-AB46</f>
        <v>17.9610310602721</v>
      </c>
      <c r="AC76" s="21" t="n">
        <f aca="false">AC18-AC46</f>
        <v>2.32389373453782</v>
      </c>
      <c r="AD76" s="21" t="n">
        <f aca="false">AD18-AD46</f>
        <v>2.94041228473937</v>
      </c>
      <c r="AE76" s="21" t="n">
        <f aca="false">AE18-AE46</f>
        <v>9.58744565290549</v>
      </c>
      <c r="AF76" s="21" t="n">
        <f aca="false">AF18-AF46</f>
        <v>0.690593454456631</v>
      </c>
      <c r="AG76" s="21" t="n">
        <f aca="false">AG18-AG46</f>
        <v>1.19541509277866</v>
      </c>
      <c r="AH76" s="21" t="n">
        <f aca="false">AH18-AH46</f>
        <v>6.83037713396801</v>
      </c>
      <c r="AI76" s="21" t="n">
        <f aca="false">AI18-AI46</f>
        <v>0.537928764872677</v>
      </c>
      <c r="AJ76" s="21" t="n">
        <f aca="false">AJ18-AJ46</f>
        <v>0.609914663466009</v>
      </c>
      <c r="AK76" s="21" t="n">
        <f aca="false">AK18-AK46</f>
        <v>0.640101614569701</v>
      </c>
      <c r="AL76" s="21" t="n">
        <f aca="false">AL18-AL46</f>
        <v>0.744228671907093</v>
      </c>
      <c r="AM76" s="21" t="n">
        <f aca="false">AM18-AM46</f>
        <v>1.81334219472769</v>
      </c>
      <c r="AN76" s="21" t="n">
        <f aca="false">AN18-AN46</f>
        <v>1.30473643357384</v>
      </c>
      <c r="AO76" s="21" t="n">
        <f aca="false">AO18-AO46</f>
        <v>2.51540000251646</v>
      </c>
      <c r="AP76" s="21" t="n">
        <f aca="false">AP18-AP46</f>
        <v>1.6446559884959</v>
      </c>
      <c r="AQ76" s="21" t="n">
        <f aca="false">AQ18-AQ46</f>
        <v>-0.049762069029194</v>
      </c>
      <c r="AR76" s="21" t="n">
        <f aca="false">AR18-AR46</f>
        <v>0.189502959330698</v>
      </c>
      <c r="AS76" s="21" t="n">
        <f aca="false">AS18-AS46</f>
        <v>0.217476225256076</v>
      </c>
      <c r="AT76" s="21" t="n">
        <f aca="false">AT18-AT46</f>
        <v>6.17265892909122</v>
      </c>
      <c r="AU76" s="21" t="n">
        <f aca="false">AU18-AU46</f>
        <v>6.89084892999455</v>
      </c>
      <c r="AV76" s="21" t="n">
        <f aca="false">AV18-AV46</f>
        <v>0.27665733255162</v>
      </c>
      <c r="AW76" s="21" t="n">
        <f aca="false">AW18-AW46</f>
        <v>1.49214993966226</v>
      </c>
      <c r="AX76" s="21" t="n">
        <f aca="false">AX18-AX46</f>
        <v>0.398829857846809</v>
      </c>
      <c r="AY76" s="21" t="n">
        <f aca="false">AY18-AY46</f>
        <v>0.446219935424604</v>
      </c>
      <c r="AZ76" s="21" t="n">
        <f aca="false">AZ18-AZ46</f>
        <v>3.41451001620792</v>
      </c>
      <c r="BA76" s="21" t="n">
        <f aca="false">BA18-BA46</f>
        <v>0</v>
      </c>
      <c r="BB76" s="21" t="n">
        <f aca="false">BB18-BB46</f>
        <v>0.80906763493206</v>
      </c>
      <c r="BC76" s="21" t="n">
        <f aca="false">BC18-BC46</f>
        <v>0.291276025239742</v>
      </c>
      <c r="BD76" s="21" t="n">
        <f aca="false">BD18-BD46</f>
        <v>0.143856615332068</v>
      </c>
      <c r="BE76" s="21" t="n">
        <f aca="false">BE18-BE46</f>
        <v>0.080331606454178</v>
      </c>
      <c r="BF76" s="21" t="n">
        <f aca="false">BF18-BF46</f>
        <v>2.47439388730254</v>
      </c>
      <c r="BG76" s="21" t="n">
        <f aca="false">BG18-BG46</f>
        <v>-0.194566484208092</v>
      </c>
      <c r="BH76" s="21" t="n">
        <f aca="false">BH18-BH46</f>
        <v>0.935489024705937</v>
      </c>
      <c r="BI76" s="21" t="n">
        <f aca="false">BI18-BI46</f>
        <v>14.6364324140049</v>
      </c>
      <c r="BJ76" s="21" t="n">
        <f aca="false">BJ18-BJ46</f>
        <v>434.431201790948</v>
      </c>
      <c r="BK76" s="21" t="n">
        <f aca="false">BK18-BK46</f>
        <v>7.31821620700244</v>
      </c>
      <c r="BL76" s="21" t="n">
        <f aca="false">BL18-BL46</f>
        <v>895.851629367946</v>
      </c>
      <c r="BM76" s="21" t="n">
        <f aca="false">BM18-BM46</f>
        <v>56.1973708450905</v>
      </c>
      <c r="BN76" s="21" t="n">
        <f aca="false">BN18-BN46</f>
        <v>0</v>
      </c>
      <c r="BO76" s="21" t="n">
        <f aca="false">BO18-BO46</f>
        <v>100.745981535465</v>
      </c>
      <c r="BP76" s="21" t="n">
        <f aca="false">BP18-BP46</f>
        <v>140.573657199945</v>
      </c>
      <c r="BQ76" s="21" t="n">
        <f aca="false">BQ18-BQ46</f>
        <v>0</v>
      </c>
      <c r="BR76" s="21" t="n">
        <f aca="false">BR18-BR46</f>
        <v>3.35819925463728</v>
      </c>
      <c r="BS76" s="21" t="n">
        <f aca="false">BS18-BS46</f>
        <v>0.335819827926388</v>
      </c>
      <c r="BT76" s="21" t="n">
        <f aca="false">BT18-BT46</f>
        <v>0</v>
      </c>
      <c r="BU76" s="21" t="n">
        <f aca="false">BU18-BU46</f>
        <v>0</v>
      </c>
      <c r="BV76" s="21" t="n">
        <f aca="false">BV18-BV46</f>
        <v>0</v>
      </c>
      <c r="BW76" s="21" t="n">
        <f aca="false">BW18-BW46</f>
        <v>0</v>
      </c>
      <c r="BX76" s="21" t="n">
        <f aca="false">BX18-BX46</f>
        <v>7.09691927738609</v>
      </c>
      <c r="BY76" s="21" t="n">
        <f aca="false">BY18-BY46</f>
        <v>132.260757893693</v>
      </c>
      <c r="BZ76" s="21" t="n">
        <f aca="false">BZ18-BZ46</f>
        <v>0.227494054960707</v>
      </c>
      <c r="CA76" s="21" t="n">
        <f aca="false">CA18-CA46</f>
        <v>0.0185079084456084</v>
      </c>
      <c r="CB76" s="21" t="n">
        <f aca="false">CB18-CB46</f>
        <v>623.126845546812</v>
      </c>
      <c r="CC76" s="21" t="n">
        <f aca="false">CC18-CC46</f>
        <v>266.450730983642</v>
      </c>
      <c r="CD76" s="21" t="n">
        <f aca="false">CD18-CD46</f>
        <v>0</v>
      </c>
      <c r="CE76" s="21" t="n">
        <f aca="false">CE18-CE46</f>
        <v>2.58721000880942</v>
      </c>
      <c r="CF76" s="21" t="n">
        <f aca="false">CF18-CF46</f>
        <v>284.552790090563</v>
      </c>
      <c r="CG76" s="21" t="n">
        <f aca="false">CG18-CG46</f>
        <v>18.6853015629417</v>
      </c>
      <c r="CH76" s="21" t="n">
        <f aca="false">CH18-CH46</f>
        <v>25.0915155993257</v>
      </c>
      <c r="CI76" s="21" t="n">
        <f aca="false">CI18-CI46</f>
        <v>0.293629798374372</v>
      </c>
      <c r="CJ76" s="21" t="n">
        <f aca="false">CJ18-CJ46</f>
        <v>0.0621157780942342</v>
      </c>
      <c r="CK76" s="21" t="n">
        <f aca="false">CK18-CK46</f>
        <v>5.18336951176965</v>
      </c>
      <c r="CL76" s="22" t="s">
        <v>320</v>
      </c>
      <c r="AMJ76" s="18"/>
    </row>
    <row r="77" customFormat="false" ht="12.8" hidden="false" customHeight="false" outlineLevel="0" collapsed="false">
      <c r="A77" s="4" t="s">
        <v>153</v>
      </c>
      <c r="B77" s="7" t="s">
        <v>39</v>
      </c>
      <c r="C77" s="4" t="n">
        <f aca="false">C19-C47</f>
        <v>-0.00215185843236697</v>
      </c>
      <c r="D77" s="4" t="n">
        <f aca="false">D19-D47</f>
        <v>-182.816379084081</v>
      </c>
      <c r="E77" s="4" t="n">
        <f aca="false">E19-E47</f>
        <v>-227.537652337768</v>
      </c>
      <c r="F77" s="4" t="n">
        <f aca="false">F19-F47</f>
        <v>0</v>
      </c>
      <c r="G77" s="4" t="n">
        <f aca="false">G19-G47</f>
        <v>-22.9260091256449</v>
      </c>
      <c r="H77" s="4" t="n">
        <f aca="false">H19-H47</f>
        <v>-0.804280687328062</v>
      </c>
      <c r="I77" s="4" t="n">
        <f aca="false">I19-I47</f>
        <v>0.594360557711426</v>
      </c>
      <c r="J77" s="4" t="n">
        <f aca="false">J19-J47</f>
        <v>0.877879173449532</v>
      </c>
      <c r="K77" s="4" t="n">
        <f aca="false">K19-K47</f>
        <v>0</v>
      </c>
      <c r="L77" s="4" t="n">
        <f aca="false">L19-L47</f>
        <v>0</v>
      </c>
      <c r="M77" s="4" t="n">
        <f aca="false">M19-M47</f>
        <v>0</v>
      </c>
      <c r="N77" s="4" t="n">
        <f aca="false">N19-N47</f>
        <v>-430.654888892919</v>
      </c>
      <c r="O77" s="4" t="n">
        <f aca="false">O19-O47</f>
        <v>0</v>
      </c>
      <c r="P77" s="4" t="n">
        <f aca="false">P19-P47</f>
        <v>0</v>
      </c>
      <c r="Q77" s="4" t="n">
        <f aca="false">Q19-Q47</f>
        <v>-0.177849988875345</v>
      </c>
      <c r="R77" s="4" t="n">
        <f aca="false">R19-R47</f>
        <v>-24.6807131693071</v>
      </c>
      <c r="S77" s="4" t="n">
        <f aca="false">S19-S47</f>
        <v>0</v>
      </c>
      <c r="T77" s="4" t="n">
        <f aca="false">T19-T47</f>
        <v>0</v>
      </c>
      <c r="U77" s="4" t="n">
        <f aca="false">U19-U47</f>
        <v>0</v>
      </c>
      <c r="V77" s="4" t="n">
        <f aca="false">V19-V47</f>
        <v>178.076762434114</v>
      </c>
      <c r="W77" s="4" t="n">
        <f aca="false">W19-W47</f>
        <v>208.524889504411</v>
      </c>
      <c r="X77" s="4" t="n">
        <f aca="false">X19-X47</f>
        <v>18.4346832042689</v>
      </c>
      <c r="Y77" s="4" t="n">
        <f aca="false">Y19-Y47</f>
        <v>0</v>
      </c>
      <c r="Z77" s="4" t="n">
        <f aca="false">Z19-Z47</f>
        <v>-36.2649520228336</v>
      </c>
      <c r="AA77" s="4" t="n">
        <f aca="false">AA19-AA47</f>
        <v>2.11728375757877</v>
      </c>
      <c r="AB77" s="4" t="n">
        <f aca="false">AB19-AB47</f>
        <v>8.42372743088468</v>
      </c>
      <c r="AC77" s="4" t="n">
        <f aca="false">AC19-AC47</f>
        <v>-3.71168700145624</v>
      </c>
      <c r="AD77" s="4" t="n">
        <f aca="false">AD19-AD47</f>
        <v>1.37905399405807</v>
      </c>
      <c r="AE77" s="4" t="n">
        <f aca="false">AE19-AE47</f>
        <v>-3.12901561891664</v>
      </c>
      <c r="AF77" s="4" t="n">
        <f aca="false">AF19-AF47</f>
        <v>-0.808970794556436</v>
      </c>
      <c r="AG77" s="4" t="n">
        <f aca="false">AG19-AG47</f>
        <v>1.31445203600505</v>
      </c>
      <c r="AH77" s="4" t="n">
        <f aca="false">AH19-AH47</f>
        <v>-3.33029289114893</v>
      </c>
      <c r="AI77" s="4" t="n">
        <f aca="false">AI19-AI47</f>
        <v>-0.37457294485595</v>
      </c>
      <c r="AJ77" s="4" t="n">
        <f aca="false">AJ19-AJ47</f>
        <v>0.7485972207149</v>
      </c>
      <c r="AK77" s="4" t="n">
        <f aca="false">AK19-AK47</f>
        <v>-0.583005228068072</v>
      </c>
      <c r="AL77" s="4" t="n">
        <f aca="false">AL19-AL47</f>
        <v>-0.206116860200596</v>
      </c>
      <c r="AM77" s="4" t="n">
        <f aca="false">AM19-AM47</f>
        <v>1.3658864965537</v>
      </c>
      <c r="AN77" s="4" t="n">
        <f aca="false">AN19-AN47</f>
        <v>-0.147799495641551</v>
      </c>
      <c r="AO77" s="4" t="n">
        <f aca="false">AO19-AO47</f>
        <v>-1.88285986924674</v>
      </c>
      <c r="AP77" s="4" t="n">
        <f aca="false">AP19-AP47</f>
        <v>0.974251335109709</v>
      </c>
      <c r="AQ77" s="4" t="n">
        <f aca="false">AQ19-AQ47</f>
        <v>-0.00469442561485972</v>
      </c>
      <c r="AR77" s="4" t="n">
        <f aca="false">AR19-AR47</f>
        <v>0.122357156618768</v>
      </c>
      <c r="AS77" s="4" t="n">
        <f aca="false">AS19-AS47</f>
        <v>0.210586978133783</v>
      </c>
      <c r="AT77" s="4" t="n">
        <f aca="false">AT19-AT47</f>
        <v>-6.18748622395894</v>
      </c>
      <c r="AU77" s="4" t="n">
        <f aca="false">AU19-AU47</f>
        <v>1.37525776104217</v>
      </c>
      <c r="AV77" s="4" t="n">
        <f aca="false">AV19-AV47</f>
        <v>0.0210645126791143</v>
      </c>
      <c r="AW77" s="4" t="n">
        <f aca="false">AW19-AW47</f>
        <v>-1.9414776368305</v>
      </c>
      <c r="AX77" s="4" t="n">
        <f aca="false">AX19-AX47</f>
        <v>-0.188826669263448</v>
      </c>
      <c r="AY77" s="4" t="n">
        <f aca="false">AY19-AY47</f>
        <v>-0.102021343818779</v>
      </c>
      <c r="AZ77" s="4" t="n">
        <f aca="false">AZ19-AZ47</f>
        <v>0.0355611645980458</v>
      </c>
      <c r="BA77" s="4" t="n">
        <f aca="false">BA19-BA47</f>
        <v>0</v>
      </c>
      <c r="BB77" s="4" t="n">
        <f aca="false">BB19-BB47</f>
        <v>0.312541520727238</v>
      </c>
      <c r="BC77" s="4" t="n">
        <f aca="false">BC19-BC47</f>
        <v>-0.297105346018125</v>
      </c>
      <c r="BD77" s="4" t="n">
        <f aca="false">BD19-BD47</f>
        <v>-0.0856438587985532</v>
      </c>
      <c r="BE77" s="4" t="n">
        <f aca="false">BE19-BE47</f>
        <v>0.0191415405498742</v>
      </c>
      <c r="BF77" s="4" t="n">
        <f aca="false">BF19-BF47</f>
        <v>2.27622480979415</v>
      </c>
      <c r="BG77" s="4" t="n">
        <f aca="false">BG19-BG47</f>
        <v>-0.66707575624093</v>
      </c>
      <c r="BH77" s="4" t="n">
        <f aca="false">BH19-BH47</f>
        <v>-1.32481434077321</v>
      </c>
      <c r="BI77" s="4" t="n">
        <f aca="false">BI19-BI47</f>
        <v>-8.71617036743074</v>
      </c>
      <c r="BJ77" s="4" t="n">
        <f aca="false">BJ19-BJ47</f>
        <v>-21.3850644477483</v>
      </c>
      <c r="BK77" s="4" t="n">
        <f aca="false">BK19-BK47</f>
        <v>-4.35808518371537</v>
      </c>
      <c r="BL77" s="4" t="n">
        <f aca="false">BL19-BL47</f>
        <v>-39.9784160842596</v>
      </c>
      <c r="BM77" s="4" t="n">
        <f aca="false">BM19-BM47</f>
        <v>-7.89708382088844</v>
      </c>
      <c r="BN77" s="4" t="n">
        <f aca="false">BN19-BN47</f>
        <v>0</v>
      </c>
      <c r="BO77" s="4" t="n">
        <f aca="false">BO19-BO47</f>
        <v>-15.3467877416245</v>
      </c>
      <c r="BP77" s="4" t="n">
        <f aca="false">BP19-BP47</f>
        <v>-34.9646673467686</v>
      </c>
      <c r="BQ77" s="4" t="n">
        <f aca="false">BQ19-BQ47</f>
        <v>0</v>
      </c>
      <c r="BR77" s="4" t="n">
        <f aca="false">BR19-BR47</f>
        <v>-0.511559554029749</v>
      </c>
      <c r="BS77" s="4" t="n">
        <f aca="false">BS19-BS47</f>
        <v>-0.051155934069679</v>
      </c>
      <c r="BT77" s="4" t="n">
        <f aca="false">BT19-BT47</f>
        <v>0</v>
      </c>
      <c r="BU77" s="4" t="n">
        <f aca="false">BU19-BU47</f>
        <v>0</v>
      </c>
      <c r="BV77" s="4" t="n">
        <f aca="false">BV19-BV47</f>
        <v>0</v>
      </c>
      <c r="BW77" s="4" t="n">
        <f aca="false">BW19-BW47</f>
        <v>0</v>
      </c>
      <c r="BX77" s="4" t="n">
        <f aca="false">BX19-BX47</f>
        <v>-0.00534484181924158</v>
      </c>
      <c r="BY77" s="4" t="n">
        <f aca="false">BY19-BY47</f>
        <v>-10.6485331633641</v>
      </c>
      <c r="BZ77" s="4" t="n">
        <f aca="false">BZ19-BZ47</f>
        <v>-0.152935375127461</v>
      </c>
      <c r="CA77" s="4" t="n">
        <f aca="false">CA19-CA47</f>
        <v>-0.0797328873789548</v>
      </c>
      <c r="CB77" s="4" t="n">
        <f aca="false">CB19-CB47</f>
        <v>-88.3966703467804</v>
      </c>
      <c r="CC77" s="4" t="n">
        <f aca="false">CC19-CC47</f>
        <v>-443.111570552677</v>
      </c>
      <c r="CD77" s="4" t="n">
        <f aca="false">CD19-CD47</f>
        <v>0</v>
      </c>
      <c r="CE77" s="4" t="n">
        <f aca="false">CE19-CE47</f>
        <v>-2.57587427873777</v>
      </c>
      <c r="CF77" s="4" t="n">
        <f aca="false">CF19-CF47</f>
        <v>-327.700463061803</v>
      </c>
      <c r="CG77" s="4" t="n">
        <f aca="false">CG19-CG47</f>
        <v>-2.75247433839305</v>
      </c>
      <c r="CH77" s="4" t="n">
        <f aca="false">CH19-CH47</f>
        <v>-1.02785088940003</v>
      </c>
      <c r="CI77" s="4" t="n">
        <f aca="false">CI19-CI47</f>
        <v>-0.00258171219900134</v>
      </c>
      <c r="CJ77" s="4" t="n">
        <f aca="false">CJ19-CJ47</f>
        <v>-0.00498279198607843</v>
      </c>
      <c r="CK77" s="4" t="n">
        <f aca="false">CK19-CK47</f>
        <v>-0.308116419788099</v>
      </c>
      <c r="CL77" s="7" t="s">
        <v>320</v>
      </c>
    </row>
    <row r="78" customFormat="false" ht="12.8" hidden="false" customHeight="false" outlineLevel="0" collapsed="false">
      <c r="A78" s="4" t="s">
        <v>155</v>
      </c>
      <c r="B78" s="7" t="s">
        <v>39</v>
      </c>
      <c r="C78" s="4" t="n">
        <f aca="false">C20-C48</f>
        <v>-0.00129058836910973</v>
      </c>
      <c r="D78" s="4" t="n">
        <f aca="false">D20-D48</f>
        <v>-146.702050063412</v>
      </c>
      <c r="E78" s="4" t="n">
        <f aca="false">E20-E48</f>
        <v>-39.675408521898</v>
      </c>
      <c r="F78" s="4" t="n">
        <f aca="false">F20-F48</f>
        <v>0</v>
      </c>
      <c r="G78" s="4" t="n">
        <f aca="false">G20-G48</f>
        <v>-6.06059625937874</v>
      </c>
      <c r="H78" s="4" t="n">
        <f aca="false">H20-H48</f>
        <v>-0.0163368897072457</v>
      </c>
      <c r="I78" s="4" t="n">
        <f aca="false">I20-I48</f>
        <v>0.389737705671109</v>
      </c>
      <c r="J78" s="4" t="n">
        <f aca="false">J20-J48</f>
        <v>0.645160075860387</v>
      </c>
      <c r="K78" s="4" t="n">
        <f aca="false">K20-K48</f>
        <v>0</v>
      </c>
      <c r="L78" s="4" t="n">
        <f aca="false">L20-L48</f>
        <v>0</v>
      </c>
      <c r="M78" s="4" t="n">
        <f aca="false">M20-M48</f>
        <v>0</v>
      </c>
      <c r="N78" s="4" t="n">
        <f aca="false">N20-N48</f>
        <v>-52.2933036222895</v>
      </c>
      <c r="O78" s="4" t="n">
        <f aca="false">O20-O48</f>
        <v>0</v>
      </c>
      <c r="P78" s="4" t="n">
        <f aca="false">P20-P48</f>
        <v>0</v>
      </c>
      <c r="Q78" s="4" t="n">
        <f aca="false">Q20-Q48</f>
        <v>-1.33857817544889</v>
      </c>
      <c r="R78" s="4" t="n">
        <f aca="false">R20-R48</f>
        <v>-55.270382043403</v>
      </c>
      <c r="S78" s="4" t="n">
        <f aca="false">S20-S48</f>
        <v>0</v>
      </c>
      <c r="T78" s="4" t="n">
        <f aca="false">T20-T48</f>
        <v>0</v>
      </c>
      <c r="U78" s="4" t="n">
        <f aca="false">U20-U48</f>
        <v>0</v>
      </c>
      <c r="V78" s="4" t="n">
        <f aca="false">V20-V48</f>
        <v>-195.771612167852</v>
      </c>
      <c r="W78" s="4" t="n">
        <f aca="false">W20-W48</f>
        <v>-787.516560827941</v>
      </c>
      <c r="X78" s="4" t="n">
        <f aca="false">X20-X48</f>
        <v>-1236.31006870993</v>
      </c>
      <c r="Y78" s="4" t="n">
        <f aca="false">Y20-Y48</f>
        <v>0</v>
      </c>
      <c r="Z78" s="4" t="n">
        <f aca="false">Z20-Z48</f>
        <v>-0.992475092692007</v>
      </c>
      <c r="AA78" s="4" t="n">
        <f aca="false">AA20-AA48</f>
        <v>-0.103149622527483</v>
      </c>
      <c r="AB78" s="4" t="n">
        <f aca="false">AB20-AB48</f>
        <v>-2.4588396678485</v>
      </c>
      <c r="AC78" s="4" t="n">
        <f aca="false">AC20-AC48</f>
        <v>0.545326355676927</v>
      </c>
      <c r="AD78" s="4" t="n">
        <f aca="false">AD20-AD48</f>
        <v>-0.402538269728745</v>
      </c>
      <c r="AE78" s="4" t="n">
        <f aca="false">AE20-AE48</f>
        <v>-1.31601527309061</v>
      </c>
      <c r="AF78" s="4" t="n">
        <f aca="false">AF20-AF48</f>
        <v>-0.747048530473327</v>
      </c>
      <c r="AG78" s="4" t="n">
        <f aca="false">AG20-AG48</f>
        <v>-2.43047454496413</v>
      </c>
      <c r="AH78" s="4" t="n">
        <f aca="false">AH20-AH48</f>
        <v>-0.523433095368763</v>
      </c>
      <c r="AI78" s="4" t="n">
        <f aca="false">AI20-AI48</f>
        <v>-0.414086486884074</v>
      </c>
      <c r="AJ78" s="4" t="n">
        <f aca="false">AJ20-AJ48</f>
        <v>-0.22307882939101</v>
      </c>
      <c r="AK78" s="4" t="n">
        <f aca="false">AK20-AK48</f>
        <v>-0.606966739001326</v>
      </c>
      <c r="AL78" s="4" t="n">
        <f aca="false">AL20-AL48</f>
        <v>-0.331900281591113</v>
      </c>
      <c r="AM78" s="4" t="n">
        <f aca="false">AM20-AM48</f>
        <v>-1.28988786798935</v>
      </c>
      <c r="AN78" s="4" t="n">
        <f aca="false">AN20-AN48</f>
        <v>-0.362700193281535</v>
      </c>
      <c r="AO78" s="4" t="n">
        <f aca="false">AO20-AO48</f>
        <v>-0.675892095289875</v>
      </c>
      <c r="AP78" s="4" t="n">
        <f aca="false">AP20-AP48</f>
        <v>-0.267185310755414</v>
      </c>
      <c r="AQ78" s="4" t="n">
        <f aca="false">AQ20-AQ48</f>
        <v>-0.106265246601099</v>
      </c>
      <c r="AR78" s="4" t="n">
        <f aca="false">AR20-AR48</f>
        <v>-0.216875057507571</v>
      </c>
      <c r="AS78" s="4" t="n">
        <f aca="false">AS20-AS48</f>
        <v>-0.215538418687859</v>
      </c>
      <c r="AT78" s="4" t="n">
        <f aca="false">AT20-AT48</f>
        <v>-1.25017357804146</v>
      </c>
      <c r="AU78" s="4" t="n">
        <f aca="false">AU20-AU48</f>
        <v>-2.01043510169527</v>
      </c>
      <c r="AV78" s="4" t="n">
        <f aca="false">AV20-AV48</f>
        <v>-0.127788106594966</v>
      </c>
      <c r="AW78" s="4" t="n">
        <f aca="false">AW20-AW48</f>
        <v>0.272304385821762</v>
      </c>
      <c r="AX78" s="4" t="n">
        <f aca="false">AX20-AX48</f>
        <v>-0.25050781662042</v>
      </c>
      <c r="AY78" s="4" t="n">
        <f aca="false">AY20-AY48</f>
        <v>0.000355138115248604</v>
      </c>
      <c r="AZ78" s="4" t="n">
        <f aca="false">AZ20-AZ48</f>
        <v>-0.0648049734687943</v>
      </c>
      <c r="BA78" s="4" t="n">
        <f aca="false">BA20-BA48</f>
        <v>0</v>
      </c>
      <c r="BB78" s="4" t="n">
        <f aca="false">BB20-BB48</f>
        <v>-0.280680121831776</v>
      </c>
      <c r="BC78" s="4" t="n">
        <f aca="false">BC20-BC48</f>
        <v>-0.281732557318469</v>
      </c>
      <c r="BD78" s="4" t="n">
        <f aca="false">BD20-BD48</f>
        <v>-0.154860053782752</v>
      </c>
      <c r="BE78" s="4" t="n">
        <f aca="false">BE20-BE48</f>
        <v>-0.0625978142262488</v>
      </c>
      <c r="BF78" s="4" t="n">
        <f aca="false">BF20-BF48</f>
        <v>-2.27138031408179</v>
      </c>
      <c r="BG78" s="4" t="n">
        <f aca="false">BG20-BG48</f>
        <v>-0.416151357415545</v>
      </c>
      <c r="BH78" s="4" t="n">
        <f aca="false">BH20-BH48</f>
        <v>-0.000831105933108699</v>
      </c>
      <c r="BI78" s="4" t="n">
        <f aca="false">BI20-BI48</f>
        <v>-3.66975679608139</v>
      </c>
      <c r="BJ78" s="4" t="n">
        <f aca="false">BJ20-BJ48</f>
        <v>-527.054432202021</v>
      </c>
      <c r="BK78" s="4" t="n">
        <f aca="false">BK20-BK48</f>
        <v>-1.8348783980407</v>
      </c>
      <c r="BL78" s="4" t="n">
        <f aca="false">BL20-BL48</f>
        <v>-522.337063751935</v>
      </c>
      <c r="BM78" s="4" t="n">
        <f aca="false">BM20-BM48</f>
        <v>-25.5574737543135</v>
      </c>
      <c r="BN78" s="4" t="n">
        <f aca="false">BN20-BN48</f>
        <v>0</v>
      </c>
      <c r="BO78" s="4" t="n">
        <f aca="false">BO20-BO48</f>
        <v>0.00816897176473433</v>
      </c>
      <c r="BP78" s="4" t="n">
        <f aca="false">BP20-BP48</f>
        <v>0.0440559129259424</v>
      </c>
      <c r="BQ78" s="4" t="n">
        <f aca="false">BQ20-BQ48</f>
        <v>0</v>
      </c>
      <c r="BR78" s="4" t="n">
        <f aca="false">BR20-BR48</f>
        <v>0.000272298294329758</v>
      </c>
      <c r="BS78" s="4" t="n">
        <f aca="false">BS20-BS48</f>
        <v>2.7229708558471E-005</v>
      </c>
      <c r="BT78" s="4" t="n">
        <f aca="false">BT20-BT48</f>
        <v>0</v>
      </c>
      <c r="BU78" s="4" t="n">
        <f aca="false">BU20-BU48</f>
        <v>0</v>
      </c>
      <c r="BV78" s="4" t="n">
        <f aca="false">BV20-BV48</f>
        <v>0</v>
      </c>
      <c r="BW78" s="4" t="n">
        <f aca="false">BW20-BW48</f>
        <v>0</v>
      </c>
      <c r="BX78" s="4" t="n">
        <f aca="false">BX20-BX48</f>
        <v>-2.52902676708106</v>
      </c>
      <c r="BY78" s="4" t="n">
        <f aca="false">BY20-BY48</f>
        <v>-94.2676641448692</v>
      </c>
      <c r="BZ78" s="4" t="n">
        <f aca="false">BZ20-BZ48</f>
        <v>-0.117548191433633</v>
      </c>
      <c r="CA78" s="4" t="n">
        <f aca="false">CA20-CA48</f>
        <v>-0.0545970242436283</v>
      </c>
      <c r="CB78" s="4" t="n">
        <f aca="false">CB20-CB48</f>
        <v>-345.014581130278</v>
      </c>
      <c r="CC78" s="4" t="n">
        <f aca="false">CC20-CC48</f>
        <v>-684.866463904483</v>
      </c>
      <c r="CD78" s="4" t="n">
        <f aca="false">CD20-CD48</f>
        <v>0</v>
      </c>
      <c r="CE78" s="4" t="n">
        <f aca="false">CE20-CE48</f>
        <v>-0.269342816143253</v>
      </c>
      <c r="CF78" s="4" t="n">
        <f aca="false">CF20-CF48</f>
        <v>-681.25710516878</v>
      </c>
      <c r="CG78" s="4" t="n">
        <f aca="false">CG20-CG48</f>
        <v>0.0178165181284062</v>
      </c>
      <c r="CH78" s="4" t="n">
        <f aca="false">CH20-CH48</f>
        <v>0.316561227031591</v>
      </c>
      <c r="CI78" s="4" t="n">
        <f aca="false">CI20-CI48</f>
        <v>-0.109661213128926</v>
      </c>
      <c r="CJ78" s="4" t="n">
        <f aca="false">CJ20-CJ48</f>
        <v>-0.00772269564668208</v>
      </c>
      <c r="CK78" s="4" t="n">
        <f aca="false">CK20-CK48</f>
        <v>-4.02347921580112</v>
      </c>
      <c r="CL78" s="7" t="s">
        <v>320</v>
      </c>
    </row>
    <row r="79" customFormat="false" ht="12.8" hidden="false" customHeight="false" outlineLevel="0" collapsed="false">
      <c r="A79" s="4" t="s">
        <v>156</v>
      </c>
      <c r="B79" s="7" t="s">
        <v>39</v>
      </c>
      <c r="C79" s="4" t="n">
        <f aca="false">C21-C49</f>
        <v>0.00563103565052092</v>
      </c>
      <c r="D79" s="4" t="n">
        <f aca="false">D21-D49</f>
        <v>1430.26204334563</v>
      </c>
      <c r="E79" s="4" t="n">
        <f aca="false">E21-E49</f>
        <v>393.166161062089</v>
      </c>
      <c r="F79" s="4" t="n">
        <f aca="false">F21-F49</f>
        <v>0</v>
      </c>
      <c r="G79" s="4" t="n">
        <f aca="false">G21-G49</f>
        <v>1856.67343215335</v>
      </c>
      <c r="H79" s="4" t="n">
        <f aca="false">H21-H49</f>
        <v>1.21414875003668</v>
      </c>
      <c r="I79" s="4" t="n">
        <f aca="false">I21-I49</f>
        <v>1.33433256482701</v>
      </c>
      <c r="J79" s="4" t="n">
        <f aca="false">J21-J49</f>
        <v>-2.38618209777681</v>
      </c>
      <c r="K79" s="4" t="n">
        <f aca="false">K21-K49</f>
        <v>0</v>
      </c>
      <c r="L79" s="4" t="n">
        <f aca="false">L21-L49</f>
        <v>0</v>
      </c>
      <c r="M79" s="4" t="n">
        <f aca="false">M21-M49</f>
        <v>0</v>
      </c>
      <c r="N79" s="4" t="n">
        <f aca="false">N21-N49</f>
        <v>878.37210934698</v>
      </c>
      <c r="O79" s="4" t="n">
        <f aca="false">O21-O49</f>
        <v>0</v>
      </c>
      <c r="P79" s="4" t="n">
        <f aca="false">P21-P49</f>
        <v>0</v>
      </c>
      <c r="Q79" s="4" t="n">
        <f aca="false">Q21-Q49</f>
        <v>34.0962406763359</v>
      </c>
      <c r="R79" s="4" t="n">
        <f aca="false">R21-R49</f>
        <v>50.2415016037863</v>
      </c>
      <c r="S79" s="4" t="n">
        <f aca="false">S21-S49</f>
        <v>0</v>
      </c>
      <c r="T79" s="4" t="n">
        <f aca="false">T21-T49</f>
        <v>0</v>
      </c>
      <c r="U79" s="4" t="n">
        <f aca="false">U21-U49</f>
        <v>0</v>
      </c>
      <c r="V79" s="4" t="n">
        <f aca="false">V21-V49</f>
        <v>476.187324139855</v>
      </c>
      <c r="W79" s="4" t="n">
        <f aca="false">W21-W49</f>
        <v>1449.58270318805</v>
      </c>
      <c r="X79" s="4" t="n">
        <f aca="false">X21-X49</f>
        <v>965.460636575449</v>
      </c>
      <c r="Y79" s="4" t="n">
        <f aca="false">Y21-Y49</f>
        <v>0</v>
      </c>
      <c r="Z79" s="4" t="n">
        <f aca="false">Z21-Z49</f>
        <v>-93.0467848484971</v>
      </c>
      <c r="AA79" s="4" t="n">
        <f aca="false">AA21-AA49</f>
        <v>6.84973133673398</v>
      </c>
      <c r="AB79" s="4" t="n">
        <f aca="false">AB21-AB49</f>
        <v>32.0851146357723</v>
      </c>
      <c r="AC79" s="4" t="n">
        <f aca="false">AC21-AC49</f>
        <v>-9.67366563094626</v>
      </c>
      <c r="AD79" s="4" t="n">
        <f aca="false">AD21-AD49</f>
        <v>5.2526753567602</v>
      </c>
      <c r="AE79" s="4" t="n">
        <f aca="false">AE21-AE49</f>
        <v>2.97969383080873</v>
      </c>
      <c r="AF79" s="4" t="n">
        <f aca="false">AF21-AF49</f>
        <v>2.11679235820723</v>
      </c>
      <c r="AG79" s="4" t="n">
        <f aca="false">AG21-AG49</f>
        <v>5.16262251201406</v>
      </c>
      <c r="AH79" s="4" t="n">
        <f aca="false">AH21-AH49</f>
        <v>2.38984594973647</v>
      </c>
      <c r="AI79" s="4" t="n">
        <f aca="false">AI21-AI49</f>
        <v>1.13239455141105</v>
      </c>
      <c r="AJ79" s="4" t="n">
        <f aca="false">AJ21-AJ49</f>
        <v>2.17418600166293</v>
      </c>
      <c r="AK79" s="4" t="n">
        <f aca="false">AK21-AK49</f>
        <v>1.22293376617445</v>
      </c>
      <c r="AL79" s="4" t="n">
        <f aca="false">AL21-AL49</f>
        <v>1.26248330651108</v>
      </c>
      <c r="AM79" s="4" t="n">
        <f aca="false">AM21-AM49</f>
        <v>2.41420590957025</v>
      </c>
      <c r="AN79" s="4" t="n">
        <f aca="false">AN21-AN49</f>
        <v>1.47019145103484</v>
      </c>
      <c r="AO79" s="4" t="n">
        <f aca="false">AO21-AO49</f>
        <v>5.55710933041906</v>
      </c>
      <c r="AP79" s="4" t="n">
        <f aca="false">AP21-AP49</f>
        <v>1.22601693188364</v>
      </c>
      <c r="AQ79" s="4" t="n">
        <f aca="false">AQ21-AQ49</f>
        <v>0.190835121347417</v>
      </c>
      <c r="AR79" s="4" t="n">
        <f aca="false">AR21-AR49</f>
        <v>0.271444601952944</v>
      </c>
      <c r="AS79" s="4" t="n">
        <f aca="false">AS21-AS49</f>
        <v>0.511213196467947</v>
      </c>
      <c r="AT79" s="4" t="n">
        <f aca="false">AT21-AT49</f>
        <v>11.5856153686918</v>
      </c>
      <c r="AU79" s="4" t="n">
        <f aca="false">AU21-AU49</f>
        <v>-1.58801329419357</v>
      </c>
      <c r="AV79" s="4" t="n">
        <f aca="false">AV21-AV49</f>
        <v>0.335918254463298</v>
      </c>
      <c r="AW79" s="4" t="n">
        <f aca="false">AW21-AW49</f>
        <v>-4.99546348253322</v>
      </c>
      <c r="AX79" s="4" t="n">
        <f aca="false">AX21-AX49</f>
        <v>-0.137767960454529</v>
      </c>
      <c r="AY79" s="4" t="n">
        <f aca="false">AY21-AY49</f>
        <v>-0.0602443575292175</v>
      </c>
      <c r="AZ79" s="4" t="n">
        <f aca="false">AZ21-AZ49</f>
        <v>1.38418500544636</v>
      </c>
      <c r="BA79" s="4" t="n">
        <f aca="false">BA21-BA49</f>
        <v>0</v>
      </c>
      <c r="BB79" s="4" t="n">
        <f aca="false">BB21-BB49</f>
        <v>0.485547690514709</v>
      </c>
      <c r="BC79" s="4" t="n">
        <f aca="false">BC21-BC49</f>
        <v>0.666335124514138</v>
      </c>
      <c r="BD79" s="4" t="n">
        <f aca="false">BD21-BD49</f>
        <v>0.449221740998561</v>
      </c>
      <c r="BE79" s="4" t="n">
        <f aca="false">BE21-BE49</f>
        <v>0.195855056689995</v>
      </c>
      <c r="BF79" s="4" t="n">
        <f aca="false">BF21-BF49</f>
        <v>3.95146501617002</v>
      </c>
      <c r="BG79" s="4" t="n">
        <f aca="false">BG21-BG49</f>
        <v>-0.838992607596538</v>
      </c>
      <c r="BH79" s="4" t="n">
        <f aca="false">BH21-BH49</f>
        <v>0.595669684468561</v>
      </c>
      <c r="BI79" s="4" t="n">
        <f aca="false">BI21-BI49</f>
        <v>39.7141474393041</v>
      </c>
      <c r="BJ79" s="4" t="n">
        <f aca="false">BJ21-BJ49</f>
        <v>531.77170809402</v>
      </c>
      <c r="BK79" s="4" t="n">
        <f aca="false">BK21-BK49</f>
        <v>19.8570737196521</v>
      </c>
      <c r="BL79" s="4" t="n">
        <f aca="false">BL21-BL49</f>
        <v>31.1265021940428</v>
      </c>
      <c r="BM79" s="4" t="n">
        <f aca="false">BM21-BM49</f>
        <v>220.637116991693</v>
      </c>
      <c r="BN79" s="4" t="n">
        <f aca="false">BN21-BN49</f>
        <v>0</v>
      </c>
      <c r="BO79" s="4" t="n">
        <f aca="false">BO21-BO49</f>
        <v>-60.8499124052935</v>
      </c>
      <c r="BP79" s="4" t="n">
        <f aca="false">BP21-BP49</f>
        <v>-86.8587652475908</v>
      </c>
      <c r="BQ79" s="4" t="n">
        <f aca="false">BQ21-BQ49</f>
        <v>0</v>
      </c>
      <c r="BR79" s="4" t="n">
        <f aca="false">BR21-BR49</f>
        <v>-2.02833034292692</v>
      </c>
      <c r="BS79" s="4" t="n">
        <f aca="false">BS21-BS49</f>
        <v>-0.202832955951947</v>
      </c>
      <c r="BT79" s="4" t="n">
        <f aca="false">BT21-BT49</f>
        <v>0</v>
      </c>
      <c r="BU79" s="4" t="n">
        <f aca="false">BU21-BU49</f>
        <v>0</v>
      </c>
      <c r="BV79" s="4" t="n">
        <f aca="false">BV21-BV49</f>
        <v>0</v>
      </c>
      <c r="BW79" s="4" t="n">
        <f aca="false">BW21-BW49</f>
        <v>0</v>
      </c>
      <c r="BX79" s="4" t="n">
        <f aca="false">BX21-BX49</f>
        <v>14.6002246553479</v>
      </c>
      <c r="BY79" s="4" t="n">
        <f aca="false">BY21-BY49</f>
        <v>68.1031013514104</v>
      </c>
      <c r="BZ79" s="4" t="n">
        <f aca="false">BZ21-BZ49</f>
        <v>0.00940973449987048</v>
      </c>
      <c r="CA79" s="4" t="n">
        <f aca="false">CA21-CA49</f>
        <v>0.00283701837624811</v>
      </c>
      <c r="CB79" s="4" t="n">
        <f aca="false">CB21-CB49</f>
        <v>107.209331457345</v>
      </c>
      <c r="CC79" s="4" t="n">
        <f aca="false">CC21-CC49</f>
        <v>17.2671268456125</v>
      </c>
      <c r="CD79" s="4" t="n">
        <f aca="false">CD21-CD49</f>
        <v>0</v>
      </c>
      <c r="CE79" s="4" t="n">
        <f aca="false">CE21-CE49</f>
        <v>19.0158567747506</v>
      </c>
      <c r="CF79" s="4" t="n">
        <f aca="false">CF21-CF49</f>
        <v>4.04147312249539</v>
      </c>
      <c r="CG79" s="4" t="n">
        <f aca="false">CG21-CG49</f>
        <v>-0.148611942579259</v>
      </c>
      <c r="CH79" s="4" t="n">
        <f aca="false">CH21-CH49</f>
        <v>-0.148879380923294</v>
      </c>
      <c r="CI79" s="4" t="n">
        <f aca="false">CI21-CI49</f>
        <v>0.377792466763445</v>
      </c>
      <c r="CJ79" s="4" t="n">
        <f aca="false">CJ21-CJ49</f>
        <v>0.102490782498518</v>
      </c>
      <c r="CK79" s="4" t="n">
        <f aca="false">CK21-CK49</f>
        <v>15.5830375392315</v>
      </c>
      <c r="CL79" s="7" t="s">
        <v>320</v>
      </c>
    </row>
    <row r="80" customFormat="false" ht="12.8" hidden="false" customHeight="false" outlineLevel="0" collapsed="false">
      <c r="A80" s="4" t="s">
        <v>157</v>
      </c>
      <c r="B80" s="7" t="s">
        <v>39</v>
      </c>
      <c r="C80" s="4" t="n">
        <f aca="false">C22-C50</f>
        <v>-0.00286277465185936</v>
      </c>
      <c r="D80" s="4" t="n">
        <f aca="false">D22-D50</f>
        <v>-323.977447221543</v>
      </c>
      <c r="E80" s="4" t="n">
        <f aca="false">E22-E50</f>
        <v>-57.643245252816</v>
      </c>
      <c r="F80" s="4" t="n">
        <f aca="false">F22-F50</f>
        <v>0</v>
      </c>
      <c r="G80" s="4" t="n">
        <f aca="false">G22-G50</f>
        <v>-155.156830714604</v>
      </c>
      <c r="H80" s="4" t="n">
        <f aca="false">H22-H50</f>
        <v>-0.177475549868487</v>
      </c>
      <c r="I80" s="4" t="n">
        <f aca="false">I22-I50</f>
        <v>0.531817867662557</v>
      </c>
      <c r="J80" s="4" t="n">
        <f aca="false">J22-J50</f>
        <v>0.310151950196275</v>
      </c>
      <c r="K80" s="4" t="n">
        <f aca="false">K22-K50</f>
        <v>0</v>
      </c>
      <c r="L80" s="4" t="n">
        <f aca="false">L22-L50</f>
        <v>0</v>
      </c>
      <c r="M80" s="4" t="n">
        <f aca="false">M22-M50</f>
        <v>0</v>
      </c>
      <c r="N80" s="4" t="n">
        <f aca="false">N22-N50</f>
        <v>-103.847381227453</v>
      </c>
      <c r="O80" s="4" t="n">
        <f aca="false">O22-O50</f>
        <v>0</v>
      </c>
      <c r="P80" s="4" t="n">
        <f aca="false">P22-P50</f>
        <v>0</v>
      </c>
      <c r="Q80" s="4" t="n">
        <f aca="false">Q22-Q50</f>
        <v>-13.6206759218169</v>
      </c>
      <c r="R80" s="4" t="n">
        <f aca="false">R22-R50</f>
        <v>-56.4657529143566</v>
      </c>
      <c r="S80" s="4" t="n">
        <f aca="false">S22-S50</f>
        <v>0</v>
      </c>
      <c r="T80" s="4" t="n">
        <f aca="false">T22-T50</f>
        <v>0</v>
      </c>
      <c r="U80" s="4" t="n">
        <f aca="false">U22-U50</f>
        <v>0</v>
      </c>
      <c r="V80" s="4" t="n">
        <f aca="false">V22-V50</f>
        <v>11.0831159382902</v>
      </c>
      <c r="W80" s="4" t="n">
        <f aca="false">W22-W50</f>
        <v>-290.088931725673</v>
      </c>
      <c r="X80" s="4" t="n">
        <f aca="false">X22-X50</f>
        <v>-864.065682598815</v>
      </c>
      <c r="Y80" s="4" t="n">
        <f aca="false">Y22-Y50</f>
        <v>0</v>
      </c>
      <c r="Z80" s="4" t="n">
        <f aca="false">Z22-Z50</f>
        <v>-4.54946178613547</v>
      </c>
      <c r="AA80" s="4" t="n">
        <f aca="false">AA22-AA50</f>
        <v>-0.676752653190731</v>
      </c>
      <c r="AB80" s="4" t="n">
        <f aca="false">AB22-AB50</f>
        <v>-4.3818034324739</v>
      </c>
      <c r="AC80" s="4" t="n">
        <f aca="false">AC22-AC50</f>
        <v>1.53751294679973</v>
      </c>
      <c r="AD80" s="4" t="n">
        <f aca="false">AD22-AD50</f>
        <v>-0.717347940601142</v>
      </c>
      <c r="AE80" s="4" t="n">
        <f aca="false">AE22-AE50</f>
        <v>-1.73438727660212</v>
      </c>
      <c r="AF80" s="4" t="n">
        <f aca="false">AF22-AF50</f>
        <v>-1.07318913684878</v>
      </c>
      <c r="AG80" s="4" t="n">
        <f aca="false">AG22-AG50</f>
        <v>-2.48179066380856</v>
      </c>
      <c r="AH80" s="4" t="n">
        <f aca="false">AH22-AH50</f>
        <v>-1.7552557677581</v>
      </c>
      <c r="AI80" s="4" t="n">
        <f aca="false">AI22-AI50</f>
        <v>-0.1995271031496</v>
      </c>
      <c r="AJ80" s="4" t="n">
        <f aca="false">AJ22-AJ50</f>
        <v>0.057157621257924</v>
      </c>
      <c r="AK80" s="4" t="n">
        <f aca="false">AK22-AK50</f>
        <v>0.0746036999598488</v>
      </c>
      <c r="AL80" s="4" t="n">
        <f aca="false">AL22-AL50</f>
        <v>-0.18163426490289</v>
      </c>
      <c r="AM80" s="4" t="n">
        <f aca="false">AM22-AM50</f>
        <v>-0.500738853064491</v>
      </c>
      <c r="AN80" s="4" t="n">
        <f aca="false">AN22-AN50</f>
        <v>0.00889188195700852</v>
      </c>
      <c r="AO80" s="4" t="n">
        <f aca="false">AO22-AO50</f>
        <v>-0.509605320605888</v>
      </c>
      <c r="AP80" s="4" t="n">
        <f aca="false">AP22-AP50</f>
        <v>-0.231241212961228</v>
      </c>
      <c r="AQ80" s="4" t="n">
        <f aca="false">AQ22-AQ50</f>
        <v>-0.0654397173625426</v>
      </c>
      <c r="AR80" s="4" t="n">
        <f aca="false">AR22-AR50</f>
        <v>-0.166281872362066</v>
      </c>
      <c r="AS80" s="4" t="n">
        <f aca="false">AS22-AS50</f>
        <v>-0.419992606903303</v>
      </c>
      <c r="AT80" s="4" t="n">
        <f aca="false">AT22-AT50</f>
        <v>-2.6825444148537</v>
      </c>
      <c r="AU80" s="4" t="n">
        <f aca="false">AU22-AU50</f>
        <v>-0.307334929796464</v>
      </c>
      <c r="AV80" s="4" t="n">
        <f aca="false">AV22-AV50</f>
        <v>-0.148372384855884</v>
      </c>
      <c r="AW80" s="4" t="n">
        <f aca="false">AW22-AW50</f>
        <v>0.800537706090363</v>
      </c>
      <c r="AX80" s="4" t="n">
        <f aca="false">AX22-AX50</f>
        <v>-0.160105259228465</v>
      </c>
      <c r="AY80" s="4" t="n">
        <f aca="false">AY22-AY50</f>
        <v>0.0219164167449283</v>
      </c>
      <c r="AZ80" s="4" t="n">
        <f aca="false">AZ22-AZ50</f>
        <v>0.0416907937195019</v>
      </c>
      <c r="BA80" s="4" t="n">
        <f aca="false">BA22-BA50</f>
        <v>0</v>
      </c>
      <c r="BB80" s="4" t="n">
        <f aca="false">BB22-BB50</f>
        <v>-0.484030733432865</v>
      </c>
      <c r="BC80" s="4" t="n">
        <f aca="false">BC22-BC50</f>
        <v>-0.437693124176973</v>
      </c>
      <c r="BD80" s="4" t="n">
        <f aca="false">BD22-BD50</f>
        <v>-0.11693338082669</v>
      </c>
      <c r="BE80" s="4" t="n">
        <f aca="false">BE22-BE50</f>
        <v>-0.0100020149028611</v>
      </c>
      <c r="BF80" s="4" t="n">
        <f aca="false">BF22-BF50</f>
        <v>-1.80094082827634</v>
      </c>
      <c r="BG80" s="4" t="n">
        <f aca="false">BG22-BG50</f>
        <v>-0.74578137266302</v>
      </c>
      <c r="BH80" s="4" t="n">
        <f aca="false">BH22-BH50</f>
        <v>-0.000542640099439834</v>
      </c>
      <c r="BI80" s="4" t="n">
        <f aca="false">BI22-BI50</f>
        <v>-7.35860874373658</v>
      </c>
      <c r="BJ80" s="4" t="n">
        <f aca="false">BJ22-BJ50</f>
        <v>-315.185553887986</v>
      </c>
      <c r="BK80" s="4" t="n">
        <f aca="false">BK22-BK50</f>
        <v>-3.67930437186829</v>
      </c>
      <c r="BL80" s="4" t="n">
        <f aca="false">BL22-BL50</f>
        <v>-1154.37185623534</v>
      </c>
      <c r="BM80" s="4" t="n">
        <f aca="false">BM22-BM50</f>
        <v>-72.8329982727458</v>
      </c>
      <c r="BN80" s="4" t="n">
        <f aca="false">BN22-BN50</f>
        <v>0</v>
      </c>
      <c r="BO80" s="4" t="n">
        <f aca="false">BO22-BO50</f>
        <v>1.09957678068273</v>
      </c>
      <c r="BP80" s="4" t="n">
        <f aca="false">BP22-BP50</f>
        <v>3.10585231701108</v>
      </c>
      <c r="BQ80" s="4" t="n">
        <f aca="false">BQ22-BQ50</f>
        <v>0</v>
      </c>
      <c r="BR80" s="4" t="n">
        <f aca="false">BR22-BR50</f>
        <v>0.0366525532296184</v>
      </c>
      <c r="BS80" s="4" t="n">
        <f aca="false">BS22-BS50</f>
        <v>0.00366525346151916</v>
      </c>
      <c r="BT80" s="4" t="n">
        <f aca="false">BT22-BT50</f>
        <v>0</v>
      </c>
      <c r="BU80" s="4" t="n">
        <f aca="false">BU22-BU50</f>
        <v>0</v>
      </c>
      <c r="BV80" s="4" t="n">
        <f aca="false">BV22-BV50</f>
        <v>0</v>
      </c>
      <c r="BW80" s="4" t="n">
        <f aca="false">BW22-BW50</f>
        <v>0</v>
      </c>
      <c r="BX80" s="4" t="n">
        <f aca="false">BX22-BX50</f>
        <v>-1.47813080423122</v>
      </c>
      <c r="BY80" s="4" t="n">
        <f aca="false">BY22-BY50</f>
        <v>-10.9560342828977</v>
      </c>
      <c r="BZ80" s="4" t="n">
        <f aca="false">BZ22-BZ50</f>
        <v>-0.593662611636688</v>
      </c>
      <c r="CA80" s="4" t="n">
        <f aca="false">CA22-CA50</f>
        <v>-0.0292196512463539</v>
      </c>
      <c r="CB80" s="4" t="n">
        <f aca="false">CB22-CB50</f>
        <v>-616.614604579745</v>
      </c>
      <c r="CC80" s="4" t="n">
        <f aca="false">CC22-CC50</f>
        <v>-687.472014081574</v>
      </c>
      <c r="CD80" s="4" t="n">
        <f aca="false">CD22-CD50</f>
        <v>0</v>
      </c>
      <c r="CE80" s="4" t="n">
        <f aca="false">CE22-CE50</f>
        <v>-1.33281950217228</v>
      </c>
      <c r="CF80" s="4" t="n">
        <f aca="false">CF22-CF50</f>
        <v>-1084.01788707935</v>
      </c>
      <c r="CG80" s="4" t="n">
        <f aca="false">CG22-CG50</f>
        <v>1.80994259848859</v>
      </c>
      <c r="CH80" s="4" t="n">
        <f aca="false">CH22-CH50</f>
        <v>4.51555794117963</v>
      </c>
      <c r="CI80" s="4" t="n">
        <f aca="false">CI22-CI50</f>
        <v>-0.277179644119717</v>
      </c>
      <c r="CJ80" s="4" t="n">
        <f aca="false">CJ22-CJ50</f>
        <v>-0.011928979544285</v>
      </c>
      <c r="CK80" s="4" t="n">
        <f aca="false">CK22-CK50</f>
        <v>-9.2555681367681</v>
      </c>
      <c r="CL80" s="7" t="s">
        <v>320</v>
      </c>
    </row>
    <row r="81" customFormat="false" ht="12.8" hidden="false" customHeight="false" outlineLevel="0" collapsed="false">
      <c r="A81" s="4" t="s">
        <v>158</v>
      </c>
      <c r="B81" s="7" t="s">
        <v>39</v>
      </c>
      <c r="C81" s="4" t="n">
        <f aca="false">C23-C51</f>
        <v>0.00559990310329616</v>
      </c>
      <c r="D81" s="4" t="n">
        <f aca="false">D23-D51</f>
        <v>439.701798379617</v>
      </c>
      <c r="E81" s="4" t="n">
        <f aca="false">E23-E51</f>
        <v>314.698584978305</v>
      </c>
      <c r="F81" s="4" t="n">
        <f aca="false">F23-F51</f>
        <v>0</v>
      </c>
      <c r="G81" s="4" t="n">
        <f aca="false">G23-G51</f>
        <v>144.376840824118</v>
      </c>
      <c r="H81" s="4" t="n">
        <f aca="false">H23-H51</f>
        <v>-0.494025088334417</v>
      </c>
      <c r="I81" s="4" t="n">
        <f aca="false">I23-I51</f>
        <v>1.47747335084696</v>
      </c>
      <c r="J81" s="4" t="n">
        <f aca="false">J23-J51</f>
        <v>-0.222820002183134</v>
      </c>
      <c r="K81" s="4" t="n">
        <f aca="false">K23-K51</f>
        <v>0</v>
      </c>
      <c r="L81" s="4" t="n">
        <f aca="false">L23-L51</f>
        <v>0</v>
      </c>
      <c r="M81" s="4" t="n">
        <f aca="false">M23-M51</f>
        <v>0</v>
      </c>
      <c r="N81" s="4" t="n">
        <f aca="false">N23-N51</f>
        <v>260.923733688667</v>
      </c>
      <c r="O81" s="4" t="n">
        <f aca="false">O23-O51</f>
        <v>0</v>
      </c>
      <c r="P81" s="4" t="n">
        <f aca="false">P23-P51</f>
        <v>0</v>
      </c>
      <c r="Q81" s="4" t="n">
        <f aca="false">Q23-Q51</f>
        <v>-0.97987014034689</v>
      </c>
      <c r="R81" s="4" t="n">
        <f aca="false">R23-R51</f>
        <v>33.6508120967952</v>
      </c>
      <c r="S81" s="4" t="n">
        <f aca="false">S23-S51</f>
        <v>0</v>
      </c>
      <c r="T81" s="4" t="n">
        <f aca="false">T23-T51</f>
        <v>0</v>
      </c>
      <c r="U81" s="4" t="n">
        <f aca="false">U23-U51</f>
        <v>0</v>
      </c>
      <c r="V81" s="4" t="n">
        <f aca="false">V23-V51</f>
        <v>49.5102074820203</v>
      </c>
      <c r="W81" s="4" t="n">
        <f aca="false">W23-W51</f>
        <v>-296.024129220115</v>
      </c>
      <c r="X81" s="4" t="n">
        <f aca="false">X23-X51</f>
        <v>191.467001252669</v>
      </c>
      <c r="Y81" s="4" t="n">
        <f aca="false">Y23-Y51</f>
        <v>0</v>
      </c>
      <c r="Z81" s="4" t="n">
        <f aca="false">Z23-Z51</f>
        <v>-36.0127520815477</v>
      </c>
      <c r="AA81" s="4" t="n">
        <f aca="false">AA23-AA51</f>
        <v>3.98165779741106</v>
      </c>
      <c r="AB81" s="4" t="n">
        <f aca="false">AB23-AB51</f>
        <v>-2.03453024768528</v>
      </c>
      <c r="AC81" s="4" t="n">
        <f aca="false">AC23-AC51</f>
        <v>3.2635997598417</v>
      </c>
      <c r="AD81" s="4" t="n">
        <f aca="false">AD23-AD51</f>
        <v>-0.333074293669034</v>
      </c>
      <c r="AE81" s="4" t="n">
        <f aca="false">AE23-AE51</f>
        <v>-4.73689602332871</v>
      </c>
      <c r="AF81" s="4" t="n">
        <f aca="false">AF23-AF51</f>
        <v>-0.234600584507448</v>
      </c>
      <c r="AG81" s="4" t="n">
        <f aca="false">AG23-AG51</f>
        <v>-4.02623430784128</v>
      </c>
      <c r="AH81" s="4" t="n">
        <f aca="false">AH23-AH51</f>
        <v>2.26104923202998</v>
      </c>
      <c r="AI81" s="4" t="n">
        <f aca="false">AI23-AI51</f>
        <v>-0.187398946109677</v>
      </c>
      <c r="AJ81" s="4" t="n">
        <f aca="false">AJ23-AJ51</f>
        <v>-1.78303373378396</v>
      </c>
      <c r="AK81" s="4" t="n">
        <f aca="false">AK23-AK51</f>
        <v>0.613291610480661</v>
      </c>
      <c r="AL81" s="4" t="n">
        <f aca="false">AL23-AL51</f>
        <v>-0.365117048929408</v>
      </c>
      <c r="AM81" s="4" t="n">
        <f aca="false">AM23-AM51</f>
        <v>-1.32913861335407</v>
      </c>
      <c r="AN81" s="4" t="n">
        <f aca="false">AN23-AN51</f>
        <v>-0.660141920168957</v>
      </c>
      <c r="AO81" s="4" t="n">
        <f aca="false">AO23-AO51</f>
        <v>-1.54088658121169</v>
      </c>
      <c r="AP81" s="4" t="n">
        <f aca="false">AP23-AP51</f>
        <v>-1.18252609891829</v>
      </c>
      <c r="AQ81" s="4" t="n">
        <f aca="false">AQ23-AQ51</f>
        <v>-0.0908833237412551</v>
      </c>
      <c r="AR81" s="4" t="n">
        <f aca="false">AR23-AR51</f>
        <v>-0.112862000779844</v>
      </c>
      <c r="AS81" s="4" t="n">
        <f aca="false">AS23-AS51</f>
        <v>0.432906009001251</v>
      </c>
      <c r="AT81" s="4" t="n">
        <f aca="false">AT23-AT51</f>
        <v>2.4827620977769</v>
      </c>
      <c r="AU81" s="4" t="n">
        <f aca="false">AU23-AU51</f>
        <v>3.22972286080222</v>
      </c>
      <c r="AV81" s="4" t="n">
        <f aca="false">AV23-AV51</f>
        <v>-0.0150524479727778</v>
      </c>
      <c r="AW81" s="4" t="n">
        <f aca="false">AW23-AW51</f>
        <v>1.48751789561896</v>
      </c>
      <c r="AX81" s="4" t="n">
        <f aca="false">AX23-AX51</f>
        <v>-0.0613907934708629</v>
      </c>
      <c r="AY81" s="4" t="n">
        <f aca="false">AY23-AY51</f>
        <v>0.110089920567488</v>
      </c>
      <c r="AZ81" s="4" t="n">
        <f aca="false">AZ23-AZ51</f>
        <v>-0.201098751588798</v>
      </c>
      <c r="BA81" s="4" t="n">
        <f aca="false">BA23-BA51</f>
        <v>0</v>
      </c>
      <c r="BB81" s="4" t="n">
        <f aca="false">BB23-BB51</f>
        <v>0.312216607587673</v>
      </c>
      <c r="BC81" s="4" t="n">
        <f aca="false">BC23-BC51</f>
        <v>0.150044778097484</v>
      </c>
      <c r="BD81" s="4" t="n">
        <f aca="false">BD23-BD51</f>
        <v>0.00378184879774213</v>
      </c>
      <c r="BE81" s="4" t="n">
        <f aca="false">BE23-BE51</f>
        <v>0.0351839366859558</v>
      </c>
      <c r="BF81" s="4" t="n">
        <f aca="false">BF23-BF51</f>
        <v>4.17602174903896</v>
      </c>
      <c r="BG81" s="4" t="n">
        <f aca="false">BG23-BG51</f>
        <v>4.23432253945764</v>
      </c>
      <c r="BH81" s="4" t="n">
        <f aca="false">BH23-BH51</f>
        <v>10.6892235332403</v>
      </c>
      <c r="BI81" s="4" t="n">
        <f aca="false">BI23-BI51</f>
        <v>8.87060984809055</v>
      </c>
      <c r="BJ81" s="4" t="n">
        <f aca="false">BJ23-BJ51</f>
        <v>403.551028330749</v>
      </c>
      <c r="BK81" s="4" t="n">
        <f aca="false">BK23-BK51</f>
        <v>4.43530492404528</v>
      </c>
      <c r="BL81" s="4" t="n">
        <f aca="false">BL23-BL51</f>
        <v>-75.9028767146367</v>
      </c>
      <c r="BM81" s="4" t="n">
        <f aca="false">BM23-BM51</f>
        <v>-13.1677526163839</v>
      </c>
      <c r="BN81" s="4" t="n">
        <f aca="false">BN23-BN51</f>
        <v>0</v>
      </c>
      <c r="BO81" s="4" t="n">
        <f aca="false">BO23-BO51</f>
        <v>-17.5851159088622</v>
      </c>
      <c r="BP81" s="4" t="n">
        <f aca="false">BP23-BP51</f>
        <v>-35.8284754729364</v>
      </c>
      <c r="BQ81" s="4" t="n">
        <f aca="false">BQ23-BQ51</f>
        <v>0</v>
      </c>
      <c r="BR81" s="4" t="n">
        <f aca="false">BR23-BR51</f>
        <v>-0.586170494297905</v>
      </c>
      <c r="BS81" s="4" t="n">
        <f aca="false">BS23-BS51</f>
        <v>-0.0586170184688877</v>
      </c>
      <c r="BT81" s="4" t="n">
        <f aca="false">BT23-BT51</f>
        <v>0</v>
      </c>
      <c r="BU81" s="4" t="n">
        <f aca="false">BU23-BU51</f>
        <v>0</v>
      </c>
      <c r="BV81" s="4" t="n">
        <f aca="false">BV23-BV51</f>
        <v>0</v>
      </c>
      <c r="BW81" s="4" t="n">
        <f aca="false">BW23-BW51</f>
        <v>0</v>
      </c>
      <c r="BX81" s="4" t="n">
        <f aca="false">BX23-BX51</f>
        <v>-0.339162862497567</v>
      </c>
      <c r="BY81" s="4" t="n">
        <f aca="false">BY23-BY51</f>
        <v>-8.16189409543465</v>
      </c>
      <c r="BZ81" s="4" t="n">
        <f aca="false">BZ23-BZ51</f>
        <v>0.164999498738989</v>
      </c>
      <c r="CA81" s="4" t="n">
        <f aca="false">CA23-CA51</f>
        <v>0.0158392471977164</v>
      </c>
      <c r="CB81" s="4" t="n">
        <f aca="false">CB23-CB51</f>
        <v>-29.7591579450271</v>
      </c>
      <c r="CC81" s="4" t="n">
        <f aca="false">CC23-CC51</f>
        <v>313.301420074172</v>
      </c>
      <c r="CD81" s="4" t="n">
        <f aca="false">CD23-CD51</f>
        <v>0</v>
      </c>
      <c r="CE81" s="4" t="n">
        <f aca="false">CE23-CE51</f>
        <v>0.18209449646872</v>
      </c>
      <c r="CF81" s="4" t="n">
        <f aca="false">CF23-CF51</f>
        <v>225.592970250556</v>
      </c>
      <c r="CG81" s="4" t="n">
        <f aca="false">CG23-CG51</f>
        <v>-2.57803214565894</v>
      </c>
      <c r="CH81" s="4" t="n">
        <f aca="false">CH23-CH51</f>
        <v>-1.59098140663654</v>
      </c>
      <c r="CI81" s="4" t="n">
        <f aca="false">CI23-CI51</f>
        <v>-0.0343345901529705</v>
      </c>
      <c r="CJ81" s="4" t="n">
        <f aca="false">CJ23-CJ51</f>
        <v>-0.0154499192172425</v>
      </c>
      <c r="CK81" s="4" t="n">
        <f aca="false">CK23-CK51</f>
        <v>-0.0564007883783673</v>
      </c>
      <c r="CL81" s="7" t="s">
        <v>320</v>
      </c>
    </row>
    <row r="82" customFormat="false" ht="12.8" hidden="false" customHeight="false" outlineLevel="0" collapsed="false">
      <c r="A82" s="4" t="s">
        <v>159</v>
      </c>
      <c r="B82" s="7" t="s">
        <v>39</v>
      </c>
      <c r="C82" s="4" t="n">
        <f aca="false">C24-C52</f>
        <v>-0.00138783534271441</v>
      </c>
      <c r="D82" s="4" t="n">
        <f aca="false">D24-D52</f>
        <v>-106.016019059198</v>
      </c>
      <c r="E82" s="4" t="n">
        <f aca="false">E24-E52</f>
        <v>-40.1327860330759</v>
      </c>
      <c r="F82" s="4" t="n">
        <f aca="false">F24-F52</f>
        <v>0</v>
      </c>
      <c r="G82" s="4" t="n">
        <f aca="false">G24-G52</f>
        <v>-25.2537458334577</v>
      </c>
      <c r="H82" s="4" t="n">
        <f aca="false">H24-H52</f>
        <v>-0.0441892761158362</v>
      </c>
      <c r="I82" s="4" t="n">
        <f aca="false">I24-I52</f>
        <v>0.723223825876868</v>
      </c>
      <c r="J82" s="4" t="n">
        <f aca="false">J24-J52</f>
        <v>0.525370649041132</v>
      </c>
      <c r="K82" s="4" t="n">
        <f aca="false">K24-K52</f>
        <v>0</v>
      </c>
      <c r="L82" s="4" t="n">
        <f aca="false">L24-L52</f>
        <v>0</v>
      </c>
      <c r="M82" s="4" t="n">
        <f aca="false">M24-M52</f>
        <v>0</v>
      </c>
      <c r="N82" s="4" t="n">
        <f aca="false">N24-N52</f>
        <v>-36.4189289828312</v>
      </c>
      <c r="O82" s="4" t="n">
        <f aca="false">O24-O52</f>
        <v>0</v>
      </c>
      <c r="P82" s="4" t="n">
        <f aca="false">P24-P52</f>
        <v>0</v>
      </c>
      <c r="Q82" s="4" t="n">
        <f aca="false">Q24-Q52</f>
        <v>-7.63596816949673</v>
      </c>
      <c r="R82" s="4" t="n">
        <f aca="false">R24-R52</f>
        <v>-28.022227581602</v>
      </c>
      <c r="S82" s="4" t="n">
        <f aca="false">S24-S52</f>
        <v>0</v>
      </c>
      <c r="T82" s="4" t="n">
        <f aca="false">T24-T52</f>
        <v>0</v>
      </c>
      <c r="U82" s="4" t="n">
        <f aca="false">U24-U52</f>
        <v>0</v>
      </c>
      <c r="V82" s="4" t="n">
        <f aca="false">V24-V52</f>
        <v>-118.44414373459</v>
      </c>
      <c r="W82" s="4" t="n">
        <f aca="false">W24-W52</f>
        <v>-104.622216241459</v>
      </c>
      <c r="X82" s="4" t="n">
        <f aca="false">X24-X52</f>
        <v>36.9523796537085</v>
      </c>
      <c r="Y82" s="4" t="n">
        <f aca="false">Y24-Y52</f>
        <v>0</v>
      </c>
      <c r="Z82" s="4" t="n">
        <f aca="false">Z24-Z52</f>
        <v>3.14947045489883</v>
      </c>
      <c r="AA82" s="4" t="n">
        <f aca="false">AA24-AA52</f>
        <v>-0.110550488597189</v>
      </c>
      <c r="AB82" s="4" t="n">
        <f aca="false">AB24-AB52</f>
        <v>-2.13007812549612</v>
      </c>
      <c r="AC82" s="4" t="n">
        <f aca="false">AC24-AC52</f>
        <v>0.494960280256191</v>
      </c>
      <c r="AD82" s="4" t="n">
        <f aca="false">AD24-AD52</f>
        <v>-0.348716499996324</v>
      </c>
      <c r="AE82" s="4" t="n">
        <f aca="false">AE24-AE52</f>
        <v>0.146256451649565</v>
      </c>
      <c r="AF82" s="4" t="n">
        <f aca="false">AF24-AF52</f>
        <v>-0.636581299574756</v>
      </c>
      <c r="AG82" s="4" t="n">
        <f aca="false">AG24-AG52</f>
        <v>-4.35727045130204</v>
      </c>
      <c r="AH82" s="4" t="n">
        <f aca="false">AH24-AH52</f>
        <v>-2.97879686087142</v>
      </c>
      <c r="AI82" s="4" t="n">
        <f aca="false">AI24-AI52</f>
        <v>0.0320695782948946</v>
      </c>
      <c r="AJ82" s="4" t="n">
        <f aca="false">AJ24-AJ52</f>
        <v>-0.3942588843526</v>
      </c>
      <c r="AK82" s="4" t="n">
        <f aca="false">AK24-AK52</f>
        <v>-0.0297874267930407</v>
      </c>
      <c r="AL82" s="4" t="n">
        <f aca="false">AL24-AL52</f>
        <v>-0.0823386798186595</v>
      </c>
      <c r="AM82" s="4" t="n">
        <f aca="false">AM24-AM52</f>
        <v>0.0999011691793047</v>
      </c>
      <c r="AN82" s="4" t="n">
        <f aca="false">AN24-AN52</f>
        <v>-1.01362457170273</v>
      </c>
      <c r="AO82" s="4" t="n">
        <f aca="false">AO24-AO52</f>
        <v>-1.19871777134715</v>
      </c>
      <c r="AP82" s="4" t="n">
        <f aca="false">AP24-AP52</f>
        <v>-1.01734386546382</v>
      </c>
      <c r="AQ82" s="4" t="n">
        <f aca="false">AQ24-AQ52</f>
        <v>-0.0726924396464272</v>
      </c>
      <c r="AR82" s="4" t="n">
        <f aca="false">AR24-AR52</f>
        <v>-0.0236138487852485</v>
      </c>
      <c r="AS82" s="4" t="n">
        <f aca="false">AS24-AS52</f>
        <v>-0.288449724542225</v>
      </c>
      <c r="AT82" s="4" t="n">
        <f aca="false">AT24-AT52</f>
        <v>-3.88542889101299</v>
      </c>
      <c r="AU82" s="4" t="n">
        <f aca="false">AU24-AU52</f>
        <v>-6.39363366488061</v>
      </c>
      <c r="AV82" s="4" t="n">
        <f aca="false">AV24-AV52</f>
        <v>-0.0129928897820662</v>
      </c>
      <c r="AW82" s="4" t="n">
        <f aca="false">AW24-AW52</f>
        <v>0.226406122214614</v>
      </c>
      <c r="AX82" s="4" t="n">
        <f aca="false">AX24-AX52</f>
        <v>-0.318990209556861</v>
      </c>
      <c r="AY82" s="4" t="n">
        <f aca="false">AY24-AY52</f>
        <v>-0.00545422597771274</v>
      </c>
      <c r="AZ82" s="4" t="n">
        <f aca="false">AZ24-AZ52</f>
        <v>-0.14258360116491</v>
      </c>
      <c r="BA82" s="4" t="n">
        <f aca="false">BA24-BA52</f>
        <v>0</v>
      </c>
      <c r="BB82" s="4" t="n">
        <f aca="false">BB24-BB52</f>
        <v>-0.0782063178759355</v>
      </c>
      <c r="BC82" s="4" t="n">
        <f aca="false">BC24-BC52</f>
        <v>-0.218281412541533</v>
      </c>
      <c r="BD82" s="4" t="n">
        <f aca="false">BD24-BD52</f>
        <v>-0.0326931609468509</v>
      </c>
      <c r="BE82" s="4" t="n">
        <f aca="false">BE24-BE52</f>
        <v>-0.123322313823073</v>
      </c>
      <c r="BF82" s="4" t="n">
        <f aca="false">BF24-BF52</f>
        <v>0.0407697228487403</v>
      </c>
      <c r="BG82" s="4" t="n">
        <f aca="false">BG24-BG52</f>
        <v>0.256017090172132</v>
      </c>
      <c r="BH82" s="4" t="n">
        <f aca="false">BH24-BH52</f>
        <v>0.435864070409559</v>
      </c>
      <c r="BI82" s="4" t="n">
        <f aca="false">BI24-BI52</f>
        <v>-4.43248652224751</v>
      </c>
      <c r="BJ82" s="4" t="n">
        <f aca="false">BJ24-BJ52</f>
        <v>-428.05602030721</v>
      </c>
      <c r="BK82" s="4" t="n">
        <f aca="false">BK24-BK52</f>
        <v>-2.21624326112375</v>
      </c>
      <c r="BL82" s="4" t="n">
        <f aca="false">BL24-BL52</f>
        <v>-838.817865380576</v>
      </c>
      <c r="BM82" s="4" t="n">
        <f aca="false">BM24-BM52</f>
        <v>-23.5744535359089</v>
      </c>
      <c r="BN82" s="4" t="n">
        <f aca="false">BN24-BN52</f>
        <v>0</v>
      </c>
      <c r="BO82" s="4" t="n">
        <f aca="false">BO24-BO52</f>
        <v>-0.766153320556732</v>
      </c>
      <c r="BP82" s="4" t="n">
        <f aca="false">BP24-BP52</f>
        <v>-3.40779121918759</v>
      </c>
      <c r="BQ82" s="4" t="n">
        <f aca="false">BQ24-BQ52</f>
        <v>0</v>
      </c>
      <c r="BR82" s="4" t="n">
        <f aca="false">BR24-BR52</f>
        <v>-0.0255384385506637</v>
      </c>
      <c r="BS82" s="4" t="n">
        <f aca="false">BS24-BS52</f>
        <v>-0.00255384159957451</v>
      </c>
      <c r="BT82" s="4" t="n">
        <f aca="false">BT24-BT52</f>
        <v>0</v>
      </c>
      <c r="BU82" s="4" t="n">
        <f aca="false">BU24-BU52</f>
        <v>0</v>
      </c>
      <c r="BV82" s="4" t="n">
        <f aca="false">BV24-BV52</f>
        <v>0</v>
      </c>
      <c r="BW82" s="4" t="n">
        <f aca="false">BW24-BW52</f>
        <v>0</v>
      </c>
      <c r="BX82" s="4" t="n">
        <f aca="false">BX24-BX52</f>
        <v>-4.52865734386623</v>
      </c>
      <c r="BY82" s="4" t="n">
        <f aca="false">BY24-BY52</f>
        <v>-130.098840447202</v>
      </c>
      <c r="BZ82" s="4" t="n">
        <f aca="false">BZ24-BZ52</f>
        <v>-0.496123851224762</v>
      </c>
      <c r="CA82" s="4" t="n">
        <f aca="false">CA24-CA52</f>
        <v>-0.165481735570866</v>
      </c>
      <c r="CB82" s="4" t="n">
        <f aca="false">CB24-CB52</f>
        <v>-552.6941003181</v>
      </c>
      <c r="CC82" s="4" t="n">
        <f aca="false">CC24-CC52</f>
        <v>-1736.29268041791</v>
      </c>
      <c r="CD82" s="4" t="n">
        <f aca="false">CD24-CD52</f>
        <v>0</v>
      </c>
      <c r="CE82" s="4" t="n">
        <f aca="false">CE24-CE52</f>
        <v>-0.0908209087892011</v>
      </c>
      <c r="CF82" s="4" t="n">
        <f aca="false">CF24-CF52</f>
        <v>-2402.9528905021</v>
      </c>
      <c r="CG82" s="4" t="n">
        <f aca="false">CG24-CG52</f>
        <v>-0.229562201745928</v>
      </c>
      <c r="CH82" s="4" t="n">
        <f aca="false">CH24-CH52</f>
        <v>-0.856221671552754</v>
      </c>
      <c r="CI82" s="4" t="n">
        <f aca="false">CI24-CI52</f>
        <v>-0.222563025453752</v>
      </c>
      <c r="CJ82" s="4" t="n">
        <f aca="false">CJ24-CJ52</f>
        <v>-0.0901006692283988</v>
      </c>
      <c r="CK82" s="4" t="n">
        <f aca="false">CK24-CK52</f>
        <v>-0.399451600082949</v>
      </c>
      <c r="CL82" s="7" t="s">
        <v>320</v>
      </c>
    </row>
    <row r="83" customFormat="false" ht="12.8" hidden="false" customHeight="false" outlineLevel="0" collapsed="false">
      <c r="A83" s="4" t="s">
        <v>160</v>
      </c>
      <c r="B83" s="7" t="s">
        <v>39</v>
      </c>
      <c r="C83" s="4" t="n">
        <f aca="false">C25-C53</f>
        <v>-2.04895742029884E-005</v>
      </c>
      <c r="D83" s="4" t="n">
        <f aca="false">D25-D53</f>
        <v>-11.5193679428557</v>
      </c>
      <c r="E83" s="4" t="n">
        <f aca="false">E25-E53</f>
        <v>-20.3071690075271</v>
      </c>
      <c r="F83" s="4" t="n">
        <f aca="false">F25-F53</f>
        <v>0</v>
      </c>
      <c r="G83" s="4" t="n">
        <f aca="false">G25-G53</f>
        <v>-4.0318028413102</v>
      </c>
      <c r="H83" s="4" t="n">
        <f aca="false">H25-H53</f>
        <v>0.00637647956942852</v>
      </c>
      <c r="I83" s="4" t="n">
        <f aca="false">I25-I53</f>
        <v>1.99272843506145</v>
      </c>
      <c r="J83" s="4" t="n">
        <f aca="false">J25-J53</f>
        <v>-1.67802944421557</v>
      </c>
      <c r="K83" s="4" t="n">
        <f aca="false">K25-K53</f>
        <v>0</v>
      </c>
      <c r="L83" s="4" t="n">
        <f aca="false">L25-L53</f>
        <v>0</v>
      </c>
      <c r="M83" s="4" t="n">
        <f aca="false">M25-M53</f>
        <v>0</v>
      </c>
      <c r="N83" s="4" t="n">
        <f aca="false">N25-N53</f>
        <v>1.54225692821447</v>
      </c>
      <c r="O83" s="4" t="n">
        <f aca="false">O25-O53</f>
        <v>0</v>
      </c>
      <c r="P83" s="4" t="n">
        <f aca="false">P25-P53</f>
        <v>0</v>
      </c>
      <c r="Q83" s="4" t="n">
        <f aca="false">Q25-Q53</f>
        <v>-7.70867339482203</v>
      </c>
      <c r="R83" s="4" t="n">
        <f aca="false">R25-R53</f>
        <v>-8.5858653269726</v>
      </c>
      <c r="S83" s="4" t="n">
        <f aca="false">S25-S53</f>
        <v>0</v>
      </c>
      <c r="T83" s="4" t="n">
        <f aca="false">T25-T53</f>
        <v>0</v>
      </c>
      <c r="U83" s="4" t="n">
        <f aca="false">U25-U53</f>
        <v>0</v>
      </c>
      <c r="V83" s="4" t="n">
        <f aca="false">V25-V53</f>
        <v>-124.084499762139</v>
      </c>
      <c r="W83" s="4" t="n">
        <f aca="false">W25-W53</f>
        <v>-334.495903112788</v>
      </c>
      <c r="X83" s="4" t="n">
        <f aca="false">X25-X53</f>
        <v>344.279954472155</v>
      </c>
      <c r="Y83" s="4" t="n">
        <f aca="false">Y25-Y53</f>
        <v>0</v>
      </c>
      <c r="Z83" s="4" t="n">
        <f aca="false">Z25-Z53</f>
        <v>2.39017366006035</v>
      </c>
      <c r="AA83" s="4" t="n">
        <f aca="false">AA25-AA53</f>
        <v>-0.749998216115888</v>
      </c>
      <c r="AB83" s="4" t="n">
        <f aca="false">AB25-AB53</f>
        <v>-2.13585991438791</v>
      </c>
      <c r="AC83" s="4" t="n">
        <f aca="false">AC25-AC53</f>
        <v>0.407439271807032</v>
      </c>
      <c r="AD83" s="4" t="n">
        <f aca="false">AD25-AD53</f>
        <v>-0.349663040483235</v>
      </c>
      <c r="AE83" s="4" t="n">
        <f aca="false">AE25-AE53</f>
        <v>-2.15262188567213</v>
      </c>
      <c r="AF83" s="4" t="n">
        <f aca="false">AF25-AF53</f>
        <v>-0.169126750106978</v>
      </c>
      <c r="AG83" s="4" t="n">
        <f aca="false">AG25-AG53</f>
        <v>-3.607888336424</v>
      </c>
      <c r="AH83" s="4" t="n">
        <f aca="false">AH25-AH53</f>
        <v>-3.67454413889764</v>
      </c>
      <c r="AI83" s="4" t="n">
        <f aca="false">AI25-AI53</f>
        <v>-0.0408287479275386</v>
      </c>
      <c r="AJ83" s="4" t="n">
        <f aca="false">AJ25-AJ53</f>
        <v>-1.71661510169777</v>
      </c>
      <c r="AK83" s="4" t="n">
        <f aca="false">AK25-AK53</f>
        <v>-1.01147935418305</v>
      </c>
      <c r="AL83" s="4" t="n">
        <f aca="false">AL25-AL53</f>
        <v>-0.0114619962962907</v>
      </c>
      <c r="AM83" s="4" t="n">
        <f aca="false">AM25-AM53</f>
        <v>-1.41513775551614</v>
      </c>
      <c r="AN83" s="4" t="n">
        <f aca="false">AN25-AN53</f>
        <v>-1.08900356717721</v>
      </c>
      <c r="AO83" s="4" t="n">
        <f aca="false">AO25-AO53</f>
        <v>-0.878183365370195</v>
      </c>
      <c r="AP83" s="4" t="n">
        <f aca="false">AP25-AP53</f>
        <v>-0.0757281281652588</v>
      </c>
      <c r="AQ83" s="4" t="n">
        <f aca="false">AQ25-AQ53</f>
        <v>-0.155726268607271</v>
      </c>
      <c r="AR83" s="4" t="n">
        <f aca="false">AR25-AR53</f>
        <v>0.0273808068897266</v>
      </c>
      <c r="AS83" s="4" t="n">
        <f aca="false">AS25-AS53</f>
        <v>-0.31759796733781</v>
      </c>
      <c r="AT83" s="4" t="n">
        <f aca="false">AT25-AT53</f>
        <v>-4.97826133886227</v>
      </c>
      <c r="AU83" s="4" t="n">
        <f aca="false">AU25-AU53</f>
        <v>-2.64910211081434</v>
      </c>
      <c r="AV83" s="4" t="n">
        <f aca="false">AV25-AV53</f>
        <v>-0.286520537801892</v>
      </c>
      <c r="AW83" s="4" t="n">
        <f aca="false">AW25-AW53</f>
        <v>0.177361656572132</v>
      </c>
      <c r="AX83" s="4" t="n">
        <f aca="false">AX25-AX53</f>
        <v>-0.29072590446212</v>
      </c>
      <c r="AY83" s="4" t="n">
        <f aca="false">AY25-AY53</f>
        <v>-0.0244628130227202</v>
      </c>
      <c r="AZ83" s="4" t="n">
        <f aca="false">AZ25-AZ53</f>
        <v>-0.176368055828893</v>
      </c>
      <c r="BA83" s="4" t="n">
        <f aca="false">BA25-BA53</f>
        <v>0</v>
      </c>
      <c r="BB83" s="4" t="n">
        <f aca="false">BB25-BB53</f>
        <v>-0.520821917928502</v>
      </c>
      <c r="BC83" s="4" t="n">
        <f aca="false">BC25-BC53</f>
        <v>-0.200248669371255</v>
      </c>
      <c r="BD83" s="4" t="n">
        <f aca="false">BD25-BD53</f>
        <v>-0.00101358445632554</v>
      </c>
      <c r="BE83" s="4" t="n">
        <f aca="false">BE25-BE53</f>
        <v>-0.0818575168627066</v>
      </c>
      <c r="BF83" s="4" t="n">
        <f aca="false">BF25-BF53</f>
        <v>1.30009450133441</v>
      </c>
      <c r="BG83" s="4" t="n">
        <f aca="false">BG25-BG53</f>
        <v>0.437165318712478</v>
      </c>
      <c r="BH83" s="4" t="n">
        <f aca="false">BH25-BH53</f>
        <v>0.78055661881118</v>
      </c>
      <c r="BI83" s="4" t="n">
        <f aca="false">BI25-BI53</f>
        <v>-5.65728108789809</v>
      </c>
      <c r="BJ83" s="4" t="n">
        <f aca="false">BJ25-BJ53</f>
        <v>-523.295754586537</v>
      </c>
      <c r="BK83" s="4" t="n">
        <f aca="false">BK25-BK53</f>
        <v>-2.82864054394904</v>
      </c>
      <c r="BL83" s="4" t="n">
        <f aca="false">BL25-BL53</f>
        <v>-642.507781279695</v>
      </c>
      <c r="BM83" s="4" t="n">
        <f aca="false">BM25-BM53</f>
        <v>-35.8076251824892</v>
      </c>
      <c r="BN83" s="4" t="n">
        <f aca="false">BN25-BN53</f>
        <v>0</v>
      </c>
      <c r="BO83" s="4" t="n">
        <f aca="false">BO25-BO53</f>
        <v>-1.87220696496337</v>
      </c>
      <c r="BP83" s="4" t="n">
        <f aca="false">BP25-BP53</f>
        <v>-5.81453385826105</v>
      </c>
      <c r="BQ83" s="4" t="n">
        <f aca="false">BQ25-BQ53</f>
        <v>0</v>
      </c>
      <c r="BR83" s="4" t="n">
        <f aca="false">BR25-BR53</f>
        <v>-0.0624068870528288</v>
      </c>
      <c r="BS83" s="4" t="n">
        <f aca="false">BS25-BS53</f>
        <v>-0.00624068345511926</v>
      </c>
      <c r="BT83" s="4" t="n">
        <f aca="false">BT25-BT53</f>
        <v>0</v>
      </c>
      <c r="BU83" s="4" t="n">
        <f aca="false">BU25-BU53</f>
        <v>0</v>
      </c>
      <c r="BV83" s="4" t="n">
        <f aca="false">BV25-BV53</f>
        <v>0</v>
      </c>
      <c r="BW83" s="4" t="n">
        <f aca="false">BW25-BW53</f>
        <v>0</v>
      </c>
      <c r="BX83" s="4" t="n">
        <f aca="false">BX25-BX53</f>
        <v>-4.49049613647011</v>
      </c>
      <c r="BY83" s="4" t="n">
        <f aca="false">BY25-BY53</f>
        <v>-51.7491542218597</v>
      </c>
      <c r="BZ83" s="4" t="n">
        <f aca="false">BZ25-BZ53</f>
        <v>-0.677201017072586</v>
      </c>
      <c r="CA83" s="4" t="n">
        <f aca="false">CA25-CA53</f>
        <v>-0.0637981805217289</v>
      </c>
      <c r="CB83" s="4" t="n">
        <f aca="false">CB25-CB53</f>
        <v>-279.726579261698</v>
      </c>
      <c r="CC83" s="4" t="n">
        <f aca="false">CC25-CC53</f>
        <v>-867.971261934959</v>
      </c>
      <c r="CD83" s="4" t="n">
        <f aca="false">CD25-CD53</f>
        <v>0</v>
      </c>
      <c r="CE83" s="4" t="n">
        <f aca="false">CE25-CE53</f>
        <v>-0.674865455910341</v>
      </c>
      <c r="CF83" s="4" t="n">
        <f aca="false">CF25-CF53</f>
        <v>-1411.22907639539</v>
      </c>
      <c r="CG83" s="4" t="n">
        <f aca="false">CG25-CG53</f>
        <v>-1.24235656771049</v>
      </c>
      <c r="CH83" s="4" t="n">
        <f aca="false">CH25-CH53</f>
        <v>-3.50865958907128</v>
      </c>
      <c r="CI83" s="4" t="n">
        <f aca="false">CI25-CI53</f>
        <v>-0.0818610903572021</v>
      </c>
      <c r="CJ83" s="4" t="n">
        <f aca="false">CJ25-CJ53</f>
        <v>-0.022047883271697</v>
      </c>
      <c r="CK83" s="4" t="n">
        <f aca="false">CK25-CK53</f>
        <v>-2.13798786964001</v>
      </c>
      <c r="CL83" s="7" t="s">
        <v>320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D4" activeCellId="0" sqref="AD4"/>
    </sheetView>
  </sheetViews>
  <sheetFormatPr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0" width="3.9"/>
    <col collapsed="false" customWidth="true" hidden="false" outlineLevel="0" max="4" min="3" style="0" width="11.84"/>
    <col collapsed="false" customWidth="true" hidden="false" outlineLevel="0" max="5" min="5" style="0" width="11.7"/>
    <col collapsed="false" customWidth="true" hidden="false" outlineLevel="0" max="6" min="6" style="0" width="9.96"/>
    <col collapsed="false" customWidth="true" hidden="false" outlineLevel="0" max="7" min="7" style="0" width="12.28"/>
    <col collapsed="false" customWidth="true" hidden="false" outlineLevel="0" max="10" min="8" style="0" width="11.84"/>
    <col collapsed="false" customWidth="true" hidden="false" outlineLevel="0" max="11" min="11" style="0" width="16.17"/>
    <col collapsed="false" customWidth="true" hidden="false" outlineLevel="0" max="12" min="12" style="0" width="9.96"/>
    <col collapsed="false" customWidth="true" hidden="false" outlineLevel="0" max="13" min="13" style="0" width="9.39"/>
    <col collapsed="false" customWidth="true" hidden="false" outlineLevel="0" max="14" min="14" style="0" width="11.84"/>
    <col collapsed="false" customWidth="true" hidden="false" outlineLevel="0" max="15" min="15" style="0" width="10.25"/>
    <col collapsed="false" customWidth="true" hidden="false" outlineLevel="0" max="18" min="16" style="0" width="11.84"/>
    <col collapsed="false" customWidth="true" hidden="false" outlineLevel="0" max="19" min="19" style="0" width="14.44"/>
    <col collapsed="false" customWidth="true" hidden="false" outlineLevel="0" max="20" min="20" style="0" width="13.87"/>
    <col collapsed="false" customWidth="true" hidden="false" outlineLevel="0" max="21" min="21" style="0" width="9.96"/>
    <col collapsed="false" customWidth="true" hidden="false" outlineLevel="0" max="22" min="22" style="0" width="13.29"/>
    <col collapsed="false" customWidth="true" hidden="false" outlineLevel="0" max="23" min="23" style="0" width="13.43"/>
    <col collapsed="false" customWidth="true" hidden="false" outlineLevel="0" max="24" min="24" style="0" width="11.84"/>
    <col collapsed="false" customWidth="true" hidden="false" outlineLevel="0" max="25" min="25" style="0" width="9.82"/>
    <col collapsed="false" customWidth="true" hidden="false" outlineLevel="0" max="26" min="26" style="0" width="13.29"/>
    <col collapsed="false" customWidth="true" hidden="false" outlineLevel="0" max="27" min="27" style="0" width="12.71"/>
    <col collapsed="false" customWidth="true" hidden="false" outlineLevel="0" max="28" min="28" style="0" width="15.02"/>
    <col collapsed="false" customWidth="true" hidden="false" outlineLevel="0" max="29" min="29" style="0" width="14.16"/>
    <col collapsed="false" customWidth="true" hidden="false" outlineLevel="0" max="30" min="30" style="0" width="14.44"/>
    <col collapsed="false" customWidth="true" hidden="false" outlineLevel="0" max="31" min="31" style="0" width="14.01"/>
    <col collapsed="false" customWidth="true" hidden="false" outlineLevel="0" max="32" min="32" style="0" width="16.17"/>
    <col collapsed="false" customWidth="true" hidden="false" outlineLevel="0" max="33" min="33" style="0" width="11.84"/>
    <col collapsed="false" customWidth="true" hidden="false" outlineLevel="0" max="34" min="34" style="0" width="11.99"/>
    <col collapsed="false" customWidth="true" hidden="false" outlineLevel="0" max="35" min="35" style="0" width="11.84"/>
    <col collapsed="false" customWidth="true" hidden="false" outlineLevel="0" max="36" min="36" style="0" width="13.14"/>
    <col collapsed="false" customWidth="true" hidden="false" outlineLevel="0" max="37" min="37" style="0" width="11.99"/>
    <col collapsed="false" customWidth="true" hidden="false" outlineLevel="0" max="38" min="38" style="0" width="13.87"/>
    <col collapsed="false" customWidth="true" hidden="false" outlineLevel="0" max="40" min="39" style="0" width="11.84"/>
    <col collapsed="false" customWidth="true" hidden="false" outlineLevel="0" max="41" min="41" style="0" width="14.44"/>
    <col collapsed="false" customWidth="true" hidden="false" outlineLevel="0" max="42" min="42" style="0" width="13.71"/>
    <col collapsed="false" customWidth="true" hidden="false" outlineLevel="0" max="43" min="43" style="0" width="15.74"/>
    <col collapsed="false" customWidth="true" hidden="false" outlineLevel="0" max="44" min="44" style="0" width="15.45"/>
    <col collapsed="false" customWidth="true" hidden="false" outlineLevel="0" max="47" min="45" style="0" width="11.84"/>
    <col collapsed="false" customWidth="true" hidden="false" outlineLevel="0" max="48" min="48" style="0" width="13.43"/>
    <col collapsed="false" customWidth="true" hidden="false" outlineLevel="0" max="49" min="49" style="0" width="12.99"/>
    <col collapsed="false" customWidth="true" hidden="false" outlineLevel="0" max="50" min="50" style="0" width="12.42"/>
    <col collapsed="false" customWidth="true" hidden="false" outlineLevel="0" max="51" min="51" style="0" width="14.3"/>
    <col collapsed="false" customWidth="true" hidden="false" outlineLevel="0" max="52" min="52" style="0" width="10.84"/>
    <col collapsed="false" customWidth="true" hidden="false" outlineLevel="0" max="53" min="53" style="0" width="12.13"/>
    <col collapsed="false" customWidth="true" hidden="false" outlineLevel="0" max="54" min="54" style="0" width="11.7"/>
    <col collapsed="false" customWidth="true" hidden="false" outlineLevel="0" max="56" min="55" style="0" width="11.84"/>
    <col collapsed="false" customWidth="true" hidden="false" outlineLevel="0" max="57" min="57" style="0" width="10.84"/>
    <col collapsed="false" customWidth="true" hidden="false" outlineLevel="0" max="58" min="58" style="0" width="11.84"/>
    <col collapsed="false" customWidth="true" hidden="false" outlineLevel="0" max="60" min="59" style="0" width="15.16"/>
    <col collapsed="false" customWidth="true" hidden="false" outlineLevel="0" max="61" min="61" style="0" width="12.71"/>
    <col collapsed="false" customWidth="true" hidden="false" outlineLevel="0" max="62" min="62" style="0" width="11.84"/>
    <col collapsed="false" customWidth="true" hidden="false" outlineLevel="0" max="63" min="63" style="0" width="18.2"/>
    <col collapsed="false" customWidth="true" hidden="false" outlineLevel="0" max="64" min="64" style="0" width="16.17"/>
    <col collapsed="false" customWidth="true" hidden="false" outlineLevel="0" max="65" min="65" style="0" width="17.19"/>
    <col collapsed="false" customWidth="true" hidden="false" outlineLevel="0" max="66" min="66" style="0" width="9.82"/>
    <col collapsed="false" customWidth="true" hidden="false" outlineLevel="0" max="67" min="67" style="0" width="18.05"/>
    <col collapsed="false" customWidth="true" hidden="false" outlineLevel="0" max="68" min="68" style="0" width="21.66"/>
    <col collapsed="false" customWidth="true" hidden="false" outlineLevel="0" max="69" min="69" style="0" width="10.84"/>
    <col collapsed="false" customWidth="true" hidden="false" outlineLevel="0" max="70" min="70" style="0" width="18.05"/>
    <col collapsed="false" customWidth="true" hidden="false" outlineLevel="0" max="71" min="71" style="0" width="17.04"/>
    <col collapsed="false" customWidth="true" hidden="false" outlineLevel="0" max="74" min="72" style="0" width="12.56"/>
    <col collapsed="false" customWidth="true" hidden="false" outlineLevel="0" max="75" min="75" style="0" width="10.25"/>
    <col collapsed="false" customWidth="true" hidden="false" outlineLevel="0" max="76" min="76" style="0" width="11.84"/>
    <col collapsed="false" customWidth="true" hidden="false" outlineLevel="0" max="77" min="77" style="0" width="15.88"/>
    <col collapsed="false" customWidth="true" hidden="false" outlineLevel="0" max="78" min="78" style="0" width="14.73"/>
    <col collapsed="false" customWidth="true" hidden="false" outlineLevel="0" max="79" min="79" style="0" width="14.88"/>
    <col collapsed="false" customWidth="true" hidden="false" outlineLevel="0" max="80" min="80" style="0" width="12.85"/>
    <col collapsed="false" customWidth="true" hidden="false" outlineLevel="0" max="81" min="81" style="0" width="10.84"/>
    <col collapsed="false" customWidth="true" hidden="false" outlineLevel="0" max="82" min="82" style="0" width="15.02"/>
    <col collapsed="false" customWidth="true" hidden="false" outlineLevel="0" max="83" min="83" style="0" width="18.2"/>
    <col collapsed="false" customWidth="true" hidden="false" outlineLevel="0" max="84" min="84" style="0" width="16.75"/>
    <col collapsed="false" customWidth="true" hidden="false" outlineLevel="0" max="86" min="85" style="0" width="15.45"/>
    <col collapsed="false" customWidth="true" hidden="false" outlineLevel="0" max="87" min="87" style="0" width="12.13"/>
    <col collapsed="false" customWidth="true" hidden="false" outlineLevel="0" max="88" min="88" style="0" width="15.31"/>
    <col collapsed="false" customWidth="true" hidden="false" outlineLevel="0" max="89" min="89" style="0" width="12.99"/>
    <col collapsed="false" customWidth="true" hidden="false" outlineLevel="0" max="90" min="90" style="0" width="4.48"/>
    <col collapsed="false" customWidth="true" hidden="false" outlineLevel="0" max="91" min="91" style="0" width="14.44"/>
    <col collapsed="false" customWidth="true" hidden="false" outlineLevel="0" max="92" min="92" style="0" width="18.92"/>
    <col collapsed="false" customWidth="true" hidden="false" outlineLevel="0" max="95" min="93" style="0" width="14.01"/>
    <col collapsed="false" customWidth="true" hidden="false" outlineLevel="0" max="96" min="96" style="0" width="22.24"/>
    <col collapsed="false" customWidth="true" hidden="false" outlineLevel="0" max="97" min="97" style="0" width="12.42"/>
    <col collapsed="false" customWidth="true" hidden="false" outlineLevel="0" max="98" min="98" style="0" width="12.28"/>
    <col collapsed="false" customWidth="true" hidden="false" outlineLevel="0" max="100" min="99" style="0" width="12.42"/>
    <col collapsed="false" customWidth="false" hidden="false" outlineLevel="0" max="101" min="101" style="0" width="11.52"/>
    <col collapsed="false" customWidth="true" hidden="false" outlineLevel="0" max="102" min="102" style="0" width="10.54"/>
    <col collapsed="false" customWidth="true" hidden="false" outlineLevel="0" max="103" min="103" style="0" width="14.73"/>
    <col collapsed="false" customWidth="true" hidden="false" outlineLevel="0" max="104" min="104" style="0" width="14.44"/>
    <col collapsed="false" customWidth="true" hidden="false" outlineLevel="0" max="105" min="105" style="0" width="14.3"/>
    <col collapsed="false" customWidth="true" hidden="false" outlineLevel="0" max="106" min="106" style="0" width="15.45"/>
    <col collapsed="false" customWidth="false" hidden="false" outlineLevel="0" max="107" min="107" style="0" width="11.52"/>
    <col collapsed="false" customWidth="true" hidden="false" outlineLevel="0" max="108" min="108" style="0" width="10.54"/>
    <col collapsed="false" customWidth="true" hidden="false" outlineLevel="0" max="112" min="109" style="0" width="10.25"/>
    <col collapsed="false" customWidth="false" hidden="false" outlineLevel="0" max="1025" min="113" style="0" width="11.52"/>
  </cols>
  <sheetData>
    <row r="1" customFormat="false" ht="12.8" hidden="false" customHeight="false" outlineLevel="0" collapsed="false">
      <c r="A1" s="19" t="s">
        <v>269</v>
      </c>
      <c r="B1" s="7" t="s">
        <v>39</v>
      </c>
      <c r="C1" s="7" t="s">
        <v>325</v>
      </c>
      <c r="D1" s="7" t="s">
        <v>326</v>
      </c>
      <c r="E1" s="7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52</v>
      </c>
      <c r="L1" s="2" t="s">
        <v>53</v>
      </c>
      <c r="M1" s="1" t="s">
        <v>54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  <c r="AS1" s="1" t="s">
        <v>364</v>
      </c>
      <c r="AT1" s="1" t="s">
        <v>365</v>
      </c>
      <c r="AU1" s="1" t="s">
        <v>366</v>
      </c>
      <c r="AV1" s="1" t="s">
        <v>367</v>
      </c>
      <c r="AW1" s="1" t="s">
        <v>368</v>
      </c>
      <c r="AX1" s="1" t="s">
        <v>369</v>
      </c>
      <c r="AY1" s="1" t="s">
        <v>370</v>
      </c>
      <c r="AZ1" s="1" t="s">
        <v>371</v>
      </c>
      <c r="BA1" s="1" t="s">
        <v>372</v>
      </c>
      <c r="BB1" s="1" t="s">
        <v>373</v>
      </c>
      <c r="BC1" s="1" t="s">
        <v>374</v>
      </c>
      <c r="BD1" s="1" t="s">
        <v>375</v>
      </c>
      <c r="BE1" s="1" t="s">
        <v>376</v>
      </c>
      <c r="BF1" s="1" t="s">
        <v>377</v>
      </c>
      <c r="BG1" s="1" t="s">
        <v>378</v>
      </c>
      <c r="BH1" s="1" t="s">
        <v>379</v>
      </c>
      <c r="BI1" s="1" t="s">
        <v>380</v>
      </c>
      <c r="BJ1" s="1" t="s">
        <v>381</v>
      </c>
      <c r="BK1" s="1" t="s">
        <v>382</v>
      </c>
      <c r="BL1" s="3" t="s">
        <v>383</v>
      </c>
      <c r="BM1" s="1" t="s">
        <v>384</v>
      </c>
      <c r="BN1" s="1" t="s">
        <v>385</v>
      </c>
      <c r="BO1" s="1" t="s">
        <v>386</v>
      </c>
      <c r="BP1" s="1" t="s">
        <v>387</v>
      </c>
      <c r="BQ1" s="1" t="s">
        <v>388</v>
      </c>
      <c r="BR1" s="1" t="s">
        <v>389</v>
      </c>
      <c r="BS1" s="1" t="s">
        <v>390</v>
      </c>
      <c r="BT1" s="1" t="s">
        <v>391</v>
      </c>
      <c r="BU1" s="1" t="s">
        <v>392</v>
      </c>
      <c r="BV1" s="1" t="s">
        <v>393</v>
      </c>
      <c r="BW1" s="1" t="s">
        <v>394</v>
      </c>
      <c r="BX1" s="1" t="s">
        <v>395</v>
      </c>
      <c r="BY1" s="1" t="s">
        <v>396</v>
      </c>
      <c r="BZ1" s="1" t="s">
        <v>397</v>
      </c>
      <c r="CA1" s="1" t="s">
        <v>398</v>
      </c>
      <c r="CB1" s="1" t="s">
        <v>399</v>
      </c>
      <c r="CC1" s="1" t="s">
        <v>400</v>
      </c>
      <c r="CD1" s="1" t="s">
        <v>401</v>
      </c>
      <c r="CE1" s="1" t="s">
        <v>124</v>
      </c>
      <c r="CF1" s="1" t="s">
        <v>402</v>
      </c>
      <c r="CG1" s="1" t="s">
        <v>403</v>
      </c>
      <c r="CH1" s="1" t="s">
        <v>127</v>
      </c>
      <c r="CI1" s="1" t="s">
        <v>128</v>
      </c>
      <c r="CJ1" s="1" t="s">
        <v>129</v>
      </c>
      <c r="CK1" s="1" t="s">
        <v>130</v>
      </c>
      <c r="CL1" s="7" t="s">
        <v>320</v>
      </c>
    </row>
    <row r="2" customFormat="false" ht="12.8" hidden="false" customHeight="false" outlineLevel="0" collapsed="false">
      <c r="A2" s="19" t="s">
        <v>321</v>
      </c>
      <c r="B2" s="19" t="s">
        <v>39</v>
      </c>
      <c r="C2" s="19" t="n">
        <v>1</v>
      </c>
      <c r="D2" s="19" t="n">
        <v>2</v>
      </c>
      <c r="E2" s="19" t="n">
        <v>3</v>
      </c>
      <c r="F2" s="19" t="n">
        <v>4</v>
      </c>
      <c r="G2" s="19" t="n">
        <v>5</v>
      </c>
      <c r="H2" s="19" t="n">
        <v>6</v>
      </c>
      <c r="I2" s="19" t="n">
        <v>7</v>
      </c>
      <c r="J2" s="19" t="n">
        <v>8</v>
      </c>
      <c r="K2" s="19" t="n">
        <v>9</v>
      </c>
      <c r="L2" s="19" t="n">
        <v>10</v>
      </c>
      <c r="M2" s="19" t="n">
        <v>11</v>
      </c>
      <c r="N2" s="19" t="n">
        <v>12</v>
      </c>
      <c r="O2" s="19" t="n">
        <v>13</v>
      </c>
      <c r="P2" s="19" t="n">
        <v>14</v>
      </c>
      <c r="Q2" s="19" t="n">
        <v>15</v>
      </c>
      <c r="R2" s="19" t="n">
        <v>16</v>
      </c>
      <c r="S2" s="19" t="n">
        <v>17</v>
      </c>
      <c r="T2" s="19" t="n">
        <v>18</v>
      </c>
      <c r="U2" s="19" t="n">
        <v>19</v>
      </c>
      <c r="V2" s="19" t="n">
        <v>20</v>
      </c>
      <c r="W2" s="19" t="n">
        <v>21</v>
      </c>
      <c r="X2" s="19" t="n">
        <v>22</v>
      </c>
      <c r="Y2" s="19" t="n">
        <v>23</v>
      </c>
      <c r="Z2" s="19" t="n">
        <v>24</v>
      </c>
      <c r="AA2" s="19" t="n">
        <v>25</v>
      </c>
      <c r="AB2" s="19" t="n">
        <v>26</v>
      </c>
      <c r="AC2" s="19" t="n">
        <v>27</v>
      </c>
      <c r="AD2" s="19" t="n">
        <v>28</v>
      </c>
      <c r="AE2" s="19" t="n">
        <v>29</v>
      </c>
      <c r="AF2" s="19" t="n">
        <v>30</v>
      </c>
      <c r="AG2" s="19" t="n">
        <v>31</v>
      </c>
      <c r="AH2" s="19" t="n">
        <v>32</v>
      </c>
      <c r="AI2" s="19" t="n">
        <v>33</v>
      </c>
      <c r="AJ2" s="19" t="n">
        <v>34</v>
      </c>
      <c r="AK2" s="19" t="n">
        <v>35</v>
      </c>
      <c r="AL2" s="19" t="n">
        <v>36</v>
      </c>
      <c r="AM2" s="19" t="n">
        <v>37</v>
      </c>
      <c r="AN2" s="19" t="n">
        <v>38</v>
      </c>
      <c r="AO2" s="19" t="n">
        <v>39</v>
      </c>
      <c r="AP2" s="19" t="n">
        <v>40</v>
      </c>
      <c r="AQ2" s="19" t="n">
        <v>41</v>
      </c>
      <c r="AR2" s="19" t="n">
        <v>42</v>
      </c>
      <c r="AS2" s="19" t="n">
        <v>43</v>
      </c>
      <c r="AT2" s="19" t="n">
        <v>44</v>
      </c>
      <c r="AU2" s="19" t="n">
        <v>45</v>
      </c>
      <c r="AV2" s="19" t="n">
        <v>46</v>
      </c>
      <c r="AW2" s="19" t="n">
        <v>47</v>
      </c>
      <c r="AX2" s="19" t="n">
        <v>48</v>
      </c>
      <c r="AY2" s="19" t="n">
        <v>49</v>
      </c>
      <c r="AZ2" s="19" t="n">
        <v>50</v>
      </c>
      <c r="BA2" s="19" t="n">
        <v>51</v>
      </c>
      <c r="BB2" s="19" t="n">
        <v>52</v>
      </c>
      <c r="BC2" s="19" t="n">
        <v>53</v>
      </c>
      <c r="BD2" s="19" t="n">
        <v>54</v>
      </c>
      <c r="BE2" s="19" t="n">
        <v>55</v>
      </c>
      <c r="BF2" s="19" t="n">
        <v>56</v>
      </c>
      <c r="BG2" s="19" t="n">
        <v>57</v>
      </c>
      <c r="BH2" s="19" t="n">
        <v>58</v>
      </c>
      <c r="BI2" s="19" t="n">
        <v>59</v>
      </c>
      <c r="BJ2" s="19" t="n">
        <v>60</v>
      </c>
      <c r="BK2" s="19" t="n">
        <v>61</v>
      </c>
      <c r="BL2" s="19" t="n">
        <v>62</v>
      </c>
      <c r="BM2" s="19" t="n">
        <v>63</v>
      </c>
      <c r="BN2" s="19" t="n">
        <v>64</v>
      </c>
      <c r="BO2" s="19" t="n">
        <v>65</v>
      </c>
      <c r="BP2" s="19" t="n">
        <v>66</v>
      </c>
      <c r="BQ2" s="19" t="n">
        <v>67</v>
      </c>
      <c r="BR2" s="19" t="n">
        <v>68</v>
      </c>
      <c r="BS2" s="19" t="n">
        <v>69</v>
      </c>
      <c r="BT2" s="19" t="n">
        <v>70</v>
      </c>
      <c r="BU2" s="19" t="n">
        <v>71</v>
      </c>
      <c r="BV2" s="19" t="n">
        <v>72</v>
      </c>
      <c r="BW2" s="19" t="n">
        <v>73</v>
      </c>
      <c r="BX2" s="19" t="n">
        <v>74</v>
      </c>
      <c r="BY2" s="19" t="n">
        <v>75</v>
      </c>
      <c r="BZ2" s="19" t="n">
        <v>76</v>
      </c>
      <c r="CA2" s="19" t="n">
        <v>77</v>
      </c>
      <c r="CB2" s="19" t="n">
        <v>78</v>
      </c>
      <c r="CC2" s="19" t="n">
        <v>79</v>
      </c>
      <c r="CD2" s="19" t="n">
        <v>80</v>
      </c>
      <c r="CE2" s="19" t="n">
        <v>81</v>
      </c>
      <c r="CF2" s="19" t="n">
        <v>82</v>
      </c>
      <c r="CG2" s="19" t="n">
        <v>83</v>
      </c>
      <c r="CH2" s="19" t="n">
        <v>84</v>
      </c>
      <c r="CI2" s="19" t="n">
        <v>85</v>
      </c>
      <c r="CJ2" s="19" t="n">
        <v>86</v>
      </c>
      <c r="CK2" s="19" t="n">
        <v>87</v>
      </c>
      <c r="CL2" s="7" t="s">
        <v>320</v>
      </c>
      <c r="CM2" s="23" t="n">
        <f aca="false">Flows!BT18*BT$3*BT$4</f>
        <v>11228653133.9884</v>
      </c>
      <c r="CN2" s="23" t="s">
        <v>404</v>
      </c>
    </row>
    <row r="3" customFormat="false" ht="12.8" hidden="false" customHeight="false" outlineLevel="0" collapsed="false">
      <c r="A3" s="19" t="s">
        <v>405</v>
      </c>
      <c r="B3" s="19" t="s">
        <v>39</v>
      </c>
      <c r="C3" s="24" t="n">
        <v>1</v>
      </c>
      <c r="D3" s="24" t="n">
        <v>1</v>
      </c>
      <c r="E3" s="24" t="n">
        <v>1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 t="n">
        <v>1</v>
      </c>
      <c r="U3" s="24" t="n">
        <v>1</v>
      </c>
      <c r="V3" s="24" t="n">
        <v>1</v>
      </c>
      <c r="W3" s="24" t="n">
        <v>1</v>
      </c>
      <c r="X3" s="24" t="n">
        <v>1</v>
      </c>
      <c r="Y3" s="24" t="n">
        <v>5</v>
      </c>
      <c r="Z3" s="24" t="n">
        <f aca="false">AA3</f>
        <v>50</v>
      </c>
      <c r="AA3" s="24" t="n">
        <v>50</v>
      </c>
      <c r="AB3" s="24" t="n">
        <v>50</v>
      </c>
      <c r="AC3" s="24" t="n">
        <v>100</v>
      </c>
      <c r="AD3" s="24" t="n">
        <v>100</v>
      </c>
      <c r="AE3" s="24" t="n">
        <v>20</v>
      </c>
      <c r="AF3" s="24" t="n">
        <v>20</v>
      </c>
      <c r="AG3" s="24" t="n">
        <v>5</v>
      </c>
      <c r="AH3" s="24" t="n">
        <v>5</v>
      </c>
      <c r="AI3" s="24" t="n">
        <v>5</v>
      </c>
      <c r="AJ3" s="24" t="n">
        <v>5</v>
      </c>
      <c r="AK3" s="24" t="n">
        <v>5</v>
      </c>
      <c r="AL3" s="24" t="n">
        <v>5</v>
      </c>
      <c r="AM3" s="24" t="n">
        <v>5</v>
      </c>
      <c r="AN3" s="24" t="n">
        <v>5</v>
      </c>
      <c r="AO3" s="24" t="n">
        <v>5</v>
      </c>
      <c r="AP3" s="24" t="n">
        <v>5</v>
      </c>
      <c r="AQ3" s="24" t="n">
        <v>5</v>
      </c>
      <c r="AR3" s="24" t="n">
        <v>5</v>
      </c>
      <c r="AS3" s="24" t="n">
        <v>5</v>
      </c>
      <c r="AT3" s="24" t="n">
        <v>5</v>
      </c>
      <c r="AU3" s="24" t="n">
        <v>5</v>
      </c>
      <c r="AV3" s="24" t="n">
        <v>5</v>
      </c>
      <c r="AW3" s="24" t="n">
        <v>5</v>
      </c>
      <c r="AX3" s="24" t="n">
        <v>10</v>
      </c>
      <c r="AY3" s="24" t="n">
        <v>5</v>
      </c>
      <c r="AZ3" s="24" t="n">
        <v>5</v>
      </c>
      <c r="BA3" s="24" t="n">
        <v>20</v>
      </c>
      <c r="BB3" s="24" t="n">
        <v>5</v>
      </c>
      <c r="BC3" s="24" t="n">
        <v>10</v>
      </c>
      <c r="BD3" s="24" t="n">
        <v>5</v>
      </c>
      <c r="BE3" s="24" t="n">
        <v>10</v>
      </c>
      <c r="BF3" s="24" t="n">
        <v>1</v>
      </c>
      <c r="BG3" s="24" t="n">
        <v>1</v>
      </c>
      <c r="BH3" s="24" t="n">
        <v>1</v>
      </c>
      <c r="BI3" s="24" t="n">
        <v>1</v>
      </c>
      <c r="BJ3" s="24" t="n">
        <v>1</v>
      </c>
      <c r="BK3" s="24" t="n">
        <v>1</v>
      </c>
      <c r="BL3" s="24" t="n">
        <v>10</v>
      </c>
      <c r="BM3" s="24" t="n">
        <v>10</v>
      </c>
      <c r="BN3" s="24" t="n">
        <f aca="false">$BT$3</f>
        <v>20</v>
      </c>
      <c r="BO3" s="24" t="n">
        <f aca="false">$BT$3</f>
        <v>20</v>
      </c>
      <c r="BP3" s="24" t="n">
        <v>5</v>
      </c>
      <c r="BQ3" s="24" t="n">
        <f aca="false">$BT$3</f>
        <v>20</v>
      </c>
      <c r="BR3" s="24" t="n">
        <f aca="false">$BT$3</f>
        <v>20</v>
      </c>
      <c r="BS3" s="24" t="n">
        <f aca="false">$BT$3</f>
        <v>20</v>
      </c>
      <c r="BT3" s="24" t="n">
        <v>20</v>
      </c>
      <c r="BU3" s="24" t="n">
        <f aca="false">$BT$3</f>
        <v>20</v>
      </c>
      <c r="BV3" s="24" t="n">
        <f aca="false">$BT$3</f>
        <v>20</v>
      </c>
      <c r="BW3" s="24" t="n">
        <v>1</v>
      </c>
      <c r="BX3" s="24" t="n">
        <v>5</v>
      </c>
      <c r="BY3" s="24" t="n">
        <v>5</v>
      </c>
      <c r="BZ3" s="24" t="n">
        <v>1</v>
      </c>
      <c r="CA3" s="24" t="n">
        <v>1</v>
      </c>
      <c r="CB3" s="24" t="n">
        <v>1</v>
      </c>
      <c r="CC3" s="24" t="n">
        <v>20</v>
      </c>
      <c r="CD3" s="24" t="n">
        <v>1</v>
      </c>
      <c r="CE3" s="24" t="n">
        <v>20</v>
      </c>
      <c r="CF3" s="24" t="n">
        <v>10</v>
      </c>
      <c r="CG3" s="24" t="n">
        <v>20</v>
      </c>
      <c r="CH3" s="24" t="n">
        <v>20</v>
      </c>
      <c r="CI3" s="24" t="n">
        <v>2</v>
      </c>
      <c r="CJ3" s="24" t="n">
        <v>20</v>
      </c>
      <c r="CK3" s="24" t="n">
        <v>20</v>
      </c>
      <c r="CL3" s="7" t="s">
        <v>320</v>
      </c>
    </row>
    <row r="4" customFormat="false" ht="12.8" hidden="false" customHeight="false" outlineLevel="0" collapsed="false">
      <c r="A4" s="19" t="s">
        <v>406</v>
      </c>
      <c r="B4" s="19" t="s">
        <v>39</v>
      </c>
      <c r="C4" s="25" t="n">
        <f aca="false">16*1000*2000</f>
        <v>32000000</v>
      </c>
      <c r="D4" s="25" t="n">
        <f aca="false">1000*2000</f>
        <v>2000000</v>
      </c>
      <c r="E4" s="25" t="n">
        <f aca="false">1000*2000</f>
        <v>2000000</v>
      </c>
      <c r="F4" s="25" t="n">
        <f aca="false">1000*2000</f>
        <v>2000000</v>
      </c>
      <c r="G4" s="25" t="n">
        <f aca="false">1000*2000</f>
        <v>2000000</v>
      </c>
      <c r="H4" s="25" t="n">
        <f aca="false">1000*2000</f>
        <v>2000000</v>
      </c>
      <c r="I4" s="25" t="n">
        <f aca="false">1000*2000</f>
        <v>2000000</v>
      </c>
      <c r="J4" s="25" t="n">
        <f aca="false">1000*2000</f>
        <v>2000000</v>
      </c>
      <c r="K4" s="25" t="n">
        <v>1</v>
      </c>
      <c r="L4" s="25" t="n">
        <v>1</v>
      </c>
      <c r="M4" s="25" t="n">
        <v>1</v>
      </c>
      <c r="N4" s="25" t="n">
        <f aca="false">1000*2000</f>
        <v>2000000</v>
      </c>
      <c r="O4" s="25" t="n">
        <f aca="false">1000*2000</f>
        <v>2000000</v>
      </c>
      <c r="P4" s="25" t="n">
        <f aca="false">1000*2000/0.75</f>
        <v>2666666.66666667</v>
      </c>
      <c r="Q4" s="25" t="n">
        <f aca="false">1000*2000</f>
        <v>2000000</v>
      </c>
      <c r="R4" s="25" t="n">
        <f aca="false">1000*2000</f>
        <v>2000000</v>
      </c>
      <c r="S4" s="25" t="n">
        <f aca="false">1000*2000</f>
        <v>2000000</v>
      </c>
      <c r="T4" s="25" t="n">
        <f aca="false">1000*2000</f>
        <v>2000000</v>
      </c>
      <c r="U4" s="25" t="n">
        <f aca="false">1000*2000</f>
        <v>2000000</v>
      </c>
      <c r="V4" s="25" t="n">
        <f aca="false">1000*2000/8.34</f>
        <v>239808.153477218</v>
      </c>
      <c r="W4" s="25" t="n">
        <f aca="false">1000*2000</f>
        <v>2000000</v>
      </c>
      <c r="X4" s="25" t="n">
        <f aca="false">1000*2000</f>
        <v>2000000</v>
      </c>
      <c r="Y4" s="25" t="n">
        <f aca="false">1000*2000</f>
        <v>2000000</v>
      </c>
      <c r="Z4" s="25" t="n">
        <f aca="false">1/Capacity!$AT$36</f>
        <v>533.333333333333</v>
      </c>
      <c r="AA4" s="25" t="n">
        <f aca="false">1/Capacity!$AT$36</f>
        <v>533.333333333333</v>
      </c>
      <c r="AB4" s="25" t="n">
        <f aca="false">1/Capacity!$AT$36</f>
        <v>533.333333333333</v>
      </c>
      <c r="AC4" s="25" t="n">
        <f aca="false">1/Capacity!$AW$30</f>
        <v>258.585858585859</v>
      </c>
      <c r="AD4" s="25" t="n">
        <f aca="false">1/Capacity!$AW$30</f>
        <v>258.585858585859</v>
      </c>
      <c r="AE4" s="25" t="n">
        <f aca="false">1000*Capacity!$AY$30</f>
        <v>555.555555555556</v>
      </c>
      <c r="AF4" s="25" t="n">
        <f aca="false">1000/Capacity!AZ$30</f>
        <v>800000</v>
      </c>
      <c r="AG4" s="25" t="n">
        <f aca="false">1000/Capacity!BA$30</f>
        <v>666666.666666667</v>
      </c>
      <c r="AH4" s="25" t="n">
        <f aca="false">1000/Capacity!BB$30</f>
        <v>1333333.33333333</v>
      </c>
      <c r="AI4" s="25" t="n">
        <f aca="false">1000/Capacity!BC$30</f>
        <v>1666666.66666667</v>
      </c>
      <c r="AJ4" s="25" t="n">
        <f aca="false">1000/Capacity!BD$30</f>
        <v>1333333.33333333</v>
      </c>
      <c r="AK4" s="25" t="n">
        <f aca="false">1000/Capacity!BE$30</f>
        <v>5490196.07843137</v>
      </c>
      <c r="AL4" s="25" t="n">
        <f aca="false">1000/Capacity!BF$30</f>
        <v>4571428.57142857</v>
      </c>
      <c r="AM4" s="25" t="n">
        <f aca="false">1000/Capacity!BG$30</f>
        <v>1000000</v>
      </c>
      <c r="AN4" s="25" t="n">
        <f aca="false">1000/Capacity!BH$30</f>
        <v>1333333.33333333</v>
      </c>
      <c r="AO4" s="25" t="n">
        <f aca="false">1000/Capacity!BI$30</f>
        <v>50000</v>
      </c>
      <c r="AP4" s="25" t="n">
        <f aca="false">1000/Capacity!BJ$30</f>
        <v>38197.0970206264</v>
      </c>
      <c r="AQ4" s="25" t="n">
        <f aca="false">1000/Capacity!BK$30</f>
        <v>1185185.18518519</v>
      </c>
      <c r="AR4" s="25" t="n">
        <f aca="false">1000/Capacity!BL$30</f>
        <v>592592.592592593</v>
      </c>
      <c r="AS4" s="25" t="n">
        <f aca="false">1000/Capacity!BM$30</f>
        <v>2370370.37037037</v>
      </c>
      <c r="AT4" s="25" t="n">
        <f aca="false">1000/Capacity!BN$30</f>
        <v>666666.666666667</v>
      </c>
      <c r="AU4" s="25" t="n">
        <f aca="false">1000/Capacity!BO$30</f>
        <v>615384.615384615</v>
      </c>
      <c r="AV4" s="25" t="n">
        <f aca="false">1000/Capacity!BP$30</f>
        <v>1333333.33333333</v>
      </c>
      <c r="AW4" s="25" t="n">
        <f aca="false">Capacity!BQ30</f>
        <v>30000000</v>
      </c>
      <c r="AX4" s="25" t="n">
        <f aca="false">Capacity!$BR$30</f>
        <v>1000000</v>
      </c>
      <c r="AY4" s="25" t="n">
        <f aca="false">Capacity!BS30</f>
        <v>8000000</v>
      </c>
      <c r="AZ4" s="25" t="n">
        <f aca="false">Capacity!BT30</f>
        <v>4444444.44444444</v>
      </c>
      <c r="BA4" s="25" t="n">
        <f aca="false">Capacity!BU32</f>
        <v>4000000</v>
      </c>
      <c r="BB4" s="25" t="n">
        <f aca="false">Capacity!BV30</f>
        <v>1269841.26984127</v>
      </c>
      <c r="BC4" s="25" t="n">
        <f aca="false">Capacity!BW30</f>
        <v>2222222.22222222</v>
      </c>
      <c r="BD4" s="25" t="n">
        <f aca="false">Capacity!BX30</f>
        <v>1777777.77777778</v>
      </c>
      <c r="BE4" s="25" t="n">
        <f aca="false">Capacity!BY30</f>
        <v>634920.634920635</v>
      </c>
      <c r="BF4" s="25" t="n">
        <f aca="false">1000*2000</f>
        <v>2000000</v>
      </c>
      <c r="BG4" s="25" t="n">
        <f aca="false">1000*2000</f>
        <v>2000000</v>
      </c>
      <c r="BH4" s="25" t="n">
        <f aca="false">1000*2000</f>
        <v>2000000</v>
      </c>
      <c r="BI4" s="25" t="n">
        <f aca="false">1000*2000</f>
        <v>2000000</v>
      </c>
      <c r="BJ4" s="25" t="n">
        <f aca="false">1000*2000</f>
        <v>2000000</v>
      </c>
      <c r="BK4" s="25" t="n">
        <f aca="false">1000*2000</f>
        <v>2000000</v>
      </c>
      <c r="BL4" s="25" t="n">
        <f aca="false">1000*2000/(32*8.34)</f>
        <v>7494.00479616307</v>
      </c>
      <c r="BM4" s="25" t="n">
        <f aca="false">1000*2000/8.34</f>
        <v>239808.153477218</v>
      </c>
      <c r="BN4" s="25" t="n">
        <f aca="false">1000*2000</f>
        <v>2000000</v>
      </c>
      <c r="BO4" s="25" t="n">
        <f aca="false">1000*2000</f>
        <v>2000000</v>
      </c>
      <c r="BP4" s="25" t="n">
        <f aca="false">1000*2000</f>
        <v>2000000</v>
      </c>
      <c r="BQ4" s="25" t="n">
        <f aca="false">1000*2000</f>
        <v>2000000</v>
      </c>
      <c r="BR4" s="25" t="n">
        <f aca="false">1000*2000</f>
        <v>2000000</v>
      </c>
      <c r="BS4" s="25" t="n">
        <f aca="false">1000*2000</f>
        <v>2000000</v>
      </c>
      <c r="BT4" s="25" t="n">
        <f aca="false">16*1000*2000</f>
        <v>32000000</v>
      </c>
      <c r="BU4" s="25" t="n">
        <f aca="false">16*1000*2000</f>
        <v>32000000</v>
      </c>
      <c r="BV4" s="25" t="n">
        <f aca="false">16*1000*2000</f>
        <v>32000000</v>
      </c>
      <c r="BW4" s="25" t="n">
        <f aca="false">1000*2000/8.34</f>
        <v>239808.153477218</v>
      </c>
      <c r="BX4" s="25" t="n">
        <f aca="false">50000000/3</f>
        <v>16666666.6666667</v>
      </c>
      <c r="BY4" s="25" t="n">
        <f aca="false">1500000/3</f>
        <v>500000</v>
      </c>
      <c r="BZ4" s="25" t="n">
        <f aca="false">1000*2000/(0.8*8.34)</f>
        <v>299760.191846523</v>
      </c>
      <c r="CA4" s="25" t="n">
        <f aca="false">1000*2000</f>
        <v>2000000</v>
      </c>
      <c r="CB4" s="25" t="n">
        <f aca="false">1000*2000/8.34</f>
        <v>239808.153477218</v>
      </c>
      <c r="CC4" s="25" t="n">
        <f aca="false">Capacity!CW31</f>
        <v>33333.3333333333</v>
      </c>
      <c r="CD4" s="25" t="n">
        <f aca="false">1000*2000</f>
        <v>2000000</v>
      </c>
      <c r="CE4" s="25" t="n">
        <f aca="false">4000000</f>
        <v>4000000</v>
      </c>
      <c r="CF4" s="25" t="n">
        <f aca="false">1000*2000</f>
        <v>2000000</v>
      </c>
      <c r="CG4" s="25" t="n">
        <f aca="false">1000*2000/0.5</f>
        <v>4000000</v>
      </c>
      <c r="CH4" s="25" t="n">
        <f aca="false">1000*2000/0.5</f>
        <v>4000000</v>
      </c>
      <c r="CI4" s="25" t="n">
        <v>100000000</v>
      </c>
      <c r="CJ4" s="25" t="n">
        <v>4000000</v>
      </c>
      <c r="CK4" s="25" t="n">
        <v>80000</v>
      </c>
      <c r="CL4" s="7" t="s">
        <v>39</v>
      </c>
    </row>
    <row r="5" customFormat="false" ht="12.8" hidden="false" customHeight="false" outlineLevel="0" collapsed="false">
      <c r="A5" s="7" t="s">
        <v>407</v>
      </c>
      <c r="B5" s="7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7" t="s">
        <v>39</v>
      </c>
    </row>
    <row r="6" customFormat="false" ht="12.8" hidden="false" customHeight="false" outlineLevel="0" collapsed="false">
      <c r="A6" s="7" t="s">
        <v>131</v>
      </c>
      <c r="B6" s="7" t="s">
        <v>39</v>
      </c>
      <c r="C6" s="10" t="n">
        <f aca="false">IF(Flows!C3*C$3*C$4&lt;0.002,100,MAX($CM$2/(Flows!C3*C$3*C$4),1))</f>
        <v>71525.6708317304</v>
      </c>
      <c r="D6" s="10" t="n">
        <f aca="false">IF(Flows!D3*D$3*D$4&lt;0.002,100,MAX($CM$2/(Flows!D3*D$3*D$4),1))</f>
        <v>17.2317468241457</v>
      </c>
      <c r="E6" s="10" t="n">
        <f aca="false">IF(Flows!E3*E$3*E$4&lt;0.002,100,MAX($CM$2/(Flows!E3*E$3*E$4),1))</f>
        <v>57.6463474758667</v>
      </c>
      <c r="F6" s="10" t="n">
        <f aca="false">IF(Flows!F3*F$3*F$4&lt;0.002,100,MAX($CM$2/(Flows!F3*F$3*F$4),1))</f>
        <v>177.089579445862</v>
      </c>
      <c r="G6" s="10" t="n">
        <f aca="false">IF(Flows!G3*G$3*G$4&lt;0.002,100,MAX($CM$2/(Flows!G3*G$3*G$4),1))</f>
        <v>4724.34242829573</v>
      </c>
      <c r="H6" s="10" t="n">
        <f aca="false">IF(Flows!H3*H$3*H$4&lt;0.002,100,MAX($CM$2/(Flows!H3*H$3*H$4),1))</f>
        <v>31681.1000492713</v>
      </c>
      <c r="I6" s="10" t="n">
        <f aca="false">IF(Flows!I3*I$3*I$4&lt;0.002,100,MAX($CM$2/(Flows!I3*I$3*I$4),1))</f>
        <v>2390.7529679721</v>
      </c>
      <c r="J6" s="10" t="n">
        <f aca="false">IF(Flows!J3*J$3*J$4&lt;0.002,100,MAX($CM$2/(Flows!J3*J$3*J$4),1))</f>
        <v>2761.16204413213</v>
      </c>
      <c r="K6" s="10" t="n">
        <f aca="false">IF(Flows!K3*K$3*K$4&lt;0.002,100,MAX($CM$2/(Flows!K3*K$3*K$4),1))</f>
        <v>32745.4864551364</v>
      </c>
      <c r="L6" s="10" t="n">
        <f aca="false">IF(Flows!L3*L$3*L$4&lt;0.002,100,MAX($CM$2/(Flows!L3*L$3*L$4),1))</f>
        <v>294426.650460352</v>
      </c>
      <c r="M6" s="10" t="n">
        <f aca="false">IF(Flows!M3*M$3*M$4&lt;0.002,100,MAX($CM$2/(Flows!M3*M$3*M$4),1))</f>
        <v>246533.288853005</v>
      </c>
      <c r="N6" s="10" t="n">
        <f aca="false">IF(Flows!N3*N$3*N$4&lt;0.002,100,MAX($CM$2/(Flows!N3*N$3*N$4),1))</f>
        <v>52.3429120043939</v>
      </c>
      <c r="O6" s="10" t="n">
        <f aca="false">IF(Flows!O3*O$3*O$4&lt;0.002,100,MAX($CM$2/(Flows!O3*O$3*O$4),1))</f>
        <v>10.5111299637901</v>
      </c>
      <c r="P6" s="10" t="n">
        <f aca="false">IF(Flows!P3*P$3*P$4&lt;0.002,100,MAX($CM$2/(Flows!P3*P$3*P$4),1))</f>
        <v>6.30667797827405</v>
      </c>
      <c r="Q6" s="10" t="n">
        <f aca="false">IF(Flows!Q3*Q$3*Q$4&lt;0.002,100,MAX($CM$2/(Flows!Q3*Q$3*Q$4),1))</f>
        <v>143890.979207974</v>
      </c>
      <c r="R6" s="10" t="n">
        <f aca="false">IF(Flows!R3*R$3*R$4&lt;0.002,100,MAX($CM$2/(Flows!R3*R$3*R$4),1))</f>
        <v>89.7136615209216</v>
      </c>
      <c r="S6" s="10" t="n">
        <f aca="false">IF(Flows!S3*S$3*S$4&lt;0.002,100,MAX($CM$2/(Flows!S3*S$3*S$4),1))</f>
        <v>2523.65700394587</v>
      </c>
      <c r="T6" s="10" t="n">
        <f aca="false">IF(Flows!T3*T$3*T$4&lt;0.002,100,MAX($CM$2/(Flows!T3*T$3*T$4),1))</f>
        <v>4515.36669823649</v>
      </c>
      <c r="U6" s="10" t="n">
        <f aca="false">IF(Flows!U3*U$3*U$4&lt;0.002,100,MAX($CM$2/(Flows!U3*U$3*U$4),1))</f>
        <v>16435.5525902003</v>
      </c>
      <c r="V6" s="10" t="n">
        <f aca="false">IF(Flows!V3*V$3*V$4&lt;0.002,100,MAX($CM$2/(Flows!V3*V$3*V$4),1))</f>
        <v>1869.74553538939</v>
      </c>
      <c r="W6" s="10" t="n">
        <f aca="false">IF(Flows!W3*W$3*W$4&lt;0.002,100,MAX($CM$2/(Flows!W3*W$3*W$4),1))</f>
        <v>49.3002551848784</v>
      </c>
      <c r="X6" s="10" t="n">
        <f aca="false">IF(Flows!X3*X$3*X$4&lt;0.002,100,MAX($CM$2/(Flows!X3*X$3*X$4),1))</f>
        <v>8.07922297217257</v>
      </c>
      <c r="Y6" s="10" t="n">
        <f aca="false">IF(Flows!Y3*Y$3*Y$4&lt;0.002,100,MAX($CM$2/(Flows!Y3*Y$3*Y$4),1))</f>
        <v>1472.13325230176</v>
      </c>
      <c r="Z6" s="10" t="n">
        <f aca="false">IF(Flows!Z3*Z$3*Z$4&lt;0.002,100,MAX($CM$2/(Flows!Z3*Z$3*Z$4),1))</f>
        <v>38996.3936212751</v>
      </c>
      <c r="AA6" s="10" t="n">
        <f aca="false">IF(Flows!AA3*AA$3*AA$4&lt;0.002,100,MAX($CM$2/(Flows!AA3*AA$3*AA$4),1))</f>
        <v>69776.600831656</v>
      </c>
      <c r="AB6" s="10" t="n">
        <f aca="false">IF(Flows!AB3*AB$3*AB$4&lt;0.002,100,MAX($CM$2/(Flows!AB3*AB$3*AB$4),1))</f>
        <v>64976.2968352916</v>
      </c>
      <c r="AC6" s="10" t="n">
        <f aca="false">IF(Flows!AC3*AC$3*AC$4&lt;0.002,100,MAX($CM$2/(Flows!AC3*AC$3*AC$4),1))</f>
        <v>239479.23415012</v>
      </c>
      <c r="AD6" s="10" t="n">
        <f aca="false">IF(Flows!AD3*AD$3*AD$4&lt;0.002,100,MAX($CM$2/(Flows!AD3*AD$3*AD$4),1))</f>
        <v>409300.196459717</v>
      </c>
      <c r="AE6" s="10" t="n">
        <f aca="false">IF(Flows!AE3*AE$3*AE$4&lt;0.002,100,MAX($CM$2/(Flows!AE3*AE$3*AE$4),1))</f>
        <v>1291048.94847729</v>
      </c>
      <c r="AF6" s="10" t="n">
        <f aca="false">IF(Flows!AF3*AF$3*AF$4&lt;0.002,100,MAX($CM$2/(Flows!AF3*AF$3*AF$4),1))</f>
        <v>4023.03690183955</v>
      </c>
      <c r="AG6" s="10" t="n">
        <f aca="false">IF(Flows!AG3*AG$3*AG$4&lt;0.002,100,MAX($CM$2/(Flows!AG3*AG$3*AG$4),1))</f>
        <v>4981.22558983361</v>
      </c>
      <c r="AH6" s="10" t="n">
        <f aca="false">IF(Flows!AH3*AH$3*AH$4&lt;0.002,100,MAX($CM$2/(Flows!AH3*AH$3*AH$4),1))</f>
        <v>2219.98333853896</v>
      </c>
      <c r="AI6" s="10" t="n">
        <f aca="false">IF(Flows!AI3*AI$3*AI$4&lt;0.002,100,MAX($CM$2/(Flows!AI3*AI$3*AI$4),1))</f>
        <v>12231.542068798</v>
      </c>
      <c r="AJ6" s="10" t="n">
        <f aca="false">IF(Flows!AJ3*AJ$3*AJ$4&lt;0.002,100,MAX($CM$2/(Flows!AJ3*AJ$3*AJ$4),1))</f>
        <v>5771.02067926486</v>
      </c>
      <c r="AK6" s="10" t="n">
        <f aca="false">IF(Flows!AK3*AK$3*AK$4&lt;0.002,100,MAX($CM$2/(Flows!AK3*AK$3*AK$4),1))</f>
        <v>2585.33603986086</v>
      </c>
      <c r="AL6" s="10" t="n">
        <f aca="false">IF(Flows!AL3*AL$3*AL$4&lt;0.002,100,MAX($CM$2/(Flows!AL3*AL$3*AL$4),1))</f>
        <v>4679.35478958102</v>
      </c>
      <c r="AM6" s="10" t="n">
        <f aca="false">IF(Flows!AM3*AM$3*AM$4&lt;0.002,100,MAX($CM$2/(Flows!AM3*AM$3*AM$4),1))</f>
        <v>10373.4044484608</v>
      </c>
      <c r="AN6" s="10" t="n">
        <f aca="false">IF(Flows!AN3*AN$3*AN$4&lt;0.002,100,MAX($CM$2/(Flows!AN3*AN$3*AN$4),1))</f>
        <v>12408.0636768708</v>
      </c>
      <c r="AO6" s="10" t="n">
        <f aca="false">IF(Flows!AO3*AO$3*AO$4&lt;0.002,100,MAX($CM$2/(Flows!AO3*AO$3*AO$4),1))</f>
        <v>134983.113507726</v>
      </c>
      <c r="AP6" s="10" t="n">
        <f aca="false">IF(Flows!AP3*AP$3*AP$4&lt;0.002,100,MAX($CM$2/(Flows!AP3*AP$3*AP$4),1))</f>
        <v>218731.856529672</v>
      </c>
      <c r="AQ6" s="10" t="n">
        <f aca="false">IF(Flows!AQ3*AQ$3*AQ$4&lt;0.002,100,MAX($CM$2/(Flows!AQ3*AQ$3*AQ$4),1))</f>
        <v>93018.0124010506</v>
      </c>
      <c r="AR6" s="10" t="n">
        <f aca="false">IF(Flows!AR3*AR$3*AR$4&lt;0.002,100,MAX($CM$2/(Flows!AR3*AR$3*AR$4),1))</f>
        <v>114223.670588171</v>
      </c>
      <c r="AS6" s="10" t="n">
        <f aca="false">IF(Flows!AS3*AS$3*AS$4&lt;0.002,100,MAX($CM$2/(Flows!AS3*AS$3*AS$4),1))</f>
        <v>13214.9017878746</v>
      </c>
      <c r="AT6" s="10" t="n">
        <f aca="false">IF(Flows!AT3*AT$3*AT$4&lt;0.002,100,MAX($CM$2/(Flows!AT3*AT$3*AT$4),1))</f>
        <v>4663.61928201406</v>
      </c>
      <c r="AU6" s="10" t="n">
        <f aca="false">IF(Flows!AU3*AU$3*AU$4&lt;0.002,100,MAX($CM$2/(Flows!AU3*AU$3*AU$4),1))</f>
        <v>4668.24207726973</v>
      </c>
      <c r="AV6" s="10" t="n">
        <f aca="false">IF(Flows!AV3*AV$3*AV$4&lt;0.002,100,MAX($CM$2/(Flows!AV3*AV$3*AV$4),1))</f>
        <v>49248.9222683544</v>
      </c>
      <c r="AW6" s="10" t="n">
        <f aca="false">IF(Flows!AW3*AW$3*AW$4&lt;0.002,100,MAX($CM$2/(Flows!AW3*AW$3*AW$4),1))</f>
        <v>75.0798077344019</v>
      </c>
      <c r="AX6" s="10" t="n">
        <f aca="false">IF(Flows!AX3*AX$3*AX$4&lt;0.002,100,MAX($CM$2/(Flows!AX3*AX$3*AX$4),1))</f>
        <v>9166.92957782186</v>
      </c>
      <c r="AY6" s="10" t="n">
        <f aca="false">IF(Flows!AY3*AY$3*AY$4&lt;0.002,100,MAX($CM$2/(Flows!AY3*AY$3*AY$4),1))</f>
        <v>3570.20677660367</v>
      </c>
      <c r="AZ6" s="10" t="n">
        <f aca="false">IF(Flows!AZ3*AZ$3*AZ$4&lt;0.002,100,MAX($CM$2/(Flows!AZ3*AZ$3*AZ$4),1))</f>
        <v>973.752612799625</v>
      </c>
      <c r="BA6" s="10" t="n">
        <f aca="false">IF(Flows!BA3*BA$3*BA$4&lt;0.002,100,MAX($CM$2/(Flows!BA3*BA$3*BA$4),1))</f>
        <v>15015.7591734779</v>
      </c>
      <c r="BB6" s="10" t="n">
        <f aca="false">IF(Flows!BB3*BB$3*BB$4&lt;0.002,100,MAX($CM$2/(Flows!BB3*BB$3*BB$4),1))</f>
        <v>18866.9604932367</v>
      </c>
      <c r="BC6" s="10" t="n">
        <f aca="false">IF(Flows!BC3*BC$3*BC$4&lt;0.002,100,MAX($CM$2/(Flows!BC3*BC$3*BC$4),1))</f>
        <v>7823.27546634416</v>
      </c>
      <c r="BD6" s="10" t="n">
        <f aca="false">IF(Flows!BD3*BD$3*BD$4&lt;0.002,100,MAX($CM$2/(Flows!BD3*BD$3*BD$4),1))</f>
        <v>31074.9245350643</v>
      </c>
      <c r="BE6" s="10" t="n">
        <f aca="false">IF(Flows!BE3*BE$3*BE$4&lt;0.002,100,MAX($CM$2/(Flows!BE3*BE$3*BE$4),1))</f>
        <v>83446.4330729092</v>
      </c>
      <c r="BF6" s="10" t="n">
        <f aca="false">IF(Flows!BF3*BF$3*BF$4&lt;0.002,100,MAX($CM$2/(Flows!BF3*BF$3*BF$4),1))</f>
        <v>4980.22202119025</v>
      </c>
      <c r="BG6" s="10" t="n">
        <f aca="false">IF(Flows!BG3*BG$3*BG$4&lt;0.002,100,MAX($CM$2/(Flows!BG3*BG$3*BG$4),1))</f>
        <v>1574.73848020475</v>
      </c>
      <c r="BH6" s="10" t="n">
        <f aca="false">IF(Flows!BH3*BH$3*BH$4&lt;0.002,100,MAX($CM$2/(Flows!BH3*BH$3*BH$4),1))</f>
        <v>850.831349898582</v>
      </c>
      <c r="BI6" s="10" t="n">
        <f aca="false">IF(Flows!BI3*BI$3*BI$4&lt;0.002,100,MAX($CM$2/(Flows!BI3*BI$3*BI$4),1))</f>
        <v>1947.88627054047</v>
      </c>
      <c r="BJ6" s="10" t="n">
        <f aca="false">IF(Flows!BJ3*BJ$3*BJ$4&lt;0.002,100,MAX($CM$2/(Flows!BJ3*BJ$3*BJ$4),1))</f>
        <v>12.1119244171762</v>
      </c>
      <c r="BK6" s="10" t="n">
        <f aca="false">IF(Flows!BK3*BK$3*BK$4&lt;0.002,100,MAX($CM$2/(Flows!BK3*BK$3*BK$4),1))</f>
        <v>3895.77254108095</v>
      </c>
      <c r="BL6" s="10" t="n">
        <f aca="false">IF(Flows!BL3*BL$3*BL$4&lt;0.002,100,MAX($CM$2/(Flows!BL3*BL$3*BL$4),1))</f>
        <v>500.523942809012</v>
      </c>
      <c r="BM6" s="10" t="n">
        <f aca="false">IF(Flows!BM3*BM$3*BM$4&lt;0.002,100,MAX($CM$2/(Flows!BM3*BM$3*BM$4),1))</f>
        <v>801.039100772339</v>
      </c>
      <c r="BN6" s="10" t="n">
        <f aca="false">IF(Flows!BN3*BN$3*BN$4&lt;0.002,100,MAX($CM$2/(Flows!BN3*BN$3*BN$4),1))</f>
        <v>4358203.40463622</v>
      </c>
      <c r="BO6" s="10" t="n">
        <f aca="false">IF(Flows!BO3*BO$3*BO$4&lt;0.002,100,MAX($CM$2/(Flows!BO3*BO$3*BO$4),1))</f>
        <v>726367234.106036</v>
      </c>
      <c r="BP6" s="10" t="n">
        <f aca="false">IF(Flows!BP3*BP$3*BP$4&lt;0.002,100,MAX($CM$2/(Flows!BP3*BP$3*BP$4),1))</f>
        <v>103752959001.069</v>
      </c>
      <c r="BQ6" s="10" t="n">
        <f aca="false">IF(Flows!BQ3*BQ$3*BQ$4&lt;0.002,100,MAX($CM$2/(Flows!BQ3*BQ$3*BQ$4),1))</f>
        <v>6704928.31482495</v>
      </c>
      <c r="BR6" s="10" t="n">
        <f aca="false">IF(Flows!BR3*BR$3*BR$4&lt;0.002,100,MAX($CM$2/(Flows!BR3*BR$3*BR$4),1))</f>
        <v>7263672341.06036</v>
      </c>
      <c r="BS6" s="10" t="n">
        <f aca="false">IF(Flows!BS3*BS$3*BS$4&lt;0.002,100,MAX($CM$2/(Flows!BS3*BS$3*BS$4),1))</f>
        <v>36318388381.6941</v>
      </c>
      <c r="BT6" s="10" t="n">
        <f aca="false">IF(Flows!BT3*BT$3*BT$4&lt;0.002,100,MAX($CM$2/(Flows!BT3*BT$3*BT$4),1))</f>
        <v>32.4855769401374</v>
      </c>
      <c r="BU6" s="10" t="n">
        <f aca="false">IF(Flows!BU3*BU$3*BU$4&lt;0.002,100,MAX($CM$2/(Flows!BU3*BU$3*BU$4),1))</f>
        <v>324.855769401374</v>
      </c>
      <c r="BV6" s="10" t="n">
        <f aca="false">IF(Flows!BV3*BV$3*BV$4&lt;0.002,100,MAX($CM$2/(Flows!BV3*BV$3*BV$4),1))</f>
        <v>3248.55769401374</v>
      </c>
      <c r="BW6" s="10" t="n">
        <f aca="false">IF(Flows!BW3*BW$3*BW$4&lt;0.002,100,MAX($CM$2/(Flows!BW3*BW$3*BW$4),1))</f>
        <v>120.811178799204</v>
      </c>
      <c r="BX6" s="10" t="n">
        <f aca="false">IF(Flows!BX3*BX$3*BX$4&lt;0.002,100,MAX($CM$2/(Flows!BX3*BX$3*BX$4),1))</f>
        <v>188.190359618974</v>
      </c>
      <c r="BY6" s="10" t="n">
        <f aca="false">IF(Flows!BY3*BY$3*BY$4&lt;0.002,100,MAX($CM$2/(Flows!BY3*BY$3*BY$4),1))</f>
        <v>69.2634617417956</v>
      </c>
      <c r="BZ6" s="10" t="n">
        <f aca="false">IF(Flows!BZ3*BZ$3*BZ$4&lt;0.002,100,MAX($CM$2/(Flows!BZ3*BZ$3*BZ$4),1))</f>
        <v>98996.1996439587</v>
      </c>
      <c r="CA6" s="10" t="n">
        <f aca="false">IF(Flows!CA3*CA$3*CA$4&lt;0.002,100,MAX($CM$2/(Flows!CA3*CA$3*CA$4),1))</f>
        <v>38387.3517100027</v>
      </c>
      <c r="CB6" s="10" t="n">
        <f aca="false">IF(Flows!CB3*CB$3*CB$4&lt;0.002,100,MAX($CM$2/(Flows!CB3*CB$3*CB$4),1))</f>
        <v>387.997592278188</v>
      </c>
      <c r="CC6" s="10" t="n">
        <f aca="false">IF(Flows!CC3*CC$3*CC$4&lt;0.002,100,MAX($CM$2/(Flows!CC3*CC$3*CC$4),1))</f>
        <v>28.3142654528887</v>
      </c>
      <c r="CD6" s="10" t="n">
        <f aca="false">IF(Flows!CD3*CD$3*CD$4&lt;0.002,100,MAX($CM$2/(Flows!CD3*CD$3*CD$4),1))</f>
        <v>480.872600074846</v>
      </c>
      <c r="CE6" s="10" t="n">
        <f aca="false">IF(Flows!CE3*CE$3*CE$4&lt;0.002,100,MAX($CM$2/(Flows!CE3*CE$3*CE$4),1))</f>
        <v>195.152818133674</v>
      </c>
      <c r="CF6" s="10" t="n">
        <f aca="false">IF(Flows!CF3*CF$3*CF$4&lt;0.002,100,MAX($CM$2/(Flows!CF3*CF$3*CF$4),1))</f>
        <v>5.32743918029411</v>
      </c>
      <c r="CG6" s="10" t="n">
        <f aca="false">IF(Flows!CG3*CG$3*CG$4&lt;0.002,100,MAX($CM$2/(Flows!CG3*CG$3*CG$4),1))</f>
        <v>16962094.9626224</v>
      </c>
      <c r="CH6" s="10" t="n">
        <f aca="false">IF(Flows!CH3*CH$3*CH$4&lt;0.002,100,MAX($CM$2/(Flows!CH3*CH$3*CH$4),1))</f>
        <v>3112630.08104109</v>
      </c>
      <c r="CI6" s="10" t="n">
        <f aca="false">IF(Flows!CI3*CI$3*CI$4&lt;0.002,100,MAX($CM$2/(Flows!CI3*CI$3*CI$4),1))</f>
        <v>891.655017860397</v>
      </c>
      <c r="CJ6" s="10" t="n">
        <f aca="false">IF(Flows!CJ3*CJ$3*CJ$4&lt;0.002,100,MAX($CM$2/(Flows!CJ3*CJ$3*CJ$4),1))</f>
        <v>9084.09282899073</v>
      </c>
      <c r="CK6" s="10" t="n">
        <f aca="false">IF(Flows!CK3*CK$3*CK$4&lt;0.002,100,MAX($CM$2/(Flows!CK3*CK$3*CK$4),1))</f>
        <v>3617.23639060251</v>
      </c>
      <c r="CL6" s="7" t="s">
        <v>39</v>
      </c>
    </row>
    <row r="7" customFormat="false" ht="12.8" hidden="false" customHeight="false" outlineLevel="0" collapsed="false">
      <c r="A7" s="7" t="s">
        <v>133</v>
      </c>
      <c r="B7" s="7" t="s">
        <v>39</v>
      </c>
      <c r="C7" s="10" t="n">
        <f aca="false">IF(Flows!C4*C$3*C$4&lt;0.002,100,MAX($CM$2/(Flows!C4*C$3*C$4),1))</f>
        <v>43819.7930001497</v>
      </c>
      <c r="D7" s="10" t="n">
        <f aca="false">IF(Flows!D4*D$3*D$4&lt;0.002,100,MAX($CM$2/(Flows!D4*D$3*D$4),1))</f>
        <v>11.6208326425115</v>
      </c>
      <c r="E7" s="10" t="n">
        <f aca="false">IF(Flows!E4*E$3*E$4&lt;0.002,100,MAX($CM$2/(Flows!E4*E$3*E$4),1))</f>
        <v>17.5764303372863</v>
      </c>
      <c r="F7" s="10" t="n">
        <f aca="false">IF(Flows!F4*F$3*F$4&lt;0.002,100,MAX($CM$2/(Flows!F4*F$3*F$4),1))</f>
        <v>34.1649853967519</v>
      </c>
      <c r="G7" s="10" t="n">
        <f aca="false">IF(Flows!G4*G$3*G$4&lt;0.002,100,MAX($CM$2/(Flows!G4*G$3*G$4),1))</f>
        <v>64.0692436443995</v>
      </c>
      <c r="H7" s="10" t="n">
        <f aca="false">IF(Flows!H4*H$3*H$4&lt;0.002,100,MAX($CM$2/(Flows!H4*H$3*H$4),1))</f>
        <v>110980.364853275</v>
      </c>
      <c r="I7" s="10" t="n">
        <f aca="false">IF(Flows!I4*I$3*I$4&lt;0.002,100,MAX($CM$2/(Flows!I4*I$3*I$4),1))</f>
        <v>1575.665085988</v>
      </c>
      <c r="J7" s="10" t="n">
        <f aca="false">IF(Flows!J4*J$3*J$4&lt;0.002,100,MAX($CM$2/(Flows!J4*J$3*J$4),1))</f>
        <v>1606.68538605455</v>
      </c>
      <c r="K7" s="10" t="n">
        <f aca="false">IF(Flows!K4*K$3*K$4&lt;0.002,100,MAX($CM$2/(Flows!K4*K$3*K$4),1))</f>
        <v>18850.8925091201</v>
      </c>
      <c r="L7" s="10" t="n">
        <f aca="false">IF(Flows!L4*L$3*L$4&lt;0.002,100,MAX($CM$2/(Flows!L4*L$3*L$4),1))</f>
        <v>118085.222861461</v>
      </c>
      <c r="M7" s="10" t="n">
        <f aca="false">IF(Flows!M4*M$3*M$4&lt;0.002,100,MAX($CM$2/(Flows!M4*M$3*M$4),1))</f>
        <v>88744.0424769606</v>
      </c>
      <c r="N7" s="10" t="n">
        <f aca="false">IF(Flows!N4*N$3*N$4&lt;0.002,100,MAX($CM$2/(Flows!N4*N$3*N$4),1))</f>
        <v>31.0533580373285</v>
      </c>
      <c r="O7" s="10" t="n">
        <f aca="false">IF(Flows!O4*O$3*O$4&lt;0.002,100,MAX($CM$2/(Flows!O4*O$3*O$4),1))</f>
        <v>5.851485858237</v>
      </c>
      <c r="P7" s="10" t="n">
        <f aca="false">IF(Flows!P4*P$3*P$4&lt;0.002,100,MAX($CM$2/(Flows!P4*P$3*P$4),1))</f>
        <v>3.5108915149422</v>
      </c>
      <c r="Q7" s="10" t="n">
        <f aca="false">IF(Flows!Q4*Q$3*Q$4&lt;0.002,100,MAX($CM$2/(Flows!Q4*Q$3*Q$4),1))</f>
        <v>1486.51919214333</v>
      </c>
      <c r="R7" s="10" t="n">
        <f aca="false">IF(Flows!R4*R$3*R$4&lt;0.002,100,MAX($CM$2/(Flows!R4*R$3*R$4),1))</f>
        <v>51.6462808469045</v>
      </c>
      <c r="S7" s="10" t="n">
        <f aca="false">IF(Flows!S4*S$3*S$4&lt;0.002,100,MAX($CM$2/(Flows!S4*S$3*S$4),1))</f>
        <v>1012.15905309824</v>
      </c>
      <c r="T7" s="10" t="n">
        <f aca="false">IF(Flows!T4*T$3*T$4&lt;0.002,100,MAX($CM$2/(Flows!T4*T$3*T$4),1))</f>
        <v>1810.97085480812</v>
      </c>
      <c r="U7" s="10" t="n">
        <f aca="false">IF(Flows!U4*U$3*U$4&lt;0.002,100,MAX($CM$2/(Flows!U4*U$3*U$4),1))</f>
        <v>5916.26949846404</v>
      </c>
      <c r="V7" s="10" t="n">
        <f aca="false">IF(Flows!V4*V$3*V$4&lt;0.002,100,MAX($CM$2/(Flows!V4*V$3*V$4),1))</f>
        <v>874.219619640904</v>
      </c>
      <c r="W7" s="10" t="n">
        <f aca="false">IF(Flows!W4*W$3*W$4&lt;0.002,100,MAX($CM$2/(Flows!W4*W$3*W$4),1))</f>
        <v>27.9236551826338</v>
      </c>
      <c r="X7" s="10" t="n">
        <f aca="false">IF(Flows!X4*X$3*X$4&lt;0.002,100,MAX($CM$2/(Flows!X4*X$3*X$4),1))</f>
        <v>8.75444916604774</v>
      </c>
      <c r="Y7" s="10" t="n">
        <f aca="false">IF(Flows!Y4*Y$3*Y$4&lt;0.002,100,MAX($CM$2/(Flows!Y4*Y$3*Y$4),1))</f>
        <v>590.426114307306</v>
      </c>
      <c r="Z7" s="10" t="n">
        <f aca="false">IF(Flows!Z4*Z$3*Z$4&lt;0.002,100,MAX($CM$2/(Flows!Z4*Z$3*Z$4),1))</f>
        <v>489010.908700552</v>
      </c>
      <c r="AA7" s="10" t="n">
        <f aca="false">IF(Flows!AA4*AA$3*AA$4&lt;0.002,100,MAX($CM$2/(Flows!AA4*AA$3*AA$4),1))</f>
        <v>48302.5525083426</v>
      </c>
      <c r="AB7" s="10" t="n">
        <f aca="false">IF(Flows!AB4*AB$3*AB$4&lt;0.002,100,MAX($CM$2/(Flows!AB4*AB$3*AB$4),1))</f>
        <v>40333.2706413937</v>
      </c>
      <c r="AC7" s="10" t="n">
        <f aca="false">IF(Flows!AC4*AC$3*AC$4&lt;0.002,100,MAX($CM$2/(Flows!AC4*AC$3*AC$4),1))</f>
        <v>119479.824030798</v>
      </c>
      <c r="AD7" s="10" t="n">
        <f aca="false">IF(Flows!AD4*AD$3*AD$4&lt;0.002,100,MAX($CM$2/(Flows!AD4*AD$3*AD$4),1))</f>
        <v>254068.274146687</v>
      </c>
      <c r="AE7" s="10" t="n">
        <f aca="false">IF(Flows!AE4*AE$3*AE$4&lt;0.002,100,MAX($CM$2/(Flows!AE4*AE$3*AE$4),1))</f>
        <v>720494.559241431</v>
      </c>
      <c r="AF7" s="10" t="n">
        <f aca="false">IF(Flows!AF4*AF$3*AF$4&lt;0.002,100,MAX($CM$2/(Flows!AF4*AF$3*AF$4),1))</f>
        <v>2413.87181308695</v>
      </c>
      <c r="AG7" s="10" t="n">
        <f aca="false">IF(Flows!AG4*AG$3*AG$4&lt;0.002,100,MAX($CM$2/(Flows!AG4*AG$3*AG$4),1))</f>
        <v>2840.98454828721</v>
      </c>
      <c r="AH7" s="10" t="n">
        <f aca="false">IF(Flows!AH4*AH$3*AH$4&lt;0.002,100,MAX($CM$2/(Flows!AH4*AH$3*AH$4),1))</f>
        <v>1648.42988504993</v>
      </c>
      <c r="AI7" s="10" t="n">
        <f aca="false">IF(Flows!AI4*AI$3*AI$4&lt;0.002,100,MAX($CM$2/(Flows!AI4*AI$3*AI$4),1))</f>
        <v>7611.82943296421</v>
      </c>
      <c r="AJ7" s="10" t="n">
        <f aca="false">IF(Flows!AJ4*AJ$3*AJ$4&lt;0.002,100,MAX($CM$2/(Flows!AJ4*AJ$3*AJ$4),1))</f>
        <v>4191.19130765504</v>
      </c>
      <c r="AK7" s="10" t="n">
        <f aca="false">IF(Flows!AK4*AK$3*AK$4&lt;0.002,100,MAX($CM$2/(Flows!AK4*AK$3*AK$4),1))</f>
        <v>1862.83509914033</v>
      </c>
      <c r="AL7" s="10" t="n">
        <f aca="false">IF(Flows!AL4*AL$3*AL$4&lt;0.002,100,MAX($CM$2/(Flows!AL4*AL$3*AL$4),1))</f>
        <v>2801.9994863703</v>
      </c>
      <c r="AM7" s="10" t="n">
        <f aca="false">IF(Flows!AM4*AM$3*AM$4&lt;0.002,100,MAX($CM$2/(Flows!AM4*AM$3*AM$4),1))</f>
        <v>4995.63220513277</v>
      </c>
      <c r="AN7" s="10" t="n">
        <f aca="false">IF(Flows!AN4*AN$3*AN$4&lt;0.002,100,MAX($CM$2/(Flows!AN4*AN$3*AN$4),1))</f>
        <v>6729.64681354383</v>
      </c>
      <c r="AO7" s="10" t="n">
        <f aca="false">IF(Flows!AO4*AO$3*AO$4&lt;0.002,100,MAX($CM$2/(Flows!AO4*AO$3*AO$4),1))</f>
        <v>63324.6532929283</v>
      </c>
      <c r="AP7" s="10" t="n">
        <f aca="false">IF(Flows!AP4*AP$3*AP$4&lt;0.002,100,MAX($CM$2/(Flows!AP4*AP$3*AP$4),1))</f>
        <v>140042.436612007</v>
      </c>
      <c r="AQ7" s="10" t="n">
        <f aca="false">IF(Flows!AQ4*AQ$3*AQ$4&lt;0.002,100,MAX($CM$2/(Flows!AQ4*AQ$3*AQ$4),1))</f>
        <v>52877.2222474233</v>
      </c>
      <c r="AR7" s="10" t="n">
        <f aca="false">IF(Flows!AR4*AR$3*AR$4&lt;0.002,100,MAX($CM$2/(Flows!AR4*AR$3*AR$4),1))</f>
        <v>54621.9208522178</v>
      </c>
      <c r="AS7" s="10" t="n">
        <f aca="false">IF(Flows!AS4*AS$3*AS$4&lt;0.002,100,MAX($CM$2/(Flows!AS4*AS$3*AS$4),1))</f>
        <v>7179.06832833587</v>
      </c>
      <c r="AT7" s="10" t="n">
        <f aca="false">IF(Flows!AT4*AT$3*AT$4&lt;0.002,100,MAX($CM$2/(Flows!AT4*AT$3*AT$4),1))</f>
        <v>2145.58419934667</v>
      </c>
      <c r="AU7" s="10" t="n">
        <f aca="false">IF(Flows!AU4*AU$3*AU$4&lt;0.002,100,MAX($CM$2/(Flows!AU4*AU$3*AU$4),1))</f>
        <v>4560.0943396288</v>
      </c>
      <c r="AV7" s="10" t="n">
        <f aca="false">IF(Flows!AV4*AV$3*AV$4&lt;0.002,100,MAX($CM$2/(Flows!AV4*AV$3*AV$4),1))</f>
        <v>31018.2398605082</v>
      </c>
      <c r="AW7" s="10" t="n">
        <f aca="false">IF(Flows!AW4*AW$3*AW$4&lt;0.002,100,MAX($CM$2/(Flows!AW4*AW$3*AW$4),1))</f>
        <v>37.4935169589476</v>
      </c>
      <c r="AX7" s="10" t="n">
        <f aca="false">IF(Flows!AX4*AX$3*AX$4&lt;0.002,100,MAX($CM$2/(Flows!AX4*AX$3*AX$4),1))</f>
        <v>4945.35637907364</v>
      </c>
      <c r="AY7" s="10" t="n">
        <f aca="false">IF(Flows!AY4*AY$3*AY$4&lt;0.002,100,MAX($CM$2/(Flows!AY4*AY$3*AY$4),1))</f>
        <v>2428.36221073306</v>
      </c>
      <c r="AZ7" s="10" t="n">
        <f aca="false">IF(Flows!AZ4*AZ$3*AZ$4&lt;0.002,100,MAX($CM$2/(Flows!AZ4*AZ$3*AZ$4),1))</f>
        <v>621.198439502549</v>
      </c>
      <c r="BA7" s="10" t="n">
        <f aca="false">IF(Flows!BA4*BA$3*BA$4&lt;0.002,100,MAX($CM$2/(Flows!BA4*BA$3*BA$4),1))</f>
        <v>6022.34636593452</v>
      </c>
      <c r="BB7" s="10" t="n">
        <f aca="false">IF(Flows!BB4*BB$3*BB$4&lt;0.002,100,MAX($CM$2/(Flows!BB4*BB$3*BB$4),1))</f>
        <v>14728.4922521831</v>
      </c>
      <c r="BC7" s="10" t="n">
        <f aca="false">IF(Flows!BC4*BC$3*BC$4&lt;0.002,100,MAX($CM$2/(Flows!BC4*BC$3*BC$4),1))</f>
        <v>5861.90157268576</v>
      </c>
      <c r="BD7" s="10" t="n">
        <f aca="false">IF(Flows!BD4*BD$3*BD$4&lt;0.002,100,MAX($CM$2/(Flows!BD4*BD$3*BD$4),1))</f>
        <v>22738.1670055266</v>
      </c>
      <c r="BE7" s="10" t="n">
        <f aca="false">IF(Flows!BE4*BE$3*BE$4&lt;0.002,100,MAX($CM$2/(Flows!BE4*BE$3*BE$4),1))</f>
        <v>52350.8614261478</v>
      </c>
      <c r="BF7" s="10" t="n">
        <f aca="false">IF(Flows!BF4*BF$3*BF$4&lt;0.002,100,MAX($CM$2/(Flows!BF4*BF$3*BF$4),1))</f>
        <v>1924.78421858993</v>
      </c>
      <c r="BG7" s="10" t="n">
        <f aca="false">IF(Flows!BG4*BG$3*BG$4&lt;0.002,100,MAX($CM$2/(Flows!BG4*BG$3*BG$4),1))</f>
        <v>708.467251745068</v>
      </c>
      <c r="BH7" s="10" t="n">
        <f aca="false">IF(Flows!BH4*BH$3*BH$4&lt;0.002,100,MAX($CM$2/(Flows!BH4*BH$3*BH$4),1))</f>
        <v>2939152.37563573</v>
      </c>
      <c r="BI7" s="10" t="n">
        <f aca="false">IF(Flows!BI4*BI$3*BI$4&lt;0.002,100,MAX($CM$2/(Flows!BI4*BI$3*BI$4),1))</f>
        <v>264.336651816513</v>
      </c>
      <c r="BJ7" s="10" t="n">
        <f aca="false">IF(Flows!BJ4*BJ$3*BJ$4&lt;0.002,100,MAX($CM$2/(Flows!BJ4*BJ$3*BJ$4),1))</f>
        <v>5.57173160383028</v>
      </c>
      <c r="BK7" s="10" t="n">
        <f aca="false">IF(Flows!BK4*BK$3*BK$4&lt;0.002,100,MAX($CM$2/(Flows!BK4*BK$3*BK$4),1))</f>
        <v>528.673303633027</v>
      </c>
      <c r="BL7" s="10" t="n">
        <f aca="false">IF(Flows!BL4*BL$3*BL$4&lt;0.002,100,MAX($CM$2/(Flows!BL4*BL$3*BL$4),1))</f>
        <v>435.737736716194</v>
      </c>
      <c r="BM7" s="10" t="n">
        <f aca="false">IF(Flows!BM4*BM$3*BM$4&lt;0.002,100,MAX($CM$2/(Flows!BM4*BM$3*BM$4),1))</f>
        <v>319.936412317204</v>
      </c>
      <c r="BN7" s="10" t="n">
        <f aca="false">IF(Flows!BN4*BN$3*BN$4&lt;0.002,100,MAX($CM$2/(Flows!BN4*BN$3*BN$4),1))</f>
        <v>1</v>
      </c>
      <c r="BO7" s="10" t="n">
        <f aca="false">IF(Flows!BO4*BO$3*BO$4&lt;0.002,100,MAX($CM$2/(Flows!BO4*BO$3*BO$4),1))</f>
        <v>42.9543393811607</v>
      </c>
      <c r="BP7" s="10" t="n">
        <f aca="false">IF(Flows!BP4*BP$3*BP$4&lt;0.002,100,MAX($CM$2/(Flows!BP4*BP$3*BP$4),1))</f>
        <v>103.868364376552</v>
      </c>
      <c r="BQ7" s="10" t="n">
        <f aca="false">IF(Flows!BQ4*BQ$3*BQ$4&lt;0.002,100,MAX($CM$2/(Flows!BQ4*BQ$3*BQ$4),1))</f>
        <v>1</v>
      </c>
      <c r="BR7" s="10" t="n">
        <f aca="false">IF(Flows!BR4*BR$3*BR$4&lt;0.002,100,MAX($CM$2/(Flows!BR4*BR$3*BR$4),1))</f>
        <v>1288.63018143482</v>
      </c>
      <c r="BS7" s="10" t="n">
        <f aca="false">IF(Flows!BS4*BS$3*BS$4&lt;0.002,100,MAX($CM$2/(Flows!BS4*BS$3*BS$4),1))</f>
        <v>12886.3046519089</v>
      </c>
      <c r="BT7" s="10" t="n">
        <f aca="false">IF(Flows!BT4*BT$3*BT$4&lt;0.002,100,MAX($CM$2/(Flows!BT4*BT$3*BT$4),1))</f>
        <v>9.96401828798194</v>
      </c>
      <c r="BU7" s="10" t="n">
        <f aca="false">IF(Flows!BU4*BU$3*BU$4&lt;0.002,100,MAX($CM$2/(Flows!BU4*BU$3*BU$4),1))</f>
        <v>99.6401828798194</v>
      </c>
      <c r="BV7" s="10" t="n">
        <f aca="false">IF(Flows!BV4*BV$3*BV$4&lt;0.002,100,MAX($CM$2/(Flows!BV4*BV$3*BV$4),1))</f>
        <v>996.401828798194</v>
      </c>
      <c r="BW7" s="10" t="n">
        <f aca="false">IF(Flows!BW4*BW$3*BW$4&lt;0.002,100,MAX($CM$2/(Flows!BW4*BW$3*BW$4),1))</f>
        <v>56.800033931701</v>
      </c>
      <c r="BX7" s="10" t="n">
        <f aca="false">IF(Flows!BX4*BX$3*BX$4&lt;0.002,100,MAX($CM$2/(Flows!BX4*BX$3*BX$4),1))</f>
        <v>49.5593326753384</v>
      </c>
      <c r="BY7" s="10" t="n">
        <f aca="false">IF(Flows!BY4*BY$3*BY$4&lt;0.002,100,MAX($CM$2/(Flows!BY4*BY$3*BY$4),1))</f>
        <v>110.550282586759</v>
      </c>
      <c r="BZ7" s="10" t="n">
        <f aca="false">IF(Flows!BZ4*BZ$3*BZ$4&lt;0.002,100,MAX($CM$2/(Flows!BZ4*BZ$3*BZ$4),1))</f>
        <v>41208.1671102207</v>
      </c>
      <c r="CA7" s="10" t="n">
        <f aca="false">IF(Flows!CA4*CA$3*CA$4&lt;0.002,100,MAX($CM$2/(Flows!CA4*CA$3*CA$4),1))</f>
        <v>25492.6502592215</v>
      </c>
      <c r="CB7" s="10" t="n">
        <f aca="false">IF(Flows!CB4*CB$3*CB$4&lt;0.002,100,MAX($CM$2/(Flows!CB4*CB$3*CB$4),1))</f>
        <v>662.584995047749</v>
      </c>
      <c r="CC7" s="10" t="n">
        <f aca="false">IF(Flows!CC4*CC$3*CC$4&lt;0.002,100,MAX($CM$2/(Flows!CC4*CC$3*CC$4),1))</f>
        <v>4177.12060465094</v>
      </c>
      <c r="CD7" s="10" t="n">
        <f aca="false">IF(Flows!CD4*CD$3*CD$4&lt;0.002,100,MAX($CM$2/(Flows!CD4*CD$3*CD$4),1))</f>
        <v>154.056106142842</v>
      </c>
      <c r="CE7" s="10" t="n">
        <f aca="false">IF(Flows!CE4*CE$3*CE$4&lt;0.002,100,MAX($CM$2/(Flows!CE4*CE$3*CE$4),1))</f>
        <v>52.9281258248783</v>
      </c>
      <c r="CF7" s="10" t="n">
        <f aca="false">IF(Flows!CF4*CF$3*CF$4&lt;0.002,100,MAX($CM$2/(Flows!CF4*CF$3*CF$4),1))</f>
        <v>1</v>
      </c>
      <c r="CG7" s="10" t="n">
        <f aca="false">IF(Flows!CG4*CG$3*CG$4&lt;0.002,100,MAX($CM$2/(Flows!CG4*CG$3*CG$4),1))</f>
        <v>8.4776038459069</v>
      </c>
      <c r="CH7" s="10" t="n">
        <f aca="false">IF(Flows!CH4*CH$3*CH$4&lt;0.002,100,MAX($CM$2/(Flows!CH4*CH$3*CH$4),1))</f>
        <v>19.8248922185687</v>
      </c>
      <c r="CI7" s="10" t="n">
        <f aca="false">IF(Flows!CI4*CI$3*CI$4&lt;0.002,100,MAX($CM$2/(Flows!CI4*CI$3*CI$4),1))</f>
        <v>969.690238458431</v>
      </c>
      <c r="CJ7" s="10" t="n">
        <f aca="false">IF(Flows!CJ4*CJ$3*CJ$4&lt;0.002,100,MAX($CM$2/(Flows!CJ4*CJ$3*CJ$4),1))</f>
        <v>9714.62527017951</v>
      </c>
      <c r="CK7" s="10" t="n">
        <f aca="false">IF(Flows!CK4*CK$3*CK$4&lt;0.002,100,MAX($CM$2/(Flows!CK4*CK$3*CK$4),1))</f>
        <v>1579.29592471497</v>
      </c>
      <c r="CL7" s="7" t="s">
        <v>39</v>
      </c>
    </row>
    <row r="8" customFormat="false" ht="12.8" hidden="false" customHeight="false" outlineLevel="0" collapsed="false">
      <c r="A8" s="7" t="s">
        <v>135</v>
      </c>
      <c r="B8" s="7" t="s">
        <v>39</v>
      </c>
      <c r="C8" s="10" t="n">
        <f aca="false">IF(Flows!C5*C$3*C$4&lt;0.002,100,MAX($CM$2/(Flows!C5*C$3*C$4),1))</f>
        <v>25313.9877149997</v>
      </c>
      <c r="D8" s="10" t="n">
        <f aca="false">IF(Flows!D5*D$3*D$4&lt;0.002,100,MAX($CM$2/(Flows!D5*D$3*D$4),1))</f>
        <v>3.60676482370755</v>
      </c>
      <c r="E8" s="10" t="n">
        <f aca="false">IF(Flows!E5*E$3*E$4&lt;0.002,100,MAX($CM$2/(Flows!E5*E$3*E$4),1))</f>
        <v>8.19673994873943</v>
      </c>
      <c r="F8" s="10" t="n">
        <f aca="false">IF(Flows!F5*F$3*F$4&lt;0.002,100,MAX($CM$2/(Flows!F5*F$3*F$4),1))</f>
        <v>22.8558245567299</v>
      </c>
      <c r="G8" s="10" t="n">
        <f aca="false">IF(Flows!G5*G$3*G$4&lt;0.002,100,MAX($CM$2/(Flows!G5*G$3*G$4),1))</f>
        <v>5.50234369013107</v>
      </c>
      <c r="H8" s="10" t="n">
        <f aca="false">IF(Flows!H5*H$3*H$4&lt;0.002,100,MAX($CM$2/(Flows!H5*H$3*H$4),1))</f>
        <v>1319.20358965893</v>
      </c>
      <c r="I8" s="10" t="n">
        <f aca="false">IF(Flows!I5*I$3*I$4&lt;0.002,100,MAX($CM$2/(Flows!I5*I$3*I$4),1))</f>
        <v>2493.43383785138</v>
      </c>
      <c r="J8" s="10" t="n">
        <f aca="false">IF(Flows!J5*J$3*J$4&lt;0.002,100,MAX($CM$2/(Flows!J5*J$3*J$4),1))</f>
        <v>4026.99321073888</v>
      </c>
      <c r="K8" s="10" t="n">
        <f aca="false">IF(Flows!K5*K$3*K$4&lt;0.002,100,MAX($CM$2/(Flows!K5*K$3*K$4),1))</f>
        <v>14588.8874568533</v>
      </c>
      <c r="L8" s="10" t="n">
        <f aca="false">IF(Flows!L5*L$3*L$4&lt;0.002,100,MAX($CM$2/(Flows!L5*L$3*L$4),1))</f>
        <v>97431.9556988212</v>
      </c>
      <c r="M8" s="10" t="n">
        <f aca="false">IF(Flows!M5*M$3*M$4&lt;0.002,100,MAX($CM$2/(Flows!M5*M$3*M$4),1))</f>
        <v>74380.6276010473</v>
      </c>
      <c r="N8" s="10" t="n">
        <f aca="false">IF(Flows!N5*N$3*N$4&lt;0.002,100,MAX($CM$2/(Flows!N5*N$3*N$4),1))</f>
        <v>4.97509982657171</v>
      </c>
      <c r="O8" s="10" t="n">
        <f aca="false">IF(Flows!O5*O$3*O$4&lt;0.002,100,MAX($CM$2/(Flows!O5*O$3*O$4),1))</f>
        <v>2.82077985148391</v>
      </c>
      <c r="P8" s="10" t="n">
        <f aca="false">IF(Flows!P5*P$3*P$4&lt;0.002,100,MAX($CM$2/(Flows!P5*P$3*P$4),1))</f>
        <v>1.69246791089034</v>
      </c>
      <c r="Q8" s="10" t="n">
        <f aca="false">IF(Flows!Q5*Q$3*Q$4&lt;0.002,100,MAX($CM$2/(Flows!Q5*Q$3*Q$4),1))</f>
        <v>221.191749330601</v>
      </c>
      <c r="R8" s="10" t="n">
        <f aca="false">IF(Flows!R5*R$3*R$4&lt;0.002,100,MAX($CM$2/(Flows!R5*R$3*R$4),1))</f>
        <v>39.9695546763103</v>
      </c>
      <c r="S8" s="10" t="n">
        <f aca="false">IF(Flows!S5*S$3*S$4&lt;0.002,100,MAX($CM$2/(Flows!S5*S$3*S$4),1))</f>
        <v>835.131048847037</v>
      </c>
      <c r="T8" s="10" t="n">
        <f aca="false">IF(Flows!T5*T$3*T$4&lt;0.002,100,MAX($CM$2/(Flows!T5*T$3*T$4),1))</f>
        <v>1494.229572692</v>
      </c>
      <c r="U8" s="10" t="n">
        <f aca="false">IF(Flows!U5*U$3*U$4&lt;0.002,100,MAX($CM$2/(Flows!U5*U$3*U$4),1))</f>
        <v>4958.70850673648</v>
      </c>
      <c r="V8" s="10" t="n">
        <f aca="false">IF(Flows!V5*V$3*V$4&lt;0.002,100,MAX($CM$2/(Flows!V5*V$3*V$4),1))</f>
        <v>272.678468414155</v>
      </c>
      <c r="W8" s="10" t="n">
        <f aca="false">IF(Flows!W5*W$3*W$4&lt;0.002,100,MAX($CM$2/(Flows!W5*W$3*W$4),1))</f>
        <v>5.68638711657048</v>
      </c>
      <c r="X8" s="10" t="n">
        <f aca="false">IF(Flows!X5*X$3*X$4&lt;0.002,100,MAX($CM$2/(Flows!X5*X$3*X$4),1))</f>
        <v>5.40027715419116</v>
      </c>
      <c r="Y8" s="10" t="n">
        <f aca="false">IF(Flows!Y5*Y$3*Y$4&lt;0.002,100,MAX($CM$2/(Flows!Y5*Y$3*Y$4),1))</f>
        <v>487.159778494106</v>
      </c>
      <c r="Z8" s="10" t="n">
        <f aca="false">IF(Flows!Z5*Z$3*Z$4&lt;0.002,100,MAX($CM$2/(Flows!Z5*Z$3*Z$4),1))</f>
        <v>3725.81497781281</v>
      </c>
      <c r="AA8" s="10" t="n">
        <f aca="false">IF(Flows!AA5*AA$3*AA$4&lt;0.002,100,MAX($CM$2/(Flows!AA5*AA$3*AA$4),1))</f>
        <v>7673.57364657065</v>
      </c>
      <c r="AB8" s="10" t="n">
        <f aca="false">IF(Flows!AB5*AB$3*AB$4&lt;0.002,100,MAX($CM$2/(Flows!AB5*AB$3*AB$4),1))</f>
        <v>7365.2215945273</v>
      </c>
      <c r="AC8" s="10" t="n">
        <f aca="false">IF(Flows!AC5*AC$3*AC$4&lt;0.002,100,MAX($CM$2/(Flows!AC5*AC$3*AC$4),1))</f>
        <v>39173.9154709352</v>
      </c>
      <c r="AD8" s="10" t="n">
        <f aca="false">IF(Flows!AD5*AD$3*AD$4&lt;0.002,100,MAX($CM$2/(Flows!AD5*AD$3*AD$4),1))</f>
        <v>46395.17473966</v>
      </c>
      <c r="AE8" s="10" t="n">
        <f aca="false">IF(Flows!AE5*AE$3*AE$4&lt;0.002,100,MAX($CM$2/(Flows!AE5*AE$3*AE$4),1))</f>
        <v>170862.045245562</v>
      </c>
      <c r="AF8" s="10" t="n">
        <f aca="false">IF(Flows!AF5*AF$3*AF$4&lt;0.002,100,MAX($CM$2/(Flows!AF5*AF$3*AF$4),1))</f>
        <v>745.462847005583</v>
      </c>
      <c r="AG8" s="10" t="n">
        <f aca="false">IF(Flows!AG5*AG$3*AG$4&lt;0.002,100,MAX($CM$2/(Flows!AG5*AG$3*AG$4),1))</f>
        <v>668.069230024409</v>
      </c>
      <c r="AH8" s="10" t="n">
        <f aca="false">IF(Flows!AH5*AH$3*AH$4&lt;0.002,100,MAX($CM$2/(Flows!AH5*AH$3*AH$4),1))</f>
        <v>334.04930665793</v>
      </c>
      <c r="AI8" s="10" t="n">
        <f aca="false">IF(Flows!AI5*AI$3*AI$4&lt;0.002,100,MAX($CM$2/(Flows!AI5*AI$3*AI$4),1))</f>
        <v>2097.41381928396</v>
      </c>
      <c r="AJ8" s="10" t="n">
        <f aca="false">IF(Flows!AJ5*AJ$3*AJ$4&lt;0.002,100,MAX($CM$2/(Flows!AJ5*AJ$3*AJ$4),1))</f>
        <v>850.237493786216</v>
      </c>
      <c r="AK8" s="10" t="n">
        <f aca="false">IF(Flows!AK5*AK$3*AK$4&lt;0.002,100,MAX($CM$2/(Flows!AK5*AK$3*AK$4),1))</f>
        <v>363.486415882267</v>
      </c>
      <c r="AL8" s="10" t="n">
        <f aca="false">IF(Flows!AL5*AL$3*AL$4&lt;0.002,100,MAX($CM$2/(Flows!AL5*AL$3*AL$4),1))</f>
        <v>793.201702901027</v>
      </c>
      <c r="AM8" s="10" t="n">
        <f aca="false">IF(Flows!AM5*AM$3*AM$4&lt;0.002,100,MAX($CM$2/(Flows!AM5*AM$3*AM$4),1))</f>
        <v>1350.20228540001</v>
      </c>
      <c r="AN8" s="10" t="n">
        <f aca="false">IF(Flows!AN5*AN$3*AN$4&lt;0.002,100,MAX($CM$2/(Flows!AN5*AN$3*AN$4),1))</f>
        <v>1420.51913577598</v>
      </c>
      <c r="AO8" s="10" t="n">
        <f aca="false">IF(Flows!AO5*AO$3*AO$4&lt;0.002,100,MAX($CM$2/(Flows!AO5*AO$3*AO$4),1))</f>
        <v>19178.7947270667</v>
      </c>
      <c r="AP8" s="10" t="n">
        <f aca="false">IF(Flows!AP5*AP$3*AP$4&lt;0.002,100,MAX($CM$2/(Flows!AP5*AP$3*AP$4),1))</f>
        <v>30142.4395230021</v>
      </c>
      <c r="AQ8" s="10" t="n">
        <f aca="false">IF(Flows!AQ5*AQ$3*AQ$4&lt;0.002,100,MAX($CM$2/(Flows!AQ5*AQ$3*AQ$4),1))</f>
        <v>11911.2045192432</v>
      </c>
      <c r="AR8" s="10" t="n">
        <f aca="false">IF(Flows!AR5*AR$3*AR$4&lt;0.002,100,MAX($CM$2/(Flows!AR5*AR$3*AR$4),1))</f>
        <v>19031.6372260862</v>
      </c>
      <c r="AS8" s="10" t="n">
        <f aca="false">IF(Flows!AS5*AS$3*AS$4&lt;0.002,100,MAX($CM$2/(Flows!AS5*AS$3*AS$4),1))</f>
        <v>1384.00290234253</v>
      </c>
      <c r="AT8" s="10" t="n">
        <f aca="false">IF(Flows!AT5*AT$3*AT$4&lt;0.002,100,MAX($CM$2/(Flows!AT5*AT$3*AT$4),1))</f>
        <v>625.047574185871</v>
      </c>
      <c r="AU8" s="10" t="n">
        <f aca="false">IF(Flows!AU5*AU$3*AU$4&lt;0.002,100,MAX($CM$2/(Flows!AU5*AU$3*AU$4),1))</f>
        <v>789.37855412469</v>
      </c>
      <c r="AV8" s="10" t="n">
        <f aca="false">IF(Flows!AV5*AV$3*AV$4&lt;0.002,100,MAX($CM$2/(Flows!AV5*AV$3*AV$4),1))</f>
        <v>7740.29058854303</v>
      </c>
      <c r="AW8" s="10" t="n">
        <f aca="false">IF(Flows!AW5*AW$3*AW$4&lt;0.002,100,MAX($CM$2/(Flows!AW5*AW$3*AW$4),1))</f>
        <v>12.2669563021382</v>
      </c>
      <c r="AX8" s="10" t="n">
        <f aca="false">IF(Flows!AX5*AX$3*AX$4&lt;0.002,100,MAX($CM$2/(Flows!AX5*AX$3*AX$4),1))</f>
        <v>2118.08372687932</v>
      </c>
      <c r="AY8" s="10" t="n">
        <f aca="false">IF(Flows!AY5*AY$3*AY$4&lt;0.002,100,MAX($CM$2/(Flows!AY5*AY$3*AY$4),1))</f>
        <v>397.698586953882</v>
      </c>
      <c r="AZ8" s="10" t="n">
        <f aca="false">IF(Flows!AZ5*AZ$3*AZ$4&lt;0.002,100,MAX($CM$2/(Flows!AZ5*AZ$3*AZ$4),1))</f>
        <v>109.281839006049</v>
      </c>
      <c r="BA8" s="10" t="n">
        <f aca="false">IF(Flows!BA5*BA$3*BA$4&lt;0.002,100,MAX($CM$2/(Flows!BA5*BA$3*BA$4),1))</f>
        <v>4969.02974063988</v>
      </c>
      <c r="BB8" s="10" t="n">
        <f aca="false">IF(Flows!BB5*BB$3*BB$4&lt;0.002,100,MAX($CM$2/(Flows!BB5*BB$3*BB$4),1))</f>
        <v>2530.86663712857</v>
      </c>
      <c r="BC8" s="10" t="n">
        <f aca="false">IF(Flows!BC5*BC$3*BC$4&lt;0.002,100,MAX($CM$2/(Flows!BC5*BC$3*BC$4),1))</f>
        <v>1235.56389337228</v>
      </c>
      <c r="BD8" s="10" t="n">
        <f aca="false">IF(Flows!BD5*BD$3*BD$4&lt;0.002,100,MAX($CM$2/(Flows!BD5*BD$3*BD$4),1))</f>
        <v>4708.60882959142</v>
      </c>
      <c r="BE8" s="10" t="n">
        <f aca="false">IF(Flows!BE5*BE$3*BE$4&lt;0.002,100,MAX($CM$2/(Flows!BE5*BE$3*BE$4),1))</f>
        <v>10307.1718901893</v>
      </c>
      <c r="BF8" s="10" t="n">
        <f aca="false">IF(Flows!BF5*BF$3*BF$4&lt;0.002,100,MAX($CM$2/(Flows!BF5*BF$3*BF$4),1))</f>
        <v>813.224700628298</v>
      </c>
      <c r="BG8" s="10" t="n">
        <f aca="false">IF(Flows!BG5*BG$3*BG$4&lt;0.002,100,MAX($CM$2/(Flows!BG5*BG$3*BG$4),1))</f>
        <v>256.2517069881</v>
      </c>
      <c r="BH8" s="10" t="n">
        <f aca="false">IF(Flows!BH5*BH$3*BH$4&lt;0.002,100,MAX($CM$2/(Flows!BH5*BH$3*BH$4),1))</f>
        <v>154.922288760524</v>
      </c>
      <c r="BI8" s="10" t="n">
        <f aca="false">IF(Flows!BI5*BI$3*BI$4&lt;0.002,100,MAX($CM$2/(Flows!BI5*BI$3*BI$4),1))</f>
        <v>137.227220677881</v>
      </c>
      <c r="BJ8" s="10" t="n">
        <f aca="false">IF(Flows!BJ5*BJ$3*BJ$4&lt;0.002,100,MAX($CM$2/(Flows!BJ5*BJ$3*BJ$4),1))</f>
        <v>2.72526004888005</v>
      </c>
      <c r="BK8" s="10" t="n">
        <f aca="false">IF(Flows!BK5*BK$3*BK$4&lt;0.002,100,MAX($CM$2/(Flows!BK5*BK$3*BK$4),1))</f>
        <v>274.454441355762</v>
      </c>
      <c r="BL8" s="10" t="n">
        <f aca="false">IF(Flows!BL5*BL$3*BL$4&lt;0.002,100,MAX($CM$2/(Flows!BL5*BL$3*BL$4),1))</f>
        <v>217.090620875332</v>
      </c>
      <c r="BM8" s="10" t="n">
        <f aca="false">IF(Flows!BM5*BM$3*BM$4&lt;0.002,100,MAX($CM$2/(Flows!BM5*BM$3*BM$4),1))</f>
        <v>22.6228680113933</v>
      </c>
      <c r="BN8" s="10" t="n">
        <f aca="false">IF(Flows!BN5*BN$3*BN$4&lt;0.002,100,MAX($CM$2/(Flows!BN5*BN$3*BN$4),1))</f>
        <v>333765.464799727</v>
      </c>
      <c r="BO8" s="10" t="n">
        <f aca="false">IF(Flows!BO5*BO$3*BO$4&lt;0.002,100,MAX($CM$2/(Flows!BO5*BO$3*BO$4),1))</f>
        <v>55627577.4666212</v>
      </c>
      <c r="BP8" s="10" t="n">
        <f aca="false">IF(Flows!BP5*BP$3*BP$4&lt;0.002,100,MAX($CM$2/(Flows!BP5*BP$3*BP$4),1))</f>
        <v>15508677211.6608</v>
      </c>
      <c r="BQ8" s="10" t="n">
        <f aca="false">IF(Flows!BQ5*BQ$3*BQ$4&lt;0.002,100,MAX($CM$2/(Flows!BQ5*BQ$3*BQ$4),1))</f>
        <v>513485.330461119</v>
      </c>
      <c r="BR8" s="10" t="n">
        <f aca="false">IF(Flows!BR5*BR$3*BR$4&lt;0.002,100,MAX($CM$2/(Flows!BR5*BR$3*BR$4),1))</f>
        <v>556275774.666213</v>
      </c>
      <c r="BS8" s="10" t="n">
        <f aca="false">IF(Flows!BS5*BS$3*BS$4&lt;0.002,100,MAX($CM$2/(Flows!BS5*BS$3*BS$4),1))</f>
        <v>2781381263.29574</v>
      </c>
      <c r="BT8" s="10" t="n">
        <f aca="false">IF(Flows!BT5*BT$3*BT$4&lt;0.002,100,MAX($CM$2/(Flows!BT5*BT$3*BT$4),1))</f>
        <v>2.36960095048208</v>
      </c>
      <c r="BU8" s="10" t="n">
        <f aca="false">IF(Flows!BU5*BU$3*BU$4&lt;0.002,100,MAX($CM$2/(Flows!BU5*BU$3*BU$4),1))</f>
        <v>23.6960095048208</v>
      </c>
      <c r="BV8" s="10" t="n">
        <f aca="false">IF(Flows!BV5*BV$3*BV$4&lt;0.002,100,MAX($CM$2/(Flows!BV5*BV$3*BV$4),1))</f>
        <v>236.960095048208</v>
      </c>
      <c r="BW8" s="10" t="n">
        <f aca="false">IF(Flows!BW5*BW$3*BW$4&lt;0.002,100,MAX($CM$2/(Flows!BW5*BW$3*BW$4),1))</f>
        <v>20.8208966858025</v>
      </c>
      <c r="BX8" s="10" t="n">
        <f aca="false">IF(Flows!BX5*BX$3*BX$4&lt;0.002,100,MAX($CM$2/(Flows!BX5*BX$3*BX$4),1))</f>
        <v>11.6271350789491</v>
      </c>
      <c r="BY8" s="10" t="n">
        <f aca="false">IF(Flows!BY5*BY$3*BY$4&lt;0.002,100,MAX($CM$2/(Flows!BY5*BY$3*BY$4),1))</f>
        <v>15.2980753988287</v>
      </c>
      <c r="BZ8" s="10" t="n">
        <f aca="false">IF(Flows!BZ5*BZ$3*BZ$4&lt;0.002,100,MAX($CM$2/(Flows!BZ5*BZ$3*BZ$4),1))</f>
        <v>232429.377516786</v>
      </c>
      <c r="CA8" s="10" t="n">
        <f aca="false">IF(Flows!CA5*CA$3*CA$4&lt;0.002,100,MAX($CM$2/(Flows!CA5*CA$3*CA$4),1))</f>
        <v>24329.2123870329</v>
      </c>
      <c r="CB8" s="10" t="n">
        <f aca="false">IF(Flows!CB5*CB$3*CB$4&lt;0.002,100,MAX($CM$2/(Flows!CB5*CB$3*CB$4),1))</f>
        <v>137.915003698076</v>
      </c>
      <c r="CC8" s="10" t="n">
        <f aca="false">IF(Flows!CC5*CC$3*CC$4&lt;0.002,100,MAX($CM$2/(Flows!CC5*CC$3*CC$4),1))</f>
        <v>48.233608061884</v>
      </c>
      <c r="CD8" s="10" t="n">
        <f aca="false">IF(Flows!CD5*CD$3*CD$4&lt;0.002,100,MAX($CM$2/(Flows!CD5*CD$3*CD$4),1))</f>
        <v>72.5479987848652</v>
      </c>
      <c r="CE8" s="10" t="n">
        <f aca="false">IF(Flows!CE5*CE$3*CE$4&lt;0.002,100,MAX($CM$2/(Flows!CE5*CE$3*CE$4),1))</f>
        <v>12.6401307082072</v>
      </c>
      <c r="CF8" s="10" t="n">
        <f aca="false">IF(Flows!CF5*CF$3*CF$4&lt;0.002,100,MAX($CM$2/(Flows!CF5*CF$3*CF$4),1))</f>
        <v>1</v>
      </c>
      <c r="CG8" s="10" t="n">
        <f aca="false">IF(Flows!CG5*CG$3*CG$4&lt;0.002,100,MAX($CM$2/(Flows!CG5*CG$3*CG$4),1))</f>
        <v>701580.821438997</v>
      </c>
      <c r="CH8" s="10" t="n">
        <f aca="false">IF(Flows!CH5*CH$3*CH$4&lt;0.002,100,MAX($CM$2/(Flows!CH5*CH$3*CH$4),1))</f>
        <v>4668752.34105603</v>
      </c>
      <c r="CI8" s="10" t="n">
        <f aca="false">IF(Flows!CI5*CI$3*CI$4&lt;0.002,100,MAX($CM$2/(Flows!CI5*CI$3*CI$4),1))</f>
        <v>186.401839972417</v>
      </c>
      <c r="CJ8" s="10" t="n">
        <f aca="false">IF(Flows!CJ5*CJ$3*CJ$4&lt;0.002,100,MAX($CM$2/(Flows!CJ5*CJ$3*CJ$4),1))</f>
        <v>9575.06787899528</v>
      </c>
      <c r="CK8" s="10" t="n">
        <f aca="false">IF(Flows!CK5*CK$3*CK$4&lt;0.002,100,MAX($CM$2/(Flows!CK5*CK$3*CK$4),1))</f>
        <v>610.077856323172</v>
      </c>
      <c r="CL8" s="7" t="s">
        <v>39</v>
      </c>
    </row>
    <row r="9" customFormat="false" ht="12.8" hidden="false" customHeight="false" outlineLevel="0" collapsed="false">
      <c r="A9" s="7" t="s">
        <v>137</v>
      </c>
      <c r="B9" s="7" t="s">
        <v>39</v>
      </c>
      <c r="C9" s="10" t="n">
        <f aca="false">IF(Flows!C6*C$3*C$4&lt;0.002,100,MAX($CM$2/(Flows!C6*C$3*C$4),1))</f>
        <v>1976.43651517128</v>
      </c>
      <c r="D9" s="10" t="n">
        <f aca="false">IF(Flows!D6*D$3*D$4&lt;0.002,100,MAX($CM$2/(Flows!D6*D$3*D$4),1))</f>
        <v>1</v>
      </c>
      <c r="E9" s="10" t="n">
        <f aca="false">IF(Flows!E6*E$3*E$4&lt;0.002,100,MAX($CM$2/(Flows!E6*E$3*E$4),1))</f>
        <v>1</v>
      </c>
      <c r="F9" s="10" t="n">
        <f aca="false">IF(Flows!F6*F$3*F$4&lt;0.002,100,MAX($CM$2/(Flows!F6*F$3*F$4),1))</f>
        <v>2.76063062464611</v>
      </c>
      <c r="G9" s="10" t="n">
        <f aca="false">IF(Flows!G6*G$3*G$4&lt;0.002,100,MAX($CM$2/(Flows!G6*G$3*G$4),1))</f>
        <v>1</v>
      </c>
      <c r="H9" s="10" t="n">
        <f aca="false">IF(Flows!H6*H$3*H$4&lt;0.002,100,MAX($CM$2/(Flows!H6*H$3*H$4),1))</f>
        <v>259.884651470814</v>
      </c>
      <c r="I9" s="10" t="n">
        <f aca="false">IF(Flows!I6*I$3*I$4&lt;0.002,100,MAX($CM$2/(Flows!I6*I$3*I$4),1))</f>
        <v>616.197358110074</v>
      </c>
      <c r="J9" s="10" t="n">
        <f aca="false">IF(Flows!J6*J$3*J$4&lt;0.002,100,MAX($CM$2/(Flows!J6*J$3*J$4),1))</f>
        <v>924.308108288844</v>
      </c>
      <c r="K9" s="10" t="n">
        <f aca="false">IF(Flows!K6*K$3*K$4&lt;0.002,100,MAX($CM$2/(Flows!K6*K$3*K$4),1))</f>
        <v>4959.17799569222</v>
      </c>
      <c r="L9" s="10" t="n">
        <f aca="false">IF(Flows!L6*L$3*L$4&lt;0.002,100,MAX($CM$2/(Flows!L6*L$3*L$4),1))</f>
        <v>28822.4323034187</v>
      </c>
      <c r="M9" s="10" t="n">
        <f aca="false">IF(Flows!M6*M$3*M$4&lt;0.002,100,MAX($CM$2/(Flows!M6*M$3*M$4),1))</f>
        <v>21298.8524236177</v>
      </c>
      <c r="N9" s="10" t="n">
        <f aca="false">IF(Flows!N6*N$3*N$4&lt;0.002,100,MAX($CM$2/(Flows!N6*N$3*N$4),1))</f>
        <v>1</v>
      </c>
      <c r="O9" s="10" t="n">
        <f aca="false">IF(Flows!O6*O$3*O$4&lt;0.002,100,MAX($CM$2/(Flows!O6*O$3*O$4),1))</f>
        <v>1.51796255474074</v>
      </c>
      <c r="P9" s="10" t="n">
        <f aca="false">IF(Flows!P6*P$3*P$4&lt;0.002,100,MAX($CM$2/(Flows!P6*P$3*P$4),1))</f>
        <v>1</v>
      </c>
      <c r="Q9" s="10" t="n">
        <f aca="false">IF(Flows!Q6*Q$3*Q$4&lt;0.002,100,MAX($CM$2/(Flows!Q6*Q$3*Q$4),1))</f>
        <v>82.0397266732467</v>
      </c>
      <c r="R9" s="10" t="n">
        <f aca="false">IF(Flows!R6*R$3*R$4&lt;0.002,100,MAX($CM$2/(Flows!R6*R$3*R$4),1))</f>
        <v>13.5867890292938</v>
      </c>
      <c r="S9" s="10" t="n">
        <f aca="false">IF(Flows!S6*S$3*S$4&lt;0.002,100,MAX($CM$2/(Flows!S6*S$3*S$4),1))</f>
        <v>247.049419743588</v>
      </c>
      <c r="T9" s="10" t="n">
        <f aca="false">IF(Flows!T6*T$3*T$4&lt;0.002,100,MAX($CM$2/(Flows!T6*T$3*T$4),1))</f>
        <v>442.024697090243</v>
      </c>
      <c r="U9" s="10" t="n">
        <f aca="false">IF(Flows!U6*U$3*U$4&lt;0.002,100,MAX($CM$2/(Flows!U6*U$3*U$4),1))</f>
        <v>1419.92349490785</v>
      </c>
      <c r="V9" s="10" t="n">
        <f aca="false">IF(Flows!V6*V$3*V$4&lt;0.002,100,MAX($CM$2/(Flows!V6*V$3*V$4),1))</f>
        <v>110.482550428296</v>
      </c>
      <c r="W9" s="10" t="n">
        <f aca="false">IF(Flows!W6*W$3*W$4&lt;0.002,100,MAX($CM$2/(Flows!W6*W$3*W$4),1))</f>
        <v>2.38182302534687</v>
      </c>
      <c r="X9" s="10" t="n">
        <f aca="false">IF(Flows!X6*X$3*X$4&lt;0.002,100,MAX($CM$2/(Flows!X6*X$3*X$4),1))</f>
        <v>1.65045249394499</v>
      </c>
      <c r="Y9" s="10" t="n">
        <f aca="false">IF(Flows!Y6*Y$3*Y$4&lt;0.002,100,MAX($CM$2/(Flows!Y6*Y$3*Y$4),1))</f>
        <v>144.112161517094</v>
      </c>
      <c r="Z9" s="10" t="n">
        <f aca="false">IF(Flows!Z6*Z$3*Z$4&lt;0.002,100,MAX($CM$2/(Flows!Z6*Z$3*Z$4),1))</f>
        <v>20639.9531654626</v>
      </c>
      <c r="AA9" s="10" t="n">
        <f aca="false">IF(Flows!AA6*AA$3*AA$4&lt;0.002,100,MAX($CM$2/(Flows!AA6*AA$3*AA$4),1))</f>
        <v>3365.42988942183</v>
      </c>
      <c r="AB9" s="10" t="n">
        <f aca="false">IF(Flows!AB6*AB$3*AB$4&lt;0.002,100,MAX($CM$2/(Flows!AB6*AB$3*AB$4),1))</f>
        <v>3305.49090379928</v>
      </c>
      <c r="AC9" s="10" t="n">
        <f aca="false">IF(Flows!AC6*AC$3*AC$4&lt;0.002,100,MAX($CM$2/(Flows!AC6*AC$3*AC$4),1))</f>
        <v>13648.007861218</v>
      </c>
      <c r="AD9" s="10" t="n">
        <f aca="false">IF(Flows!AD6*AD$3*AD$4&lt;0.002,100,MAX($CM$2/(Flows!AD6*AD$3*AD$4),1))</f>
        <v>20822.0249878261</v>
      </c>
      <c r="AE9" s="10" t="n">
        <f aca="false">IF(Flows!AE6*AE$3*AE$4&lt;0.002,100,MAX($CM$2/(Flows!AE6*AE$3*AE$4),1))</f>
        <v>71931.160414748</v>
      </c>
      <c r="AF9" s="10" t="n">
        <f aca="false">IF(Flows!AF6*AF$3*AF$4&lt;0.002,100,MAX($CM$2/(Flows!AF6*AF$3*AF$4),1))</f>
        <v>300.560983611662</v>
      </c>
      <c r="AG9" s="10" t="n">
        <f aca="false">IF(Flows!AG6*AG$3*AG$4&lt;0.002,100,MAX($CM$2/(Flows!AG6*AG$3*AG$4),1))</f>
        <v>281.495373710839</v>
      </c>
      <c r="AH9" s="10" t="n">
        <f aca="false">IF(Flows!AH6*AH$3*AH$4&lt;0.002,100,MAX($CM$2/(Flows!AH6*AH$3*AH$4),1))</f>
        <v>144.564344297447</v>
      </c>
      <c r="AI9" s="10" t="n">
        <f aca="false">IF(Flows!AI6*AI$3*AI$4&lt;0.002,100,MAX($CM$2/(Flows!AI6*AI$3*AI$4),1))</f>
        <v>911.99507155014</v>
      </c>
      <c r="AJ9" s="10" t="n">
        <f aca="false">IF(Flows!AJ6*AJ$3*AJ$4&lt;0.002,100,MAX($CM$2/(Flows!AJ6*AJ$3*AJ$4),1))</f>
        <v>370.851706242424</v>
      </c>
      <c r="AK9" s="10" t="n">
        <f aca="false">IF(Flows!AK6*AK$3*AK$4&lt;0.002,100,MAX($CM$2/(Flows!AK6*AK$3*AK$4),1))</f>
        <v>149.44188381065</v>
      </c>
      <c r="AL9" s="10" t="n">
        <f aca="false">IF(Flows!AL6*AL$3*AL$4&lt;0.002,100,MAX($CM$2/(Flows!AL6*AL$3*AL$4),1))</f>
        <v>317.21049328908</v>
      </c>
      <c r="AM9" s="10" t="n">
        <f aca="false">IF(Flows!AM6*AM$3*AM$4&lt;0.002,100,MAX($CM$2/(Flows!AM6*AM$3*AM$4),1))</f>
        <v>621.205320019033</v>
      </c>
      <c r="AN9" s="10" t="n">
        <f aca="false">IF(Flows!AN6*AN$3*AN$4&lt;0.002,100,MAX($CM$2/(Flows!AN6*AN$3*AN$4),1))</f>
        <v>596.549033902401</v>
      </c>
      <c r="AO9" s="10" t="n">
        <f aca="false">IF(Flows!AO6*AO$3*AO$4&lt;0.002,100,MAX($CM$2/(Flows!AO6*AO$3*AO$4),1))</f>
        <v>6975.33581162688</v>
      </c>
      <c r="AP9" s="10" t="n">
        <f aca="false">IF(Flows!AP6*AP$3*AP$4&lt;0.002,100,MAX($CM$2/(Flows!AP6*AP$3*AP$4),1))</f>
        <v>13550.1351813798</v>
      </c>
      <c r="AQ9" s="10" t="n">
        <f aca="false">IF(Flows!AQ6*AQ$3*AQ$4&lt;0.002,100,MAX($CM$2/(Flows!AQ6*AQ$3*AQ$4),1))</f>
        <v>4697.58527701856</v>
      </c>
      <c r="AR9" s="10" t="n">
        <f aca="false">IF(Flows!AR6*AR$3*AR$4&lt;0.002,100,MAX($CM$2/(Flows!AR6*AR$3*AR$4),1))</f>
        <v>7344.36166252377</v>
      </c>
      <c r="AS9" s="10" t="n">
        <f aca="false">IF(Flows!AS6*AS$3*AS$4&lt;0.002,100,MAX($CM$2/(Flows!AS6*AS$3*AS$4),1))</f>
        <v>644.707461734525</v>
      </c>
      <c r="AT9" s="10" t="n">
        <f aca="false">IF(Flows!AT6*AT$3*AT$4&lt;0.002,100,MAX($CM$2/(Flows!AT6*AT$3*AT$4),1))</f>
        <v>256.761892328234</v>
      </c>
      <c r="AU9" s="10" t="n">
        <f aca="false">IF(Flows!AU6*AU$3*AU$4&lt;0.002,100,MAX($CM$2/(Flows!AU6*AU$3*AU$4),1))</f>
        <v>368.444323300897</v>
      </c>
      <c r="AV9" s="10" t="n">
        <f aca="false">IF(Flows!AV6*AV$3*AV$4&lt;0.002,100,MAX($CM$2/(Flows!AV6*AV$3*AV$4),1))</f>
        <v>3557.00901251517</v>
      </c>
      <c r="AW9" s="10" t="n">
        <f aca="false">IF(Flows!AW6*AW$3*AW$4&lt;0.002,100,MAX($CM$2/(Flows!AW6*AW$3*AW$4),1))</f>
        <v>4.30814774237943</v>
      </c>
      <c r="AX9" s="10" t="n">
        <f aca="false">IF(Flows!AX6*AX$3*AX$4&lt;0.002,100,MAX($CM$2/(Flows!AX6*AX$3*AX$4),1))</f>
        <v>781.741198866041</v>
      </c>
      <c r="AY9" s="10" t="n">
        <f aca="false">IF(Flows!AY6*AY$3*AY$4&lt;0.002,100,MAX($CM$2/(Flows!AY6*AY$3*AY$4),1))</f>
        <v>173.45251308384</v>
      </c>
      <c r="AZ9" s="10" t="n">
        <f aca="false">IF(Flows!AZ6*AZ$3*AZ$4&lt;0.002,100,MAX($CM$2/(Flows!AZ6*AZ$3*AZ$4),1))</f>
        <v>48.9880189891705</v>
      </c>
      <c r="BA9" s="10" t="n">
        <f aca="false">IF(Flows!BA6*BA$3*BA$4&lt;0.002,100,MAX($CM$2/(Flows!BA6*BA$3*BA$4),1))</f>
        <v>1469.94404747435</v>
      </c>
      <c r="BB9" s="10" t="n">
        <f aca="false">IF(Flows!BB6*BB$3*BB$4&lt;0.002,100,MAX($CM$2/(Flows!BB6*BB$3*BB$4),1))</f>
        <v>1116.99472980591</v>
      </c>
      <c r="BC9" s="10" t="n">
        <f aca="false">IF(Flows!BC6*BC$3*BC$4&lt;0.002,100,MAX($CM$2/(Flows!BC6*BC$3*BC$4),1))</f>
        <v>525.571581349326</v>
      </c>
      <c r="BD9" s="10" t="n">
        <f aca="false">IF(Flows!BD6*BD$3*BD$4&lt;0.002,100,MAX($CM$2/(Flows!BD6*BD$3*BD$4),1))</f>
        <v>2007.60346699333</v>
      </c>
      <c r="BE9" s="10" t="n">
        <f aca="false">IF(Flows!BE6*BE$3*BE$4&lt;0.002,100,MAX($CM$2/(Flows!BE6*BE$3*BE$4),1))</f>
        <v>4317.67250240209</v>
      </c>
      <c r="BF9" s="10" t="n">
        <f aca="false">IF(Flows!BF6*BF$3*BF$4&lt;0.002,100,MAX($CM$2/(Flows!BF6*BF$3*BF$4),1))</f>
        <v>298.023662825597</v>
      </c>
      <c r="BG9" s="10" t="n">
        <f aca="false">IF(Flows!BG6*BG$3*BG$4&lt;0.002,100,MAX($CM$2/(Flows!BG6*BG$3*BG$4),1))</f>
        <v>94.0464629981105</v>
      </c>
      <c r="BH9" s="10" t="n">
        <f aca="false">IF(Flows!BH6*BH$3*BH$4&lt;0.002,100,MAX($CM$2/(Flows!BH6*BH$3*BH$4),1))</f>
        <v>513.675325823801</v>
      </c>
      <c r="BI9" s="10" t="n">
        <f aca="false">IF(Flows!BI6*BI$3*BI$4&lt;0.002,100,MAX($CM$2/(Flows!BI6*BI$3*BI$4),1))</f>
        <v>15.0353447849644</v>
      </c>
      <c r="BJ9" s="10" t="n">
        <f aca="false">IF(Flows!BJ6*BJ$3*BJ$4&lt;0.002,100,MAX($CM$2/(Flows!BJ6*BJ$3*BJ$4),1))</f>
        <v>1.26193859029482</v>
      </c>
      <c r="BK9" s="10" t="n">
        <f aca="false">IF(Flows!BK6*BK$3*BK$4&lt;0.002,100,MAX($CM$2/(Flows!BK6*BK$3*BK$4),1))</f>
        <v>30.0706895699288</v>
      </c>
      <c r="BL9" s="10" t="n">
        <f aca="false">IF(Flows!BL6*BL$3*BL$4&lt;0.002,100,MAX($CM$2/(Flows!BL6*BL$3*BL$4),1))</f>
        <v>775.371755964388</v>
      </c>
      <c r="BM9" s="10" t="n">
        <f aca="false">IF(Flows!BM6*BM$3*BM$4&lt;0.002,100,MAX($CM$2/(Flows!BM6*BM$3*BM$4),1))</f>
        <v>24.2024281869066</v>
      </c>
      <c r="BN9" s="10" t="n">
        <f aca="false">IF(Flows!BN6*BN$3*BN$4&lt;0.002,100,MAX($CM$2/(Flows!BN6*BN$3*BN$4),1))</f>
        <v>130565.604097656</v>
      </c>
      <c r="BO9" s="10" t="n">
        <f aca="false">IF(Flows!BO6*BO$3*BO$4&lt;0.002,100,MAX($CM$2/(Flows!BO6*BO$3*BO$4),1))</f>
        <v>21760934.016276</v>
      </c>
      <c r="BP9" s="10" t="n">
        <f aca="false">IF(Flows!BP6*BP$3*BP$4&lt;0.002,100,MAX($CM$2/(Flows!BP6*BP$3*BP$4),1))</f>
        <v>10234511371.6796</v>
      </c>
      <c r="BQ9" s="10" t="n">
        <f aca="false">IF(Flows!BQ6*BQ$3*BQ$4&lt;0.002,100,MAX($CM$2/(Flows!BQ6*BQ$3*BQ$4),1))</f>
        <v>200870.16015024</v>
      </c>
      <c r="BR9" s="10" t="n">
        <f aca="false">IF(Flows!BR6*BR$3*BR$4&lt;0.002,100,MAX($CM$2/(Flows!BR6*BR$3*BR$4),1))</f>
        <v>217609340.16276</v>
      </c>
      <c r="BS9" s="10" t="n">
        <f aca="false">IF(Flows!BS6*BS$3*BS$4&lt;0.002,100,MAX($CM$2/(Flows!BS6*BS$3*BS$4),1))</f>
        <v>1088047335.00748</v>
      </c>
      <c r="BT9" s="10" t="n">
        <f aca="false">IF(Flows!BT6*BT$3*BT$4&lt;0.002,100,MAX($CM$2/(Flows!BT6*BT$3*BT$4),1))</f>
        <v>1</v>
      </c>
      <c r="BU9" s="10" t="n">
        <f aca="false">IF(Flows!BU6*BU$3*BU$4&lt;0.002,100,MAX($CM$2/(Flows!BU6*BU$3*BU$4),1))</f>
        <v>5.93302440353872</v>
      </c>
      <c r="BV9" s="10" t="n">
        <f aca="false">IF(Flows!BV6*BV$3*BV$4&lt;0.002,100,MAX($CM$2/(Flows!BV6*BV$3*BV$4),1))</f>
        <v>59.3302440353872</v>
      </c>
      <c r="BW9" s="10" t="n">
        <f aca="false">IF(Flows!BW6*BW$3*BW$4&lt;0.002,100,MAX($CM$2/(Flows!BW6*BW$3*BW$4),1))</f>
        <v>8.65626456854895</v>
      </c>
      <c r="BX9" s="10" t="n">
        <f aca="false">IF(Flows!BX6*BX$3*BX$4&lt;0.002,100,MAX($CM$2/(Flows!BX6*BX$3*BX$4),1))</f>
        <v>8.75704000264095</v>
      </c>
      <c r="BY9" s="10" t="n">
        <f aca="false">IF(Flows!BY6*BY$3*BY$4&lt;0.002,100,MAX($CM$2/(Flows!BY6*BY$3*BY$4),1))</f>
        <v>69.5444826491856</v>
      </c>
      <c r="BZ9" s="10" t="n">
        <f aca="false">IF(Flows!BZ6*BZ$3*BZ$4&lt;0.002,100,MAX($CM$2/(Flows!BZ6*BZ$3*BZ$4),1))</f>
        <v>50847.239021996</v>
      </c>
      <c r="CA9" s="10" t="n">
        <f aca="false">IF(Flows!CA6*CA$3*CA$4&lt;0.002,100,MAX($CM$2/(Flows!CA6*CA$3*CA$4),1))</f>
        <v>43861.0306532889</v>
      </c>
      <c r="CB9" s="10" t="n">
        <f aca="false">IF(Flows!CB6*CB$3*CB$4&lt;0.002,100,MAX($CM$2/(Flows!CB6*CB$3*CB$4),1))</f>
        <v>17.4840717070296</v>
      </c>
      <c r="CC9" s="10" t="n">
        <f aca="false">IF(Flows!CC6*CC$3*CC$4&lt;0.002,100,MAX($CM$2/(Flows!CC6*CC$3*CC$4),1))</f>
        <v>16.6709396204542</v>
      </c>
      <c r="CD9" s="10" t="n">
        <f aca="false">IF(Flows!CD6*CD$3*CD$4&lt;0.002,100,MAX($CM$2/(Flows!CD6*CD$3*CD$4),1))</f>
        <v>22.5402279730762</v>
      </c>
      <c r="CE9" s="10" t="n">
        <f aca="false">IF(Flows!CE6*CE$3*CE$4&lt;0.002,100,MAX($CM$2/(Flows!CE6*CE$3*CE$4),1))</f>
        <v>1.80281163238469</v>
      </c>
      <c r="CF9" s="10" t="n">
        <f aca="false">IF(Flows!CF6*CF$3*CF$4&lt;0.002,100,MAX($CM$2/(Flows!CF6*CF$3*CF$4),1))</f>
        <v>1</v>
      </c>
      <c r="CG9" s="10" t="n">
        <f aca="false">IF(Flows!CG6*CG$3*CG$4&lt;0.002,100,MAX($CM$2/(Flows!CG6*CG$3*CG$4),1))</f>
        <v>68047783.2436784</v>
      </c>
      <c r="CH9" s="10" t="n">
        <f aca="false">IF(Flows!CH6*CH$3*CH$4&lt;0.002,100,MAX($CM$2/(Flows!CH6*CH$3*CH$4),1))</f>
        <v>41190402.1829817</v>
      </c>
      <c r="CI9" s="10" t="n">
        <f aca="false">IF(Flows!CI6*CI$3*CI$4&lt;0.002,100,MAX($CM$2/(Flows!CI6*CI$3*CI$4),1))</f>
        <v>86.1930696146657</v>
      </c>
      <c r="CJ9" s="10" t="n">
        <f aca="false">IF(Flows!CJ6*CJ$3*CJ$4&lt;0.002,100,MAX($CM$2/(Flows!CJ6*CJ$3*CJ$4),1))</f>
        <v>637.917843122384</v>
      </c>
      <c r="CK9" s="10" t="n">
        <f aca="false">IF(Flows!CK6*CK$3*CK$4&lt;0.002,100,MAX($CM$2/(Flows!CK6*CK$3*CK$4),1))</f>
        <v>247.662149298725</v>
      </c>
      <c r="CL9" s="7" t="s">
        <v>39</v>
      </c>
    </row>
    <row r="10" customFormat="false" ht="12.8" hidden="false" customHeight="false" outlineLevel="0" collapsed="false">
      <c r="A10" s="7" t="s">
        <v>139</v>
      </c>
      <c r="B10" s="7" t="s">
        <v>39</v>
      </c>
      <c r="C10" s="10" t="n">
        <f aca="false">IF(Flows!C7*C$3*C$4&lt;0.002,100,MAX($CM$2/(Flows!C7*C$3*C$4),1))</f>
        <v>170291.225483685</v>
      </c>
      <c r="D10" s="10" t="n">
        <f aca="false">IF(Flows!D7*D$3*D$4&lt;0.002,100,MAX($CM$2/(Flows!D7*D$3*D$4),1))</f>
        <v>37.6975961702112</v>
      </c>
      <c r="E10" s="10" t="n">
        <f aca="false">IF(Flows!E7*E$3*E$4&lt;0.002,100,MAX($CM$2/(Flows!E7*E$3*E$4),1))</f>
        <v>63.5338009458871</v>
      </c>
      <c r="F10" s="10" t="n">
        <f aca="false">IF(Flows!F7*F$3*F$4&lt;0.002,100,MAX($CM$2/(Flows!F7*F$3*F$4),1))</f>
        <v>123.496713488611</v>
      </c>
      <c r="G10" s="10" t="n">
        <f aca="false">IF(Flows!G7*G$3*G$4&lt;0.002,100,MAX($CM$2/(Flows!G7*G$3*G$4),1))</f>
        <v>209.005273110483</v>
      </c>
      <c r="H10" s="10" t="n">
        <f aca="false">IF(Flows!H7*H$3*H$4&lt;0.002,100,MAX($CM$2/(Flows!H7*H$3*H$4),1))</f>
        <v>100</v>
      </c>
      <c r="I10" s="10" t="n">
        <f aca="false">IF(Flows!I7*I$3*I$4&lt;0.002,100,MAX($CM$2/(Flows!I7*I$3*I$4),1))</f>
        <v>3056.42699699519</v>
      </c>
      <c r="J10" s="10" t="n">
        <f aca="false">IF(Flows!J7*J$3*J$4&lt;0.002,100,MAX($CM$2/(Flows!J7*J$3*J$4),1))</f>
        <v>3490.978787454</v>
      </c>
      <c r="K10" s="10" t="n">
        <f aca="false">IF(Flows!K7*K$3*K$4&lt;0.002,100,MAX($CM$2/(Flows!K7*K$3*K$4),1))</f>
        <v>34080.6537451422</v>
      </c>
      <c r="L10" s="10" t="n">
        <f aca="false">IF(Flows!L7*L$3*L$4&lt;0.002,100,MAX($CM$2/(Flows!L7*L$3*L$4),1))</f>
        <v>236903.095743038</v>
      </c>
      <c r="M10" s="10" t="n">
        <f aca="false">IF(Flows!M7*M$3*M$4&lt;0.002,100,MAX($CM$2/(Flows!M7*M$3*M$4),1))</f>
        <v>182757.07465286</v>
      </c>
      <c r="N10" s="10" t="n">
        <f aca="false">IF(Flows!N7*N$3*N$4&lt;0.002,100,MAX($CM$2/(Flows!N7*N$3*N$4),1))</f>
        <v>111.420729083371</v>
      </c>
      <c r="O10" s="10" t="n">
        <f aca="false">IF(Flows!O7*O$3*O$4&lt;0.002,100,MAX($CM$2/(Flows!O7*O$3*O$4),1))</f>
        <v>10.3371747297469</v>
      </c>
      <c r="P10" s="10" t="n">
        <f aca="false">IF(Flows!P7*P$3*P$4&lt;0.002,100,MAX($CM$2/(Flows!P7*P$3*P$4),1))</f>
        <v>6.2023048378481</v>
      </c>
      <c r="Q10" s="10" t="n">
        <f aca="false">IF(Flows!Q7*Q$3*Q$4&lt;0.002,100,MAX($CM$2/(Flows!Q7*Q$3*Q$4),1))</f>
        <v>2639.4880471165</v>
      </c>
      <c r="R10" s="10" t="n">
        <f aca="false">IF(Flows!R7*R$3*R$4&lt;0.002,100,MAX($CM$2/(Flows!R7*R$3*R$4),1))</f>
        <v>93.3716540962799</v>
      </c>
      <c r="S10" s="10" t="n">
        <f aca="false">IF(Flows!S7*S$3*S$4&lt;0.002,100,MAX($CM$2/(Flows!S7*S$3*S$4),1))</f>
        <v>2030.59796351175</v>
      </c>
      <c r="T10" s="10" t="n">
        <f aca="false">IF(Flows!T7*T$3*T$4&lt;0.002,100,MAX($CM$2/(Flows!T7*T$3*T$4),1))</f>
        <v>3633.1777288323</v>
      </c>
      <c r="U10" s="10" t="n">
        <f aca="false">IF(Flows!U7*U$3*U$4&lt;0.002,100,MAX($CM$2/(Flows!U7*U$3*U$4),1))</f>
        <v>12183.8049768574</v>
      </c>
      <c r="V10" s="10" t="n">
        <f aca="false">IF(Flows!V7*V$3*V$4&lt;0.002,100,MAX($CM$2/(Flows!V7*V$3*V$4),1))</f>
        <v>2044.56667260858</v>
      </c>
      <c r="W10" s="10" t="n">
        <f aca="false">IF(Flows!W7*W$3*W$4&lt;0.002,100,MAX($CM$2/(Flows!W7*W$3*W$4),1))</f>
        <v>52.0181212794138</v>
      </c>
      <c r="X10" s="10" t="n">
        <f aca="false">IF(Flows!X7*X$3*X$4&lt;0.002,100,MAX($CM$2/(Flows!X7*X$3*X$4),1))</f>
        <v>20.029558019326</v>
      </c>
      <c r="Y10" s="10" t="n">
        <f aca="false">IF(Flows!Y7*Y$3*Y$4&lt;0.002,100,MAX($CM$2/(Flows!Y7*Y$3*Y$4),1))</f>
        <v>1184.51547871519</v>
      </c>
      <c r="Z10" s="10" t="n">
        <f aca="false">IF(Flows!Z7*Z$3*Z$4&lt;0.002,100,MAX($CM$2/(Flows!Z7*Z$3*Z$4),1))</f>
        <v>1030082.3891482</v>
      </c>
      <c r="AA10" s="10" t="n">
        <f aca="false">IF(Flows!AA7*AA$3*AA$4&lt;0.002,100,MAX($CM$2/(Flows!AA7*AA$3*AA$4),1))</f>
        <v>87313.5337420798</v>
      </c>
      <c r="AB10" s="10" t="n">
        <f aca="false">IF(Flows!AB7*AB$3*AB$4&lt;0.002,100,MAX($CM$2/(Flows!AB7*AB$3*AB$4),1))</f>
        <v>74002.9412231271</v>
      </c>
      <c r="AC10" s="10" t="n">
        <f aca="false">IF(Flows!AC7*AC$3*AC$4&lt;0.002,100,MAX($CM$2/(Flows!AC7*AC$3*AC$4),1))</f>
        <v>253707.447050253</v>
      </c>
      <c r="AD10" s="10" t="n">
        <f aca="false">IF(Flows!AD7*AD$3*AD$4&lt;0.002,100,MAX($CM$2/(Flows!AD7*AD$3*AD$4),1))</f>
        <v>466161.044203603</v>
      </c>
      <c r="AE10" s="10" t="n">
        <f aca="false">IF(Flows!AE7*AE$3*AE$4&lt;0.002,100,MAX($CM$2/(Flows!AE7*AE$3*AE$4),1))</f>
        <v>1441388.46570039</v>
      </c>
      <c r="AF10" s="10" t="n">
        <f aca="false">IF(Flows!AF7*AF$3*AF$4&lt;0.002,100,MAX($CM$2/(Flows!AF7*AF$3*AF$4),1))</f>
        <v>4607.40638052264</v>
      </c>
      <c r="AG10" s="10" t="n">
        <f aca="false">IF(Flows!AG7*AG$3*AG$4&lt;0.002,100,MAX($CM$2/(Flows!AG7*AG$3*AG$4),1))</f>
        <v>5193.24764932206</v>
      </c>
      <c r="AH10" s="10" t="n">
        <f aca="false">IF(Flows!AH7*AH$3*AH$4&lt;0.002,100,MAX($CM$2/(Flows!AH7*AH$3*AH$4),1))</f>
        <v>2935.63610697832</v>
      </c>
      <c r="AI10" s="10" t="n">
        <f aca="false">IF(Flows!AI7*AI$3*AI$4&lt;0.002,100,MAX($CM$2/(Flows!AI7*AI$3*AI$4),1))</f>
        <v>13142.8266097383</v>
      </c>
      <c r="AJ10" s="10" t="n">
        <f aca="false">IF(Flows!AJ7*AJ$3*AJ$4&lt;0.002,100,MAX($CM$2/(Flows!AJ7*AJ$3*AJ$4),1))</f>
        <v>6540.4861668128</v>
      </c>
      <c r="AK10" s="10" t="n">
        <f aca="false">IF(Flows!AK7*AK$3*AK$4&lt;0.002,100,MAX($CM$2/(Flows!AK7*AK$3*AK$4),1))</f>
        <v>3653.21173482299</v>
      </c>
      <c r="AL10" s="10" t="n">
        <f aca="false">IF(Flows!AL7*AL$3*AL$4&lt;0.002,100,MAX($CM$2/(Flows!AL7*AL$3*AL$4),1))</f>
        <v>4554.86447645569</v>
      </c>
      <c r="AM10" s="10" t="n">
        <f aca="false">IF(Flows!AM7*AM$3*AM$4&lt;0.002,100,MAX($CM$2/(Flows!AM7*AM$3*AM$4),1))</f>
        <v>8162.30892720281</v>
      </c>
      <c r="AN10" s="10" t="n">
        <f aca="false">IF(Flows!AN7*AN$3*AN$4&lt;0.002,100,MAX($CM$2/(Flows!AN7*AN$3*AN$4),1))</f>
        <v>13831.2453541786</v>
      </c>
      <c r="AO10" s="10" t="n">
        <f aca="false">IF(Flows!AO7*AO$3*AO$4&lt;0.002,100,MAX($CM$2/(Flows!AO7*AO$3*AO$4),1))</f>
        <v>110322.358492029</v>
      </c>
      <c r="AP10" s="10" t="n">
        <f aca="false">IF(Flows!AP7*AP$3*AP$4&lt;0.002,100,MAX($CM$2/(Flows!AP7*AP$3*AP$4),1))</f>
        <v>239039.468005211</v>
      </c>
      <c r="AQ10" s="10" t="n">
        <f aca="false">IF(Flows!AQ7*AQ$3*AQ$4&lt;0.002,100,MAX($CM$2/(Flows!AQ7*AQ$3*AQ$4),1))</f>
        <v>111597.092498793</v>
      </c>
      <c r="AR10" s="10" t="n">
        <f aca="false">IF(Flows!AR7*AR$3*AR$4&lt;0.002,100,MAX($CM$2/(Flows!AR7*AR$3*AR$4),1))</f>
        <v>102091.662446999</v>
      </c>
      <c r="AS10" s="10" t="n">
        <f aca="false">IF(Flows!AS7*AS$3*AS$4&lt;0.002,100,MAX($CM$2/(Flows!AS7*AS$3*AS$4),1))</f>
        <v>10986.1289239371</v>
      </c>
      <c r="AT10" s="10" t="n">
        <f aca="false">IF(Flows!AT7*AT$3*AT$4&lt;0.002,100,MAX($CM$2/(Flows!AT7*AT$3*AT$4),1))</f>
        <v>4358.21764453037</v>
      </c>
      <c r="AU10" s="10" t="n">
        <f aca="false">IF(Flows!AU7*AU$3*AU$4&lt;0.002,100,MAX($CM$2/(Flows!AU7*AU$3*AU$4),1))</f>
        <v>5846.3514295034</v>
      </c>
      <c r="AV10" s="10" t="n">
        <f aca="false">IF(Flows!AV7*AV$3*AV$4&lt;0.002,100,MAX($CM$2/(Flows!AV7*AV$3*AV$4),1))</f>
        <v>50389.1904190005</v>
      </c>
      <c r="AW10" s="10" t="n">
        <f aca="false">IF(Flows!AW7*AW$3*AW$4&lt;0.002,100,MAX($CM$2/(Flows!AW7*AW$3*AW$4),1))</f>
        <v>79.5563938378504</v>
      </c>
      <c r="AX10" s="10" t="n">
        <f aca="false">IF(Flows!AX7*AX$3*AX$4&lt;0.002,100,MAX($CM$2/(Flows!AX7*AX$3*AX$4),1))</f>
        <v>11341.6284526352</v>
      </c>
      <c r="AY10" s="10" t="n">
        <f aca="false">IF(Flows!AY7*AY$3*AY$4&lt;0.002,100,MAX($CM$2/(Flows!AY7*AY$3*AY$4),1))</f>
        <v>4373.7125775039</v>
      </c>
      <c r="AZ10" s="10" t="n">
        <f aca="false">IF(Flows!AZ7*AZ$3*AZ$4&lt;0.002,100,MAX($CM$2/(Flows!AZ7*AZ$3*AZ$4),1))</f>
        <v>1130.89966299119</v>
      </c>
      <c r="BA10" s="10" t="n">
        <f aca="false">IF(Flows!BA7*BA$3*BA$4&lt;0.002,100,MAX($CM$2/(Flows!BA7*BA$3*BA$4),1))</f>
        <v>12082.0578828949</v>
      </c>
      <c r="BB10" s="10" t="n">
        <f aca="false">IF(Flows!BB7*BB$3*BB$4&lt;0.002,100,MAX($CM$2/(Flows!BB7*BB$3*BB$4),1))</f>
        <v>23324.4714379598</v>
      </c>
      <c r="BC10" s="10" t="n">
        <f aca="false">IF(Flows!BC7*BC$3*BC$4&lt;0.002,100,MAX($CM$2/(Flows!BC7*BC$3*BC$4),1))</f>
        <v>8616.49410422718</v>
      </c>
      <c r="BD10" s="10" t="n">
        <f aca="false">IF(Flows!BD7*BD$3*BD$4&lt;0.002,100,MAX($CM$2/(Flows!BD7*BD$3*BD$4),1))</f>
        <v>36638.4007378502</v>
      </c>
      <c r="BE10" s="10" t="n">
        <f aca="false">IF(Flows!BE7*BE$3*BE$4&lt;0.002,100,MAX($CM$2/(Flows!BE7*BE$3*BE$4),1))</f>
        <v>91537.2037777602</v>
      </c>
      <c r="BF10" s="10" t="n">
        <f aca="false">IF(Flows!BF7*BF$3*BF$4&lt;0.002,100,MAX($CM$2/(Flows!BF7*BF$3*BF$4),1))</f>
        <v>4237.71328774891</v>
      </c>
      <c r="BG10" s="10" t="n">
        <f aca="false">IF(Flows!BG7*BG$3*BG$4&lt;0.002,100,MAX($CM$2/(Flows!BG7*BG$3*BG$4),1))</f>
        <v>1514.56949842786</v>
      </c>
      <c r="BH10" s="10" t="n">
        <f aca="false">IF(Flows!BH7*BH$3*BH$4&lt;0.002,100,MAX($CM$2/(Flows!BH7*BH$3*BH$4),1))</f>
        <v>3094864.49407861</v>
      </c>
      <c r="BI10" s="10" t="n">
        <f aca="false">IF(Flows!BI7*BI$3*BI$4&lt;0.002,100,MAX($CM$2/(Flows!BI7*BI$3*BI$4),1))</f>
        <v>971.869603034064</v>
      </c>
      <c r="BJ10" s="10" t="n">
        <f aca="false">IF(Flows!BJ7*BJ$3*BJ$4&lt;0.002,100,MAX($CM$2/(Flows!BJ7*BJ$3*BJ$4),1))</f>
        <v>19.5305459190264</v>
      </c>
      <c r="BK10" s="10" t="n">
        <f aca="false">IF(Flows!BK7*BK$3*BK$4&lt;0.002,100,MAX($CM$2/(Flows!BK7*BK$3*BK$4),1))</f>
        <v>1943.73920606813</v>
      </c>
      <c r="BL10" s="10" t="n">
        <f aca="false">IF(Flows!BL7*BL$3*BL$4&lt;0.002,100,MAX($CM$2/(Flows!BL7*BL$3*BL$4),1))</f>
        <v>648.06848241597</v>
      </c>
      <c r="BM10" s="10" t="n">
        <f aca="false">IF(Flows!BM7*BM$3*BM$4&lt;0.002,100,MAX($CM$2/(Flows!BM7*BM$3*BM$4),1))</f>
        <v>217.571862530791</v>
      </c>
      <c r="BN10" s="10" t="n">
        <f aca="false">IF(Flows!BN7*BN$3*BN$4&lt;0.002,100,MAX($CM$2/(Flows!BN7*BN$3*BN$4),1))</f>
        <v>1.13262553749182</v>
      </c>
      <c r="BO10" s="10" t="n">
        <f aca="false">IF(Flows!BO7*BO$3*BO$4&lt;0.002,100,MAX($CM$2/(Flows!BO7*BO$3*BO$4),1))</f>
        <v>188.770922915303</v>
      </c>
      <c r="BP10" s="10" t="n">
        <f aca="false">IF(Flows!BP7*BP$3*BP$4&lt;0.002,100,MAX($CM$2/(Flows!BP7*BP$3*BP$4),1))</f>
        <v>293.368418487044</v>
      </c>
      <c r="BQ10" s="10" t="n">
        <f aca="false">IF(Flows!BQ7*BQ$3*BQ$4&lt;0.002,100,MAX($CM$2/(Flows!BQ7*BQ$3*BQ$4),1))</f>
        <v>1.74250082691049</v>
      </c>
      <c r="BR10" s="10" t="n">
        <f aca="false">IF(Flows!BR7*BR$3*BR$4&lt;0.002,100,MAX($CM$2/(Flows!BR7*BR$3*BR$4),1))</f>
        <v>5663.12768745909</v>
      </c>
      <c r="BS10" s="10" t="n">
        <f aca="false">IF(Flows!BS7*BS$3*BS$4&lt;0.002,100,MAX($CM$2/(Flows!BS7*BS$3*BS$4),1))</f>
        <v>56631.2911298162</v>
      </c>
      <c r="BT10" s="10" t="n">
        <f aca="false">IF(Flows!BT7*BT$3*BT$4&lt;0.002,100,MAX($CM$2/(Flows!BT7*BT$3*BT$4),1))</f>
        <v>27.2792701163709</v>
      </c>
      <c r="BU10" s="10" t="n">
        <f aca="false">IF(Flows!BU7*BU$3*BU$4&lt;0.002,100,MAX($CM$2/(Flows!BU7*BU$3*BU$4),1))</f>
        <v>272.792701163709</v>
      </c>
      <c r="BV10" s="10" t="n">
        <f aca="false">IF(Flows!BV7*BV$3*BV$4&lt;0.002,100,MAX($CM$2/(Flows!BV7*BV$3*BV$4),1))</f>
        <v>2727.92701163708</v>
      </c>
      <c r="BW10" s="10" t="n">
        <f aca="false">IF(Flows!BW7*BW$3*BW$4&lt;0.002,100,MAX($CM$2/(Flows!BW7*BW$3*BW$4),1))</f>
        <v>114.714437881587</v>
      </c>
      <c r="BX10" s="10" t="n">
        <f aca="false">IF(Flows!BX7*BX$3*BX$4&lt;0.002,100,MAX($CM$2/(Flows!BX7*BX$3*BX$4),1))</f>
        <v>104.507166218546</v>
      </c>
      <c r="BY10" s="10" t="n">
        <f aca="false">IF(Flows!BY7*BY$3*BY$4&lt;0.002,100,MAX($CM$2/(Flows!BY7*BY$3*BY$4),1))</f>
        <v>136.67003910687</v>
      </c>
      <c r="BZ10" s="10" t="n">
        <f aca="false">IF(Flows!BZ7*BZ$3*BZ$4&lt;0.002,100,MAX($CM$2/(Flows!BZ7*BZ$3*BZ$4),1))</f>
        <v>124606.747385735</v>
      </c>
      <c r="CA10" s="10" t="n">
        <f aca="false">IF(Flows!CA7*CA$3*CA$4&lt;0.002,100,MAX($CM$2/(Flows!CA7*CA$3*CA$4),1))</f>
        <v>45193.8584339443</v>
      </c>
      <c r="CB10" s="10" t="n">
        <f aca="false">IF(Flows!CB7*CB$3*CB$4&lt;0.002,100,MAX($CM$2/(Flows!CB7*CB$3*CB$4),1))</f>
        <v>940.25765947631</v>
      </c>
      <c r="CC10" s="10" t="n">
        <f aca="false">IF(Flows!CC7*CC$3*CC$4&lt;0.002,100,MAX($CM$2/(Flows!CC7*CC$3*CC$4),1))</f>
        <v>25.4819131529893</v>
      </c>
      <c r="CD10" s="10" t="n">
        <f aca="false">IF(Flows!CD7*CD$3*CD$4&lt;0.002,100,MAX($CM$2/(Flows!CD7*CD$3*CD$4),1))</f>
        <v>311.651827584062</v>
      </c>
      <c r="CE10" s="10" t="n">
        <f aca="false">IF(Flows!CE7*CE$3*CE$4&lt;0.002,100,MAX($CM$2/(Flows!CE7*CE$3*CE$4),1))</f>
        <v>941.464933308232</v>
      </c>
      <c r="CF10" s="10" t="n">
        <f aca="false">IF(Flows!CF7*CF$3*CF$4&lt;0.002,100,MAX($CM$2/(Flows!CF7*CF$3*CF$4),1))</f>
        <v>1</v>
      </c>
      <c r="CG10" s="10" t="n">
        <f aca="false">IF(Flows!CG7*CG$3*CG$4&lt;0.002,100,MAX($CM$2/(Flows!CG7*CG$3*CG$4),1))</f>
        <v>31.9977363991214</v>
      </c>
      <c r="CH10" s="10" t="n">
        <f aca="false">IF(Flows!CH7*CH$3*CH$4&lt;0.002,100,MAX($CM$2/(Flows!CH7*CH$3*CH$4),1))</f>
        <v>19.4343053111925</v>
      </c>
      <c r="CI10" s="10" t="n">
        <f aca="false">IF(Flows!CI7*CI$3*CI$4&lt;0.002,100,MAX($CM$2/(Flows!CI7*CI$3*CI$4),1))</f>
        <v>1680.30869552461</v>
      </c>
      <c r="CJ10" s="10" t="n">
        <f aca="false">IF(Flows!CJ7*CJ$3*CJ$4&lt;0.002,100,MAX($CM$2/(Flows!CJ7*CJ$3*CJ$4),1))</f>
        <v>83057.4266230238</v>
      </c>
      <c r="CK10" s="10" t="n">
        <f aca="false">IF(Flows!CK7*CK$3*CK$4&lt;0.002,100,MAX($CM$2/(Flows!CK7*CK$3*CK$4),1))</f>
        <v>14998.1537569468</v>
      </c>
      <c r="CL10" s="7" t="s">
        <v>39</v>
      </c>
    </row>
    <row r="11" customFormat="false" ht="12.8" hidden="false" customHeight="false" outlineLevel="0" collapsed="false">
      <c r="A11" s="7" t="s">
        <v>140</v>
      </c>
      <c r="B11" s="7" t="s">
        <v>39</v>
      </c>
      <c r="C11" s="10" t="n">
        <f aca="false">IF(Flows!C8*C$3*C$4&lt;0.002,100,MAX($CM$2/(Flows!C8*C$3*C$4),1))</f>
        <v>42704.5428996737</v>
      </c>
      <c r="D11" s="10" t="n">
        <f aca="false">IF(Flows!D8*D$3*D$4&lt;0.002,100,MAX($CM$2/(Flows!D8*D$3*D$4),1))</f>
        <v>4.69193111336098</v>
      </c>
      <c r="E11" s="10" t="n">
        <f aca="false">IF(Flows!E8*E$3*E$4&lt;0.002,100,MAX($CM$2/(Flows!E8*E$3*E$4),1))</f>
        <v>11.880069916308</v>
      </c>
      <c r="F11" s="10" t="n">
        <f aca="false">IF(Flows!F8*F$3*F$4&lt;0.002,100,MAX($CM$2/(Flows!F8*F$3*F$4),1))</f>
        <v>33.1264375138042</v>
      </c>
      <c r="G11" s="10" t="n">
        <f aca="false">IF(Flows!G8*G$3*G$4&lt;0.002,100,MAX($CM$2/(Flows!G8*G$3*G$4),1))</f>
        <v>10.3821752645862</v>
      </c>
      <c r="H11" s="10" t="n">
        <f aca="false">IF(Flows!H8*H$3*H$4&lt;0.002,100,MAX($CM$2/(Flows!H8*H$3*H$4),1))</f>
        <v>3504.43396485119</v>
      </c>
      <c r="I11" s="10" t="n">
        <f aca="false">IF(Flows!I8*I$3*I$4&lt;0.002,100,MAX($CM$2/(Flows!I8*I$3*I$4),1))</f>
        <v>4815.93154835832</v>
      </c>
      <c r="J11" s="10" t="n">
        <f aca="false">IF(Flows!J8*J$3*J$4&lt;0.002,100,MAX($CM$2/(Flows!J8*J$3*J$4),1))</f>
        <v>5221.53533342772</v>
      </c>
      <c r="K11" s="10" t="n">
        <f aca="false">IF(Flows!K8*K$3*K$4&lt;0.002,100,MAX($CM$2/(Flows!K8*K$3*K$4),1))</f>
        <v>25901.8941594912</v>
      </c>
      <c r="L11" s="10" t="n">
        <f aca="false">IF(Flows!L8*L$3*L$4&lt;0.002,100,MAX($CM$2/(Flows!L8*L$3*L$4),1))</f>
        <v>159011.607204954</v>
      </c>
      <c r="M11" s="10" t="n">
        <f aca="false">IF(Flows!M8*M$3*M$4&lt;0.002,100,MAX($CM$2/(Flows!M8*M$3*M$4),1))</f>
        <v>118941.798354963</v>
      </c>
      <c r="N11" s="10" t="n">
        <f aca="false">IF(Flows!N8*N$3*N$4&lt;0.002,100,MAX($CM$2/(Flows!N8*N$3*N$4),1))</f>
        <v>7.00779714035522</v>
      </c>
      <c r="O11" s="10" t="n">
        <f aca="false">IF(Flows!O8*O$3*O$4&lt;0.002,100,MAX($CM$2/(Flows!O8*O$3*O$4),1))</f>
        <v>4.78969257506774</v>
      </c>
      <c r="P11" s="10" t="n">
        <f aca="false">IF(Flows!P8*P$3*P$4&lt;0.002,100,MAX($CM$2/(Flows!P8*P$3*P$4),1))</f>
        <v>2.87381554504064</v>
      </c>
      <c r="Q11" s="10" t="n">
        <f aca="false">IF(Flows!Q8*Q$3*Q$4&lt;0.002,100,MAX($CM$2/(Flows!Q8*Q$3*Q$4),1))</f>
        <v>547.512925280904</v>
      </c>
      <c r="R11" s="10" t="n">
        <f aca="false">IF(Flows!R8*R$3*R$4&lt;0.002,100,MAX($CM$2/(Flows!R8*R$3*R$4),1))</f>
        <v>70.9640935876472</v>
      </c>
      <c r="S11" s="10" t="n">
        <f aca="false">IF(Flows!S8*S$3*S$4&lt;0.002,100,MAX($CM$2/(Flows!S8*S$3*S$4),1))</f>
        <v>1362.95663318531</v>
      </c>
      <c r="T11" s="10" t="n">
        <f aca="false">IF(Flows!T8*T$3*T$4&lt;0.002,100,MAX($CM$2/(Flows!T8*T$3*T$4),1))</f>
        <v>2438.62338780706</v>
      </c>
      <c r="U11" s="10" t="n">
        <f aca="false">IF(Flows!U8*U$3*U$4&lt;0.002,100,MAX($CM$2/(Flows!U8*U$3*U$4),1))</f>
        <v>7929.45322366422</v>
      </c>
      <c r="V11" s="10" t="n">
        <f aca="false">IF(Flows!V8*V$3*V$4&lt;0.002,100,MAX($CM$2/(Flows!V8*V$3*V$4),1))</f>
        <v>375.911697920567</v>
      </c>
      <c r="W11" s="10" t="n">
        <f aca="false">IF(Flows!W8*W$3*W$4&lt;0.002,100,MAX($CM$2/(Flows!W8*W$3*W$4),1))</f>
        <v>11.2430949071816</v>
      </c>
      <c r="X11" s="10" t="n">
        <f aca="false">IF(Flows!X8*X$3*X$4&lt;0.002,100,MAX($CM$2/(Flows!X8*X$3*X$4),1))</f>
        <v>8.03400929910196</v>
      </c>
      <c r="Y11" s="10" t="n">
        <f aca="false">IF(Flows!Y8*Y$3*Y$4&lt;0.002,100,MAX($CM$2/(Flows!Y8*Y$3*Y$4),1))</f>
        <v>795.058036024769</v>
      </c>
      <c r="Z11" s="10" t="n">
        <f aca="false">IF(Flows!Z8*Z$3*Z$4&lt;0.002,100,MAX($CM$2/(Flows!Z8*Z$3*Z$4),1))</f>
        <v>9403.31269210859</v>
      </c>
      <c r="AA11" s="10" t="n">
        <f aca="false">IF(Flows!AA8*AA$3*AA$4&lt;0.002,100,MAX($CM$2/(Flows!AA8*AA$3*AA$4),1))</f>
        <v>18663.1064766105</v>
      </c>
      <c r="AB11" s="10" t="n">
        <f aca="false">IF(Flows!AB8*AB$3*AB$4&lt;0.002,100,MAX($CM$2/(Flows!AB8*AB$3*AB$4),1))</f>
        <v>15539.3195456976</v>
      </c>
      <c r="AC11" s="10" t="n">
        <f aca="false">IF(Flows!AC8*AC$3*AC$4&lt;0.002,100,MAX($CM$2/(Flows!AC8*AC$3*AC$4),1))</f>
        <v>90662.6176881114</v>
      </c>
      <c r="AD11" s="10" t="n">
        <f aca="false">IF(Flows!AD8*AD$3*AD$4&lt;0.002,100,MAX($CM$2/(Flows!AD8*AD$3*AD$4),1))</f>
        <v>97885.6421908277</v>
      </c>
      <c r="AE11" s="10" t="n">
        <f aca="false">IF(Flows!AE8*AE$3*AE$4&lt;0.002,100,MAX($CM$2/(Flows!AE8*AE$3*AE$4),1))</f>
        <v>327429.889952681</v>
      </c>
      <c r="AF11" s="10" t="n">
        <f aca="false">IF(Flows!AF8*AF$3*AF$4&lt;0.002,100,MAX($CM$2/(Flows!AF8*AF$3*AF$4),1))</f>
        <v>928.107624244903</v>
      </c>
      <c r="AG11" s="10" t="n">
        <f aca="false">IF(Flows!AG8*AG$3*AG$4&lt;0.002,100,MAX($CM$2/(Flows!AG8*AG$3*AG$4),1))</f>
        <v>1226.41861033229</v>
      </c>
      <c r="AH11" s="10" t="n">
        <f aca="false">IF(Flows!AH8*AH$3*AH$4&lt;0.002,100,MAX($CM$2/(Flows!AH8*AH$3*AH$4),1))</f>
        <v>636.887903666102</v>
      </c>
      <c r="AI11" s="10" t="n">
        <f aca="false">IF(Flows!AI8*AI$3*AI$4&lt;0.002,100,MAX($CM$2/(Flows!AI8*AI$3*AI$4),1))</f>
        <v>3060.9973889362</v>
      </c>
      <c r="AJ11" s="10" t="n">
        <f aca="false">IF(Flows!AJ8*AJ$3*AJ$4&lt;0.002,100,MAX($CM$2/(Flows!AJ8*AJ$3*AJ$4),1))</f>
        <v>1509.4419111729</v>
      </c>
      <c r="AK11" s="10" t="n">
        <f aca="false">IF(Flows!AK8*AK$3*AK$4&lt;0.002,100,MAX($CM$2/(Flows!AK8*AK$3*AK$4),1))</f>
        <v>783.687856289597</v>
      </c>
      <c r="AL11" s="10" t="n">
        <f aca="false">IF(Flows!AL8*AL$3*AL$4&lt;0.002,100,MAX($CM$2/(Flows!AL8*AL$3*AL$4),1))</f>
        <v>982.372296635359</v>
      </c>
      <c r="AM11" s="10" t="n">
        <f aca="false">IF(Flows!AM8*AM$3*AM$4&lt;0.002,100,MAX($CM$2/(Flows!AM8*AM$3*AM$4),1))</f>
        <v>1964.11820725654</v>
      </c>
      <c r="AN11" s="10" t="n">
        <f aca="false">IF(Flows!AN8*AN$3*AN$4&lt;0.002,100,MAX($CM$2/(Flows!AN8*AN$3*AN$4),1))</f>
        <v>2964.68490681609</v>
      </c>
      <c r="AO11" s="10" t="n">
        <f aca="false">IF(Flows!AO8*AO$3*AO$4&lt;0.002,100,MAX($CM$2/(Flows!AO8*AO$3*AO$4),1))</f>
        <v>23292.1258137049</v>
      </c>
      <c r="AP11" s="10" t="n">
        <f aca="false">IF(Flows!AP8*AP$3*AP$4&lt;0.002,100,MAX($CM$2/(Flows!AP8*AP$3*AP$4),1))</f>
        <v>55210.0478880313</v>
      </c>
      <c r="AQ11" s="10" t="n">
        <f aca="false">IF(Flows!AQ8*AQ$3*AQ$4&lt;0.002,100,MAX($CM$2/(Flows!AQ8*AQ$3*AQ$4),1))</f>
        <v>24721.4845106204</v>
      </c>
      <c r="AR11" s="10" t="n">
        <f aca="false">IF(Flows!AR8*AR$3*AR$4&lt;0.002,100,MAX($CM$2/(Flows!AR8*AR$3*AR$4),1))</f>
        <v>20748.6696729213</v>
      </c>
      <c r="AS11" s="10" t="n">
        <f aca="false">IF(Flows!AS8*AS$3*AS$4&lt;0.002,100,MAX($CM$2/(Flows!AS8*AS$3*AS$4),1))</f>
        <v>2651.81211473778</v>
      </c>
      <c r="AT11" s="10" t="n">
        <f aca="false">IF(Flows!AT8*AT$3*AT$4&lt;0.002,100,MAX($CM$2/(Flows!AT8*AT$3*AT$4),1))</f>
        <v>863.785743843713</v>
      </c>
      <c r="AU11" s="10" t="n">
        <f aca="false">IF(Flows!AU8*AU$3*AU$4&lt;0.002,100,MAX($CM$2/(Flows!AU8*AU$3*AU$4),1))</f>
        <v>1707.47657965924</v>
      </c>
      <c r="AV11" s="10" t="n">
        <f aca="false">IF(Flows!AV8*AV$3*AV$4&lt;0.002,100,MAX($CM$2/(Flows!AV8*AV$3*AV$4),1))</f>
        <v>13055.1943509452</v>
      </c>
      <c r="AW11" s="10" t="n">
        <f aca="false">IF(Flows!AW8*AW$3*AW$4&lt;0.002,100,MAX($CM$2/(Flows!AW8*AW$3*AW$4),1))</f>
        <v>28.3857003539581</v>
      </c>
      <c r="AX11" s="10" t="n">
        <f aca="false">IF(Flows!AX8*AX$3*AX$4&lt;0.002,100,MAX($CM$2/(Flows!AX8*AX$3*AX$4),1))</f>
        <v>3924.15334325956</v>
      </c>
      <c r="AY11" s="10" t="n">
        <f aca="false">IF(Flows!AY8*AY$3*AY$4&lt;0.002,100,MAX($CM$2/(Flows!AY8*AY$3*AY$4),1))</f>
        <v>910.72961393728</v>
      </c>
      <c r="AZ11" s="10" t="n">
        <f aca="false">IF(Flows!AZ8*AZ$3*AZ$4&lt;0.002,100,MAX($CM$2/(Flows!AZ8*AZ$3*AZ$4),1))</f>
        <v>231.428162323427</v>
      </c>
      <c r="BA11" s="10" t="n">
        <f aca="false">IF(Flows!BA8*BA$3*BA$4&lt;0.002,100,MAX($CM$2/(Flows!BA8*BA$3*BA$4),1))</f>
        <v>8109.59196745264</v>
      </c>
      <c r="BB11" s="10" t="n">
        <f aca="false">IF(Flows!BB8*BB$3*BB$4&lt;0.002,100,MAX($CM$2/(Flows!BB8*BB$3*BB$4),1))</f>
        <v>5645.58240271435</v>
      </c>
      <c r="BC11" s="10" t="n">
        <f aca="false">IF(Flows!BC8*BC$3*BC$4&lt;0.002,100,MAX($CM$2/(Flows!BC8*BC$3*BC$4),1))</f>
        <v>2259.64759764377</v>
      </c>
      <c r="BD11" s="10" t="n">
        <f aca="false">IF(Flows!BD8*BD$3*BD$4&lt;0.002,100,MAX($CM$2/(Flows!BD8*BD$3*BD$4),1))</f>
        <v>8105.08105163381</v>
      </c>
      <c r="BE11" s="10" t="n">
        <f aca="false">IF(Flows!BE8*BE$3*BE$4&lt;0.002,100,MAX($CM$2/(Flows!BE8*BE$3*BE$4),1))</f>
        <v>22422.9195931856</v>
      </c>
      <c r="BF11" s="10" t="n">
        <f aca="false">IF(Flows!BF8*BF$3*BF$4&lt;0.002,100,MAX($CM$2/(Flows!BF8*BF$3*BF$4),1))</f>
        <v>1461.77329243882</v>
      </c>
      <c r="BG11" s="10" t="n">
        <f aca="false">IF(Flows!BG8*BG$3*BG$4&lt;0.002,100,MAX($CM$2/(Flows!BG8*BG$3*BG$4),1))</f>
        <v>551.156537309493</v>
      </c>
      <c r="BH11" s="10" t="n">
        <f aca="false">IF(Flows!BH8*BH$3*BH$4&lt;0.002,100,MAX($CM$2/(Flows!BH8*BH$3*BH$4),1))</f>
        <v>297.999080800976</v>
      </c>
      <c r="BI11" s="10" t="n">
        <f aca="false">IF(Flows!BI8*BI$3*BI$4&lt;0.002,100,MAX($CM$2/(Flows!BI8*BI$3*BI$4),1))</f>
        <v>208.55522481815</v>
      </c>
      <c r="BJ11" s="10" t="n">
        <f aca="false">IF(Flows!BJ8*BJ$3*BJ$4&lt;0.002,100,MAX($CM$2/(Flows!BJ8*BJ$3*BJ$4),1))</f>
        <v>7.16118595017498</v>
      </c>
      <c r="BK11" s="10" t="n">
        <f aca="false">IF(Flows!BK8*BK$3*BK$4&lt;0.002,100,MAX($CM$2/(Flows!BK8*BK$3*BK$4),1))</f>
        <v>417.1104496363</v>
      </c>
      <c r="BL11" s="10" t="n">
        <f aca="false">IF(Flows!BL8*BL$3*BL$4&lt;0.002,100,MAX($CM$2/(Flows!BL8*BL$3*BL$4),1))</f>
        <v>168.234551448794</v>
      </c>
      <c r="BM11" s="10" t="n">
        <f aca="false">IF(Flows!BM8*BM$3*BM$4&lt;0.002,100,MAX($CM$2/(Flows!BM8*BM$3*BM$4),1))</f>
        <v>109.191976468417</v>
      </c>
      <c r="BN11" s="10" t="n">
        <f aca="false">IF(Flows!BN8*BN$3*BN$4&lt;0.002,100,MAX($CM$2/(Flows!BN8*BN$3*BN$4),1))</f>
        <v>944762.917913248</v>
      </c>
      <c r="BO11" s="10" t="n">
        <f aca="false">IF(Flows!BO8*BO$3*BO$4&lt;0.002,100,MAX($CM$2/(Flows!BO8*BO$3*BO$4),1))</f>
        <v>157460486.318875</v>
      </c>
      <c r="BP11" s="10" t="n">
        <f aca="false">IF(Flows!BP8*BP$3*BP$4&lt;0.002,100,MAX($CM$2/(Flows!BP8*BP$3*BP$4),1))</f>
        <v>45315171824.1346</v>
      </c>
      <c r="BQ11" s="10" t="n">
        <f aca="false">IF(Flows!BQ8*BQ$3*BQ$4&lt;0.002,100,MAX($CM$2/(Flows!BQ8*BQ$3*BQ$4),1))</f>
        <v>1453481.41217423</v>
      </c>
      <c r="BR11" s="10" t="n">
        <f aca="false">IF(Flows!BR8*BR$3*BR$4&lt;0.002,100,MAX($CM$2/(Flows!BR8*BR$3*BR$4),1))</f>
        <v>1574604863.18875</v>
      </c>
      <c r="BS11" s="10" t="n">
        <f aca="false">IF(Flows!BS8*BS$3*BS$4&lt;0.002,100,MAX($CM$2/(Flows!BS8*BS$3*BS$4),1))</f>
        <v>7873026613.20928</v>
      </c>
      <c r="BT11" s="10" t="n">
        <f aca="false">IF(Flows!BT8*BT$3*BT$4&lt;0.002,100,MAX($CM$2/(Flows!BT8*BT$3*BT$4),1))</f>
        <v>3.85333572862305</v>
      </c>
      <c r="BU11" s="10" t="n">
        <f aca="false">IF(Flows!BU8*BU$3*BU$4&lt;0.002,100,MAX($CM$2/(Flows!BU8*BU$3*BU$4),1))</f>
        <v>38.5333572862305</v>
      </c>
      <c r="BV11" s="10" t="n">
        <f aca="false">IF(Flows!BV8*BV$3*BV$4&lt;0.002,100,MAX($CM$2/(Flows!BV8*BV$3*BV$4),1))</f>
        <v>385.333572862305</v>
      </c>
      <c r="BW11" s="10" t="n">
        <f aca="false">IF(Flows!BW8*BW$3*BW$4&lt;0.002,100,MAX($CM$2/(Flows!BW8*BW$3*BW$4),1))</f>
        <v>33.9408259612392</v>
      </c>
      <c r="BX11" s="10" t="n">
        <f aca="false">IF(Flows!BX8*BX$3*BX$4&lt;0.002,100,MAX($CM$2/(Flows!BX8*BX$3*BX$4),1))</f>
        <v>17.0635470604541</v>
      </c>
      <c r="BY11" s="10" t="n">
        <f aca="false">IF(Flows!BY8*BY$3*BY$4&lt;0.002,100,MAX($CM$2/(Flows!BY8*BY$3*BY$4),1))</f>
        <v>38.9330882401019</v>
      </c>
      <c r="BZ11" s="10" t="n">
        <f aca="false">IF(Flows!BZ8*BZ$3*BZ$4&lt;0.002,100,MAX($CM$2/(Flows!BZ8*BZ$3*BZ$4),1))</f>
        <v>41809.4520700018</v>
      </c>
      <c r="CA11" s="10" t="n">
        <f aca="false">IF(Flows!CA8*CA$3*CA$4&lt;0.002,100,MAX($CM$2/(Flows!CA8*CA$3*CA$4),1))</f>
        <v>135902.014424298</v>
      </c>
      <c r="CB11" s="10" t="n">
        <f aca="false">IF(Flows!CB8*CB$3*CB$4&lt;0.002,100,MAX($CM$2/(Flows!CB8*CB$3*CB$4),1))</f>
        <v>79.7787059336518</v>
      </c>
      <c r="CC11" s="10" t="n">
        <f aca="false">IF(Flows!CC8*CC$3*CC$4&lt;0.002,100,MAX($CM$2/(Flows!CC8*CC$3*CC$4),1))</f>
        <v>42.9259782832796</v>
      </c>
      <c r="CD11" s="10" t="n">
        <f aca="false">IF(Flows!CD8*CD$3*CD$4&lt;0.002,100,MAX($CM$2/(Flows!CD8*CD$3*CD$4),1))</f>
        <v>118.24428204802</v>
      </c>
      <c r="CE11" s="10" t="n">
        <f aca="false">IF(Flows!CE8*CE$3*CE$4&lt;0.002,100,MAX($CM$2/(Flows!CE8*CE$3*CE$4),1))</f>
        <v>11.6080648444605</v>
      </c>
      <c r="CF11" s="10" t="n">
        <f aca="false">IF(Flows!CF8*CF$3*CF$4&lt;0.002,100,MAX($CM$2/(Flows!CF8*CF$3*CF$4),1))</f>
        <v>1</v>
      </c>
      <c r="CG11" s="10" t="n">
        <f aca="false">IF(Flows!CG8*CG$3*CG$4&lt;0.002,100,MAX($CM$2/(Flows!CG8*CG$3*CG$4),1))</f>
        <v>1888545.79742688</v>
      </c>
      <c r="CH11" s="10" t="n">
        <f aca="false">IF(Flows!CH8*CH$3*CH$4&lt;0.002,100,MAX($CM$2/(Flows!CH8*CH$3*CH$4),1))</f>
        <v>24421534.8323498</v>
      </c>
      <c r="CI11" s="10" t="n">
        <f aca="false">IF(Flows!CI8*CI$3*CI$4&lt;0.002,100,MAX($CM$2/(Flows!CI8*CI$3*CI$4),1))</f>
        <v>201.374499475654</v>
      </c>
      <c r="CJ11" s="10" t="n">
        <f aca="false">IF(Flows!CJ8*CJ$3*CJ$4&lt;0.002,100,MAX($CM$2/(Flows!CJ8*CJ$3*CJ$4),1))</f>
        <v>9346.37106732046</v>
      </c>
      <c r="CK11" s="10" t="n">
        <f aca="false">IF(Flows!CK8*CK$3*CK$4&lt;0.002,100,MAX($CM$2/(Flows!CK8*CK$3*CK$4),1))</f>
        <v>734.318469242102</v>
      </c>
      <c r="CL11" s="7" t="s">
        <v>39</v>
      </c>
    </row>
    <row r="12" customFormat="false" ht="12.8" hidden="false" customHeight="false" outlineLevel="0" collapsed="false">
      <c r="A12" s="7" t="s">
        <v>141</v>
      </c>
      <c r="B12" s="7" t="s">
        <v>39</v>
      </c>
      <c r="C12" s="10" t="n">
        <f aca="false">IF(Flows!C9*C$3*C$4&lt;0.002,100,MAX($CM$2/(Flows!C9*C$3*C$4),1))</f>
        <v>41141.3905624547</v>
      </c>
      <c r="D12" s="10" t="n">
        <f aca="false">IF(Flows!D9*D$3*D$4&lt;0.002,100,MAX($CM$2/(Flows!D9*D$3*D$4),1))</f>
        <v>5.31451457355321</v>
      </c>
      <c r="E12" s="10" t="n">
        <f aca="false">IF(Flows!E9*E$3*E$4&lt;0.002,100,MAX($CM$2/(Flows!E9*E$3*E$4),1))</f>
        <v>11.5877747618738</v>
      </c>
      <c r="F12" s="10" t="n">
        <f aca="false">IF(Flows!F9*F$3*F$4&lt;0.002,100,MAX($CM$2/(Flows!F9*F$3*F$4),1))</f>
        <v>32.3114004612309</v>
      </c>
      <c r="G12" s="10" t="n">
        <f aca="false">IF(Flows!G9*G$3*G$4&lt;0.002,100,MAX($CM$2/(Flows!G9*G$3*G$4),1))</f>
        <v>20.6913962729647</v>
      </c>
      <c r="H12" s="10" t="n">
        <f aca="false">IF(Flows!H9*H$3*H$4&lt;0.002,100,MAX($CM$2/(Flows!H9*H$3*H$4),1))</f>
        <v>2413.50428556224</v>
      </c>
      <c r="I12" s="10" t="n">
        <f aca="false">IF(Flows!I9*I$3*I$4&lt;0.002,100,MAX($CM$2/(Flows!I9*I$3*I$4),1))</f>
        <v>3491.41812682212</v>
      </c>
      <c r="J12" s="10" t="n">
        <f aca="false">IF(Flows!J9*J$3*J$4&lt;0.002,100,MAX($CM$2/(Flows!J9*J$3*J$4),1))</f>
        <v>5098.18009123695</v>
      </c>
      <c r="K12" s="10" t="n">
        <f aca="false">IF(Flows!K9*K$3*K$4&lt;0.002,100,MAX($CM$2/(Flows!K9*K$3*K$4),1))</f>
        <v>22098.2157957903</v>
      </c>
      <c r="L12" s="10" t="n">
        <f aca="false">IF(Flows!L9*L$3*L$4&lt;0.002,100,MAX($CM$2/(Flows!L9*L$3*L$4),1))</f>
        <v>134311.843669206</v>
      </c>
      <c r="M12" s="10" t="n">
        <f aca="false">IF(Flows!M9*M$3*M$4&lt;0.002,100,MAX($CM$2/(Flows!M9*M$3*M$4),1))</f>
        <v>100237.34710416</v>
      </c>
      <c r="N12" s="10" t="n">
        <f aca="false">IF(Flows!N9*N$3*N$4&lt;0.002,100,MAX($CM$2/(Flows!N9*N$3*N$4),1))</f>
        <v>7.29765934826871</v>
      </c>
      <c r="O12" s="10" t="n">
        <f aca="false">IF(Flows!O9*O$3*O$4&lt;0.002,100,MAX($CM$2/(Flows!O9*O$3*O$4),1))</f>
        <v>3.93553846451415</v>
      </c>
      <c r="P12" s="10" t="n">
        <f aca="false">IF(Flows!P9*P$3*P$4&lt;0.002,100,MAX($CM$2/(Flows!P9*P$3*P$4),1))</f>
        <v>2.36132307870849</v>
      </c>
      <c r="Q12" s="10" t="n">
        <f aca="false">IF(Flows!Q9*Q$3*Q$4&lt;0.002,100,MAX($CM$2/(Flows!Q9*Q$3*Q$4),1))</f>
        <v>781.831799459938</v>
      </c>
      <c r="R12" s="10" t="n">
        <f aca="false">IF(Flows!R9*R$3*R$4&lt;0.002,100,MAX($CM$2/(Flows!R9*R$3*R$4),1))</f>
        <v>60.543056974768</v>
      </c>
      <c r="S12" s="10" t="n">
        <f aca="false">IF(Flows!S9*S$3*S$4&lt;0.002,100,MAX($CM$2/(Flows!S9*S$3*S$4),1))</f>
        <v>1151.24437430748</v>
      </c>
      <c r="T12" s="10" t="n">
        <f aca="false">IF(Flows!T9*T$3*T$4&lt;0.002,100,MAX($CM$2/(Flows!T9*T$3*T$4),1))</f>
        <v>2059.82449324623</v>
      </c>
      <c r="U12" s="10" t="n">
        <f aca="false">IF(Flows!U9*U$3*U$4&lt;0.002,100,MAX($CM$2/(Flows!U9*U$3*U$4),1))</f>
        <v>6682.48980694401</v>
      </c>
      <c r="V12" s="10" t="n">
        <f aca="false">IF(Flows!V9*V$3*V$4&lt;0.002,100,MAX($CM$2/(Flows!V9*V$3*V$4),1))</f>
        <v>309.398283199281</v>
      </c>
      <c r="W12" s="10" t="n">
        <f aca="false">IF(Flows!W9*W$3*W$4&lt;0.002,100,MAX($CM$2/(Flows!W9*W$3*W$4),1))</f>
        <v>8.38758420315905</v>
      </c>
      <c r="X12" s="10" t="n">
        <f aca="false">IF(Flows!X9*X$3*X$4&lt;0.002,100,MAX($CM$2/(Flows!X9*X$3*X$4),1))</f>
        <v>7.61419965006404</v>
      </c>
      <c r="Y12" s="10" t="n">
        <f aca="false">IF(Flows!Y9*Y$3*Y$4&lt;0.002,100,MAX($CM$2/(Flows!Y9*Y$3*Y$4),1))</f>
        <v>671.559218346031</v>
      </c>
      <c r="Z12" s="10" t="n">
        <f aca="false">IF(Flows!Z9*Z$3*Z$4&lt;0.002,100,MAX($CM$2/(Flows!Z9*Z$3*Z$4),1))</f>
        <v>6141.06993321769</v>
      </c>
      <c r="AA12" s="10" t="n">
        <f aca="false">IF(Flows!AA9*AA$3*AA$4&lt;0.002,100,MAX($CM$2/(Flows!AA9*AA$3*AA$4),1))</f>
        <v>13449.8096837518</v>
      </c>
      <c r="AB12" s="10" t="n">
        <f aca="false">IF(Flows!AB9*AB$3*AB$4&lt;0.002,100,MAX($CM$2/(Flows!AB9*AB$3*AB$4),1))</f>
        <v>12301.0137434825</v>
      </c>
      <c r="AC12" s="10" t="n">
        <f aca="false">IF(Flows!AC9*AC$3*AC$4&lt;0.002,100,MAX($CM$2/(Flows!AC9*AC$3*AC$4),1))</f>
        <v>61807.7335976748</v>
      </c>
      <c r="AD12" s="10" t="n">
        <f aca="false">IF(Flows!AD9*AD$3*AD$4&lt;0.002,100,MAX($CM$2/(Flows!AD9*AD$3*AD$4),1))</f>
        <v>77486.8311535789</v>
      </c>
      <c r="AE12" s="10" t="n">
        <f aca="false">IF(Flows!AE9*AE$3*AE$4&lt;0.002,100,MAX($CM$2/(Flows!AE9*AE$3*AE$4),1))</f>
        <v>224824.415392294</v>
      </c>
      <c r="AF12" s="10" t="n">
        <f aca="false">IF(Flows!AF9*AF$3*AF$4&lt;0.002,100,MAX($CM$2/(Flows!AF9*AF$3*AF$4),1))</f>
        <v>1121.9924345093</v>
      </c>
      <c r="AG12" s="10" t="n">
        <f aca="false">IF(Flows!AG9*AG$3*AG$4&lt;0.002,100,MAX($CM$2/(Flows!AG9*AG$3*AG$4),1))</f>
        <v>904.350648558139</v>
      </c>
      <c r="AH12" s="10" t="n">
        <f aca="false">IF(Flows!AH9*AH$3*AH$4&lt;0.002,100,MAX($CM$2/(Flows!AH9*AH$3*AH$4),1))</f>
        <v>479.486145974645</v>
      </c>
      <c r="AI12" s="10" t="n">
        <f aca="false">IF(Flows!AI9*AI$3*AI$4&lt;0.002,100,MAX($CM$2/(Flows!AI9*AI$3*AI$4),1))</f>
        <v>3601.60162278515</v>
      </c>
      <c r="AJ12" s="10" t="n">
        <f aca="false">IF(Flows!AJ9*AJ$3*AJ$4&lt;0.002,100,MAX($CM$2/(Flows!AJ9*AJ$3*AJ$4),1))</f>
        <v>1499.90360627355</v>
      </c>
      <c r="AK12" s="10" t="n">
        <f aca="false">IF(Flows!AK9*AK$3*AK$4&lt;0.002,100,MAX($CM$2/(Flows!AK9*AK$3*AK$4),1))</f>
        <v>591.402242827691</v>
      </c>
      <c r="AL12" s="10" t="n">
        <f aca="false">IF(Flows!AL9*AL$3*AL$4&lt;0.002,100,MAX($CM$2/(Flows!AL9*AL$3*AL$4),1))</f>
        <v>1271.64918452354</v>
      </c>
      <c r="AM12" s="10" t="n">
        <f aca="false">IF(Flows!AM9*AM$3*AM$4&lt;0.002,100,MAX($CM$2/(Flows!AM9*AM$3*AM$4),1))</f>
        <v>1660.93351629346</v>
      </c>
      <c r="AN12" s="10" t="n">
        <f aca="false">IF(Flows!AN9*AN$3*AN$4&lt;0.002,100,MAX($CM$2/(Flows!AN9*AN$3*AN$4),1))</f>
        <v>2249.38672818026</v>
      </c>
      <c r="AO12" s="10" t="n">
        <f aca="false">IF(Flows!AO9*AO$3*AO$4&lt;0.002,100,MAX($CM$2/(Flows!AO9*AO$3*AO$4),1))</f>
        <v>33109.9424890855</v>
      </c>
      <c r="AP12" s="10" t="n">
        <f aca="false">IF(Flows!AP9*AP$3*AP$4&lt;0.002,100,MAX($CM$2/(Flows!AP9*AP$3*AP$4),1))</f>
        <v>45145.1014925833</v>
      </c>
      <c r="AQ12" s="10" t="n">
        <f aca="false">IF(Flows!AQ9*AQ$3*AQ$4&lt;0.002,100,MAX($CM$2/(Flows!AQ9*AQ$3*AQ$4),1))</f>
        <v>16625.1789034052</v>
      </c>
      <c r="AR12" s="10" t="n">
        <f aca="false">IF(Flows!AR9*AR$3*AR$4&lt;0.002,100,MAX($CM$2/(Flows!AR9*AR$3*AR$4),1))</f>
        <v>23087.6873576917</v>
      </c>
      <c r="AS12" s="10" t="n">
        <f aca="false">IF(Flows!AS9*AS$3*AS$4&lt;0.002,100,MAX($CM$2/(Flows!AS9*AS$3*AS$4),1))</f>
        <v>2424.45723669854</v>
      </c>
      <c r="AT12" s="10" t="n">
        <f aca="false">IF(Flows!AT9*AT$3*AT$4&lt;0.002,100,MAX($CM$2/(Flows!AT9*AT$3*AT$4),1))</f>
        <v>1025.78896184304</v>
      </c>
      <c r="AU12" s="10" t="n">
        <f aca="false">IF(Flows!AU9*AU$3*AU$4&lt;0.002,100,MAX($CM$2/(Flows!AU9*AU$3*AU$4),1))</f>
        <v>996.161792546949</v>
      </c>
      <c r="AV12" s="10" t="n">
        <f aca="false">IF(Flows!AV9*AV$3*AV$4&lt;0.002,100,MAX($CM$2/(Flows!AV9*AV$3*AV$4),1))</f>
        <v>12144.2086507463</v>
      </c>
      <c r="AW12" s="10" t="n">
        <f aca="false">IF(Flows!AW9*AW$3*AW$4&lt;0.002,100,MAX($CM$2/(Flows!AW9*AW$3*AW$4),1))</f>
        <v>19.3105371843676</v>
      </c>
      <c r="AX12" s="10" t="n">
        <f aca="false">IF(Flows!AX9*AX$3*AX$4&lt;0.002,100,MAX($CM$2/(Flows!AX9*AX$3*AX$4),1))</f>
        <v>2491.15654918863</v>
      </c>
      <c r="AY12" s="10" t="n">
        <f aca="false">IF(Flows!AY9*AY$3*AY$4&lt;0.002,100,MAX($CM$2/(Flows!AY9*AY$3*AY$4),1))</f>
        <v>705.564594027508</v>
      </c>
      <c r="AZ12" s="10" t="n">
        <f aca="false">IF(Flows!AZ9*AZ$3*AZ$4&lt;0.002,100,MAX($CM$2/(Flows!AZ9*AZ$3*AZ$4),1))</f>
        <v>185.036583455486</v>
      </c>
      <c r="BA12" s="10" t="n">
        <f aca="false">IF(Flows!BA9*BA$3*BA$4&lt;0.002,100,MAX($CM$2/(Flows!BA9*BA$3*BA$4),1))</f>
        <v>6849.90402712952</v>
      </c>
      <c r="BB12" s="10" t="n">
        <f aca="false">IF(Flows!BB9*BB$3*BB$4&lt;0.002,100,MAX($CM$2/(Flows!BB9*BB$3*BB$4),1))</f>
        <v>4093.23345404331</v>
      </c>
      <c r="BC12" s="10" t="n">
        <f aca="false">IF(Flows!BC9*BC$3*BC$4&lt;0.002,100,MAX($CM$2/(Flows!BC9*BC$3*BC$4),1))</f>
        <v>2329.24421796375</v>
      </c>
      <c r="BD12" s="10" t="n">
        <f aca="false">IF(Flows!BD9*BD$3*BD$4&lt;0.002,100,MAX($CM$2/(Flows!BD9*BD$3*BD$4),1))</f>
        <v>8211.07079336026</v>
      </c>
      <c r="BE12" s="10" t="n">
        <f aca="false">IF(Flows!BE9*BE$3*BE$4&lt;0.002,100,MAX($CM$2/(Flows!BE9*BE$3*BE$4),1))</f>
        <v>19088.9779826972</v>
      </c>
      <c r="BF12" s="10" t="n">
        <f aca="false">IF(Flows!BF9*BF$3*BF$4&lt;0.002,100,MAX($CM$2/(Flows!BF9*BF$3*BF$4),1))</f>
        <v>1265.90970720817</v>
      </c>
      <c r="BG12" s="10" t="n">
        <f aca="false">IF(Flows!BG9*BG$3*BG$4&lt;0.002,100,MAX($CM$2/(Flows!BG9*BG$3*BG$4),1))</f>
        <v>403.879039723639</v>
      </c>
      <c r="BH12" s="10" t="n">
        <f aca="false">IF(Flows!BH9*BH$3*BH$4&lt;0.002,100,MAX($CM$2/(Flows!BH9*BH$3*BH$4),1))</f>
        <v>204.032608855786</v>
      </c>
      <c r="BI12" s="10" t="n">
        <f aca="false">IF(Flows!BI9*BI$3*BI$4&lt;0.002,100,MAX($CM$2/(Flows!BI9*BI$3*BI$4),1))</f>
        <v>194.692460936353</v>
      </c>
      <c r="BJ12" s="10" t="n">
        <f aca="false">IF(Flows!BJ9*BJ$3*BJ$4&lt;0.002,100,MAX($CM$2/(Flows!BJ9*BJ$3*BJ$4),1))</f>
        <v>3.50942374831157</v>
      </c>
      <c r="BK12" s="10" t="n">
        <f aca="false">IF(Flows!BK9*BK$3*BK$4&lt;0.002,100,MAX($CM$2/(Flows!BK9*BK$3*BK$4),1))</f>
        <v>389.384921872706</v>
      </c>
      <c r="BL12" s="10" t="n">
        <f aca="false">IF(Flows!BL9*BL$3*BL$4&lt;0.002,100,MAX($CM$2/(Flows!BL9*BL$3*BL$4),1))</f>
        <v>169.333550561403</v>
      </c>
      <c r="BM12" s="10" t="n">
        <f aca="false">IF(Flows!BM9*BM$3*BM$4&lt;0.002,100,MAX($CM$2/(Flows!BM9*BM$3*BM$4),1))</f>
        <v>170.586337690545</v>
      </c>
      <c r="BN12" s="10" t="n">
        <f aca="false">IF(Flows!BN9*BN$3*BN$4&lt;0.002,100,MAX($CM$2/(Flows!BN9*BN$3*BN$4),1))</f>
        <v>437362.702988395</v>
      </c>
      <c r="BO12" s="10" t="n">
        <f aca="false">IF(Flows!BO9*BO$3*BO$4&lt;0.002,100,MAX($CM$2/(Flows!BO9*BO$3*BO$4),1))</f>
        <v>72893783.8313991</v>
      </c>
      <c r="BP12" s="10" t="n">
        <f aca="false">IF(Flows!BP9*BP$3*BP$4&lt;0.002,100,MAX($CM$2/(Flows!BP9*BP$3*BP$4),1))</f>
        <v>18561423978.8971</v>
      </c>
      <c r="BQ12" s="10" t="n">
        <f aca="false">IF(Flows!BQ9*BQ$3*BQ$4&lt;0.002,100,MAX($CM$2/(Flows!BQ9*BQ$3*BQ$4),1))</f>
        <v>672865.696905223</v>
      </c>
      <c r="BR12" s="10" t="n">
        <f aca="false">IF(Flows!BR9*BR$3*BR$4&lt;0.002,100,MAX($CM$2/(Flows!BR9*BR$3*BR$4),1))</f>
        <v>728937838.313992</v>
      </c>
      <c r="BS12" s="10" t="n">
        <f aca="false">IF(Flows!BS9*BS$3*BS$4&lt;0.002,100,MAX($CM$2/(Flows!BS9*BS$3*BS$4),1))</f>
        <v>3644693072.43808</v>
      </c>
      <c r="BT12" s="10" t="n">
        <f aca="false">IF(Flows!BT9*BT$3*BT$4&lt;0.002,100,MAX($CM$2/(Flows!BT9*BT$3*BT$4),1))</f>
        <v>3.85716206372756</v>
      </c>
      <c r="BU12" s="10" t="n">
        <f aca="false">IF(Flows!BU9*BU$3*BU$4&lt;0.002,100,MAX($CM$2/(Flows!BU9*BU$3*BU$4),1))</f>
        <v>38.5716206372756</v>
      </c>
      <c r="BV12" s="10" t="n">
        <f aca="false">IF(Flows!BV9*BV$3*BV$4&lt;0.002,100,MAX($CM$2/(Flows!BV9*BV$3*BV$4),1))</f>
        <v>385.716206372756</v>
      </c>
      <c r="BW12" s="10" t="n">
        <f aca="false">IF(Flows!BW9*BW$3*BW$4&lt;0.002,100,MAX($CM$2/(Flows!BW9*BW$3*BW$4),1))</f>
        <v>28.4509877806863</v>
      </c>
      <c r="BX12" s="10" t="n">
        <f aca="false">IF(Flows!BX9*BX$3*BX$4&lt;0.002,100,MAX($CM$2/(Flows!BX9*BX$3*BX$4),1))</f>
        <v>14.0875649732296</v>
      </c>
      <c r="BY12" s="10" t="n">
        <f aca="false">IF(Flows!BY9*BY$3*BY$4&lt;0.002,100,MAX($CM$2/(Flows!BY9*BY$3*BY$4),1))</f>
        <v>30.7657343448868</v>
      </c>
      <c r="BZ12" s="10" t="n">
        <f aca="false">IF(Flows!BZ9*BZ$3*BZ$4&lt;0.002,100,MAX($CM$2/(Flows!BZ9*BZ$3*BZ$4),1))</f>
        <v>24770.7019815662</v>
      </c>
      <c r="CA12" s="10" t="n">
        <f aca="false">IF(Flows!CA9*CA$3*CA$4&lt;0.002,100,MAX($CM$2/(Flows!CA9*CA$3*CA$4),1))</f>
        <v>40863.6243463847</v>
      </c>
      <c r="CB12" s="10" t="n">
        <f aca="false">IF(Flows!CB9*CB$3*CB$4&lt;0.002,100,MAX($CM$2/(Flows!CB9*CB$3*CB$4),1))</f>
        <v>128.326838718629</v>
      </c>
      <c r="CC12" s="10" t="n">
        <f aca="false">IF(Flows!CC9*CC$3*CC$4&lt;0.002,100,MAX($CM$2/(Flows!CC9*CC$3*CC$4),1))</f>
        <v>7.20524559321197</v>
      </c>
      <c r="CD12" s="10" t="n">
        <f aca="false">IF(Flows!CD9*CD$3*CD$4&lt;0.002,100,MAX($CM$2/(Flows!CD9*CD$3*CD$4),1))</f>
        <v>99.0168923214062</v>
      </c>
      <c r="CE12" s="10" t="n">
        <f aca="false">IF(Flows!CE9*CE$3*CE$4&lt;0.002,100,MAX($CM$2/(Flows!CE9*CE$3*CE$4),1))</f>
        <v>11.6568399479294</v>
      </c>
      <c r="CF12" s="10" t="n">
        <f aca="false">IF(Flows!CF9*CF$3*CF$4&lt;0.002,100,MAX($CM$2/(Flows!CF9*CF$3*CF$4),1))</f>
        <v>1</v>
      </c>
      <c r="CG12" s="10" t="n">
        <f aca="false">IF(Flows!CG9*CG$3*CG$4&lt;0.002,100,MAX($CM$2/(Flows!CG9*CG$3*CG$4),1))</f>
        <v>81443049.2652684</v>
      </c>
      <c r="CH12" s="10" t="n">
        <f aca="false">IF(Flows!CH9*CH$3*CH$4&lt;0.002,100,MAX($CM$2/(Flows!CH9*CH$3*CH$4),1))</f>
        <v>1643640.17774094</v>
      </c>
      <c r="CI12" s="10" t="n">
        <f aca="false">IF(Flows!CI9*CI$3*CI$4&lt;0.002,100,MAX($CM$2/(Flows!CI9*CI$3*CI$4),1))</f>
        <v>1014.72652148541</v>
      </c>
      <c r="CJ12" s="10" t="n">
        <f aca="false">IF(Flows!CJ9*CJ$3*CJ$4&lt;0.002,100,MAX($CM$2/(Flows!CJ9*CJ$3*CJ$4),1))</f>
        <v>11716.4142155038</v>
      </c>
      <c r="CK12" s="10" t="n">
        <f aca="false">IF(Flows!CK9*CK$3*CK$4&lt;0.002,100,MAX($CM$2/(Flows!CK9*CK$3*CK$4),1))</f>
        <v>534.281513661433</v>
      </c>
      <c r="CL12" s="7" t="s">
        <v>39</v>
      </c>
    </row>
    <row r="13" customFormat="false" ht="12.8" hidden="false" customHeight="false" outlineLevel="0" collapsed="false">
      <c r="A13" s="7" t="s">
        <v>142</v>
      </c>
      <c r="B13" s="7" t="s">
        <v>39</v>
      </c>
      <c r="C13" s="10" t="n">
        <f aca="false">IF(Flows!C10*C$3*C$4&lt;0.002,100,MAX($CM$2/(Flows!C10*C$3*C$4),1))</f>
        <v>98329.5496720817</v>
      </c>
      <c r="D13" s="10" t="n">
        <f aca="false">IF(Flows!D10*D$3*D$4&lt;0.002,100,MAX($CM$2/(Flows!D10*D$3*D$4),1))</f>
        <v>26.6624392691926</v>
      </c>
      <c r="E13" s="10" t="n">
        <f aca="false">IF(Flows!E10*E$3*E$4&lt;0.002,100,MAX($CM$2/(Flows!E10*E$3*E$4),1))</f>
        <v>38.2050445258331</v>
      </c>
      <c r="F13" s="10" t="n">
        <f aca="false">IF(Flows!F10*F$3*F$4&lt;0.002,100,MAX($CM$2/(Flows!F10*F$3*F$4),1))</f>
        <v>74.2627918900211</v>
      </c>
      <c r="G13" s="10" t="n">
        <f aca="false">IF(Flows!G10*G$3*G$4&lt;0.002,100,MAX($CM$2/(Flows!G10*G$3*G$4),1))</f>
        <v>2232.20191435125</v>
      </c>
      <c r="H13" s="10" t="n">
        <f aca="false">IF(Flows!H10*H$3*H$4&lt;0.002,100,MAX($CM$2/(Flows!H10*H$3*H$4),1))</f>
        <v>78889.0795175592</v>
      </c>
      <c r="I13" s="10" t="n">
        <f aca="false">IF(Flows!I10*I$3*I$4&lt;0.002,100,MAX($CM$2/(Flows!I10*I$3*I$4),1))</f>
        <v>1918.13186744042</v>
      </c>
      <c r="J13" s="10" t="n">
        <f aca="false">IF(Flows!J10*J$3*J$4&lt;0.002,100,MAX($CM$2/(Flows!J10*J$3*J$4),1))</f>
        <v>2971.30256303101</v>
      </c>
      <c r="K13" s="10" t="n">
        <f aca="false">IF(Flows!K10*K$3*K$4&lt;0.002,100,MAX($CM$2/(Flows!K10*K$3*K$4),1))</f>
        <v>27817.9077552364</v>
      </c>
      <c r="L13" s="10" t="n">
        <f aca="false">IF(Flows!L10*L$3*L$4&lt;0.002,100,MAX($CM$2/(Flows!L10*L$3*L$4),1))</f>
        <v>162133.875033682</v>
      </c>
      <c r="M13" s="10" t="n">
        <f aca="false">IF(Flows!M10*M$3*M$4&lt;0.002,100,MAX($CM$2/(Flows!M10*M$3*M$4),1))</f>
        <v>119884.648676613</v>
      </c>
      <c r="N13" s="10" t="n">
        <f aca="false">IF(Flows!N10*N$3*N$4&lt;0.002,100,MAX($CM$2/(Flows!N10*N$3*N$4),1))</f>
        <v>45.9944314958398</v>
      </c>
      <c r="O13" s="10" t="n">
        <f aca="false">IF(Flows!O10*O$3*O$4&lt;0.002,100,MAX($CM$2/(Flows!O10*O$3*O$4),1))</f>
        <v>7.73660945590299</v>
      </c>
      <c r="P13" s="10" t="n">
        <f aca="false">IF(Flows!P10*P$3*P$4&lt;0.002,100,MAX($CM$2/(Flows!P10*P$3*P$4),1))</f>
        <v>4.64196567354179</v>
      </c>
      <c r="Q13" s="10" t="n">
        <f aca="false">IF(Flows!Q10*Q$3*Q$4&lt;0.002,100,MAX($CM$2/(Flows!Q10*Q$3*Q$4),1))</f>
        <v>29577.7738949682</v>
      </c>
      <c r="R13" s="10" t="n">
        <f aca="false">IF(Flows!R10*R$3*R$4&lt;0.002,100,MAX($CM$2/(Flows!R10*R$3*R$4),1))</f>
        <v>76.2134459047573</v>
      </c>
      <c r="S13" s="10" t="n">
        <f aca="false">IF(Flows!S10*S$3*S$4&lt;0.002,100,MAX($CM$2/(Flows!S10*S$3*S$4),1))</f>
        <v>1389.71892886013</v>
      </c>
      <c r="T13" s="10" t="n">
        <f aca="false">IF(Flows!T10*T$3*T$4&lt;0.002,100,MAX($CM$2/(Flows!T10*T$3*T$4),1))</f>
        <v>2486.50690702916</v>
      </c>
      <c r="U13" s="10" t="n">
        <f aca="false">IF(Flows!U10*U$3*U$4&lt;0.002,100,MAX($CM$2/(Flows!U10*U$3*U$4),1))</f>
        <v>7992.30991177421</v>
      </c>
      <c r="V13" s="10" t="n">
        <f aca="false">IF(Flows!V10*V$3*V$4&lt;0.002,100,MAX($CM$2/(Flows!V10*V$3*V$4),1))</f>
        <v>925.167228899714</v>
      </c>
      <c r="W13" s="10" t="n">
        <f aca="false">IF(Flows!W10*W$3*W$4&lt;0.002,100,MAX($CM$2/(Flows!W10*W$3*W$4),1))</f>
        <v>23.2343271394462</v>
      </c>
      <c r="X13" s="10" t="n">
        <f aca="false">IF(Flows!X10*X$3*X$4&lt;0.002,100,MAX($CM$2/(Flows!X10*X$3*X$4),1))</f>
        <v>13.3326976849876</v>
      </c>
      <c r="Y13" s="10" t="n">
        <f aca="false">IF(Flows!Y10*Y$3*Y$4&lt;0.002,100,MAX($CM$2/(Flows!Y10*Y$3*Y$4),1))</f>
        <v>810.669375168411</v>
      </c>
      <c r="Z13" s="10" t="n">
        <f aca="false">IF(Flows!Z10*Z$3*Z$4&lt;0.002,100,MAX($CM$2/(Flows!Z10*Z$3*Z$4),1))</f>
        <v>556990.711911388</v>
      </c>
      <c r="AA13" s="10" t="n">
        <f aca="false">IF(Flows!AA10*AA$3*AA$4&lt;0.002,100,MAX($CM$2/(Flows!AA10*AA$3*AA$4),1))</f>
        <v>38587.5491738955</v>
      </c>
      <c r="AB13" s="10" t="n">
        <f aca="false">IF(Flows!AB10*AB$3*AB$4&lt;0.002,100,MAX($CM$2/(Flows!AB10*AB$3*AB$4),1))</f>
        <v>37826.6317795784</v>
      </c>
      <c r="AC13" s="10" t="n">
        <f aca="false">IF(Flows!AC10*AC$3*AC$4&lt;0.002,100,MAX($CM$2/(Flows!AC10*AC$3*AC$4),1))</f>
        <v>144759.364926341</v>
      </c>
      <c r="AD13" s="10" t="n">
        <f aca="false">IF(Flows!AD10*AD$3*AD$4&lt;0.002,100,MAX($CM$2/(Flows!AD10*AD$3*AD$4),1))</f>
        <v>238278.396474906</v>
      </c>
      <c r="AE13" s="10" t="n">
        <f aca="false">IF(Flows!AE10*AE$3*AE$4&lt;0.002,100,MAX($CM$2/(Flows!AE10*AE$3*AE$4),1))</f>
        <v>793555.70694173</v>
      </c>
      <c r="AF13" s="10" t="n">
        <f aca="false">IF(Flows!AF10*AF$3*AF$4&lt;0.002,100,MAX($CM$2/(Flows!AF10*AF$3*AF$4),1))</f>
        <v>2583.27511266307</v>
      </c>
      <c r="AG13" s="10" t="n">
        <f aca="false">IF(Flows!AG10*AG$3*AG$4&lt;0.002,100,MAX($CM$2/(Flows!AG10*AG$3*AG$4),1))</f>
        <v>2796.4570156762</v>
      </c>
      <c r="AH13" s="10" t="n">
        <f aca="false">IF(Flows!AH10*AH$3*AH$4&lt;0.002,100,MAX($CM$2/(Flows!AH10*AH$3*AH$4),1))</f>
        <v>1628.10897643069</v>
      </c>
      <c r="AI13" s="10" t="n">
        <f aca="false">IF(Flows!AI10*AI$3*AI$4&lt;0.002,100,MAX($CM$2/(Flows!AI10*AI$3*AI$4),1))</f>
        <v>9294.46059509892</v>
      </c>
      <c r="AJ13" s="10" t="n">
        <f aca="false">IF(Flows!AJ10*AJ$3*AJ$4&lt;0.002,100,MAX($CM$2/(Flows!AJ10*AJ$3*AJ$4),1))</f>
        <v>3681.32361059583</v>
      </c>
      <c r="AK13" s="10" t="n">
        <f aca="false">IF(Flows!AK10*AK$3*AK$4&lt;0.002,100,MAX($CM$2/(Flows!AK10*AK$3*AK$4),1))</f>
        <v>1348.63769965098</v>
      </c>
      <c r="AL13" s="10" t="n">
        <f aca="false">IF(Flows!AL10*AL$3*AL$4&lt;0.002,100,MAX($CM$2/(Flows!AL10*AL$3*AL$4),1))</f>
        <v>2740.63732150058</v>
      </c>
      <c r="AM13" s="10" t="n">
        <f aca="false">IF(Flows!AM10*AM$3*AM$4&lt;0.002,100,MAX($CM$2/(Flows!AM10*AM$3*AM$4),1))</f>
        <v>5480.80667217936</v>
      </c>
      <c r="AN13" s="10" t="n">
        <f aca="false">IF(Flows!AN10*AN$3*AN$4&lt;0.002,100,MAX($CM$2/(Flows!AN10*AN$3*AN$4),1))</f>
        <v>6931.70951524288</v>
      </c>
      <c r="AO13" s="10" t="n">
        <f aca="false">IF(Flows!AO10*AO$3*AO$4&lt;0.002,100,MAX($CM$2/(Flows!AO10*AO$3*AO$4),1))</f>
        <v>54947.4114100565</v>
      </c>
      <c r="AP13" s="10" t="n">
        <f aca="false">IF(Flows!AP10*AP$3*AP$4&lt;0.002,100,MAX($CM$2/(Flows!AP10*AP$3*AP$4),1))</f>
        <v>141449.748053825</v>
      </c>
      <c r="AQ13" s="10" t="n">
        <f aca="false">IF(Flows!AQ10*AQ$3*AQ$4&lt;0.002,100,MAX($CM$2/(Flows!AQ10*AQ$3*AQ$4),1))</f>
        <v>38623.2001641173</v>
      </c>
      <c r="AR13" s="10" t="n">
        <f aca="false">IF(Flows!AR10*AR$3*AR$4&lt;0.002,100,MAX($CM$2/(Flows!AR10*AR$3*AR$4),1))</f>
        <v>59334.5176343973</v>
      </c>
      <c r="AS13" s="10" t="n">
        <f aca="false">IF(Flows!AS10*AS$3*AS$4&lt;0.002,100,MAX($CM$2/(Flows!AS10*AS$3*AS$4),1))</f>
        <v>8518.57397938416</v>
      </c>
      <c r="AT13" s="10" t="n">
        <f aca="false">IF(Flows!AT10*AT$3*AT$4&lt;0.002,100,MAX($CM$2/(Flows!AT10*AT$3*AT$4),1))</f>
        <v>2291.72128293994</v>
      </c>
      <c r="AU13" s="10" t="n">
        <f aca="false">IF(Flows!AU10*AU$3*AU$4&lt;0.002,100,MAX($CM$2/(Flows!AU10*AU$3*AU$4),1))</f>
        <v>3708.41844107448</v>
      </c>
      <c r="AV13" s="10" t="n">
        <f aca="false">IF(Flows!AV10*AV$3*AV$4&lt;0.002,100,MAX($CM$2/(Flows!AV10*AV$3*AV$4),1))</f>
        <v>27422.9537004783</v>
      </c>
      <c r="AW13" s="10" t="n">
        <f aca="false">IF(Flows!AW10*AW$3*AW$4&lt;0.002,100,MAX($CM$2/(Flows!AW10*AW$3*AW$4),1))</f>
        <v>46.2893887859862</v>
      </c>
      <c r="AX13" s="10" t="n">
        <f aca="false">IF(Flows!AX10*AX$3*AX$4&lt;0.002,100,MAX($CM$2/(Flows!AX10*AX$3*AX$4),1))</f>
        <v>8678.8673630979</v>
      </c>
      <c r="AY13" s="10" t="n">
        <f aca="false">IF(Flows!AY10*AY$3*AY$4&lt;0.002,100,MAX($CM$2/(Flows!AY10*AY$3*AY$4),1))</f>
        <v>2034.3288916191</v>
      </c>
      <c r="AZ13" s="10" t="n">
        <f aca="false">IF(Flows!AZ10*AZ$3*AZ$4&lt;0.002,100,MAX($CM$2/(Flows!AZ10*AZ$3*AZ$4),1))</f>
        <v>582.926236684556</v>
      </c>
      <c r="BA13" s="10" t="n">
        <f aca="false">IF(Flows!BA10*BA$3*BA$4&lt;0.002,100,MAX($CM$2/(Flows!BA10*BA$3*BA$4),1))</f>
        <v>8268.8276267178</v>
      </c>
      <c r="BB13" s="10" t="n">
        <f aca="false">IF(Flows!BB10*BB$3*BB$4&lt;0.002,100,MAX($CM$2/(Flows!BB10*BB$3*BB$4),1))</f>
        <v>11591.5857203031</v>
      </c>
      <c r="BC13" s="10" t="n">
        <f aca="false">IF(Flows!BC10*BC$3*BC$4&lt;0.002,100,MAX($CM$2/(Flows!BC10*BC$3*BC$4),1))</f>
        <v>5023.23678202746</v>
      </c>
      <c r="BD13" s="10" t="n">
        <f aca="false">IF(Flows!BD10*BD$3*BD$4&lt;0.002,100,MAX($CM$2/(Flows!BD10*BD$3*BD$4),1))</f>
        <v>21108.1943611536</v>
      </c>
      <c r="BE13" s="10" t="n">
        <f aca="false">IF(Flows!BE10*BE$3*BE$4&lt;0.002,100,MAX($CM$2/(Flows!BE10*BE$3*BE$4),1))</f>
        <v>40504.3177168496</v>
      </c>
      <c r="BF13" s="10" t="n">
        <f aca="false">IF(Flows!BF10*BF$3*BF$4&lt;0.002,100,MAX($CM$2/(Flows!BF10*BF$3*BF$4),1))</f>
        <v>3109.29715291881</v>
      </c>
      <c r="BG13" s="10" t="n">
        <f aca="false">IF(Flows!BG10*BG$3*BG$4&lt;0.002,100,MAX($CM$2/(Flows!BG10*BG$3*BG$4),1))</f>
        <v>977.323020967636</v>
      </c>
      <c r="BH13" s="10" t="n">
        <f aca="false">IF(Flows!BH10*BH$3*BH$4&lt;0.002,100,MAX($CM$2/(Flows!BH10*BH$3*BH$4),1))</f>
        <v>2594230.81057677</v>
      </c>
      <c r="BI13" s="10" t="n">
        <f aca="false">IF(Flows!BI10*BI$3*BI$4&lt;0.002,100,MAX($CM$2/(Flows!BI10*BI$3*BI$4),1))</f>
        <v>660.54145927065</v>
      </c>
      <c r="BJ13" s="10" t="n">
        <f aca="false">IF(Flows!BJ10*BJ$3*BJ$4&lt;0.002,100,MAX($CM$2/(Flows!BJ10*BJ$3*BJ$4),1))</f>
        <v>6.60983575632065</v>
      </c>
      <c r="BK13" s="10" t="n">
        <f aca="false">IF(Flows!BK10*BK$3*BK$4&lt;0.002,100,MAX($CM$2/(Flows!BK10*BK$3*BK$4),1))</f>
        <v>1321.0829185413</v>
      </c>
      <c r="BL13" s="10" t="n">
        <f aca="false">IF(Flows!BL10*BL$3*BL$4&lt;0.002,100,MAX($CM$2/(Flows!BL10*BL$3*BL$4),1))</f>
        <v>407.72790986004</v>
      </c>
      <c r="BM13" s="10" t="n">
        <f aca="false">IF(Flows!BM10*BM$3*BM$4&lt;0.002,100,MAX($CM$2/(Flows!BM10*BM$3*BM$4),1))</f>
        <v>125.04374330793</v>
      </c>
      <c r="BN13" s="10" t="n">
        <f aca="false">IF(Flows!BN10*BN$3*BN$4&lt;0.002,100,MAX($CM$2/(Flows!BN10*BN$3*BN$4),1))</f>
        <v>1</v>
      </c>
      <c r="BO13" s="10" t="n">
        <f aca="false">IF(Flows!BO10*BO$3*BO$4&lt;0.002,100,MAX($CM$2/(Flows!BO10*BO$3*BO$4),1))</f>
        <v>118.416062305019</v>
      </c>
      <c r="BP13" s="10" t="n">
        <f aca="false">IF(Flows!BP10*BP$3*BP$4&lt;0.002,100,MAX($CM$2/(Flows!BP10*BP$3*BP$4),1))</f>
        <v>158.613788619304</v>
      </c>
      <c r="BQ13" s="10" t="n">
        <f aca="false">IF(Flows!BQ10*BQ$3*BQ$4&lt;0.002,100,MAX($CM$2/(Flows!BQ10*BQ$3*BQ$4),1))</f>
        <v>1.09307134435402</v>
      </c>
      <c r="BR13" s="10" t="n">
        <f aca="false">IF(Flows!BR10*BR$3*BR$4&lt;0.002,100,MAX($CM$2/(Flows!BR10*BR$3*BR$4),1))</f>
        <v>3552.48186915058</v>
      </c>
      <c r="BS13" s="10" t="n">
        <f aca="false">IF(Flows!BS10*BS$3*BS$4&lt;0.002,100,MAX($CM$2/(Flows!BS10*BS$3*BS$4),1))</f>
        <v>35524.8265603182</v>
      </c>
      <c r="BT13" s="10" t="n">
        <f aca="false">IF(Flows!BT10*BT$3*BT$4&lt;0.002,100,MAX($CM$2/(Flows!BT10*BT$3*BT$4),1))</f>
        <v>17.4427710889312</v>
      </c>
      <c r="BU13" s="10" t="n">
        <f aca="false">IF(Flows!BU10*BU$3*BU$4&lt;0.002,100,MAX($CM$2/(Flows!BU10*BU$3*BU$4),1))</f>
        <v>174.427710889312</v>
      </c>
      <c r="BV13" s="10" t="n">
        <f aca="false">IF(Flows!BV10*BV$3*BV$4&lt;0.002,100,MAX($CM$2/(Flows!BV10*BV$3*BV$4),1))</f>
        <v>1744.27710889312</v>
      </c>
      <c r="BW13" s="10" t="n">
        <f aca="false">IF(Flows!BW10*BW$3*BW$4&lt;0.002,100,MAX($CM$2/(Flows!BW10*BW$3*BW$4),1))</f>
        <v>79.656698448162</v>
      </c>
      <c r="BX13" s="10" t="n">
        <f aca="false">IF(Flows!BX10*BX$3*BX$4&lt;0.002,100,MAX($CM$2/(Flows!BX10*BX$3*BX$4),1))</f>
        <v>799.106044431233</v>
      </c>
      <c r="BY13" s="10" t="n">
        <f aca="false">IF(Flows!BY10*BY$3*BY$4&lt;0.002,100,MAX($CM$2/(Flows!BY10*BY$3*BY$4),1))</f>
        <v>97.8753053735712</v>
      </c>
      <c r="BZ13" s="10" t="n">
        <f aca="false">IF(Flows!BZ10*BZ$3*BZ$4&lt;0.002,100,MAX($CM$2/(Flows!BZ10*BZ$3*BZ$4),1))</f>
        <v>587052.074881722</v>
      </c>
      <c r="CA13" s="10" t="n">
        <f aca="false">IF(Flows!CA10*CA$3*CA$4&lt;0.002,100,MAX($CM$2/(Flows!CA10*CA$3*CA$4),1))</f>
        <v>53167.8889128412</v>
      </c>
      <c r="CB13" s="10" t="n">
        <f aca="false">IF(Flows!CB10*CB$3*CB$4&lt;0.002,100,MAX($CM$2/(Flows!CB10*CB$3*CB$4),1))</f>
        <v>231.32733154968</v>
      </c>
      <c r="CC13" s="10" t="n">
        <f aca="false">IF(Flows!CC10*CC$3*CC$4&lt;0.002,100,MAX($CM$2/(Flows!CC10*CC$3*CC$4),1))</f>
        <v>133.360668645301</v>
      </c>
      <c r="CD13" s="10" t="n">
        <f aca="false">IF(Flows!CD10*CD$3*CD$4&lt;0.002,100,MAX($CM$2/(Flows!CD10*CD$3*CD$4),1))</f>
        <v>217.159285477049</v>
      </c>
      <c r="CE13" s="10" t="n">
        <f aca="false">IF(Flows!CE10*CE$3*CE$4&lt;0.002,100,MAX($CM$2/(Flows!CE10*CE$3*CE$4),1))</f>
        <v>219.972249936303</v>
      </c>
      <c r="CF13" s="10" t="n">
        <f aca="false">IF(Flows!CF10*CF$3*CF$4&lt;0.002,100,MAX($CM$2/(Flows!CF10*CF$3*CF$4),1))</f>
        <v>1</v>
      </c>
      <c r="CG13" s="10" t="n">
        <f aca="false">IF(Flows!CG10*CG$3*CG$4&lt;0.002,100,MAX($CM$2/(Flows!CG10*CG$3*CG$4),1))</f>
        <v>11.5021056768337</v>
      </c>
      <c r="CH13" s="10" t="n">
        <f aca="false">IF(Flows!CH10*CH$3*CH$4&lt;0.002,100,MAX($CM$2/(Flows!CH10*CH$3*CH$4),1))</f>
        <v>9.1788134441637</v>
      </c>
      <c r="CI13" s="10" t="n">
        <f aca="false">IF(Flows!CI10*CI$3*CI$4&lt;0.002,100,MAX($CM$2/(Flows!CI10*CI$3*CI$4),1))</f>
        <v>432.233669451449</v>
      </c>
      <c r="CJ13" s="10" t="n">
        <f aca="false">IF(Flows!CJ10*CJ$3*CJ$4&lt;0.002,100,MAX($CM$2/(Flows!CJ10*CJ$3*CJ$4),1))</f>
        <v>5568.9115330189</v>
      </c>
      <c r="CK13" s="10" t="n">
        <f aca="false">IF(Flows!CK10*CK$3*CK$4&lt;0.002,100,MAX($CM$2/(Flows!CK10*CK$3*CK$4),1))</f>
        <v>3614.29145914028</v>
      </c>
      <c r="CL13" s="7" t="s">
        <v>39</v>
      </c>
    </row>
    <row r="14" customFormat="false" ht="12.8" hidden="false" customHeight="false" outlineLevel="0" collapsed="false">
      <c r="A14" s="7" t="s">
        <v>143</v>
      </c>
      <c r="B14" s="7" t="s">
        <v>39</v>
      </c>
      <c r="C14" s="10" t="n">
        <f aca="false">IF(Flows!C11*C$3*C$4&lt;0.002,100,MAX($CM$2/(Flows!C11*C$3*C$4),1))</f>
        <v>12709.5988937653</v>
      </c>
      <c r="D14" s="10" t="n">
        <f aca="false">IF(Flows!D11*D$3*D$4&lt;0.002,100,MAX($CM$2/(Flows!D11*D$3*D$4),1))</f>
        <v>1.86256830862317</v>
      </c>
      <c r="E14" s="10" t="n">
        <f aca="false">IF(Flows!E11*E$3*E$4&lt;0.002,100,MAX($CM$2/(Flows!E11*E$3*E$4),1))</f>
        <v>3.7254149327974</v>
      </c>
      <c r="F14" s="10" t="n">
        <f aca="false">IF(Flows!F11*F$3*F$4&lt;0.002,100,MAX($CM$2/(Flows!F11*F$3*F$4),1))</f>
        <v>10.3879628532236</v>
      </c>
      <c r="G14" s="10" t="n">
        <f aca="false">IF(Flows!G11*G$3*G$4&lt;0.002,100,MAX($CM$2/(Flows!G11*G$3*G$4),1))</f>
        <v>3.13745398756829</v>
      </c>
      <c r="H14" s="10" t="n">
        <f aca="false">IF(Flows!H11*H$3*H$4&lt;0.002,100,MAX($CM$2/(Flows!H11*H$3*H$4),1))</f>
        <v>717.901356114266</v>
      </c>
      <c r="I14" s="10" t="n">
        <f aca="false">IF(Flows!I11*I$3*I$4&lt;0.002,100,MAX($CM$2/(Flows!I11*I$3*I$4),1))</f>
        <v>2034.16998860694</v>
      </c>
      <c r="J14" s="10" t="n">
        <f aca="false">IF(Flows!J11*J$3*J$4&lt;0.002,100,MAX($CM$2/(Flows!J11*J$3*J$4),1))</f>
        <v>2775.19737112926</v>
      </c>
      <c r="K14" s="10" t="n">
        <f aca="false">IF(Flows!K11*K$3*K$4&lt;0.002,100,MAX($CM$2/(Flows!K11*K$3*K$4),1))</f>
        <v>12179.032986981</v>
      </c>
      <c r="L14" s="10" t="n">
        <f aca="false">IF(Flows!L11*L$3*L$4&lt;0.002,100,MAX($CM$2/(Flows!L11*L$3*L$4),1))</f>
        <v>68480.5218350414</v>
      </c>
      <c r="M14" s="10" t="n">
        <f aca="false">IF(Flows!M11*M$3*M$4&lt;0.002,100,MAX($CM$2/(Flows!M11*M$3*M$4),1))</f>
        <v>50253.7570759131</v>
      </c>
      <c r="N14" s="10" t="n">
        <f aca="false">IF(Flows!N11*N$3*N$4&lt;0.002,100,MAX($CM$2/(Flows!N11*N$3*N$4),1))</f>
        <v>1.69694777275265</v>
      </c>
      <c r="O14" s="10" t="n">
        <f aca="false">IF(Flows!O11*O$3*O$4&lt;0.002,100,MAX($CM$2/(Flows!O11*O$3*O$4),1))</f>
        <v>2.32503806034477</v>
      </c>
      <c r="P14" s="10" t="n">
        <f aca="false">IF(Flows!P11*P$3*P$4&lt;0.002,100,MAX($CM$2/(Flows!P11*P$3*P$4),1))</f>
        <v>1.39502283620686</v>
      </c>
      <c r="Q14" s="10" t="n">
        <f aca="false">IF(Flows!Q11*Q$3*Q$4&lt;0.002,100,MAX($CM$2/(Flows!Q11*Q$3*Q$4),1))</f>
        <v>200.011657105537</v>
      </c>
      <c r="R14" s="10" t="n">
        <f aca="false">IF(Flows!R11*R$3*R$4&lt;0.002,100,MAX($CM$2/(Flows!R11*R$3*R$4),1))</f>
        <v>33.3672136629616</v>
      </c>
      <c r="S14" s="10" t="n">
        <f aca="false">IF(Flows!S11*S$3*S$4&lt;0.002,100,MAX($CM$2/(Flows!S11*S$3*S$4),1))</f>
        <v>586.975901443211</v>
      </c>
      <c r="T14" s="10" t="n">
        <f aca="false">IF(Flows!T11*T$3*T$4&lt;0.002,100,MAX($CM$2/(Flows!T11*T$3*T$4),1))</f>
        <v>1050.22649032731</v>
      </c>
      <c r="U14" s="10" t="n">
        <f aca="false">IF(Flows!U11*U$3*U$4&lt;0.002,100,MAX($CM$2/(Flows!U11*U$3*U$4),1))</f>
        <v>3350.25047172754</v>
      </c>
      <c r="V14" s="10" t="n">
        <f aca="false">IF(Flows!V11*V$3*V$4&lt;0.002,100,MAX($CM$2/(Flows!V11*V$3*V$4),1))</f>
        <v>131.898910660104</v>
      </c>
      <c r="W14" s="10" t="n">
        <f aca="false">IF(Flows!W11*W$3*W$4&lt;0.002,100,MAX($CM$2/(Flows!W11*W$3*W$4),1))</f>
        <v>3.30024106680827</v>
      </c>
      <c r="X14" s="10" t="n">
        <f aca="false">IF(Flows!X11*X$3*X$4&lt;0.002,100,MAX($CM$2/(Flows!X11*X$3*X$4),1))</f>
        <v>3.72434906943465</v>
      </c>
      <c r="Y14" s="10" t="n">
        <f aca="false">IF(Flows!Y11*Y$3*Y$4&lt;0.002,100,MAX($CM$2/(Flows!Y11*Y$3*Y$4),1))</f>
        <v>342.402609175207</v>
      </c>
      <c r="Z14" s="10" t="n">
        <f aca="false">IF(Flows!Z11*Z$3*Z$4&lt;0.002,100,MAX($CM$2/(Flows!Z11*Z$3*Z$4),1))</f>
        <v>2831.82161254484</v>
      </c>
      <c r="AA14" s="10" t="n">
        <f aca="false">IF(Flows!AA11*AA$3*AA$4&lt;0.002,100,MAX($CM$2/(Flows!AA11*AA$3*AA$4),1))</f>
        <v>4581.65830284229</v>
      </c>
      <c r="AB14" s="10" t="n">
        <f aca="false">IF(Flows!AB11*AB$3*AB$4&lt;0.002,100,MAX($CM$2/(Flows!AB11*AB$3*AB$4),1))</f>
        <v>4661.2091127132</v>
      </c>
      <c r="AC14" s="10" t="n">
        <f aca="false">IF(Flows!AC11*AC$3*AC$4&lt;0.002,100,MAX($CM$2/(Flows!AC11*AC$3*AC$4),1))</f>
        <v>29916.3106285955</v>
      </c>
      <c r="AD14" s="10" t="n">
        <f aca="false">IF(Flows!AD11*AD$3*AD$4&lt;0.002,100,MAX($CM$2/(Flows!AD11*AD$3*AD$4),1))</f>
        <v>29361.9965817612</v>
      </c>
      <c r="AE14" s="10" t="n">
        <f aca="false">IF(Flows!AE11*AE$3*AE$4&lt;0.002,100,MAX($CM$2/(Flows!AE11*AE$3*AE$4),1))</f>
        <v>98651.7056968787</v>
      </c>
      <c r="AF14" s="10" t="n">
        <f aca="false">IF(Flows!AF11*AF$3*AF$4&lt;0.002,100,MAX($CM$2/(Flows!AF11*AF$3*AF$4),1))</f>
        <v>374.521301923812</v>
      </c>
      <c r="AG14" s="10" t="n">
        <f aca="false">IF(Flows!AG11*AG$3*AG$4&lt;0.002,100,MAX($CM$2/(Flows!AG11*AG$3*AG$4),1))</f>
        <v>396.823811316294</v>
      </c>
      <c r="AH14" s="10" t="n">
        <f aca="false">IF(Flows!AH11*AH$3*AH$4&lt;0.002,100,MAX($CM$2/(Flows!AH11*AH$3*AH$4),1))</f>
        <v>210.223669343415</v>
      </c>
      <c r="AI14" s="10" t="n">
        <f aca="false">IF(Flows!AI11*AI$3*AI$4&lt;0.002,100,MAX($CM$2/(Flows!AI11*AI$3*AI$4),1))</f>
        <v>1195.44380242111</v>
      </c>
      <c r="AJ14" s="10" t="n">
        <f aca="false">IF(Flows!AJ11*AJ$3*AJ$4&lt;0.002,100,MAX($CM$2/(Flows!AJ11*AJ$3*AJ$4),1))</f>
        <v>525.356067097821</v>
      </c>
      <c r="AK14" s="10" t="n">
        <f aca="false">IF(Flows!AK11*AK$3*AK$4&lt;0.002,100,MAX($CM$2/(Flows!AK11*AK$3*AK$4),1))</f>
        <v>182.227062226297</v>
      </c>
      <c r="AL14" s="10" t="n">
        <f aca="false">IF(Flows!AL11*AL$3*AL$4&lt;0.002,100,MAX($CM$2/(Flows!AL11*AL$3*AL$4),1))</f>
        <v>381.106926116108</v>
      </c>
      <c r="AM14" s="10" t="n">
        <f aca="false">IF(Flows!AM11*AM$3*AM$4&lt;0.002,100,MAX($CM$2/(Flows!AM11*AM$3*AM$4),1))</f>
        <v>815.744508225014</v>
      </c>
      <c r="AN14" s="10" t="n">
        <f aca="false">IF(Flows!AN11*AN$3*AN$4&lt;0.002,100,MAX($CM$2/(Flows!AN11*AN$3*AN$4),1))</f>
        <v>820.793588068085</v>
      </c>
      <c r="AO14" s="10" t="n">
        <f aca="false">IF(Flows!AO11*AO$3*AO$4&lt;0.002,100,MAX($CM$2/(Flows!AO11*AO$3*AO$4),1))</f>
        <v>7390.37886393765</v>
      </c>
      <c r="AP14" s="10" t="n">
        <f aca="false">IF(Flows!AP11*AP$3*AP$4&lt;0.002,100,MAX($CM$2/(Flows!AP11*AP$3*AP$4),1))</f>
        <v>21107.4193429094</v>
      </c>
      <c r="AQ14" s="10" t="n">
        <f aca="false">IF(Flows!AQ11*AQ$3*AQ$4&lt;0.002,100,MAX($CM$2/(Flows!AQ11*AQ$3*AQ$4),1))</f>
        <v>5810.75963792916</v>
      </c>
      <c r="AR14" s="10" t="n">
        <f aca="false">IF(Flows!AR11*AR$3*AR$4&lt;0.002,100,MAX($CM$2/(Flows!AR11*AR$3*AR$4),1))</f>
        <v>9094.3484629131</v>
      </c>
      <c r="AS14" s="10" t="n">
        <f aca="false">IF(Flows!AS11*AS$3*AS$4&lt;0.002,100,MAX($CM$2/(Flows!AS11*AS$3*AS$4),1))</f>
        <v>1117.99908282542</v>
      </c>
      <c r="AT14" s="10" t="n">
        <f aca="false">IF(Flows!AT11*AT$3*AT$4&lt;0.002,100,MAX($CM$2/(Flows!AT11*AT$3*AT$4),1))</f>
        <v>300.337903554305</v>
      </c>
      <c r="AU14" s="10" t="n">
        <f aca="false">IF(Flows!AU11*AU$3*AU$4&lt;0.002,100,MAX($CM$2/(Flows!AU11*AU$3*AU$4),1))</f>
        <v>589.526069952837</v>
      </c>
      <c r="AV14" s="10" t="n">
        <f aca="false">IF(Flows!AV11*AV$3*AV$4&lt;0.002,100,MAX($CM$2/(Flows!AV11*AV$3*AV$4),1))</f>
        <v>4659.93117000131</v>
      </c>
      <c r="AW14" s="10" t="n">
        <f aca="false">IF(Flows!AW11*AW$3*AW$4&lt;0.002,100,MAX($CM$2/(Flows!AW11*AW$3*AW$4),1))</f>
        <v>9.55855020117687</v>
      </c>
      <c r="AX14" s="10" t="n">
        <f aca="false">IF(Flows!AX11*AX$3*AX$4&lt;0.002,100,MAX($CM$2/(Flows!AX11*AX$3*AX$4),1))</f>
        <v>2131.92627312696</v>
      </c>
      <c r="AY14" s="10" t="n">
        <f aca="false">IF(Flows!AY11*AY$3*AY$4&lt;0.002,100,MAX($CM$2/(Flows!AY11*AY$3*AY$4),1))</f>
        <v>233.973015481195</v>
      </c>
      <c r="AZ14" s="10" t="n">
        <f aca="false">IF(Flows!AZ11*AZ$3*AZ$4&lt;0.002,100,MAX($CM$2/(Flows!AZ11*AZ$3*AZ$4),1))</f>
        <v>68.9018198593743</v>
      </c>
      <c r="BA14" s="10" t="n">
        <f aca="false">IF(Flows!BA11*BA$3*BA$4&lt;0.002,100,MAX($CM$2/(Flows!BA11*BA$3*BA$4),1))</f>
        <v>3492.50661358711</v>
      </c>
      <c r="BB14" s="10" t="n">
        <f aca="false">IF(Flows!BB11*BB$3*BB$4&lt;0.002,100,MAX($CM$2/(Flows!BB11*BB$3*BB$4),1))</f>
        <v>1683.8251703374</v>
      </c>
      <c r="BC14" s="10" t="n">
        <f aca="false">IF(Flows!BC11*BC$3*BC$4&lt;0.002,100,MAX($CM$2/(Flows!BC11*BC$3*BC$4),1))</f>
        <v>701.403403546523</v>
      </c>
      <c r="BD14" s="10" t="n">
        <f aca="false">IF(Flows!BD11*BD$3*BD$4&lt;0.002,100,MAX($CM$2/(Flows!BD11*BD$3*BD$4),1))</f>
        <v>2683.22183101239</v>
      </c>
      <c r="BE14" s="10" t="n">
        <f aca="false">IF(Flows!BE11*BE$3*BE$4&lt;0.002,100,MAX($CM$2/(Flows!BE11*BE$3*BE$4),1))</f>
        <v>5787.06134234601</v>
      </c>
      <c r="BF14" s="10" t="n">
        <f aca="false">IF(Flows!BF11*BF$3*BF$4&lt;0.002,100,MAX($CM$2/(Flows!BF11*BF$3*BF$4),1))</f>
        <v>841.049793748565</v>
      </c>
      <c r="BG14" s="10" t="n">
        <f aca="false">IF(Flows!BG11*BG$3*BG$4&lt;0.002,100,MAX($CM$2/(Flows!BG11*BG$3*BG$4),1))</f>
        <v>218.77691006685</v>
      </c>
      <c r="BH14" s="10" t="n">
        <f aca="false">IF(Flows!BH11*BH$3*BH$4&lt;0.002,100,MAX($CM$2/(Flows!BH11*BH$3*BH$4),1))</f>
        <v>114.076927756027</v>
      </c>
      <c r="BI14" s="10" t="n">
        <f aca="false">IF(Flows!BI11*BI$3*BI$4&lt;0.002,100,MAX($CM$2/(Flows!BI11*BI$3*BI$4),1))</f>
        <v>72.1696084286908</v>
      </c>
      <c r="BJ14" s="10" t="n">
        <f aca="false">IF(Flows!BJ11*BJ$3*BJ$4&lt;0.002,100,MAX($CM$2/(Flows!BJ11*BJ$3*BJ$4),1))</f>
        <v>40.6589599941686</v>
      </c>
      <c r="BK14" s="10" t="n">
        <f aca="false">IF(Flows!BK11*BK$3*BK$4&lt;0.002,100,MAX($CM$2/(Flows!BK11*BK$3*BK$4),1))</f>
        <v>144.339216857382</v>
      </c>
      <c r="BL14" s="10" t="n">
        <f aca="false">IF(Flows!BL11*BL$3*BL$4&lt;0.002,100,MAX($CM$2/(Flows!BL11*BL$3*BL$4),1))</f>
        <v>128.5600443517</v>
      </c>
      <c r="BM14" s="10" t="n">
        <f aca="false">IF(Flows!BM11*BM$3*BM$4&lt;0.002,100,MAX($CM$2/(Flows!BM11*BM$3*BM$4),1))</f>
        <v>26.9130760515327</v>
      </c>
      <c r="BN14" s="10" t="n">
        <f aca="false">IF(Flows!BN11*BN$3*BN$4&lt;0.002,100,MAX($CM$2/(Flows!BN11*BN$3*BN$4),1))</f>
        <v>354888.226206356</v>
      </c>
      <c r="BO14" s="10" t="n">
        <f aca="false">IF(Flows!BO11*BO$3*BO$4&lt;0.002,100,MAX($CM$2/(Flows!BO11*BO$3*BO$4),1))</f>
        <v>59148037.7010593</v>
      </c>
      <c r="BP14" s="10" t="n">
        <f aca="false">IF(Flows!BP11*BP$3*BP$4&lt;0.002,100,MAX($CM$2/(Flows!BP11*BP$3*BP$4),1))</f>
        <v>18202540276.7865</v>
      </c>
      <c r="BQ14" s="10" t="n">
        <f aca="false">IF(Flows!BQ11*BQ$3*BQ$4&lt;0.002,100,MAX($CM$2/(Flows!BQ11*BQ$3*BQ$4),1))</f>
        <v>545981.886471316</v>
      </c>
      <c r="BR14" s="10" t="n">
        <f aca="false">IF(Flows!BR11*BR$3*BR$4&lt;0.002,100,MAX($CM$2/(Flows!BR11*BR$3*BR$4),1))</f>
        <v>591480377.010593</v>
      </c>
      <c r="BS14" s="10" t="n">
        <f aca="false">IF(Flows!BS11*BS$3*BS$4&lt;0.002,100,MAX($CM$2/(Flows!BS11*BS$3*BS$4),1))</f>
        <v>2957402944.29954</v>
      </c>
      <c r="BT14" s="10" t="n">
        <f aca="false">IF(Flows!BT11*BT$3*BT$4&lt;0.002,100,MAX($CM$2/(Flows!BT11*BT$3*BT$4),1))</f>
        <v>1.22026290072455</v>
      </c>
      <c r="BU14" s="10" t="n">
        <f aca="false">IF(Flows!BU11*BU$3*BU$4&lt;0.002,100,MAX($CM$2/(Flows!BU11*BU$3*BU$4),1))</f>
        <v>12.2026290072455</v>
      </c>
      <c r="BV14" s="10" t="n">
        <f aca="false">IF(Flows!BV11*BV$3*BV$4&lt;0.002,100,MAX($CM$2/(Flows!BV11*BV$3*BV$4),1))</f>
        <v>122.026290072455</v>
      </c>
      <c r="BW14" s="10" t="n">
        <f aca="false">IF(Flows!BW11*BW$3*BW$4&lt;0.002,100,MAX($CM$2/(Flows!BW11*BW$3*BW$4),1))</f>
        <v>15.0879809153872</v>
      </c>
      <c r="BX14" s="10" t="n">
        <f aca="false">IF(Flows!BX11*BX$3*BX$4&lt;0.002,100,MAX($CM$2/(Flows!BX11*BX$3*BX$4),1))</f>
        <v>5.8474244948185</v>
      </c>
      <c r="BY14" s="10" t="n">
        <f aca="false">IF(Flows!BY11*BY$3*BY$4&lt;0.002,100,MAX($CM$2/(Flows!BY11*BY$3*BY$4),1))</f>
        <v>7.49173205409194</v>
      </c>
      <c r="BZ14" s="10" t="n">
        <f aca="false">IF(Flows!BZ11*BZ$3*BZ$4&lt;0.002,100,MAX($CM$2/(Flows!BZ11*BZ$3*BZ$4),1))</f>
        <v>75894.3374557627</v>
      </c>
      <c r="CA14" s="10" t="n">
        <f aca="false">IF(Flows!CA11*CA$3*CA$4&lt;0.002,100,MAX($CM$2/(Flows!CA11*CA$3*CA$4),1))</f>
        <v>42936.7723196833</v>
      </c>
      <c r="CB14" s="10" t="n">
        <f aca="false">IF(Flows!CB11*CB$3*CB$4&lt;0.002,100,MAX($CM$2/(Flows!CB11*CB$3*CB$4),1))</f>
        <v>22.9208489657876</v>
      </c>
      <c r="CC14" s="10" t="n">
        <f aca="false">IF(Flows!CC11*CC$3*CC$4&lt;0.002,100,MAX($CM$2/(Flows!CC11*CC$3*CC$4),1))</f>
        <v>24.6024281461561</v>
      </c>
      <c r="CD14" s="10" t="n">
        <f aca="false">IF(Flows!CD11*CD$3*CD$4&lt;0.002,100,MAX($CM$2/(Flows!CD11*CD$3*CD$4),1))</f>
        <v>52.7940787487796</v>
      </c>
      <c r="CE14" s="10" t="n">
        <f aca="false">IF(Flows!CE11*CE$3*CE$4&lt;0.002,100,MAX($CM$2/(Flows!CE11*CE$3*CE$4),1))</f>
        <v>27.5992276445658</v>
      </c>
      <c r="CF14" s="10" t="n">
        <f aca="false">IF(Flows!CF11*CF$3*CF$4&lt;0.002,100,MAX($CM$2/(Flows!CF11*CF$3*CF$4),1))</f>
        <v>1</v>
      </c>
      <c r="CG14" s="10" t="n">
        <f aca="false">IF(Flows!CG11*CG$3*CG$4&lt;0.002,100,MAX($CM$2/(Flows!CG11*CG$3*CG$4),1))</f>
        <v>1279375.76383835</v>
      </c>
      <c r="CH14" s="10" t="n">
        <f aca="false">IF(Flows!CH11*CH$3*CH$4&lt;0.002,100,MAX($CM$2/(Flows!CH11*CH$3*CH$4),1))</f>
        <v>8887558.78241641</v>
      </c>
      <c r="CI14" s="10" t="n">
        <f aca="false">IF(Flows!CI11*CI$3*CI$4&lt;0.002,100,MAX($CM$2/(Flows!CI11*CI$3*CI$4),1))</f>
        <v>181.302002478968</v>
      </c>
      <c r="CJ14" s="10" t="n">
        <f aca="false">IF(Flows!CJ11*CJ$3*CJ$4&lt;0.002,100,MAX($CM$2/(Flows!CJ11*CJ$3*CJ$4),1))</f>
        <v>887.435788692635</v>
      </c>
      <c r="CK14" s="10" t="n">
        <f aca="false">IF(Flows!CK11*CK$3*CK$4&lt;0.002,100,MAX($CM$2/(Flows!CK11*CK$3*CK$4),1))</f>
        <v>2074.67941669824</v>
      </c>
      <c r="CL14" s="7" t="s">
        <v>320</v>
      </c>
    </row>
    <row r="15" customFormat="false" ht="12.8" hidden="false" customHeight="false" outlineLevel="0" collapsed="false">
      <c r="A15" s="7" t="s">
        <v>144</v>
      </c>
      <c r="B15" s="7" t="s">
        <v>39</v>
      </c>
      <c r="C15" s="10" t="n">
        <f aca="false">IF(Flows!C12*C$3*C$4&lt;0.002,100,MAX($CM$2/(Flows!C12*C$3*C$4),1))</f>
        <v>85957.3215013494</v>
      </c>
      <c r="D15" s="10" t="n">
        <f aca="false">IF(Flows!D12*D$3*D$4&lt;0.002,100,MAX($CM$2/(Flows!D12*D$3*D$4),1))</f>
        <v>23.1659692185034</v>
      </c>
      <c r="E15" s="10" t="n">
        <f aca="false">IF(Flows!E12*E$3*E$4&lt;0.002,100,MAX($CM$2/(Flows!E12*E$3*E$4),1))</f>
        <v>32.6391161253681</v>
      </c>
      <c r="F15" s="10" t="n">
        <f aca="false">IF(Flows!F12*F$3*F$4&lt;0.002,100,MAX($CM$2/(Flows!F12*F$3*F$4),1))</f>
        <v>63.4437655648718</v>
      </c>
      <c r="G15" s="10" t="n">
        <f aca="false">IF(Flows!G12*G$3*G$4&lt;0.002,100,MAX($CM$2/(Flows!G12*G$3*G$4),1))</f>
        <v>57.4929767090186</v>
      </c>
      <c r="H15" s="10" t="n">
        <f aca="false">IF(Flows!H12*H$3*H$4&lt;0.002,100,MAX($CM$2/(Flows!H12*H$3*H$4),1))</f>
        <v>62550.1628442564</v>
      </c>
      <c r="I15" s="10" t="n">
        <f aca="false">IF(Flows!I12*I$3*I$4&lt;0.002,100,MAX($CM$2/(Flows!I12*I$3*I$4),1))</f>
        <v>2077.44966499769</v>
      </c>
      <c r="J15" s="10" t="n">
        <f aca="false">IF(Flows!J12*J$3*J$4&lt;0.002,100,MAX($CM$2/(Flows!J12*J$3*J$4),1))</f>
        <v>2262.09846765582</v>
      </c>
      <c r="K15" s="10" t="n">
        <f aca="false">IF(Flows!K12*K$3*K$4&lt;0.002,100,MAX($CM$2/(Flows!K12*K$3*K$4),1))</f>
        <v>25795.8649211766</v>
      </c>
      <c r="L15" s="10" t="n">
        <f aca="false">IF(Flows!L12*L$3*L$4&lt;0.002,100,MAX($CM$2/(Flows!L12*L$3*L$4),1))</f>
        <v>146606.837691869</v>
      </c>
      <c r="M15" s="10" t="n">
        <f aca="false">IF(Flows!M12*M$3*M$4&lt;0.002,100,MAX($CM$2/(Flows!M12*M$3*M$4),1))</f>
        <v>107825.444207428</v>
      </c>
      <c r="N15" s="10" t="n">
        <f aca="false">IF(Flows!N12*N$3*N$4&lt;0.002,100,MAX($CM$2/(Flows!N12*N$3*N$4),1))</f>
        <v>33.8389916134989</v>
      </c>
      <c r="O15" s="10" t="n">
        <f aca="false">IF(Flows!O12*O$3*O$4&lt;0.002,100,MAX($CM$2/(Flows!O12*O$3*O$4),1))</f>
        <v>7.15032029674069</v>
      </c>
      <c r="P15" s="10" t="n">
        <f aca="false">IF(Flows!P12*P$3*P$4&lt;0.002,100,MAX($CM$2/(Flows!P12*P$3*P$4),1))</f>
        <v>4.29019217804441</v>
      </c>
      <c r="Q15" s="10" t="n">
        <f aca="false">IF(Flows!Q12*Q$3*Q$4&lt;0.002,100,MAX($CM$2/(Flows!Q12*Q$3*Q$4),1))</f>
        <v>809.157192749349</v>
      </c>
      <c r="R15" s="10" t="n">
        <f aca="false">IF(Flows!R12*R$3*R$4&lt;0.002,100,MAX($CM$2/(Flows!R12*R$3*R$4),1))</f>
        <v>70.6736025237715</v>
      </c>
      <c r="S15" s="10" t="n">
        <f aca="false">IF(Flows!S12*S$3*S$4&lt;0.002,100,MAX($CM$2/(Flows!S12*S$3*S$4),1))</f>
        <v>1256.63003735888</v>
      </c>
      <c r="T15" s="10" t="n">
        <f aca="false">IF(Flows!T12*T$3*T$4&lt;0.002,100,MAX($CM$2/(Flows!T12*T$3*T$4),1))</f>
        <v>2248.38217468623</v>
      </c>
      <c r="U15" s="10" t="n">
        <f aca="false">IF(Flows!U12*U$3*U$4&lt;0.002,100,MAX($CM$2/(Flows!U12*U$3*U$4),1))</f>
        <v>7188.36294716186</v>
      </c>
      <c r="V15" s="10" t="n">
        <f aca="false">IF(Flows!V12*V$3*V$4&lt;0.002,100,MAX($CM$2/(Flows!V12*V$3*V$4),1))</f>
        <v>720.377853992423</v>
      </c>
      <c r="W15" s="10" t="n">
        <f aca="false">IF(Flows!W12*W$3*W$4&lt;0.002,100,MAX($CM$2/(Flows!W12*W$3*W$4),1))</f>
        <v>18.5749802055218</v>
      </c>
      <c r="X15" s="10" t="n">
        <f aca="false">IF(Flows!X12*X$3*X$4&lt;0.002,100,MAX($CM$2/(Flows!X12*X$3*X$4),1))</f>
        <v>12.9575892533064</v>
      </c>
      <c r="Y15" s="10" t="n">
        <f aca="false">IF(Flows!Y12*Y$3*Y$4&lt;0.002,100,MAX($CM$2/(Flows!Y12*Y$3*Y$4),1))</f>
        <v>733.034188459347</v>
      </c>
      <c r="Z15" s="10" t="n">
        <f aca="false">IF(Flows!Z12*Z$3*Z$4&lt;0.002,100,MAX($CM$2/(Flows!Z12*Z$3*Z$4),1))</f>
        <v>499092.408900694</v>
      </c>
      <c r="AA15" s="10" t="n">
        <f aca="false">IF(Flows!AA12*AA$3*AA$4&lt;0.002,100,MAX($CM$2/(Flows!AA12*AA$3*AA$4),1))</f>
        <v>31504.5636995457</v>
      </c>
      <c r="AB15" s="10" t="n">
        <f aca="false">IF(Flows!AB12*AB$3*AB$4&lt;0.002,100,MAX($CM$2/(Flows!AB12*AB$3*AB$4),1))</f>
        <v>30630.6002983039</v>
      </c>
      <c r="AC15" s="10" t="n">
        <f aca="false">IF(Flows!AC12*AC$3*AC$4&lt;0.002,100,MAX($CM$2/(Flows!AC12*AC$3*AC$4),1))</f>
        <v>131308.153448811</v>
      </c>
      <c r="AD15" s="10" t="n">
        <f aca="false">IF(Flows!AD12*AD$3*AD$4&lt;0.002,100,MAX($CM$2/(Flows!AD12*AD$3*AD$4),1))</f>
        <v>192948.988021819</v>
      </c>
      <c r="AE15" s="10" t="n">
        <f aca="false">IF(Flows!AE12*AE$3*AE$4&lt;0.002,100,MAX($CM$2/(Flows!AE12*AE$3*AE$4),1))</f>
        <v>574204.050971922</v>
      </c>
      <c r="AF15" s="10" t="n">
        <f aca="false">IF(Flows!AF12*AF$3*AF$4&lt;0.002,100,MAX($CM$2/(Flows!AF12*AF$3*AF$4),1))</f>
        <v>1837.07230242229</v>
      </c>
      <c r="AG15" s="10" t="n">
        <f aca="false">IF(Flows!AG12*AG$3*AG$4&lt;0.002,100,MAX($CM$2/(Flows!AG12*AG$3*AG$4),1))</f>
        <v>2461.74659301165</v>
      </c>
      <c r="AH15" s="10" t="n">
        <f aca="false">IF(Flows!AH12*AH$3*AH$4&lt;0.002,100,MAX($CM$2/(Flows!AH12*AH$3*AH$4),1))</f>
        <v>1300.40076099724</v>
      </c>
      <c r="AI15" s="10" t="n">
        <f aca="false">IF(Flows!AI12*AI$3*AI$4&lt;0.002,100,MAX($CM$2/(Flows!AI12*AI$3*AI$4),1))</f>
        <v>6989.30305159529</v>
      </c>
      <c r="AJ15" s="10" t="n">
        <f aca="false">IF(Flows!AJ12*AJ$3*AJ$4&lt;0.002,100,MAX($CM$2/(Flows!AJ12*AJ$3*AJ$4),1))</f>
        <v>3114.48448333943</v>
      </c>
      <c r="AK15" s="10" t="n">
        <f aca="false">IF(Flows!AK12*AK$3*AK$4&lt;0.002,100,MAX($CM$2/(Flows!AK12*AK$3*AK$4),1))</f>
        <v>1064.01452750713</v>
      </c>
      <c r="AL15" s="10" t="n">
        <f aca="false">IF(Flows!AL12*AL$3*AL$4&lt;0.002,100,MAX($CM$2/(Flows!AL12*AL$3*AL$4),1))</f>
        <v>2052.90414235842</v>
      </c>
      <c r="AM15" s="10" t="n">
        <f aca="false">IF(Flows!AM12*AM$3*AM$4&lt;0.002,100,MAX($CM$2/(Flows!AM12*AM$3*AM$4),1))</f>
        <v>4220.0318263505</v>
      </c>
      <c r="AN15" s="10" t="n">
        <f aca="false">IF(Flows!AN12*AN$3*AN$4&lt;0.002,100,MAX($CM$2/(Flows!AN12*AN$3*AN$4),1))</f>
        <v>4510.22021958446</v>
      </c>
      <c r="AO15" s="10" t="n">
        <f aca="false">IF(Flows!AO12*AO$3*AO$4&lt;0.002,100,MAX($CM$2/(Flows!AO12*AO$3*AO$4),1))</f>
        <v>40811.40724273</v>
      </c>
      <c r="AP15" s="10" t="n">
        <f aca="false">IF(Flows!AP12*AP$3*AP$4&lt;0.002,100,MAX($CM$2/(Flows!AP12*AP$3*AP$4),1))</f>
        <v>114858.104840676</v>
      </c>
      <c r="AQ15" s="10" t="n">
        <f aca="false">IF(Flows!AQ12*AQ$3*AQ$4&lt;0.002,100,MAX($CM$2/(Flows!AQ12*AQ$3*AQ$4),1))</f>
        <v>39627.0621383437</v>
      </c>
      <c r="AR15" s="10" t="n">
        <f aca="false">IF(Flows!AR12*AR$3*AR$4&lt;0.002,100,MAX($CM$2/(Flows!AR12*AR$3*AR$4),1))</f>
        <v>55231.6941001971</v>
      </c>
      <c r="AS15" s="10" t="n">
        <f aca="false">IF(Flows!AS12*AS$3*AS$4&lt;0.002,100,MAX($CM$2/(Flows!AS12*AS$3*AS$4),1))</f>
        <v>6491.75120717509</v>
      </c>
      <c r="AT15" s="10" t="n">
        <f aca="false">IF(Flows!AT12*AT$3*AT$4&lt;0.002,100,MAX($CM$2/(Flows!AT12*AT$3*AT$4),1))</f>
        <v>1764.85071290935</v>
      </c>
      <c r="AU15" s="10" t="n">
        <f aca="false">IF(Flows!AU12*AU$3*AU$4&lt;0.002,100,MAX($CM$2/(Flows!AU12*AU$3*AU$4),1))</f>
        <v>3288.08315698013</v>
      </c>
      <c r="AV15" s="10" t="n">
        <f aca="false">IF(Flows!AV12*AV$3*AV$4&lt;0.002,100,MAX($CM$2/(Flows!AV12*AV$3*AV$4),1))</f>
        <v>28484.7624902599</v>
      </c>
      <c r="AW15" s="10" t="n">
        <f aca="false">IF(Flows!AW12*AW$3*AW$4&lt;0.002,100,MAX($CM$2/(Flows!AW12*AW$3*AW$4),1))</f>
        <v>41.7162107045067</v>
      </c>
      <c r="AX15" s="10" t="n">
        <f aca="false">IF(Flows!AX12*AX$3*AX$4&lt;0.002,100,MAX($CM$2/(Flows!AX12*AX$3*AX$4),1))</f>
        <v>7053.2704636516</v>
      </c>
      <c r="AY15" s="10" t="n">
        <f aca="false">IF(Flows!AY12*AY$3*AY$4&lt;0.002,100,MAX($CM$2/(Flows!AY12*AY$3*AY$4),1))</f>
        <v>1593.25968249842</v>
      </c>
      <c r="AZ15" s="10" t="n">
        <f aca="false">IF(Flows!AZ12*AZ$3*AZ$4&lt;0.002,100,MAX($CM$2/(Flows!AZ12*AZ$3*AZ$4),1))</f>
        <v>455.643437888314</v>
      </c>
      <c r="BA15" s="10" t="n">
        <f aca="false">IF(Flows!BA12*BA$3*BA$4&lt;0.002,100,MAX($CM$2/(Flows!BA12*BA$3*BA$4),1))</f>
        <v>7476.94872228534</v>
      </c>
      <c r="BB15" s="10" t="n">
        <f aca="false">IF(Flows!BB12*BB$3*BB$4&lt;0.002,100,MAX($CM$2/(Flows!BB12*BB$3*BB$4),1))</f>
        <v>11196.2198193516</v>
      </c>
      <c r="BC15" s="10" t="n">
        <f aca="false">IF(Flows!BC12*BC$3*BC$4&lt;0.002,100,MAX($CM$2/(Flows!BC12*BC$3*BC$4),1))</f>
        <v>4060.65604104075</v>
      </c>
      <c r="BD15" s="10" t="n">
        <f aca="false">IF(Flows!BD12*BD$3*BD$4&lt;0.002,100,MAX($CM$2/(Flows!BD12*BD$3*BD$4),1))</f>
        <v>16380.0233491752</v>
      </c>
      <c r="BE15" s="10" t="n">
        <f aca="false">IF(Flows!BE12*BE$3*BE$4&lt;0.002,100,MAX($CM$2/(Flows!BE12*BE$3*BE$4),1))</f>
        <v>37762.5879557586</v>
      </c>
      <c r="BF15" s="10" t="n">
        <f aca="false">IF(Flows!BF12*BF$3*BF$4&lt;0.002,100,MAX($CM$2/(Flows!BF12*BF$3*BF$4),1))</f>
        <v>3575.03952488078</v>
      </c>
      <c r="BG15" s="10" t="n">
        <f aca="false">IF(Flows!BG12*BG$3*BG$4&lt;0.002,100,MAX($CM$2/(Flows!BG12*BG$3*BG$4),1))</f>
        <v>924.766348435683</v>
      </c>
      <c r="BH15" s="10" t="n">
        <f aca="false">IF(Flows!BH12*BH$3*BH$4&lt;0.002,100,MAX($CM$2/(Flows!BH12*BH$3*BH$4),1))</f>
        <v>2508207.16776277</v>
      </c>
      <c r="BI15" s="10" t="n">
        <f aca="false">IF(Flows!BI12*BI$3*BI$4&lt;0.002,100,MAX($CM$2/(Flows!BI12*BI$3*BI$4),1))</f>
        <v>576.032152100484</v>
      </c>
      <c r="BJ15" s="10" t="n">
        <f aca="false">IF(Flows!BJ12*BJ$3*BJ$4&lt;0.002,100,MAX($CM$2/(Flows!BJ12*BJ$3*BJ$4),1))</f>
        <v>14.0963793280435</v>
      </c>
      <c r="BK15" s="10" t="n">
        <f aca="false">IF(Flows!BK12*BK$3*BK$4&lt;0.002,100,MAX($CM$2/(Flows!BK12*BK$3*BK$4),1))</f>
        <v>1152.06430420097</v>
      </c>
      <c r="BL15" s="10" t="n">
        <f aca="false">IF(Flows!BL12*BL$3*BL$4&lt;0.002,100,MAX($CM$2/(Flows!BL12*BL$3*BL$4),1))</f>
        <v>449.32076242289</v>
      </c>
      <c r="BM15" s="10" t="n">
        <f aca="false">IF(Flows!BM12*BM$3*BM$4&lt;0.002,100,MAX($CM$2/(Flows!BM12*BM$3*BM$4),1))</f>
        <v>158.302580452307</v>
      </c>
      <c r="BN15" s="10" t="n">
        <f aca="false">IF(Flows!BN12*BN$3*BN$4&lt;0.002,100,MAX($CM$2/(Flows!BN12*BN$3*BN$4),1))</f>
        <v>1</v>
      </c>
      <c r="BO15" s="10" t="n">
        <f aca="false">IF(Flows!BO12*BO$3*BO$4&lt;0.002,100,MAX($CM$2/(Flows!BO12*BO$3*BO$4),1))</f>
        <v>70.1992727615628</v>
      </c>
      <c r="BP15" s="10" t="n">
        <f aca="false">IF(Flows!BP12*BP$3*BP$4&lt;0.002,100,MAX($CM$2/(Flows!BP12*BP$3*BP$4),1))</f>
        <v>97.2336629323931</v>
      </c>
      <c r="BQ15" s="10" t="n">
        <f aca="false">IF(Flows!BQ12*BQ$3*BQ$4&lt;0.002,100,MAX($CM$2/(Flows!BQ12*BQ$3*BQ$4),1))</f>
        <v>1</v>
      </c>
      <c r="BR15" s="10" t="n">
        <f aca="false">IF(Flows!BR12*BR$3*BR$4&lt;0.002,100,MAX($CM$2/(Flows!BR12*BR$3*BR$4),1))</f>
        <v>2105.97818284688</v>
      </c>
      <c r="BS15" s="10" t="n">
        <f aca="false">IF(Flows!BS12*BS$3*BS$4&lt;0.002,100,MAX($CM$2/(Flows!BS12*BS$3*BS$4),1))</f>
        <v>21059.7881883233</v>
      </c>
      <c r="BT15" s="10" t="n">
        <f aca="false">IF(Flows!BT12*BT$3*BT$4&lt;0.002,100,MAX($CM$2/(Flows!BT12*BT$3*BT$4),1))</f>
        <v>13.4319758960409</v>
      </c>
      <c r="BU15" s="10" t="n">
        <f aca="false">IF(Flows!BU12*BU$3*BU$4&lt;0.002,100,MAX($CM$2/(Flows!BU12*BU$3*BU$4),1))</f>
        <v>134.319758960409</v>
      </c>
      <c r="BV15" s="10" t="n">
        <f aca="false">IF(Flows!BV12*BV$3*BV$4&lt;0.002,100,MAX($CM$2/(Flows!BV12*BV$3*BV$4),1))</f>
        <v>1343.19758960409</v>
      </c>
      <c r="BW15" s="10" t="n">
        <f aca="false">IF(Flows!BW12*BW$3*BW$4&lt;0.002,100,MAX($CM$2/(Flows!BW12*BW$3*BW$4),1))</f>
        <v>72.6863853339129</v>
      </c>
      <c r="BX15" s="10" t="n">
        <f aca="false">IF(Flows!BX12*BX$3*BX$4&lt;0.002,100,MAX($CM$2/(Flows!BX12*BX$3*BX$4),1))</f>
        <v>49.0967447386637</v>
      </c>
      <c r="BY15" s="10" t="n">
        <f aca="false">IF(Flows!BY12*BY$3*BY$4&lt;0.002,100,MAX($CM$2/(Flows!BY12*BY$3*BY$4),1))</f>
        <v>53.8642217866408</v>
      </c>
      <c r="BZ15" s="10" t="n">
        <f aca="false">IF(Flows!BZ12*BZ$3*BZ$4&lt;0.002,100,MAX($CM$2/(Flows!BZ12*BZ$3*BZ$4),1))</f>
        <v>75218.8289046368</v>
      </c>
      <c r="CA15" s="10" t="n">
        <f aca="false">IF(Flows!CA12*CA$3*CA$4&lt;0.002,100,MAX($CM$2/(Flows!CA12*CA$3*CA$4),1))</f>
        <v>206445.404322283</v>
      </c>
      <c r="CB15" s="10" t="n">
        <f aca="false">IF(Flows!CB12*CB$3*CB$4&lt;0.002,100,MAX($CM$2/(Flows!CB12*CB$3*CB$4),1))</f>
        <v>133.182832139864</v>
      </c>
      <c r="CC15" s="10" t="n">
        <f aca="false">IF(Flows!CC12*CC$3*CC$4&lt;0.002,100,MAX($CM$2/(Flows!CC12*CC$3*CC$4),1))</f>
        <v>88.1054838802567</v>
      </c>
      <c r="CD15" s="10" t="n">
        <f aca="false">IF(Flows!CD12*CD$3*CD$4&lt;0.002,100,MAX($CM$2/(Flows!CD12*CD$3*CD$4),1))</f>
        <v>198.597695212261</v>
      </c>
      <c r="CE15" s="10" t="n">
        <f aca="false">IF(Flows!CE12*CE$3*CE$4&lt;0.002,100,MAX($CM$2/(Flows!CE12*CE$3*CE$4),1))</f>
        <v>63.5578931141909</v>
      </c>
      <c r="CF15" s="10" t="n">
        <f aca="false">IF(Flows!CF12*CF$3*CF$4&lt;0.002,100,MAX($CM$2/(Flows!CF12*CF$3*CF$4),1))</f>
        <v>1</v>
      </c>
      <c r="CG15" s="10" t="n">
        <f aca="false">IF(Flows!CG12*CG$3*CG$4&lt;0.002,100,MAX($CM$2/(Flows!CG12*CG$3*CG$4),1))</f>
        <v>14.5706105439669</v>
      </c>
      <c r="CH15" s="10" t="n">
        <f aca="false">IF(Flows!CH12*CH$3*CH$4&lt;0.002,100,MAX($CM$2/(Flows!CH12*CH$3*CH$4),1))</f>
        <v>11.168820930554</v>
      </c>
      <c r="CI15" s="10" t="n">
        <f aca="false">IF(Flows!CI12*CI$3*CI$4&lt;0.002,100,MAX($CM$2/(Flows!CI12*CI$3*CI$4),1))</f>
        <v>474.629170861921</v>
      </c>
      <c r="CJ15" s="10" t="n">
        <f aca="false">IF(Flows!CJ12*CJ$3*CJ$4&lt;0.002,100,MAX($CM$2/(Flows!CJ12*CJ$3*CJ$4),1))</f>
        <v>3527.2064103683</v>
      </c>
      <c r="CK15" s="10" t="n">
        <f aca="false">IF(Flows!CK12*CK$3*CK$4&lt;0.002,100,MAX($CM$2/(Flows!CK12*CK$3*CK$4),1))</f>
        <v>1086.94272228019</v>
      </c>
      <c r="CL15" s="7" t="s">
        <v>320</v>
      </c>
    </row>
    <row r="16" customFormat="false" ht="12.8" hidden="false" customHeight="false" outlineLevel="0" collapsed="false">
      <c r="A16" s="7" t="s">
        <v>145</v>
      </c>
      <c r="B16" s="7" t="s">
        <v>39</v>
      </c>
      <c r="C16" s="10" t="n">
        <f aca="false">IF(Flows!C13*C$3*C$4&lt;0.002,100,MAX($CM$2/(Flows!C13*C$3*C$4),1))</f>
        <v>57839.6406385894</v>
      </c>
      <c r="D16" s="10" t="n">
        <f aca="false">IF(Flows!D13*D$3*D$4&lt;0.002,100,MAX($CM$2/(Flows!D13*D$3*D$4),1))</f>
        <v>5.75304592584551</v>
      </c>
      <c r="E16" s="10" t="n">
        <f aca="false">IF(Flows!E13*E$3*E$4&lt;0.002,100,MAX($CM$2/(Flows!E13*E$3*E$4),1))</f>
        <v>10.5912802731136</v>
      </c>
      <c r="F16" s="10" t="n">
        <f aca="false">IF(Flows!F13*F$3*F$4&lt;0.002,100,MAX($CM$2/(Flows!F13*F$3*F$4),1))</f>
        <v>28.9205822862028</v>
      </c>
      <c r="G16" s="10" t="n">
        <f aca="false">IF(Flows!G13*G$3*G$4&lt;0.002,100,MAX($CM$2/(Flows!G13*G$3*G$4),1))</f>
        <v>7.82304646884016</v>
      </c>
      <c r="H16" s="10" t="n">
        <f aca="false">IF(Flows!H13*H$3*H$4&lt;0.002,100,MAX($CM$2/(Flows!H13*H$3*H$4),1))</f>
        <v>12211.2552891003</v>
      </c>
      <c r="I16" s="10" t="n">
        <f aca="false">IF(Flows!I13*I$3*I$4&lt;0.002,100,MAX($CM$2/(Flows!I13*I$3*I$4),1))</f>
        <v>2681.29294095834</v>
      </c>
      <c r="J16" s="10" t="n">
        <f aca="false">IF(Flows!J13*J$3*J$4&lt;0.002,100,MAX($CM$2/(Flows!J13*J$3*J$4),1))</f>
        <v>2606.47549525928</v>
      </c>
      <c r="K16" s="10" t="n">
        <f aca="false">IF(Flows!K13*K$3*K$4&lt;0.002,100,MAX($CM$2/(Flows!K13*K$3*K$4),1))</f>
        <v>32545.0615998914</v>
      </c>
      <c r="L16" s="10" t="n">
        <f aca="false">IF(Flows!L13*L$3*L$4&lt;0.002,100,MAX($CM$2/(Flows!L13*L$3*L$4),1))</f>
        <v>153747.174387124</v>
      </c>
      <c r="M16" s="10" t="n">
        <f aca="false">IF(Flows!M13*M$3*M$4&lt;0.002,100,MAX($CM$2/(Flows!M13*M$3*M$4),1))</f>
        <v>109224.215926433</v>
      </c>
      <c r="N16" s="10" t="n">
        <f aca="false">IF(Flows!N13*N$3*N$4&lt;0.002,100,MAX($CM$2/(Flows!N13*N$3*N$4),1))</f>
        <v>9.9226071932796</v>
      </c>
      <c r="O16" s="10" t="n">
        <f aca="false">IF(Flows!O13*O$3*O$4&lt;0.002,100,MAX($CM$2/(Flows!O13*O$3*O$4),1))</f>
        <v>4.09846684457343</v>
      </c>
      <c r="P16" s="10" t="n">
        <f aca="false">IF(Flows!P13*P$3*P$4&lt;0.002,100,MAX($CM$2/(Flows!P13*P$3*P$4),1))</f>
        <v>2.45908010674405</v>
      </c>
      <c r="Q16" s="10" t="n">
        <f aca="false">IF(Flows!Q13*Q$3*Q$4&lt;0.002,100,MAX($CM$2/(Flows!Q13*Q$3*Q$4),1))</f>
        <v>277.903670186095</v>
      </c>
      <c r="R16" s="10" t="n">
        <f aca="false">IF(Flows!R13*R$3*R$4&lt;0.002,100,MAX($CM$2/(Flows!R13*R$3*R$4),1))</f>
        <v>89.1645523284696</v>
      </c>
      <c r="S16" s="10" t="n">
        <f aca="false">IF(Flows!S13*S$3*S$4&lt;0.002,100,MAX($CM$2/(Flows!S13*S$3*S$4),1))</f>
        <v>1317.8329233182</v>
      </c>
      <c r="T16" s="10" t="n">
        <f aca="false">IF(Flows!T13*T$3*T$4&lt;0.002,100,MAX($CM$2/(Flows!T13*T$3*T$4),1))</f>
        <v>2357.88733828992</v>
      </c>
      <c r="U16" s="10" t="n">
        <f aca="false">IF(Flows!U13*U$3*U$4&lt;0.002,100,MAX($CM$2/(Flows!U13*U$3*U$4),1))</f>
        <v>7281.61439509552</v>
      </c>
      <c r="V16" s="10" t="n">
        <f aca="false">IF(Flows!V13*V$3*V$4&lt;0.002,100,MAX($CM$2/(Flows!V13*V$3*V$4),1))</f>
        <v>338.869599270803</v>
      </c>
      <c r="W16" s="10" t="n">
        <f aca="false">IF(Flows!W13*W$3*W$4&lt;0.002,100,MAX($CM$2/(Flows!W13*W$3*W$4),1))</f>
        <v>9.46270510862465</v>
      </c>
      <c r="X16" s="10" t="n">
        <f aca="false">IF(Flows!X13*X$3*X$4&lt;0.002,100,MAX($CM$2/(Flows!X13*X$3*X$4),1))</f>
        <v>13.7761315469742</v>
      </c>
      <c r="Y16" s="10" t="n">
        <f aca="false">IF(Flows!Y13*Y$3*Y$4&lt;0.002,100,MAX($CM$2/(Flows!Y13*Y$3*Y$4),1))</f>
        <v>768.735871935618</v>
      </c>
      <c r="Z16" s="10" t="n">
        <f aca="false">IF(Flows!Z13*Z$3*Z$4&lt;0.002,100,MAX($CM$2/(Flows!Z13*Z$3*Z$4),1))</f>
        <v>8239.85062657577</v>
      </c>
      <c r="AA16" s="10" t="n">
        <f aca="false">IF(Flows!AA13*AA$3*AA$4&lt;0.002,100,MAX($CM$2/(Flows!AA13*AA$3*AA$4),1))</f>
        <v>16125.222573845</v>
      </c>
      <c r="AB16" s="10" t="n">
        <f aca="false">IF(Flows!AB13*AB$3*AB$4&lt;0.002,100,MAX($CM$2/(Flows!AB13*AB$3*AB$4),1))</f>
        <v>14197.8392510559</v>
      </c>
      <c r="AC16" s="10" t="n">
        <f aca="false">IF(Flows!AC13*AC$3*AC$4&lt;0.002,100,MAX($CM$2/(Flows!AC13*AC$3*AC$4),1))</f>
        <v>82297.8747293308</v>
      </c>
      <c r="AD16" s="10" t="n">
        <f aca="false">IF(Flows!AD13*AD$3*AD$4&lt;0.002,100,MAX($CM$2/(Flows!AD13*AD$3*AD$4),1))</f>
        <v>89435.3583967923</v>
      </c>
      <c r="AE16" s="10" t="n">
        <f aca="false">IF(Flows!AE13*AE$3*AE$4&lt;0.002,100,MAX($CM$2/(Flows!AE13*AE$3*AE$4),1))</f>
        <v>275076.20297012</v>
      </c>
      <c r="AF16" s="10" t="n">
        <f aca="false">IF(Flows!AF13*AF$3*AF$4&lt;0.002,100,MAX($CM$2/(Flows!AF13*AF$3*AF$4),1))</f>
        <v>847.484195140359</v>
      </c>
      <c r="AG16" s="10" t="n">
        <f aca="false">IF(Flows!AG13*AG$3*AG$4&lt;0.002,100,MAX($CM$2/(Flows!AG13*AG$3*AG$4),1))</f>
        <v>1186.79104905041</v>
      </c>
      <c r="AH16" s="10" t="n">
        <f aca="false">IF(Flows!AH13*AH$3*AH$4&lt;0.002,100,MAX($CM$2/(Flows!AH13*AH$3*AH$4),1))</f>
        <v>604.458754362426</v>
      </c>
      <c r="AI16" s="10" t="n">
        <f aca="false">IF(Flows!AI13*AI$3*AI$4&lt;0.002,100,MAX($CM$2/(Flows!AI13*AI$3*AI$4),1))</f>
        <v>3620.50756175315</v>
      </c>
      <c r="AJ16" s="10" t="n">
        <f aca="false">IF(Flows!AJ13*AJ$3*AJ$4&lt;0.002,100,MAX($CM$2/(Flows!AJ13*AJ$3*AJ$4),1))</f>
        <v>1391.90356587839</v>
      </c>
      <c r="AK16" s="10" t="n">
        <f aca="false">IF(Flows!AK13*AK$3*AK$4&lt;0.002,100,MAX($CM$2/(Flows!AK13*AK$3*AK$4),1))</f>
        <v>522.347535321968</v>
      </c>
      <c r="AL16" s="10" t="n">
        <f aca="false">IF(Flows!AL13*AL$3*AL$4&lt;0.002,100,MAX($CM$2/(Flows!AL13*AL$3*AL$4),1))</f>
        <v>998.211312483833</v>
      </c>
      <c r="AM16" s="10" t="n">
        <f aca="false">IF(Flows!AM13*AM$3*AM$4&lt;0.002,100,MAX($CM$2/(Flows!AM13*AM$3*AM$4),1))</f>
        <v>1706.35086893463</v>
      </c>
      <c r="AN16" s="10" t="n">
        <f aca="false">IF(Flows!AN13*AN$3*AN$4&lt;0.002,100,MAX($CM$2/(Flows!AN13*AN$3*AN$4),1))</f>
        <v>2180.86123656693</v>
      </c>
      <c r="AO16" s="10" t="n">
        <f aca="false">IF(Flows!AO13*AO$3*AO$4&lt;0.002,100,MAX($CM$2/(Flows!AO13*AO$3*AO$4),1))</f>
        <v>20481.7685489898</v>
      </c>
      <c r="AP16" s="10" t="n">
        <f aca="false">IF(Flows!AP13*AP$3*AP$4&lt;0.002,100,MAX($CM$2/(Flows!AP13*AP$3*AP$4),1))</f>
        <v>52658.2591545533</v>
      </c>
      <c r="AQ16" s="10" t="n">
        <f aca="false">IF(Flows!AQ13*AQ$3*AQ$4&lt;0.002,100,MAX($CM$2/(Flows!AQ13*AQ$3*AQ$4),1))</f>
        <v>20398.7264327026</v>
      </c>
      <c r="AR16" s="10" t="n">
        <f aca="false">IF(Flows!AR13*AR$3*AR$4&lt;0.002,100,MAX($CM$2/(Flows!AR13*AR$3*AR$4),1))</f>
        <v>23198.4499845645</v>
      </c>
      <c r="AS16" s="10" t="n">
        <f aca="false">IF(Flows!AS13*AS$3*AS$4&lt;0.002,100,MAX($CM$2/(Flows!AS13*AS$3*AS$4),1))</f>
        <v>2515.32006636871</v>
      </c>
      <c r="AT16" s="10" t="n">
        <f aca="false">IF(Flows!AT13*AT$3*AT$4&lt;0.002,100,MAX($CM$2/(Flows!AT13*AT$3*AT$4),1))</f>
        <v>818.366564171754</v>
      </c>
      <c r="AU16" s="10" t="n">
        <f aca="false">IF(Flows!AU13*AU$3*AU$4&lt;0.002,100,MAX($CM$2/(Flows!AU13*AU$3*AU$4),1))</f>
        <v>1571.83598960771</v>
      </c>
      <c r="AV16" s="10" t="n">
        <f aca="false">IF(Flows!AV13*AV$3*AV$4&lt;0.002,100,MAX($CM$2/(Flows!AV13*AV$3*AV$4),1))</f>
        <v>11600.1867218929</v>
      </c>
      <c r="AW16" s="10" t="n">
        <f aca="false">IF(Flows!AW13*AW$3*AW$4&lt;0.002,100,MAX($CM$2/(Flows!AW13*AW$3*AW$4),1))</f>
        <v>25.9547313476625</v>
      </c>
      <c r="AX16" s="10" t="n">
        <f aca="false">IF(Flows!AX13*AX$3*AX$4&lt;0.002,100,MAX($CM$2/(Flows!AX13*AX$3*AX$4),1))</f>
        <v>3942.20772882631</v>
      </c>
      <c r="AY16" s="10" t="n">
        <f aca="false">IF(Flows!AY13*AY$3*AY$4&lt;0.002,100,MAX($CM$2/(Flows!AY13*AY$3*AY$4),1))</f>
        <v>789.736771528938</v>
      </c>
      <c r="AZ16" s="10" t="n">
        <f aca="false">IF(Flows!AZ13*AZ$3*AZ$4&lt;0.002,100,MAX($CM$2/(Flows!AZ13*AZ$3*AZ$4),1))</f>
        <v>209.90811126346</v>
      </c>
      <c r="BA16" s="10" t="n">
        <f aca="false">IF(Flows!BA13*BA$3*BA$4&lt;0.002,100,MAX($CM$2/(Flows!BA13*BA$3*BA$4),1))</f>
        <v>7841.1058937433</v>
      </c>
      <c r="BB16" s="10" t="n">
        <f aca="false">IF(Flows!BB13*BB$3*BB$4&lt;0.002,100,MAX($CM$2/(Flows!BB13*BB$3*BB$4),1))</f>
        <v>4447.52187412798</v>
      </c>
      <c r="BC16" s="10" t="n">
        <f aca="false">IF(Flows!BC13*BC$3*BC$4&lt;0.002,100,MAX($CM$2/(Flows!BC13*BC$3*BC$4),1))</f>
        <v>1954.74925242071</v>
      </c>
      <c r="BD16" s="10" t="n">
        <f aca="false">IF(Flows!BD13*BD$3*BD$4&lt;0.002,100,MAX($CM$2/(Flows!BD13*BD$3*BD$4),1))</f>
        <v>7389.12260047491</v>
      </c>
      <c r="BE16" s="10" t="n">
        <f aca="false">IF(Flows!BE13*BE$3*BE$4&lt;0.002,100,MAX($CM$2/(Flows!BE13*BE$3*BE$4),1))</f>
        <v>18588.4341973436</v>
      </c>
      <c r="BF16" s="10" t="n">
        <f aca="false">IF(Flows!BF13*BF$3*BF$4&lt;0.002,100,MAX($CM$2/(Flows!BF13*BF$3*BF$4),1))</f>
        <v>1672.27114513015</v>
      </c>
      <c r="BG16" s="10" t="n">
        <f aca="false">IF(Flows!BG13*BG$3*BG$4&lt;0.002,100,MAX($CM$2/(Flows!BG13*BG$3*BG$4),1))</f>
        <v>530.982670933828</v>
      </c>
      <c r="BH16" s="10" t="n">
        <f aca="false">IF(Flows!BH13*BH$3*BH$4&lt;0.002,100,MAX($CM$2/(Flows!BH13*BH$3*BH$4),1))</f>
        <v>276.609434552471</v>
      </c>
      <c r="BI16" s="10" t="n">
        <f aca="false">IF(Flows!BI13*BI$3*BI$4&lt;0.002,100,MAX($CM$2/(Flows!BI13*BI$3*BI$4),1))</f>
        <v>171.511333528256</v>
      </c>
      <c r="BJ16" s="10" t="n">
        <f aca="false">IF(Flows!BJ13*BJ$3*BJ$4&lt;0.002,100,MAX($CM$2/(Flows!BJ13*BJ$3*BJ$4),1))</f>
        <v>9.17203944215763</v>
      </c>
      <c r="BK16" s="10" t="n">
        <f aca="false">IF(Flows!BK13*BK$3*BK$4&lt;0.002,100,MAX($CM$2/(Flows!BK13*BK$3*BK$4),1))</f>
        <v>343.022667056511</v>
      </c>
      <c r="BL16" s="10" t="n">
        <f aca="false">IF(Flows!BL13*BL$3*BL$4&lt;0.002,100,MAX($CM$2/(Flows!BL13*BL$3*BL$4),1))</f>
        <v>170.999864651597</v>
      </c>
      <c r="BM16" s="10" t="n">
        <f aca="false">IF(Flows!BM13*BM$3*BM$4&lt;0.002,100,MAX($CM$2/(Flows!BM13*BM$3*BM$4),1))</f>
        <v>55.3916017107687</v>
      </c>
      <c r="BN16" s="10" t="n">
        <f aca="false">IF(Flows!BN13*BN$3*BN$4&lt;0.002,100,MAX($CM$2/(Flows!BN13*BN$3*BN$4),1))</f>
        <v>800608.420604517</v>
      </c>
      <c r="BO16" s="10" t="n">
        <f aca="false">IF(Flows!BO13*BO$3*BO$4&lt;0.002,100,MAX($CM$2/(Flows!BO13*BO$3*BO$4),1))</f>
        <v>133434736.767419</v>
      </c>
      <c r="BP16" s="10" t="n">
        <f aca="false">IF(Flows!BP13*BP$3*BP$4&lt;0.002,100,MAX($CM$2/(Flows!BP13*BP$3*BP$4),1))</f>
        <v>38296888445.8438</v>
      </c>
      <c r="BQ16" s="10" t="n">
        <f aca="false">IF(Flows!BQ13*BQ$3*BQ$4&lt;0.002,100,MAX($CM$2/(Flows!BQ13*BQ$3*BQ$4),1))</f>
        <v>1231705.26246849</v>
      </c>
      <c r="BR16" s="10" t="n">
        <f aca="false">IF(Flows!BR13*BR$3*BR$4&lt;0.002,100,MAX($CM$2/(Flows!BR13*BR$3*BR$4),1))</f>
        <v>1334347367.67419</v>
      </c>
      <c r="BS16" s="10" t="n">
        <f aca="false">IF(Flows!BS13*BS$3*BS$4&lt;0.002,100,MAX($CM$2/(Flows!BS13*BS$3*BS$4),1))</f>
        <v>6671739077.12179</v>
      </c>
      <c r="BT16" s="10" t="n">
        <f aca="false">IF(Flows!BT13*BT$3*BT$4&lt;0.002,100,MAX($CM$2/(Flows!BT13*BT$3*BT$4),1))</f>
        <v>3.53681509751565</v>
      </c>
      <c r="BU16" s="10" t="n">
        <f aca="false">IF(Flows!BU13*BU$3*BU$4&lt;0.002,100,MAX($CM$2/(Flows!BU13*BU$3*BU$4),1))</f>
        <v>35.3681509751565</v>
      </c>
      <c r="BV16" s="10" t="n">
        <f aca="false">IF(Flows!BV13*BV$3*BV$4&lt;0.002,100,MAX($CM$2/(Flows!BV13*BV$3*BV$4),1))</f>
        <v>353.681509751565</v>
      </c>
      <c r="BW16" s="10" t="n">
        <f aca="false">IF(Flows!BW13*BW$3*BW$4&lt;0.002,100,MAX($CM$2/(Flows!BW13*BW$3*BW$4),1))</f>
        <v>26.1594149300627</v>
      </c>
      <c r="BX16" s="10" t="n">
        <f aca="false">IF(Flows!BX13*BX$3*BX$4&lt;0.002,100,MAX($CM$2/(Flows!BX13*BX$3*BX$4),1))</f>
        <v>106.256040974828</v>
      </c>
      <c r="BY16" s="10" t="n">
        <f aca="false">IF(Flows!BY13*BY$3*BY$4&lt;0.002,100,MAX($CM$2/(Flows!BY13*BY$3*BY$4),1))</f>
        <v>56.0315960763349</v>
      </c>
      <c r="BZ16" s="10" t="n">
        <f aca="false">IF(Flows!BZ13*BZ$3*BZ$4&lt;0.002,100,MAX($CM$2/(Flows!BZ13*BZ$3*BZ$4),1))</f>
        <v>103332.346253637</v>
      </c>
      <c r="CA16" s="10" t="n">
        <f aca="false">IF(Flows!CA13*CA$3*CA$4&lt;0.002,100,MAX($CM$2/(Flows!CA13*CA$3*CA$4),1))</f>
        <v>36695.3055507637</v>
      </c>
      <c r="CB16" s="10" t="n">
        <f aca="false">IF(Flows!CB13*CB$3*CB$4&lt;0.002,100,MAX($CM$2/(Flows!CB13*CB$3*CB$4),1))</f>
        <v>57.3686103334616</v>
      </c>
      <c r="CC16" s="10" t="n">
        <f aca="false">IF(Flows!CC13*CC$3*CC$4&lt;0.002,100,MAX($CM$2/(Flows!CC13*CC$3*CC$4),1))</f>
        <v>15.8099765880088</v>
      </c>
      <c r="CD16" s="10" t="n">
        <f aca="false">IF(Flows!CD13*CD$3*CD$4&lt;0.002,100,MAX($CM$2/(Flows!CD13*CD$3*CD$4),1))</f>
        <v>88.7013862227295</v>
      </c>
      <c r="CE16" s="10" t="n">
        <f aca="false">IF(Flows!CE13*CE$3*CE$4&lt;0.002,100,MAX($CM$2/(Flows!CE13*CE$3*CE$4),1))</f>
        <v>15.3860056346515</v>
      </c>
      <c r="CF16" s="10" t="n">
        <f aca="false">IF(Flows!CF13*CF$3*CF$4&lt;0.002,100,MAX($CM$2/(Flows!CF13*CF$3*CF$4),1))</f>
        <v>1</v>
      </c>
      <c r="CG16" s="10" t="n">
        <f aca="false">IF(Flows!CG13*CG$3*CG$4&lt;0.002,100,MAX($CM$2/(Flows!CG13*CG$3*CG$4),1))</f>
        <v>2807500.94517292</v>
      </c>
      <c r="CH16" s="10" t="n">
        <f aca="false">IF(Flows!CH13*CH$3*CH$4&lt;0.002,100,MAX($CM$2/(Flows!CH13*CH$3*CH$4),1))</f>
        <v>2595345.68790207</v>
      </c>
      <c r="CI16" s="10" t="n">
        <f aca="false">IF(Flows!CI13*CI$3*CI$4&lt;0.002,100,MAX($CM$2/(Flows!CI13*CI$3*CI$4),1))</f>
        <v>191.336172372658</v>
      </c>
      <c r="CJ16" s="10" t="n">
        <f aca="false">IF(Flows!CJ13*CJ$3*CJ$4&lt;0.002,100,MAX($CM$2/(Flows!CJ13*CJ$3*CJ$4),1))</f>
        <v>1215.03196501927</v>
      </c>
      <c r="CK16" s="10" t="n">
        <f aca="false">IF(Flows!CK13*CK$3*CK$4&lt;0.002,100,MAX($CM$2/(Flows!CK13*CK$3*CK$4),1))</f>
        <v>918.676893450916</v>
      </c>
      <c r="CL16" s="7" t="s">
        <v>320</v>
      </c>
    </row>
    <row r="17" customFormat="false" ht="12.8" hidden="false" customHeight="false" outlineLevel="0" collapsed="false">
      <c r="A17" s="7" t="s">
        <v>147</v>
      </c>
      <c r="B17" s="7" t="s">
        <v>39</v>
      </c>
      <c r="C17" s="10" t="n">
        <f aca="false">IF(Flows!C14*C$3*C$4&lt;0.002,100,MAX($CM$2/(Flows!C14*C$3*C$4),1))</f>
        <v>109814.794715497</v>
      </c>
      <c r="D17" s="10" t="n">
        <f aca="false">IF(Flows!D14*D$3*D$4&lt;0.002,100,MAX($CM$2/(Flows!D14*D$3*D$4),1))</f>
        <v>11.6810688393972</v>
      </c>
      <c r="E17" s="10" t="n">
        <f aca="false">IF(Flows!E14*E$3*E$4&lt;0.002,100,MAX($CM$2/(Flows!E14*E$3*E$4),1))</f>
        <v>20.2843519008065</v>
      </c>
      <c r="F17" s="10" t="n">
        <f aca="false">IF(Flows!F14*F$3*F$4&lt;0.002,100,MAX($CM$2/(Flows!F14*F$3*F$4),1))</f>
        <v>55.3885132998286</v>
      </c>
      <c r="G17" s="10" t="n">
        <f aca="false">IF(Flows!G14*G$3*G$4&lt;0.002,100,MAX($CM$2/(Flows!G14*G$3*G$4),1))</f>
        <v>23.2292948998029</v>
      </c>
      <c r="H17" s="10" t="n">
        <f aca="false">IF(Flows!H14*H$3*H$4&lt;0.002,100,MAX($CM$2/(Flows!H14*H$3*H$4),1))</f>
        <v>19508.8865564346</v>
      </c>
      <c r="I17" s="10" t="n">
        <f aca="false">IF(Flows!I14*I$3*I$4&lt;0.002,100,MAX($CM$2/(Flows!I14*I$3*I$4),1))</f>
        <v>2983.22955536363</v>
      </c>
      <c r="J17" s="10" t="n">
        <f aca="false">IF(Flows!J14*J$3*J$4&lt;0.002,100,MAX($CM$2/(Flows!J14*J$3*J$4),1))</f>
        <v>3927.81510166112</v>
      </c>
      <c r="K17" s="10" t="n">
        <f aca="false">IF(Flows!K14*K$3*K$4&lt;0.002,100,MAX($CM$2/(Flows!K14*K$3*K$4),1))</f>
        <v>41128.5971467949</v>
      </c>
      <c r="L17" s="10" t="n">
        <f aca="false">IF(Flows!L14*L$3*L$4&lt;0.002,100,MAX($CM$2/(Flows!L14*L$3*L$4),1))</f>
        <v>206321.540515227</v>
      </c>
      <c r="M17" s="10" t="n">
        <f aca="false">IF(Flows!M14*M$3*M$4&lt;0.002,100,MAX($CM$2/(Flows!M14*M$3*M$4),1))</f>
        <v>148111.956939604</v>
      </c>
      <c r="N17" s="10" t="n">
        <f aca="false">IF(Flows!N14*N$3*N$4&lt;0.002,100,MAX($CM$2/(Flows!N14*N$3*N$4),1))</f>
        <v>27.9133962618853</v>
      </c>
      <c r="O17" s="10" t="n">
        <f aca="false">IF(Flows!O14*O$3*O$4&lt;0.002,100,MAX($CM$2/(Flows!O14*O$3*O$4),1))</f>
        <v>5.10084984428356</v>
      </c>
      <c r="P17" s="10" t="n">
        <f aca="false">IF(Flows!P14*P$3*P$4&lt;0.002,100,MAX($CM$2/(Flows!P14*P$3*P$4),1))</f>
        <v>3.06050990657013</v>
      </c>
      <c r="Q17" s="10" t="n">
        <f aca="false">IF(Flows!Q14*Q$3*Q$4&lt;0.002,100,MAX($CM$2/(Flows!Q14*Q$3*Q$4),1))</f>
        <v>500.902873105364</v>
      </c>
      <c r="R17" s="10" t="n">
        <f aca="false">IF(Flows!R14*R$3*R$4&lt;0.002,100,MAX($CM$2/(Flows!R14*R$3*R$4),1))</f>
        <v>112.681088073411</v>
      </c>
      <c r="S17" s="10" t="n">
        <f aca="false">IF(Flows!S14*S$3*S$4&lt;0.002,100,MAX($CM$2/(Flows!S14*S$3*S$4),1))</f>
        <v>1768.47034727337</v>
      </c>
      <c r="T17" s="10" t="n">
        <f aca="false">IF(Flows!T14*T$3*T$4&lt;0.002,100,MAX($CM$2/(Flows!T14*T$3*T$4),1))</f>
        <v>3164.17488605284</v>
      </c>
      <c r="U17" s="10" t="n">
        <f aca="false">IF(Flows!U14*U$3*U$4&lt;0.002,100,MAX($CM$2/(Flows!U14*U$3*U$4),1))</f>
        <v>9874.13046264028</v>
      </c>
      <c r="V17" s="10" t="n">
        <f aca="false">IF(Flows!V14*V$3*V$4&lt;0.002,100,MAX($CM$2/(Flows!V14*V$3*V$4),1))</f>
        <v>465.65201430258</v>
      </c>
      <c r="W17" s="10" t="n">
        <f aca="false">IF(Flows!W14*W$3*W$4&lt;0.002,100,MAX($CM$2/(Flows!W14*W$3*W$4),1))</f>
        <v>17.4860442841332</v>
      </c>
      <c r="X17" s="10" t="n">
        <f aca="false">IF(Flows!X14*X$3*X$4&lt;0.002,100,MAX($CM$2/(Flows!X14*X$3*X$4),1))</f>
        <v>18.1884521732309</v>
      </c>
      <c r="Y17" s="10" t="n">
        <f aca="false">IF(Flows!Y14*Y$3*Y$4&lt;0.002,100,MAX($CM$2/(Flows!Y14*Y$3*Y$4),1))</f>
        <v>1031.60770257613</v>
      </c>
      <c r="Z17" s="10" t="n">
        <f aca="false">IF(Flows!Z14*Z$3*Z$4&lt;0.002,100,MAX($CM$2/(Flows!Z14*Z$3*Z$4),1))</f>
        <v>9811.74350409107</v>
      </c>
      <c r="AA17" s="10" t="n">
        <f aca="false">IF(Flows!AA14*AA$3*AA$4&lt;0.002,100,MAX($CM$2/(Flows!AA14*AA$3*AA$4),1))</f>
        <v>22495.4937163</v>
      </c>
      <c r="AB17" s="10" t="n">
        <f aca="false">IF(Flows!AB14*AB$3*AB$4&lt;0.002,100,MAX($CM$2/(Flows!AB14*AB$3*AB$4),1))</f>
        <v>20058.6220986568</v>
      </c>
      <c r="AC17" s="10" t="n">
        <f aca="false">IF(Flows!AC14*AC$3*AC$4&lt;0.002,100,MAX($CM$2/(Flows!AC14*AC$3*AC$4),1))</f>
        <v>97843.4338935579</v>
      </c>
      <c r="AD17" s="10" t="n">
        <f aca="false">IF(Flows!AD14*AD$3*AD$4&lt;0.002,100,MAX($CM$2/(Flows!AD14*AD$3*AD$4),1))</f>
        <v>126353.737679187</v>
      </c>
      <c r="AE17" s="10" t="n">
        <f aca="false">IF(Flows!AE14*AE$3*AE$4&lt;0.002,100,MAX($CM$2/(Flows!AE14*AE$3*AE$4),1))</f>
        <v>336210.915768766</v>
      </c>
      <c r="AF17" s="10" t="n">
        <f aca="false">IF(Flows!AF14*AF$3*AF$4&lt;0.002,100,MAX($CM$2/(Flows!AF14*AF$3*AF$4),1))</f>
        <v>1538.30605539586</v>
      </c>
      <c r="AG17" s="10" t="n">
        <f aca="false">IF(Flows!AG14*AG$3*AG$4&lt;0.002,100,MAX($CM$2/(Flows!AG14*AG$3*AG$4),1))</f>
        <v>1346.61573113114</v>
      </c>
      <c r="AH17" s="10" t="n">
        <f aca="false">IF(Flows!AH14*AH$3*AH$4&lt;0.002,100,MAX($CM$2/(Flows!AH14*AH$3*AH$4),1))</f>
        <v>866.922712976096</v>
      </c>
      <c r="AI17" s="10" t="n">
        <f aca="false">IF(Flows!AI14*AI$3*AI$4&lt;0.002,100,MAX($CM$2/(Flows!AI14*AI$3*AI$4),1))</f>
        <v>5496.20424814214</v>
      </c>
      <c r="AJ17" s="10" t="n">
        <f aca="false">IF(Flows!AJ14*AJ$3*AJ$4&lt;0.002,100,MAX($CM$2/(Flows!AJ14*AJ$3*AJ$4),1))</f>
        <v>2460.0876345434</v>
      </c>
      <c r="AK17" s="10" t="n">
        <f aca="false">IF(Flows!AK14*AK$3*AK$4&lt;0.002,100,MAX($CM$2/(Flows!AK14*AK$3*AK$4),1))</f>
        <v>860.378534474863</v>
      </c>
      <c r="AL17" s="10" t="n">
        <f aca="false">IF(Flows!AL14*AL$3*AL$4&lt;0.002,100,MAX($CM$2/(Flows!AL14*AL$3*AL$4),1))</f>
        <v>1795.04714399899</v>
      </c>
      <c r="AM17" s="10" t="n">
        <f aca="false">IF(Flows!AM14*AM$3*AM$4&lt;0.002,100,MAX($CM$2/(Flows!AM14*AM$3*AM$4),1))</f>
        <v>2885.16435208167</v>
      </c>
      <c r="AN17" s="10" t="n">
        <f aca="false">IF(Flows!AN14*AN$3*AN$4&lt;0.002,100,MAX($CM$2/(Flows!AN14*AN$3*AN$4),1))</f>
        <v>3265.243364982</v>
      </c>
      <c r="AO17" s="10" t="n">
        <f aca="false">IF(Flows!AO14*AO$3*AO$4&lt;0.002,100,MAX($CM$2/(Flows!AO14*AO$3*AO$4),1))</f>
        <v>45668.7441601348</v>
      </c>
      <c r="AP17" s="10" t="n">
        <f aca="false">IF(Flows!AP14*AP$3*AP$4&lt;0.002,100,MAX($CM$2/(Flows!AP14*AP$3*AP$4),1))</f>
        <v>86638.2616564357</v>
      </c>
      <c r="AQ17" s="10" t="n">
        <f aca="false">IF(Flows!AQ14*AQ$3*AQ$4&lt;0.002,100,MAX($CM$2/(Flows!AQ14*AQ$3*AQ$4),1))</f>
        <v>28103.1571634615</v>
      </c>
      <c r="AR17" s="10" t="n">
        <f aca="false">IF(Flows!AR14*AR$3*AR$4&lt;0.002,100,MAX($CM$2/(Flows!AR14*AR$3*AR$4),1))</f>
        <v>32490.0317466015</v>
      </c>
      <c r="AS17" s="10" t="n">
        <f aca="false">IF(Flows!AS14*AS$3*AS$4&lt;0.002,100,MAX($CM$2/(Flows!AS14*AS$3*AS$4),1))</f>
        <v>3373.8074289512</v>
      </c>
      <c r="AT17" s="10" t="n">
        <f aca="false">IF(Flows!AT14*AT$3*AT$4&lt;0.002,100,MAX($CM$2/(Flows!AT14*AT$3*AT$4),1))</f>
        <v>1529.02380806158</v>
      </c>
      <c r="AU17" s="10" t="n">
        <f aca="false">IF(Flows!AU14*AU$3*AU$4&lt;0.002,100,MAX($CM$2/(Flows!AU14*AU$3*AU$4),1))</f>
        <v>1463.26232108836</v>
      </c>
      <c r="AV17" s="10" t="n">
        <f aca="false">IF(Flows!AV14*AV$3*AV$4&lt;0.002,100,MAX($CM$2/(Flows!AV14*AV$3*AV$4),1))</f>
        <v>20012.4173148041</v>
      </c>
      <c r="AW17" s="10" t="n">
        <f aca="false">IF(Flows!AW14*AW$3*AW$4&lt;0.002,100,MAX($CM$2/(Flows!AW14*AW$3*AW$4),1))</f>
        <v>30.6728918915411</v>
      </c>
      <c r="AX17" s="10" t="n">
        <f aca="false">IF(Flows!AX14*AX$3*AX$4&lt;0.002,100,MAX($CM$2/(Flows!AX14*AX$3*AX$4),1))</f>
        <v>4418.56981118671</v>
      </c>
      <c r="AY17" s="10" t="n">
        <f aca="false">IF(Flows!AY14*AY$3*AY$4&lt;0.002,100,MAX($CM$2/(Flows!AY14*AY$3*AY$4),1))</f>
        <v>1173.55020886601</v>
      </c>
      <c r="AZ17" s="10" t="n">
        <f aca="false">IF(Flows!AZ14*AZ$3*AZ$4&lt;0.002,100,MAX($CM$2/(Flows!AZ14*AZ$3*AZ$4),1))</f>
        <v>302.270942601492</v>
      </c>
      <c r="BA17" s="10" t="n">
        <f aca="false">IF(Flows!BA14*BA$3*BA$4&lt;0.002,100,MAX($CM$2/(Flows!BA14*BA$3*BA$4),1))</f>
        <v>10522.3985662766</v>
      </c>
      <c r="BB17" s="10" t="n">
        <f aca="false">IF(Flows!BB14*BB$3*BB$4&lt;0.002,100,MAX($CM$2/(Flows!BB14*BB$3*BB$4),1))</f>
        <v>6557.84665920561</v>
      </c>
      <c r="BC17" s="10" t="n">
        <f aca="false">IF(Flows!BC14*BC$3*BC$4&lt;0.002,100,MAX($CM$2/(Flows!BC14*BC$3*BC$4),1))</f>
        <v>3481.81888669416</v>
      </c>
      <c r="BD17" s="10" t="n">
        <f aca="false">IF(Flows!BD14*BD$3*BD$4&lt;0.002,100,MAX($CM$2/(Flows!BD14*BD$3*BD$4),1))</f>
        <v>12850.084485982</v>
      </c>
      <c r="BE17" s="10" t="n">
        <f aca="false">IF(Flows!BE14*BE$3*BE$4&lt;0.002,100,MAX($CM$2/(Flows!BE14*BE$3*BE$4),1))</f>
        <v>28619.0343460872</v>
      </c>
      <c r="BF17" s="10" t="n">
        <f aca="false">IF(Flows!BF14*BF$3*BF$4&lt;0.002,100,MAX($CM$2/(Flows!BF14*BF$3*BF$4),1))</f>
        <v>1886.28557655275</v>
      </c>
      <c r="BG17" s="10" t="n">
        <f aca="false">IF(Flows!BG14*BG$3*BG$4&lt;0.002,100,MAX($CM$2/(Flows!BG14*BG$3*BG$4),1))</f>
        <v>634.327310947322</v>
      </c>
      <c r="BH17" s="10" t="n">
        <f aca="false">IF(Flows!BH14*BH$3*BH$4&lt;0.002,100,MAX($CM$2/(Flows!BH14*BH$3*BH$4),1))</f>
        <v>320.730605626466</v>
      </c>
      <c r="BI17" s="10" t="n">
        <f aca="false">IF(Flows!BI14*BI$3*BI$4&lt;0.002,100,MAX($CM$2/(Flows!BI14*BI$3*BI$4),1))</f>
        <v>312.30397524511</v>
      </c>
      <c r="BJ17" s="10" t="n">
        <f aca="false">IF(Flows!BJ14*BJ$3*BJ$4&lt;0.002,100,MAX($CM$2/(Flows!BJ14*BJ$3*BJ$4),1))</f>
        <v>5.88442519179093</v>
      </c>
      <c r="BK17" s="10" t="n">
        <f aca="false">IF(Flows!BK14*BK$3*BK$4&lt;0.002,100,MAX($CM$2/(Flows!BK14*BK$3*BK$4),1))</f>
        <v>624.607950490219</v>
      </c>
      <c r="BL17" s="10" t="n">
        <f aca="false">IF(Flows!BL14*BL$3*BL$4&lt;0.002,100,MAX($CM$2/(Flows!BL14*BL$3*BL$4),1))</f>
        <v>3965.4374617332</v>
      </c>
      <c r="BM17" s="10" t="n">
        <f aca="false">IF(Flows!BM14*BM$3*BM$4&lt;0.002,100,MAX($CM$2/(Flows!BM14*BM$3*BM$4),1))</f>
        <v>44.256478110601</v>
      </c>
      <c r="BN17" s="10" t="n">
        <f aca="false">IF(Flows!BN14*BN$3*BN$4&lt;0.002,100,MAX($CM$2/(Flows!BN14*BN$3*BN$4),1))</f>
        <v>882246.758644603</v>
      </c>
      <c r="BO17" s="10" t="n">
        <f aca="false">IF(Flows!BO14*BO$3*BO$4&lt;0.002,100,MAX($CM$2/(Flows!BO14*BO$3*BO$4),1))</f>
        <v>147041126.440767</v>
      </c>
      <c r="BP17" s="10" t="n">
        <f aca="false">IF(Flows!BP14*BP$3*BP$4&lt;0.002,100,MAX($CM$2/(Flows!BP14*BP$3*BP$4),1))</f>
        <v>32614524163.2731</v>
      </c>
      <c r="BQ17" s="10" t="n">
        <f aca="false">IF(Flows!BQ14*BQ$3*BQ$4&lt;0.002,100,MAX($CM$2/(Flows!BQ14*BQ$3*BQ$4),1))</f>
        <v>1357302.70560708</v>
      </c>
      <c r="BR17" s="10" t="n">
        <f aca="false">IF(Flows!BR14*BR$3*BR$4&lt;0.002,100,MAX($CM$2/(Flows!BR14*BR$3*BR$4),1))</f>
        <v>1470411264.40767</v>
      </c>
      <c r="BS17" s="10" t="n">
        <f aca="false">IF(Flows!BS14*BS$3*BS$4&lt;0.002,100,MAX($CM$2/(Flows!BS14*BS$3*BS$4),1))</f>
        <v>7352062523.45899</v>
      </c>
      <c r="BT17" s="10" t="n">
        <f aca="false">IF(Flows!BT14*BT$3*BT$4&lt;0.002,100,MAX($CM$2/(Flows!BT14*BT$3*BT$4),1))</f>
        <v>7.02772779253219</v>
      </c>
      <c r="BU17" s="10" t="n">
        <f aca="false">IF(Flows!BU14*BU$3*BU$4&lt;0.002,100,MAX($CM$2/(Flows!BU14*BU$3*BU$4),1))</f>
        <v>70.2772779253219</v>
      </c>
      <c r="BV17" s="10" t="n">
        <f aca="false">IF(Flows!BV14*BV$3*BV$4&lt;0.002,100,MAX($CM$2/(Flows!BV14*BV$3*BV$4),1))</f>
        <v>702.772779253219</v>
      </c>
      <c r="BW17" s="10" t="n">
        <f aca="false">IF(Flows!BW14*BW$3*BW$4&lt;0.002,100,MAX($CM$2/(Flows!BW14*BW$3*BW$4),1))</f>
        <v>34.521765677435</v>
      </c>
      <c r="BX17" s="10" t="n">
        <f aca="false">IF(Flows!BX14*BX$3*BX$4&lt;0.002,100,MAX($CM$2/(Flows!BX14*BX$3*BX$4),1))</f>
        <v>382.741573485469</v>
      </c>
      <c r="BY17" s="10" t="n">
        <f aca="false">IF(Flows!BY14*BY$3*BY$4&lt;0.002,100,MAX($CM$2/(Flows!BY14*BY$3*BY$4),1))</f>
        <v>26.232929202595</v>
      </c>
      <c r="BZ17" s="10" t="n">
        <f aca="false">IF(Flows!BZ14*BZ$3*BZ$4&lt;0.002,100,MAX($CM$2/(Flows!BZ14*BZ$3*BZ$4),1))</f>
        <v>30711.8653316901</v>
      </c>
      <c r="CA17" s="10" t="n">
        <f aca="false">IF(Flows!CA14*CA$3*CA$4&lt;0.002,100,MAX($CM$2/(Flows!CA14*CA$3*CA$4),1))</f>
        <v>1170852.51578466</v>
      </c>
      <c r="CB17" s="10" t="n">
        <f aca="false">IF(Flows!CB14*CB$3*CB$4&lt;0.002,100,MAX($CM$2/(Flows!CB14*CB$3*CB$4),1))</f>
        <v>171.721256438105</v>
      </c>
      <c r="CC17" s="10" t="n">
        <f aca="false">IF(Flows!CC14*CC$3*CC$4&lt;0.002,100,MAX($CM$2/(Flows!CC14*CC$3*CC$4),1))</f>
        <v>12.380446236486</v>
      </c>
      <c r="CD17" s="10" t="n">
        <f aca="false">IF(Flows!CD14*CD$3*CD$4&lt;0.002,100,MAX($CM$2/(Flows!CD14*CD$3*CD$4),1))</f>
        <v>116.852850817108</v>
      </c>
      <c r="CE17" s="10" t="n">
        <f aca="false">IF(Flows!CE14*CE$3*CE$4&lt;0.002,100,MAX($CM$2/(Flows!CE14*CE$3*CE$4),1))</f>
        <v>185.115864159257</v>
      </c>
      <c r="CF17" s="10" t="n">
        <f aca="false">IF(Flows!CF14*CF$3*CF$4&lt;0.002,100,MAX($CM$2/(Flows!CF14*CF$3*CF$4),1))</f>
        <v>1</v>
      </c>
      <c r="CG17" s="10" t="n">
        <f aca="false">IF(Flows!CG14*CG$3*CG$4&lt;0.002,100,MAX($CM$2/(Flows!CG14*CG$3*CG$4),1))</f>
        <v>11691941.696157</v>
      </c>
      <c r="CH17" s="10" t="n">
        <f aca="false">IF(Flows!CH14*CH$3*CH$4&lt;0.002,100,MAX($CM$2/(Flows!CH14*CH$3*CH$4),1))</f>
        <v>1003573.82635636</v>
      </c>
      <c r="CI17" s="10" t="n">
        <f aca="false">IF(Flows!CI14*CI$3*CI$4&lt;0.002,100,MAX($CM$2/(Flows!CI14*CI$3*CI$4),1))</f>
        <v>2235.85268268229</v>
      </c>
      <c r="CJ17" s="10" t="n">
        <f aca="false">IF(Flows!CJ14*CJ$3*CJ$4&lt;0.002,100,MAX($CM$2/(Flows!CJ14*CJ$3*CJ$4),1))</f>
        <v>2540.85177179474</v>
      </c>
      <c r="CK17" s="10" t="n">
        <f aca="false">IF(Flows!CK14*CK$3*CK$4&lt;0.002,100,MAX($CM$2/(Flows!CK14*CK$3*CK$4),1))</f>
        <v>7013.9508185127</v>
      </c>
      <c r="CL17" s="7" t="s">
        <v>320</v>
      </c>
    </row>
    <row r="18" customFormat="false" ht="12.8" hidden="false" customHeight="false" outlineLevel="0" collapsed="false">
      <c r="A18" s="7" t="s">
        <v>148</v>
      </c>
      <c r="B18" s="7" t="s">
        <v>39</v>
      </c>
      <c r="C18" s="10" t="n">
        <f aca="false">IF(Flows!C15*C$3*C$4&lt;0.002,100,MAX($CM$2/(Flows!C15*C$3*C$4),1))</f>
        <v>27397.0335949971</v>
      </c>
      <c r="D18" s="10" t="n">
        <f aca="false">IF(Flows!D15*D$3*D$4&lt;0.002,100,MAX($CM$2/(Flows!D15*D$3*D$4),1))</f>
        <v>4.23035591364922</v>
      </c>
      <c r="E18" s="10" t="n">
        <f aca="false">IF(Flows!E15*E$3*E$4&lt;0.002,100,MAX($CM$2/(Flows!E15*E$3*E$4),1))</f>
        <v>8.33364769698172</v>
      </c>
      <c r="F18" s="10" t="n">
        <f aca="false">IF(Flows!F15*F$3*F$4&lt;0.002,100,MAX($CM$2/(Flows!F15*F$3*F$4),1))</f>
        <v>21.6937744299911</v>
      </c>
      <c r="G18" s="10" t="n">
        <f aca="false">IF(Flows!G15*G$3*G$4&lt;0.002,100,MAX($CM$2/(Flows!G15*G$3*G$4),1))</f>
        <v>6.8674446407536</v>
      </c>
      <c r="H18" s="10" t="n">
        <f aca="false">IF(Flows!H15*H$3*H$4&lt;0.002,100,MAX($CM$2/(Flows!H15*H$3*H$4),1))</f>
        <v>4018.71568003866</v>
      </c>
      <c r="I18" s="10" t="n">
        <f aca="false">IF(Flows!I15*I$3*I$4&lt;0.002,100,MAX($CM$2/(Flows!I15*I$3*I$4),1))</f>
        <v>3772.08825679845</v>
      </c>
      <c r="J18" s="10" t="n">
        <f aca="false">IF(Flows!J15*J$3*J$4&lt;0.002,100,MAX($CM$2/(Flows!J15*J$3*J$4),1))</f>
        <v>4728.08190347995</v>
      </c>
      <c r="K18" s="10" t="n">
        <f aca="false">IF(Flows!K15*K$3*K$4&lt;0.002,100,MAX($CM$2/(Flows!K15*K$3*K$4),1))</f>
        <v>18008.9069356296</v>
      </c>
      <c r="L18" s="10" t="n">
        <f aca="false">IF(Flows!L15*L$3*L$4&lt;0.002,100,MAX($CM$2/(Flows!L15*L$3*L$4),1))</f>
        <v>96279.012131006</v>
      </c>
      <c r="M18" s="10" t="n">
        <f aca="false">IF(Flows!M15*M$3*M$4&lt;0.002,100,MAX($CM$2/(Flows!M15*M$3*M$4),1))</f>
        <v>69943.4656013177</v>
      </c>
      <c r="N18" s="10" t="n">
        <f aca="false">IF(Flows!N15*N$3*N$4&lt;0.002,100,MAX($CM$2/(Flows!N15*N$3*N$4),1))</f>
        <v>9.07875946464719</v>
      </c>
      <c r="O18" s="10" t="n">
        <f aca="false">IF(Flows!O15*O$3*O$4&lt;0.002,100,MAX($CM$2/(Flows!O15*O$3*O$4),1))</f>
        <v>3.61343556268851</v>
      </c>
      <c r="P18" s="10" t="n">
        <f aca="false">IF(Flows!P15*P$3*P$4&lt;0.002,100,MAX($CM$2/(Flows!P15*P$3*P$4),1))</f>
        <v>2.1680613376131</v>
      </c>
      <c r="Q18" s="10" t="n">
        <f aca="false">IF(Flows!Q15*Q$3*Q$4&lt;0.002,100,MAX($CM$2/(Flows!Q15*Q$3*Q$4),1))</f>
        <v>293.714178321959</v>
      </c>
      <c r="R18" s="10" t="n">
        <f aca="false">IF(Flows!R15*R$3*R$4&lt;0.002,100,MAX($CM$2/(Flows!R15*R$3*R$4),1))</f>
        <v>49.3394710565195</v>
      </c>
      <c r="S18" s="10" t="n">
        <f aca="false">IF(Flows!S15*S$3*S$4&lt;0.002,100,MAX($CM$2/(Flows!S15*S$3*S$4),1))</f>
        <v>825.248675408621</v>
      </c>
      <c r="T18" s="10" t="n">
        <f aca="false">IF(Flows!T15*T$3*T$4&lt;0.002,100,MAX($CM$2/(Flows!T15*T$3*T$4),1))</f>
        <v>1476.54787511836</v>
      </c>
      <c r="U18" s="10" t="n">
        <f aca="false">IF(Flows!U15*U$3*U$4&lt;0.002,100,MAX($CM$2/(Flows!U15*U$3*U$4),1))</f>
        <v>4662.89770675451</v>
      </c>
      <c r="V18" s="10" t="n">
        <f aca="false">IF(Flows!V15*V$3*V$4&lt;0.002,100,MAX($CM$2/(Flows!V15*V$3*V$4),1))</f>
        <v>293.26010754637</v>
      </c>
      <c r="W18" s="10" t="n">
        <f aca="false">IF(Flows!W15*W$3*W$4&lt;0.002,100,MAX($CM$2/(Flows!W15*W$3*W$4),1))</f>
        <v>11.9046696738302</v>
      </c>
      <c r="X18" s="10" t="n">
        <f aca="false">IF(Flows!X15*X$3*X$4&lt;0.002,100,MAX($CM$2/(Flows!X15*X$3*X$4),1))</f>
        <v>11.3296166958413</v>
      </c>
      <c r="Y18" s="10" t="n">
        <f aca="false">IF(Flows!Y15*Y$3*Y$4&lt;0.002,100,MAX($CM$2/(Flows!Y15*Y$3*Y$4),1))</f>
        <v>481.39506065503</v>
      </c>
      <c r="Z18" s="10" t="n">
        <f aca="false">IF(Flows!Z15*Z$3*Z$4&lt;0.002,100,MAX($CM$2/(Flows!Z15*Z$3*Z$4),1))</f>
        <v>20383.1302176186</v>
      </c>
      <c r="AA18" s="10" t="n">
        <f aca="false">IF(Flows!AA15*AA$3*AA$4&lt;0.002,100,MAX($CM$2/(Flows!AA15*AA$3*AA$4),1))</f>
        <v>14554.9664739901</v>
      </c>
      <c r="AB18" s="10" t="n">
        <f aca="false">IF(Flows!AB15*AB$3*AB$4&lt;0.002,100,MAX($CM$2/(Flows!AB15*AB$3*AB$4),1))</f>
        <v>12863.6576328174</v>
      </c>
      <c r="AC18" s="10" t="n">
        <f aca="false">IF(Flows!AC15*AC$3*AC$4&lt;0.002,100,MAX($CM$2/(Flows!AC15*AC$3*AC$4),1))</f>
        <v>54875.5712203009</v>
      </c>
      <c r="AD18" s="10" t="n">
        <f aca="false">IF(Flows!AD15*AD$3*AD$4&lt;0.002,100,MAX($CM$2/(Flows!AD15*AD$3*AD$4),1))</f>
        <v>81031.0505944833</v>
      </c>
      <c r="AE18" s="10" t="n">
        <f aca="false">IF(Flows!AE15*AE$3*AE$4&lt;0.002,100,MAX($CM$2/(Flows!AE15*AE$3*AE$4),1))</f>
        <v>257086.184232001</v>
      </c>
      <c r="AF18" s="10" t="n">
        <f aca="false">IF(Flows!AF15*AF$3*AF$4&lt;0.002,100,MAX($CM$2/(Flows!AF15*AF$3*AF$4),1))</f>
        <v>970.478843666744</v>
      </c>
      <c r="AG18" s="10" t="n">
        <f aca="false">IF(Flows!AG15*AG$3*AG$4&lt;0.002,100,MAX($CM$2/(Flows!AG15*AG$3*AG$4),1))</f>
        <v>792.329789177232</v>
      </c>
      <c r="AH18" s="10" t="n">
        <f aca="false">IF(Flows!AH15*AH$3*AH$4&lt;0.002,100,MAX($CM$2/(Flows!AH15*AH$3*AH$4),1))</f>
        <v>538.577730856182</v>
      </c>
      <c r="AI18" s="10" t="n">
        <f aca="false">IF(Flows!AI15*AI$3*AI$4&lt;0.002,100,MAX($CM$2/(Flows!AI15*AI$3*AI$4),1))</f>
        <v>2827.68247443045</v>
      </c>
      <c r="AJ18" s="10" t="n">
        <f aca="false">IF(Flows!AJ15*AJ$3*AJ$4&lt;0.002,100,MAX($CM$2/(Flows!AJ15*AJ$3*AJ$4),1))</f>
        <v>1607.97965476088</v>
      </c>
      <c r="AK18" s="10" t="n">
        <f aca="false">IF(Flows!AK15*AK$3*AK$4&lt;0.002,100,MAX($CM$2/(Flows!AK15*AK$3*AK$4),1))</f>
        <v>753.894885826564</v>
      </c>
      <c r="AL18" s="10" t="n">
        <f aca="false">IF(Flows!AL15*AL$3*AL$4&lt;0.002,100,MAX($CM$2/(Flows!AL15*AL$3*AL$4),1))</f>
        <v>1175.32110869536</v>
      </c>
      <c r="AM18" s="10" t="n">
        <f aca="false">IF(Flows!AM15*AM$3*AM$4&lt;0.002,100,MAX($CM$2/(Flows!AM15*AM$3*AM$4),1))</f>
        <v>2069.27311440442</v>
      </c>
      <c r="AN18" s="10" t="n">
        <f aca="false">IF(Flows!AN15*AN$3*AN$4&lt;0.002,100,MAX($CM$2/(Flows!AN15*AN$3*AN$4),1))</f>
        <v>2182.86690185176</v>
      </c>
      <c r="AO18" s="10" t="n">
        <f aca="false">IF(Flows!AO15*AO$3*AO$4&lt;0.002,100,MAX($CM$2/(Flows!AO15*AO$3*AO$4),1))</f>
        <v>25833.8292634478</v>
      </c>
      <c r="AP18" s="10" t="n">
        <f aca="false">IF(Flows!AP15*AP$3*AP$4&lt;0.002,100,MAX($CM$2/(Flows!AP15*AP$3*AP$4),1))</f>
        <v>48880.3888343317</v>
      </c>
      <c r="AQ18" s="10" t="n">
        <f aca="false">IF(Flows!AQ15*AQ$3*AQ$4&lt;0.002,100,MAX($CM$2/(Flows!AQ15*AQ$3*AQ$4),1))</f>
        <v>21098.1236924557</v>
      </c>
      <c r="AR18" s="10" t="n">
        <f aca="false">IF(Flows!AR15*AR$3*AR$4&lt;0.002,100,MAX($CM$2/(Flows!AR15*AR$3*AR$4),1))</f>
        <v>16497.4112305779</v>
      </c>
      <c r="AS18" s="10" t="n">
        <f aca="false">IF(Flows!AS15*AS$3*AS$4&lt;0.002,100,MAX($CM$2/(Flows!AS15*AS$3*AS$4),1))</f>
        <v>3400.86719700457</v>
      </c>
      <c r="AT18" s="10" t="n">
        <f aca="false">IF(Flows!AT15*AT$3*AT$4&lt;0.002,100,MAX($CM$2/(Flows!AT15*AT$3*AT$4),1))</f>
        <v>749.251763749396</v>
      </c>
      <c r="AU18" s="10" t="n">
        <f aca="false">IF(Flows!AU15*AU$3*AU$4&lt;0.002,100,MAX($CM$2/(Flows!AU15*AU$3*AU$4),1))</f>
        <v>1481.31941747472</v>
      </c>
      <c r="AV18" s="10" t="n">
        <f aca="false">IF(Flows!AV15*AV$3*AV$4&lt;0.002,100,MAX($CM$2/(Flows!AV15*AV$3*AV$4),1))</f>
        <v>11569.7795733527</v>
      </c>
      <c r="AW18" s="10" t="n">
        <f aca="false">IF(Flows!AW15*AW$3*AW$4&lt;0.002,100,MAX($CM$2/(Flows!AW15*AW$3*AW$4),1))</f>
        <v>17.2435773037656</v>
      </c>
      <c r="AX18" s="10" t="n">
        <f aca="false">IF(Flows!AX15*AX$3*AX$4&lt;0.002,100,MAX($CM$2/(Flows!AX15*AX$3*AX$4),1))</f>
        <v>2848.55413124424</v>
      </c>
      <c r="AY18" s="10" t="n">
        <f aca="false">IF(Flows!AY15*AY$3*AY$4&lt;0.002,100,MAX($CM$2/(Flows!AY15*AY$3*AY$4),1))</f>
        <v>738.654362710049</v>
      </c>
      <c r="AZ18" s="10" t="n">
        <f aca="false">IF(Flows!AZ15*AZ$3*AZ$4&lt;0.002,100,MAX($CM$2/(Flows!AZ15*AZ$3*AZ$4),1))</f>
        <v>193.10218996168</v>
      </c>
      <c r="BA18" s="10" t="n">
        <f aca="false">IF(Flows!BA15*BA$3*BA$4&lt;0.002,100,MAX($CM$2/(Flows!BA15*BA$3*BA$4),1))</f>
        <v>4910.22961868131</v>
      </c>
      <c r="BB18" s="10" t="n">
        <f aca="false">IF(Flows!BB15*BB$3*BB$4&lt;0.002,100,MAX($CM$2/(Flows!BB15*BB$3*BB$4),1))</f>
        <v>3954.58154440833</v>
      </c>
      <c r="BC18" s="10" t="n">
        <f aca="false">IF(Flows!BC15*BC$3*BC$4&lt;0.002,100,MAX($CM$2/(Flows!BC15*BC$3*BC$4),1))</f>
        <v>2027.06684961034</v>
      </c>
      <c r="BD18" s="10" t="n">
        <f aca="false">IF(Flows!BD15*BD$3*BD$4&lt;0.002,100,MAX($CM$2/(Flows!BD15*BD$3*BD$4),1))</f>
        <v>7034.39490448576</v>
      </c>
      <c r="BE18" s="10" t="n">
        <f aca="false">IF(Flows!BE15*BE$3*BE$4&lt;0.002,100,MAX($CM$2/(Flows!BE15*BE$3*BE$4),1))</f>
        <v>16407.0268738414</v>
      </c>
      <c r="BF18" s="10" t="n">
        <f aca="false">IF(Flows!BF15*BF$3*BF$4&lt;0.002,100,MAX($CM$2/(Flows!BF15*BF$3*BF$4),1))</f>
        <v>1093.57729835486</v>
      </c>
      <c r="BG18" s="10" t="n">
        <f aca="false">IF(Flows!BG15*BG$3*BG$4&lt;0.002,100,MAX($CM$2/(Flows!BG15*BG$3*BG$4),1))</f>
        <v>322.446183218323</v>
      </c>
      <c r="BH18" s="10" t="n">
        <f aca="false">IF(Flows!BH15*BH$3*BH$4&lt;0.002,100,MAX($CM$2/(Flows!BH15*BH$3*BH$4),1))</f>
        <v>3446504.29420201</v>
      </c>
      <c r="BI18" s="10" t="n">
        <f aca="false">IF(Flows!BI15*BI$3*BI$4&lt;0.002,100,MAX($CM$2/(Flows!BI15*BI$3*BI$4),1))</f>
        <v>102.170058161026</v>
      </c>
      <c r="BJ18" s="10" t="n">
        <f aca="false">IF(Flows!BJ15*BJ$3*BJ$4&lt;0.002,100,MAX($CM$2/(Flows!BJ15*BJ$3*BJ$4),1))</f>
        <v>32.1298068912685</v>
      </c>
      <c r="BK18" s="10" t="n">
        <f aca="false">IF(Flows!BK15*BK$3*BK$4&lt;0.002,100,MAX($CM$2/(Flows!BK15*BK$3*BK$4),1))</f>
        <v>204.340116322052</v>
      </c>
      <c r="BL18" s="10" t="n">
        <f aca="false">IF(Flows!BL15*BL$3*BL$4&lt;0.002,100,MAX($CM$2/(Flows!BL15*BL$3*BL$4),1))</f>
        <v>189.323761968909</v>
      </c>
      <c r="BM18" s="10" t="n">
        <f aca="false">IF(Flows!BM15*BM$3*BM$4&lt;0.002,100,MAX($CM$2/(Flows!BM15*BM$3*BM$4),1))</f>
        <v>353.389184411031</v>
      </c>
      <c r="BN18" s="10" t="n">
        <f aca="false">IF(Flows!BN15*BN$3*BN$4&lt;0.002,100,MAX($CM$2/(Flows!BN15*BN$3*BN$4),1))</f>
        <v>499251.613935428</v>
      </c>
      <c r="BO18" s="10" t="n">
        <f aca="false">IF(Flows!BO15*BO$3*BO$4&lt;0.002,100,MAX($CM$2/(Flows!BO15*BO$3*BO$4),1))</f>
        <v>83208602.3225713</v>
      </c>
      <c r="BP18" s="10" t="n">
        <f aca="false">IF(Flows!BP15*BP$3*BP$4&lt;0.002,100,MAX($CM$2/(Flows!BP15*BP$3*BP$4),1))</f>
        <v>24394821782.4449</v>
      </c>
      <c r="BQ18" s="10" t="n">
        <f aca="false">IF(Flows!BQ15*BQ$3*BQ$4&lt;0.002,100,MAX($CM$2/(Flows!BQ15*BQ$3*BQ$4),1))</f>
        <v>768079.406054504</v>
      </c>
      <c r="BR18" s="10" t="n">
        <f aca="false">IF(Flows!BR15*BR$3*BR$4&lt;0.002,100,MAX($CM$2/(Flows!BR15*BR$3*BR$4),1))</f>
        <v>832086023.225713</v>
      </c>
      <c r="BS18" s="10" t="n">
        <f aca="false">IF(Flows!BS15*BS$3*BS$4&lt;0.002,100,MAX($CM$2/(Flows!BS15*BS$3*BS$4),1))</f>
        <v>4160433199.18943</v>
      </c>
      <c r="BT18" s="10" t="n">
        <f aca="false">IF(Flows!BT15*BT$3*BT$4&lt;0.002,100,MAX($CM$2/(Flows!BT15*BT$3*BT$4),1))</f>
        <v>3.32455736490976</v>
      </c>
      <c r="BU18" s="10" t="n">
        <f aca="false">IF(Flows!BU15*BU$3*BU$4&lt;0.002,100,MAX($CM$2/(Flows!BU15*BU$3*BU$4),1))</f>
        <v>33.2455736490976</v>
      </c>
      <c r="BV18" s="10" t="n">
        <f aca="false">IF(Flows!BV15*BV$3*BV$4&lt;0.002,100,MAX($CM$2/(Flows!BV15*BV$3*BV$4),1))</f>
        <v>332.455736490976</v>
      </c>
      <c r="BW18" s="10" t="n">
        <f aca="false">IF(Flows!BW15*BW$3*BW$4&lt;0.002,100,MAX($CM$2/(Flows!BW15*BW$3*BW$4),1))</f>
        <v>26.4715348624228</v>
      </c>
      <c r="BX18" s="10" t="n">
        <f aca="false">IF(Flows!BX15*BX$3*BX$4&lt;0.002,100,MAX($CM$2/(Flows!BX15*BX$3*BX$4),1))</f>
        <v>16.8979174095725</v>
      </c>
      <c r="BY18" s="10" t="n">
        <f aca="false">IF(Flows!BY15*BY$3*BY$4&lt;0.002,100,MAX($CM$2/(Flows!BY15*BY$3*BY$4),1))</f>
        <v>30.5045628396141</v>
      </c>
      <c r="BZ18" s="10" t="n">
        <f aca="false">IF(Flows!BZ15*BZ$3*BZ$4&lt;0.002,100,MAX($CM$2/(Flows!BZ15*BZ$3*BZ$4),1))</f>
        <v>31313.8376174297</v>
      </c>
      <c r="CA18" s="10" t="n">
        <f aca="false">IF(Flows!CA15*CA$3*CA$4&lt;0.002,100,MAX($CM$2/(Flows!CA15*CA$3*CA$4),1))</f>
        <v>14060.699890815</v>
      </c>
      <c r="CB18" s="10" t="n">
        <f aca="false">IF(Flows!CB15*CB$3*CB$4&lt;0.002,100,MAX($CM$2/(Flows!CB15*CB$3*CB$4),1))</f>
        <v>29.4757399158469</v>
      </c>
      <c r="CC18" s="10" t="n">
        <f aca="false">IF(Flows!CC15*CC$3*CC$4&lt;0.002,100,MAX($CM$2/(Flows!CC15*CC$3*CC$4),1))</f>
        <v>7.31241608353171</v>
      </c>
      <c r="CD18" s="10" t="n">
        <f aca="false">IF(Flows!CD15*CD$3*CD$4&lt;0.002,100,MAX($CM$2/(Flows!CD15*CD$3*CD$4),1))</f>
        <v>65.171050856666</v>
      </c>
      <c r="CE18" s="10" t="n">
        <f aca="false">IF(Flows!CE15*CE$3*CE$4&lt;0.002,100,MAX($CM$2/(Flows!CE15*CE$3*CE$4),1))</f>
        <v>25.4991085715715</v>
      </c>
      <c r="CF18" s="10" t="n">
        <f aca="false">IF(Flows!CF15*CF$3*CF$4&lt;0.002,100,MAX($CM$2/(Flows!CF15*CF$3*CF$4),1))</f>
        <v>1</v>
      </c>
      <c r="CG18" s="10" t="n">
        <f aca="false">IF(Flows!CG15*CG$3*CG$4&lt;0.002,100,MAX($CM$2/(Flows!CG15*CG$3*CG$4),1))</f>
        <v>1006546.1904081</v>
      </c>
      <c r="CH18" s="10" t="n">
        <f aca="false">IF(Flows!CH15*CH$3*CH$4&lt;0.002,100,MAX($CM$2/(Flows!CH15*CH$3*CH$4),1))</f>
        <v>100364709.896796</v>
      </c>
      <c r="CI18" s="10" t="n">
        <f aca="false">IF(Flows!CI15*CI$3*CI$4&lt;0.002,100,MAX($CM$2/(Flows!CI15*CI$3*CI$4),1))</f>
        <v>778.655643210347</v>
      </c>
      <c r="CJ18" s="10" t="n">
        <f aca="false">IF(Flows!CJ15*CJ$3*CJ$4&lt;0.002,100,MAX($CM$2/(Flows!CJ15*CJ$3*CJ$4),1))</f>
        <v>6006.54669398514</v>
      </c>
      <c r="CK18" s="10" t="n">
        <f aca="false">IF(Flows!CK15*CK$3*CK$4&lt;0.002,100,MAX($CM$2/(Flows!CK15*CK$3*CK$4),1))</f>
        <v>1498.27311745483</v>
      </c>
      <c r="CL18" s="7" t="s">
        <v>320</v>
      </c>
    </row>
    <row r="19" customFormat="false" ht="12.8" hidden="false" customHeight="false" outlineLevel="0" collapsed="false">
      <c r="A19" s="7" t="s">
        <v>150</v>
      </c>
      <c r="B19" s="7" t="s">
        <v>39</v>
      </c>
      <c r="C19" s="10" t="n">
        <f aca="false">IF(Flows!C16*C$3*C$4&lt;0.002,100,MAX($CM$2/(Flows!C16*C$3*C$4),1))</f>
        <v>75425.7467586984</v>
      </c>
      <c r="D19" s="10" t="n">
        <f aca="false">IF(Flows!D16*D$3*D$4&lt;0.002,100,MAX($CM$2/(Flows!D16*D$3*D$4),1))</f>
        <v>8.31629223208688</v>
      </c>
      <c r="E19" s="10" t="n">
        <f aca="false">IF(Flows!E16*E$3*E$4&lt;0.002,100,MAX($CM$2/(Flows!E16*E$3*E$4),1))</f>
        <v>14.5196070645386</v>
      </c>
      <c r="F19" s="10" t="n">
        <f aca="false">IF(Flows!F16*F$3*F$4&lt;0.002,100,MAX($CM$2/(Flows!F16*F$3*F$4),1))</f>
        <v>39.6472834298694</v>
      </c>
      <c r="G19" s="10" t="n">
        <f aca="false">IF(Flows!G16*G$3*G$4&lt;0.002,100,MAX($CM$2/(Flows!G16*G$3*G$4),1))</f>
        <v>24.7371313282332</v>
      </c>
      <c r="H19" s="10" t="n">
        <f aca="false">IF(Flows!H16*H$3*H$4&lt;0.002,100,MAX($CM$2/(Flows!H16*H$3*H$4),1))</f>
        <v>14362.7876407654</v>
      </c>
      <c r="I19" s="10" t="n">
        <f aca="false">IF(Flows!I16*I$3*I$4&lt;0.002,100,MAX($CM$2/(Flows!I16*I$3*I$4),1))</f>
        <v>2556.69223559902</v>
      </c>
      <c r="J19" s="10" t="n">
        <f aca="false">IF(Flows!J16*J$3*J$4&lt;0.002,100,MAX($CM$2/(Flows!J16*J$3*J$4),1))</f>
        <v>3401.44427501523</v>
      </c>
      <c r="K19" s="10" t="n">
        <f aca="false">IF(Flows!K16*K$3*K$4&lt;0.002,100,MAX($CM$2/(Flows!K16*K$3*K$4),1))</f>
        <v>31851.6275725857</v>
      </c>
      <c r="L19" s="10" t="n">
        <f aca="false">IF(Flows!L16*L$3*L$4&lt;0.002,100,MAX($CM$2/(Flows!L16*L$3*L$4),1))</f>
        <v>162115.107982687</v>
      </c>
      <c r="M19" s="10" t="n">
        <f aca="false">IF(Flows!M16*M$3*M$4&lt;0.002,100,MAX($CM$2/(Flows!M16*M$3*M$4),1))</f>
        <v>116684.070906521</v>
      </c>
      <c r="N19" s="10" t="n">
        <f aca="false">IF(Flows!N16*N$3*N$4&lt;0.002,100,MAX($CM$2/(Flows!N16*N$3*N$4),1))</f>
        <v>12.7153576808247</v>
      </c>
      <c r="O19" s="10" t="n">
        <f aca="false">IF(Flows!O16*O$3*O$4&lt;0.002,100,MAX($CM$2/(Flows!O16*O$3*O$4),1))</f>
        <v>4.16372003391381</v>
      </c>
      <c r="P19" s="10" t="n">
        <f aca="false">IF(Flows!P16*P$3*P$4&lt;0.002,100,MAX($CM$2/(Flows!P16*P$3*P$4),1))</f>
        <v>2.49823202034829</v>
      </c>
      <c r="Q19" s="10" t="n">
        <f aca="false">IF(Flows!Q16*Q$3*Q$4&lt;0.002,100,MAX($CM$2/(Flows!Q16*Q$3*Q$4),1))</f>
        <v>610.119659845194</v>
      </c>
      <c r="R19" s="10" t="n">
        <f aca="false">IF(Flows!R16*R$3*R$4&lt;0.002,100,MAX($CM$2/(Flows!R16*R$3*R$4),1))</f>
        <v>87.2647330755772</v>
      </c>
      <c r="S19" s="10" t="n">
        <f aca="false">IF(Flows!S16*S$3*S$4&lt;0.002,100,MAX($CM$2/(Flows!S16*S$3*S$4),1))</f>
        <v>1389.55806842303</v>
      </c>
      <c r="T19" s="10" t="n">
        <f aca="false">IF(Flows!T16*T$3*T$4&lt;0.002,100,MAX($CM$2/(Flows!T16*T$3*T$4),1))</f>
        <v>2486.21909301179</v>
      </c>
      <c r="U19" s="10" t="n">
        <f aca="false">IF(Flows!U16*U$3*U$4&lt;0.002,100,MAX($CM$2/(Flows!U16*U$3*U$4),1))</f>
        <v>7778.93806043472</v>
      </c>
      <c r="V19" s="10" t="n">
        <f aca="false">IF(Flows!V16*V$3*V$4&lt;0.002,100,MAX($CM$2/(Flows!V16*V$3*V$4),1))</f>
        <v>314.886079423944</v>
      </c>
      <c r="W19" s="10" t="n">
        <f aca="false">IF(Flows!W16*W$3*W$4&lt;0.002,100,MAX($CM$2/(Flows!W16*W$3*W$4),1))</f>
        <v>8.53921612360234</v>
      </c>
      <c r="X19" s="10" t="n">
        <f aca="false">IF(Flows!X16*X$3*X$4&lt;0.002,100,MAX($CM$2/(Flows!X16*X$3*X$4),1))</f>
        <v>13.9848657054822</v>
      </c>
      <c r="Y19" s="10" t="n">
        <f aca="false">IF(Flows!Y16*Y$3*Y$4&lt;0.002,100,MAX($CM$2/(Flows!Y16*Y$3*Y$4),1))</f>
        <v>810.575539913435</v>
      </c>
      <c r="Z19" s="10" t="n">
        <f aca="false">IF(Flows!Z16*Z$3*Z$4&lt;0.002,100,MAX($CM$2/(Flows!Z16*Z$3*Z$4),1))</f>
        <v>6765.6945771054</v>
      </c>
      <c r="AA19" s="10" t="n">
        <f aca="false">IF(Flows!AA16*AA$3*AA$4&lt;0.002,100,MAX($CM$2/(Flows!AA16*AA$3*AA$4),1))</f>
        <v>11648.9016427112</v>
      </c>
      <c r="AB19" s="10" t="n">
        <f aca="false">IF(Flows!AB16*AB$3*AB$4&lt;0.002,100,MAX($CM$2/(Flows!AB16*AB$3*AB$4),1))</f>
        <v>12048.7875289694</v>
      </c>
      <c r="AC19" s="10" t="n">
        <f aca="false">IF(Flows!AC16*AC$3*AC$4&lt;0.002,100,MAX($CM$2/(Flows!AC16*AC$3*AC$4),1))</f>
        <v>71488.6626730792</v>
      </c>
      <c r="AD19" s="10" t="n">
        <f aca="false">IF(Flows!AD16*AD$3*AD$4&lt;0.002,100,MAX($CM$2/(Flows!AD16*AD$3*AD$4),1))</f>
        <v>75898.0019315286</v>
      </c>
      <c r="AE19" s="10" t="n">
        <f aca="false">IF(Flows!AE16*AE$3*AE$4&lt;0.002,100,MAX($CM$2/(Flows!AE16*AE$3*AE$4),1))</f>
        <v>262165.686481198</v>
      </c>
      <c r="AF19" s="10" t="n">
        <f aca="false">IF(Flows!AF16*AF$3*AF$4&lt;0.002,100,MAX($CM$2/(Flows!AF16*AF$3*AF$4),1))</f>
        <v>955.382236904742</v>
      </c>
      <c r="AG19" s="10" t="n">
        <f aca="false">IF(Flows!AG16*AG$3*AG$4&lt;0.002,100,MAX($CM$2/(Flows!AG16*AG$3*AG$4),1))</f>
        <v>918.615864656942</v>
      </c>
      <c r="AH19" s="10" t="n">
        <f aca="false">IF(Flows!AH16*AH$3*AH$4&lt;0.002,100,MAX($CM$2/(Flows!AH16*AH$3*AH$4),1))</f>
        <v>566.327193830661</v>
      </c>
      <c r="AI19" s="10" t="n">
        <f aca="false">IF(Flows!AI16*AI$3*AI$4&lt;0.002,100,MAX($CM$2/(Flows!AI16*AI$3*AI$4),1))</f>
        <v>3168.82824386442</v>
      </c>
      <c r="AJ19" s="10" t="n">
        <f aca="false">IF(Flows!AJ16*AJ$3*AJ$4&lt;0.002,100,MAX($CM$2/(Flows!AJ16*AJ$3*AJ$4),1))</f>
        <v>1281.51955224062</v>
      </c>
      <c r="AK19" s="10" t="n">
        <f aca="false">IF(Flows!AK16*AK$3*AK$4&lt;0.002,100,MAX($CM$2/(Flows!AK16*AK$3*AK$4),1))</f>
        <v>473.021316167199</v>
      </c>
      <c r="AL19" s="10" t="n">
        <f aca="false">IF(Flows!AL16*AL$3*AL$4&lt;0.002,100,MAX($CM$2/(Flows!AL16*AL$3*AL$4),1))</f>
        <v>984.997622203239</v>
      </c>
      <c r="AM19" s="10" t="n">
        <f aca="false">IF(Flows!AM16*AM$3*AM$4&lt;0.002,100,MAX($CM$2/(Flows!AM16*AM$3*AM$4),1))</f>
        <v>1990.74034193756</v>
      </c>
      <c r="AN19" s="10" t="n">
        <f aca="false">IF(Flows!AN16*AN$3*AN$4&lt;0.002,100,MAX($CM$2/(Flows!AN16*AN$3*AN$4),1))</f>
        <v>2268.70332182903</v>
      </c>
      <c r="AO19" s="10" t="n">
        <f aca="false">IF(Flows!AO16*AO$3*AO$4&lt;0.002,100,MAX($CM$2/(Flows!AO16*AO$3*AO$4),1))</f>
        <v>18954.9176601682</v>
      </c>
      <c r="AP19" s="10" t="n">
        <f aca="false">IF(Flows!AP16*AP$3*AP$4&lt;0.002,100,MAX($CM$2/(Flows!AP16*AP$3*AP$4),1))</f>
        <v>51969.932691339</v>
      </c>
      <c r="AQ19" s="10" t="n">
        <f aca="false">IF(Flows!AQ16*AQ$3*AQ$4&lt;0.002,100,MAX($CM$2/(Flows!AQ16*AQ$3*AQ$4),1))</f>
        <v>13230.1523596829</v>
      </c>
      <c r="AR19" s="10" t="n">
        <f aca="false">IF(Flows!AR16*AR$3*AR$4&lt;0.002,100,MAX($CM$2/(Flows!AR16*AR$3*AR$4),1))</f>
        <v>20838.7175903378</v>
      </c>
      <c r="AS19" s="10" t="n">
        <f aca="false">IF(Flows!AS16*AS$3*AS$4&lt;0.002,100,MAX($CM$2/(Flows!AS16*AS$3*AS$4),1))</f>
        <v>2962.33200712608</v>
      </c>
      <c r="AT19" s="10" t="n">
        <f aca="false">IF(Flows!AT16*AT$3*AT$4&lt;0.002,100,MAX($CM$2/(Flows!AT16*AT$3*AT$4),1))</f>
        <v>809.113627693986</v>
      </c>
      <c r="AU19" s="10" t="n">
        <f aca="false">IF(Flows!AU16*AU$3*AU$4&lt;0.002,100,MAX($CM$2/(Flows!AU16*AU$3*AU$4),1))</f>
        <v>1429.65233671127</v>
      </c>
      <c r="AV19" s="10" t="n">
        <f aca="false">IF(Flows!AV16*AV$3*AV$4&lt;0.002,100,MAX($CM$2/(Flows!AV16*AV$3*AV$4),1))</f>
        <v>11289.1255977617</v>
      </c>
      <c r="AW19" s="10" t="n">
        <f aca="false">IF(Flows!AW16*AW$3*AW$4&lt;0.002,100,MAX($CM$2/(Flows!AW16*AW$3*AW$4),1))</f>
        <v>22.9486543526968</v>
      </c>
      <c r="AX19" s="10" t="n">
        <f aca="false">IF(Flows!AX16*AX$3*AX$4&lt;0.002,100,MAX($CM$2/(Flows!AX16*AX$3*AX$4),1))</f>
        <v>5147.92373721809</v>
      </c>
      <c r="AY19" s="10" t="n">
        <f aca="false">IF(Flows!AY16*AY$3*AY$4&lt;0.002,100,MAX($CM$2/(Flows!AY16*AY$3*AY$4),1))</f>
        <v>615.446936602423</v>
      </c>
      <c r="AZ19" s="10" t="n">
        <f aca="false">IF(Flows!AZ16*AZ$3*AZ$4&lt;0.002,100,MAX($CM$2/(Flows!AZ16*AZ$3*AZ$4),1))</f>
        <v>183.108203608518</v>
      </c>
      <c r="BA19" s="10" t="n">
        <f aca="false">IF(Flows!BA16*BA$3*BA$4&lt;0.002,100,MAX($CM$2/(Flows!BA16*BA$3*BA$4),1))</f>
        <v>8267.87050711704</v>
      </c>
      <c r="BB19" s="10" t="n">
        <f aca="false">IF(Flows!BB16*BB$3*BB$4&lt;0.002,100,MAX($CM$2/(Flows!BB16*BB$3*BB$4),1))</f>
        <v>4264.16197872835</v>
      </c>
      <c r="BC19" s="10" t="n">
        <f aca="false">IF(Flows!BC16*BC$3*BC$4&lt;0.002,100,MAX($CM$2/(Flows!BC16*BC$3*BC$4),1))</f>
        <v>1800.71909930777</v>
      </c>
      <c r="BD19" s="10" t="n">
        <f aca="false">IF(Flows!BD16*BD$3*BD$4&lt;0.002,100,MAX($CM$2/(Flows!BD16*BD$3*BD$4),1))</f>
        <v>7164.84802138222</v>
      </c>
      <c r="BE19" s="10" t="n">
        <f aca="false">IF(Flows!BE16*BE$3*BE$4&lt;0.002,100,MAX($CM$2/(Flows!BE16*BE$3*BE$4),1))</f>
        <v>14265.0262874472</v>
      </c>
      <c r="BF19" s="10" t="n">
        <f aca="false">IF(Flows!BF16*BF$3*BF$4&lt;0.002,100,MAX($CM$2/(Flows!BF16*BF$3*BF$4),1))</f>
        <v>1883.26832394098</v>
      </c>
      <c r="BG19" s="10" t="n">
        <f aca="false">IF(Flows!BG16*BG$3*BG$4&lt;0.002,100,MAX($CM$2/(Flows!BG16*BG$3*BG$4),1))</f>
        <v>524.304013205856</v>
      </c>
      <c r="BH19" s="10" t="n">
        <f aca="false">IF(Flows!BH16*BH$3*BH$4&lt;0.002,100,MAX($CM$2/(Flows!BH16*BH$3*BH$4),1))</f>
        <v>260.730146171903</v>
      </c>
      <c r="BI19" s="10" t="n">
        <f aca="false">IF(Flows!BI16*BI$3*BI$4&lt;0.002,100,MAX($CM$2/(Flows!BI16*BI$3*BI$4),1))</f>
        <v>261.672662927359</v>
      </c>
      <c r="BJ19" s="10" t="n">
        <f aca="false">IF(Flows!BJ16*BJ$3*BJ$4&lt;0.002,100,MAX($CM$2/(Flows!BJ16*BJ$3*BJ$4),1))</f>
        <v>4.61363879797679</v>
      </c>
      <c r="BK19" s="10" t="n">
        <f aca="false">IF(Flows!BK16*BK$3*BK$4&lt;0.002,100,MAX($CM$2/(Flows!BK16*BK$3*BK$4),1))</f>
        <v>523.345325854718</v>
      </c>
      <c r="BL19" s="10" t="n">
        <f aca="false">IF(Flows!BL16*BL$3*BL$4&lt;0.002,100,MAX($CM$2/(Flows!BL16*BL$3*BL$4),1))</f>
        <v>168.426126977478</v>
      </c>
      <c r="BM19" s="10" t="n">
        <f aca="false">IF(Flows!BM16*BM$3*BM$4&lt;0.002,100,MAX($CM$2/(Flows!BM16*BM$3*BM$4),1))</f>
        <v>54.8004489869363</v>
      </c>
      <c r="BN19" s="10" t="n">
        <f aca="false">IF(Flows!BN16*BN$3*BN$4&lt;0.002,100,MAX($CM$2/(Flows!BN16*BN$3*BN$4),1))</f>
        <v>1570931.52409611</v>
      </c>
      <c r="BO19" s="10" t="n">
        <f aca="false">IF(Flows!BO16*BO$3*BO$4&lt;0.002,100,MAX($CM$2/(Flows!BO16*BO$3*BO$4),1))</f>
        <v>261821920.682684</v>
      </c>
      <c r="BP19" s="10" t="n">
        <f aca="false">IF(Flows!BP16*BP$3*BP$4&lt;0.002,100,MAX($CM$2/(Flows!BP16*BP$3*BP$4),1))</f>
        <v>51605806622.3909</v>
      </c>
      <c r="BQ19" s="10" t="n">
        <f aca="false">IF(Flows!BQ16*BQ$3*BQ$4&lt;0.002,100,MAX($CM$2/(Flows!BQ16*BQ$3*BQ$4),1))</f>
        <v>2416817.72937863</v>
      </c>
      <c r="BR19" s="10" t="n">
        <f aca="false">IF(Flows!BR16*BR$3*BR$4&lt;0.002,100,MAX($CM$2/(Flows!BR16*BR$3*BR$4),1))</f>
        <v>2618219206.82685</v>
      </c>
      <c r="BS19" s="10" t="n">
        <f aca="false">IF(Flows!BS16*BS$3*BS$4&lt;0.002,100,MAX($CM$2/(Flows!BS16*BS$3*BS$4),1))</f>
        <v>13091099068.6797</v>
      </c>
      <c r="BT19" s="10" t="n">
        <f aca="false">IF(Flows!BT16*BT$3*BT$4&lt;0.002,100,MAX($CM$2/(Flows!BT16*BT$3*BT$4),1))</f>
        <v>4.79184411549584</v>
      </c>
      <c r="BU19" s="10" t="n">
        <f aca="false">IF(Flows!BU16*BU$3*BU$4&lt;0.002,100,MAX($CM$2/(Flows!BU16*BU$3*BU$4),1))</f>
        <v>47.9184411549583</v>
      </c>
      <c r="BV19" s="10" t="n">
        <f aca="false">IF(Flows!BV16*BV$3*BV$4&lt;0.002,100,MAX($CM$2/(Flows!BV16*BV$3*BV$4),1))</f>
        <v>479.184411549583</v>
      </c>
      <c r="BW19" s="10" t="n">
        <f aca="false">IF(Flows!BW16*BW$3*BW$4&lt;0.002,100,MAX($CM$2/(Flows!BW16*BW$3*BW$4),1))</f>
        <v>28.0753940405226</v>
      </c>
      <c r="BX19" s="10" t="n">
        <f aca="false">IF(Flows!BX16*BX$3*BX$4&lt;0.002,100,MAX($CM$2/(Flows!BX16*BX$3*BX$4),1))</f>
        <v>18.94915560729</v>
      </c>
      <c r="BY19" s="10" t="n">
        <f aca="false">IF(Flows!BY16*BY$3*BY$4&lt;0.002,100,MAX($CM$2/(Flows!BY16*BY$3*BY$4),1))</f>
        <v>156.525203555635</v>
      </c>
      <c r="BZ19" s="10" t="n">
        <f aca="false">IF(Flows!BZ16*BZ$3*BZ$4&lt;0.002,100,MAX($CM$2/(Flows!BZ16*BZ$3*BZ$4),1))</f>
        <v>48220.2225537596</v>
      </c>
      <c r="CA19" s="10" t="n">
        <f aca="false">IF(Flows!CA16*CA$3*CA$4&lt;0.002,100,MAX($CM$2/(Flows!CA16*CA$3*CA$4),1))</f>
        <v>52618.31454926</v>
      </c>
      <c r="CB19" s="10" t="n">
        <f aca="false">IF(Flows!CB16*CB$3*CB$4&lt;0.002,100,MAX($CM$2/(Flows!CB16*CB$3*CB$4),1))</f>
        <v>126.227020281683</v>
      </c>
      <c r="CC19" s="10" t="n">
        <f aca="false">IF(Flows!CC16*CC$3*CC$4&lt;0.002,100,MAX($CM$2/(Flows!CC16*CC$3*CC$4),1))</f>
        <v>167.094461926477</v>
      </c>
      <c r="CD19" s="10" t="n">
        <f aca="false">IF(Flows!CD16*CD$3*CD$4&lt;0.002,100,MAX($CM$2/(Flows!CD16*CD$3*CD$4),1))</f>
        <v>95.3766738188712</v>
      </c>
      <c r="CE19" s="10" t="n">
        <f aca="false">IF(Flows!CE16*CE$3*CE$4&lt;0.002,100,MAX($CM$2/(Flows!CE16*CE$3*CE$4),1))</f>
        <v>23.2146132795703</v>
      </c>
      <c r="CF19" s="10" t="n">
        <f aca="false">IF(Flows!CF16*CF$3*CF$4&lt;0.002,100,MAX($CM$2/(Flows!CF16*CF$3*CF$4),1))</f>
        <v>1.70820399802503</v>
      </c>
      <c r="CG19" s="10" t="n">
        <f aca="false">IF(Flows!CG16*CG$3*CG$4&lt;0.002,100,MAX($CM$2/(Flows!CG16*CG$3*CG$4),1))</f>
        <v>802177.673961358</v>
      </c>
      <c r="CH19" s="10" t="n">
        <f aca="false">IF(Flows!CH16*CH$3*CH$4&lt;0.002,100,MAX($CM$2/(Flows!CH16*CH$3*CH$4),1))</f>
        <v>2405388.27619062</v>
      </c>
      <c r="CI19" s="10" t="n">
        <f aca="false">IF(Flows!CI16*CI$3*CI$4&lt;0.002,100,MAX($CM$2/(Flows!CI16*CI$3*CI$4),1))</f>
        <v>279.538386796164</v>
      </c>
      <c r="CJ19" s="10" t="n">
        <f aca="false">IF(Flows!CJ16*CJ$3*CJ$4&lt;0.002,100,MAX($CM$2/(Flows!CJ16*CJ$3*CJ$4),1))</f>
        <v>4300.54533590405</v>
      </c>
      <c r="CK19" s="10" t="n">
        <f aca="false">IF(Flows!CK16*CK$3*CK$4&lt;0.002,100,MAX($CM$2/(Flows!CK16*CK$3*CK$4),1))</f>
        <v>941.820986821226</v>
      </c>
      <c r="CL19" s="7" t="s">
        <v>320</v>
      </c>
    </row>
    <row r="20" customFormat="false" ht="12.8" hidden="false" customHeight="false" outlineLevel="0" collapsed="false">
      <c r="A20" s="7" t="s">
        <v>151</v>
      </c>
      <c r="B20" s="7" t="s">
        <v>39</v>
      </c>
      <c r="C20" s="10" t="n">
        <f aca="false">IF(Flows!C17*C$3*C$4&lt;0.002,100,MAX($CM$2/(Flows!C17*C$3*C$4),1))</f>
        <v>10875.8518358465</v>
      </c>
      <c r="D20" s="10" t="n">
        <f aca="false">IF(Flows!D17*D$3*D$4&lt;0.002,100,MAX($CM$2/(Flows!D17*D$3*D$4),1))</f>
        <v>1.64234140664399</v>
      </c>
      <c r="E20" s="10" t="n">
        <f aca="false">IF(Flows!E17*E$3*E$4&lt;0.002,100,MAX($CM$2/(Flows!E17*E$3*E$4),1))</f>
        <v>3.06477650055464</v>
      </c>
      <c r="F20" s="10" t="n">
        <f aca="false">IF(Flows!F17*F$3*F$4&lt;0.002,100,MAX($CM$2/(Flows!F17*F$3*F$4),1))</f>
        <v>8.54583583721452</v>
      </c>
      <c r="G20" s="10" t="n">
        <f aca="false">IF(Flows!G17*G$3*G$4&lt;0.002,100,MAX($CM$2/(Flows!G17*G$3*G$4),1))</f>
        <v>2.38163028490354</v>
      </c>
      <c r="H20" s="10" t="n">
        <f aca="false">IF(Flows!H17*H$3*H$4&lt;0.002,100,MAX($CM$2/(Flows!H17*H$3*H$4),1))</f>
        <v>622.000788410655</v>
      </c>
      <c r="I20" s="10" t="n">
        <f aca="false">IF(Flows!I17*I$3*I$4&lt;0.002,100,MAX($CM$2/(Flows!I17*I$3*I$4),1))</f>
        <v>2251.81065834841</v>
      </c>
      <c r="J20" s="10" t="n">
        <f aca="false">IF(Flows!J17*J$3*J$4&lt;0.002,100,MAX($CM$2/(Flows!J17*J$3*J$4),1))</f>
        <v>2086.20285944106</v>
      </c>
      <c r="K20" s="10" t="n">
        <f aca="false">IF(Flows!K17*K$3*K$4&lt;0.002,100,MAX($CM$2/(Flows!K17*K$3*K$4),1))</f>
        <v>11331.0728237544</v>
      </c>
      <c r="L20" s="10" t="n">
        <f aca="false">IF(Flows!L17*L$3*L$4&lt;0.002,100,MAX($CM$2/(Flows!L17*L$3*L$4),1))</f>
        <v>64767.1111895448</v>
      </c>
      <c r="M20" s="10" t="n">
        <f aca="false">IF(Flows!M17*M$3*M$4&lt;0.002,100,MAX($CM$2/(Flows!M17*M$3*M$4),1))</f>
        <v>47691.5602216074</v>
      </c>
      <c r="N20" s="10" t="n">
        <f aca="false">IF(Flows!N17*N$3*N$4&lt;0.002,100,MAX($CM$2/(Flows!N17*N$3*N$4),1))</f>
        <v>1.8127324342547</v>
      </c>
      <c r="O20" s="10" t="n">
        <f aca="false">IF(Flows!O17*O$3*O$4&lt;0.002,100,MAX($CM$2/(Flows!O17*O$3*O$4),1))</f>
        <v>2.2654675220634</v>
      </c>
      <c r="P20" s="10" t="n">
        <f aca="false">IF(Flows!P17*P$3*P$4&lt;0.002,100,MAX($CM$2/(Flows!P17*P$3*P$4),1))</f>
        <v>1.35928051323804</v>
      </c>
      <c r="Q20" s="10" t="n">
        <f aca="false">IF(Flows!Q17*Q$3*Q$4&lt;0.002,100,MAX($CM$2/(Flows!Q17*Q$3*Q$4),1))</f>
        <v>166.631965827464</v>
      </c>
      <c r="R20" s="10" t="n">
        <f aca="false">IF(Flows!R17*R$3*R$4&lt;0.002,100,MAX($CM$2/(Flows!R17*R$3*R$4),1))</f>
        <v>31.0440351335737</v>
      </c>
      <c r="S20" s="10" t="n">
        <f aca="false">IF(Flows!S17*S$3*S$4&lt;0.002,100,MAX($CM$2/(Flows!S17*S$3*S$4),1))</f>
        <v>555.146667338954</v>
      </c>
      <c r="T20" s="10" t="n">
        <f aca="false">IF(Flows!T17*T$3*T$4&lt;0.002,100,MAX($CM$2/(Flows!T17*T$3*T$4),1))</f>
        <v>993.277125385875</v>
      </c>
      <c r="U20" s="10" t="n">
        <f aca="false">IF(Flows!U17*U$3*U$4&lt;0.002,100,MAX($CM$2/(Flows!U17*U$3*U$4),1))</f>
        <v>3179.43734810716</v>
      </c>
      <c r="V20" s="10" t="n">
        <f aca="false">IF(Flows!V17*V$3*V$4&lt;0.002,100,MAX($CM$2/(Flows!V17*V$3*V$4),1))</f>
        <v>108.929138397104</v>
      </c>
      <c r="W20" s="10" t="n">
        <f aca="false">IF(Flows!W17*W$3*W$4&lt;0.002,100,MAX($CM$2/(Flows!W17*W$3*W$4),1))</f>
        <v>4.36718834767949</v>
      </c>
      <c r="X20" s="10" t="n">
        <f aca="false">IF(Flows!X17*X$3*X$4&lt;0.002,100,MAX($CM$2/(Flows!X17*X$3*X$4),1))</f>
        <v>4.13563109550701</v>
      </c>
      <c r="Y20" s="10" t="n">
        <f aca="false">IF(Flows!Y17*Y$3*Y$4&lt;0.002,100,MAX($CM$2/(Flows!Y17*Y$3*Y$4),1))</f>
        <v>323.835555947724</v>
      </c>
      <c r="Z20" s="10" t="n">
        <f aca="false">IF(Flows!Z17*Z$3*Z$4&lt;0.002,100,MAX($CM$2/(Flows!Z17*Z$3*Z$4),1))</f>
        <v>2850.00110832797</v>
      </c>
      <c r="AA20" s="10" t="n">
        <f aca="false">IF(Flows!AA17*AA$3*AA$4&lt;0.002,100,MAX($CM$2/(Flows!AA17*AA$3*AA$4),1))</f>
        <v>4825.11332855577</v>
      </c>
      <c r="AB20" s="10" t="n">
        <f aca="false">IF(Flows!AB17*AB$3*AB$4&lt;0.002,100,MAX($CM$2/(Flows!AB17*AB$3*AB$4),1))</f>
        <v>4736.65073370992</v>
      </c>
      <c r="AC20" s="10" t="n">
        <f aca="false">IF(Flows!AC17*AC$3*AC$4&lt;0.002,100,MAX($CM$2/(Flows!AC17*AC$3*AC$4),1))</f>
        <v>28719.6922381549</v>
      </c>
      <c r="AD20" s="10" t="n">
        <f aca="false">IF(Flows!AD17*AD$3*AD$4&lt;0.002,100,MAX($CM$2/(Flows!AD17*AD$3*AD$4),1))</f>
        <v>29837.2201909716</v>
      </c>
      <c r="AE20" s="10" t="n">
        <f aca="false">IF(Flows!AE17*AE$3*AE$4&lt;0.002,100,MAX($CM$2/(Flows!AE17*AE$3*AE$4),1))</f>
        <v>93740.5081525817</v>
      </c>
      <c r="AF20" s="10" t="n">
        <f aca="false">IF(Flows!AF17*AF$3*AF$4&lt;0.002,100,MAX($CM$2/(Flows!AF17*AF$3*AF$4),1))</f>
        <v>345.831002602838</v>
      </c>
      <c r="AG20" s="10" t="n">
        <f aca="false">IF(Flows!AG17*AG$3*AG$4&lt;0.002,100,MAX($CM$2/(Flows!AG17*AG$3*AG$4),1))</f>
        <v>338.406779771713</v>
      </c>
      <c r="AH20" s="10" t="n">
        <f aca="false">IF(Flows!AH17*AH$3*AH$4&lt;0.002,100,MAX($CM$2/(Flows!AH17*AH$3*AH$4),1))</f>
        <v>230.18733679683</v>
      </c>
      <c r="AI20" s="10" t="n">
        <f aca="false">IF(Flows!AI17*AI$3*AI$4&lt;0.002,100,MAX($CM$2/(Flows!AI17*AI$3*AI$4),1))</f>
        <v>1115.27842276123</v>
      </c>
      <c r="AJ20" s="10" t="n">
        <f aca="false">IF(Flows!AJ17*AJ$3*AJ$4&lt;0.002,100,MAX($CM$2/(Flows!AJ17*AJ$3*AJ$4),1))</f>
        <v>533.933875650456</v>
      </c>
      <c r="AK20" s="10" t="n">
        <f aca="false">IF(Flows!AK17*AK$3*AK$4&lt;0.002,100,MAX($CM$2/(Flows!AK17*AK$3*AK$4),1))</f>
        <v>221.51587407961</v>
      </c>
      <c r="AL20" s="10" t="n">
        <f aca="false">IF(Flows!AL17*AL$3*AL$4&lt;0.002,100,MAX($CM$2/(Flows!AL17*AL$3*AL$4),1))</f>
        <v>399.340288062185</v>
      </c>
      <c r="AM20" s="10" t="n">
        <f aca="false">IF(Flows!AM17*AM$3*AM$4&lt;0.002,100,MAX($CM$2/(Flows!AM17*AM$3*AM$4),1))</f>
        <v>628.482595570558</v>
      </c>
      <c r="AN20" s="10" t="n">
        <f aca="false">IF(Flows!AN17*AN$3*AN$4&lt;0.002,100,MAX($CM$2/(Flows!AN17*AN$3*AN$4),1))</f>
        <v>922.484676059375</v>
      </c>
      <c r="AO20" s="10" t="n">
        <f aca="false">IF(Flows!AO17*AO$3*AO$4&lt;0.002,100,MAX($CM$2/(Flows!AO17*AO$3*AO$4),1))</f>
        <v>9097.08671095025</v>
      </c>
      <c r="AP20" s="10" t="n">
        <f aca="false">IF(Flows!AP17*AP$3*AP$4&lt;0.002,100,MAX($CM$2/(Flows!AP17*AP$3*AP$4),1))</f>
        <v>22608.3659940723</v>
      </c>
      <c r="AQ20" s="10" t="n">
        <f aca="false">IF(Flows!AQ17*AQ$3*AQ$4&lt;0.002,100,MAX($CM$2/(Flows!AQ17*AQ$3*AQ$4),1))</f>
        <v>6491.77131680576</v>
      </c>
      <c r="AR20" s="10" t="n">
        <f aca="false">IF(Flows!AR17*AR$3*AR$4&lt;0.002,100,MAX($CM$2/(Flows!AR17*AR$3*AR$4),1))</f>
        <v>6907.09715124547</v>
      </c>
      <c r="AS20" s="10" t="n">
        <f aca="false">IF(Flows!AS17*AS$3*AS$4&lt;0.002,100,MAX($CM$2/(Flows!AS17*AS$3*AS$4),1))</f>
        <v>1068.00463822273</v>
      </c>
      <c r="AT20" s="10" t="n">
        <f aca="false">IF(Flows!AT17*AT$3*AT$4&lt;0.002,100,MAX($CM$2/(Flows!AT17*AT$3*AT$4),1))</f>
        <v>294.696008482777</v>
      </c>
      <c r="AU20" s="10" t="n">
        <f aca="false">IF(Flows!AU17*AU$3*AU$4&lt;0.002,100,MAX($CM$2/(Flows!AU17*AU$3*AU$4),1))</f>
        <v>367.431113421314</v>
      </c>
      <c r="AV20" s="10" t="n">
        <f aca="false">IF(Flows!AV17*AV$3*AV$4&lt;0.002,100,MAX($CM$2/(Flows!AV17*AV$3*AV$4),1))</f>
        <v>3979.04887564727</v>
      </c>
      <c r="AW20" s="10" t="n">
        <f aca="false">IF(Flows!AW17*AW$3*AW$4&lt;0.002,100,MAX($CM$2/(Flows!AW17*AW$3*AW$4),1))</f>
        <v>9.10331943485914</v>
      </c>
      <c r="AX20" s="10" t="n">
        <f aca="false">IF(Flows!AX17*AX$3*AX$4&lt;0.002,100,MAX($CM$2/(Flows!AX17*AX$3*AX$4),1))</f>
        <v>1669.18297656443</v>
      </c>
      <c r="AY20" s="10" t="n">
        <f aca="false">IF(Flows!AY17*AY$3*AY$4&lt;0.002,100,MAX($CM$2/(Flows!AY17*AY$3*AY$4),1))</f>
        <v>251.506127664247</v>
      </c>
      <c r="AZ20" s="10" t="n">
        <f aca="false">IF(Flows!AZ17*AZ$3*AZ$4&lt;0.002,100,MAX($CM$2/(Flows!AZ17*AZ$3*AZ$4),1))</f>
        <v>70.3108914253872</v>
      </c>
      <c r="BA20" s="10" t="n">
        <f aca="false">IF(Flows!BA17*BA$3*BA$4&lt;0.002,100,MAX($CM$2/(Flows!BA17*BA$3*BA$4),1))</f>
        <v>3303.12267066679</v>
      </c>
      <c r="BB20" s="10" t="n">
        <f aca="false">IF(Flows!BB17*BB$3*BB$4&lt;0.002,100,MAX($CM$2/(Flows!BB17*BB$3*BB$4),1))</f>
        <v>1707.37245187685</v>
      </c>
      <c r="BC20" s="10" t="n">
        <f aca="false">IF(Flows!BC17*BC$3*BC$4&lt;0.002,100,MAX($CM$2/(Flows!BC17*BC$3*BC$4),1))</f>
        <v>758.663468171551</v>
      </c>
      <c r="BD20" s="10" t="n">
        <f aca="false">IF(Flows!BD17*BD$3*BD$4&lt;0.002,100,MAX($CM$2/(Flows!BD17*BD$3*BD$4),1))</f>
        <v>3719.19707315193</v>
      </c>
      <c r="BE20" s="10" t="n">
        <f aca="false">IF(Flows!BE17*BE$3*BE$4&lt;0.002,100,MAX($CM$2/(Flows!BE17*BE$3*BE$4),1))</f>
        <v>6510.14857280116</v>
      </c>
      <c r="BF20" s="10" t="n">
        <f aca="false">IF(Flows!BF17*BF$3*BF$4&lt;0.002,100,MAX($CM$2/(Flows!BF17*BF$3*BF$4),1))</f>
        <v>632.920265598188</v>
      </c>
      <c r="BG20" s="10" t="n">
        <f aca="false">IF(Flows!BG17*BG$3*BG$4&lt;0.002,100,MAX($CM$2/(Flows!BG17*BG$3*BG$4),1))</f>
        <v>211.455054531221</v>
      </c>
      <c r="BH20" s="10" t="n">
        <f aca="false">IF(Flows!BH17*BH$3*BH$4&lt;0.002,100,MAX($CM$2/(Flows!BH17*BH$3*BH$4),1))</f>
        <v>101.89957923575</v>
      </c>
      <c r="BI20" s="10" t="n">
        <f aca="false">IF(Flows!BI17*BI$3*BI$4&lt;0.002,100,MAX($CM$2/(Flows!BI17*BI$3*BI$4),1))</f>
        <v>57.8772327229254</v>
      </c>
      <c r="BJ20" s="10" t="n">
        <f aca="false">IF(Flows!BJ17*BJ$3*BJ$4&lt;0.002,100,MAX($CM$2/(Flows!BJ17*BJ$3*BJ$4),1))</f>
        <v>6.71970594265514</v>
      </c>
      <c r="BK20" s="10" t="n">
        <f aca="false">IF(Flows!BK17*BK$3*BK$4&lt;0.002,100,MAX($CM$2/(Flows!BK17*BK$3*BK$4),1))</f>
        <v>115.754465445851</v>
      </c>
      <c r="BL20" s="10" t="n">
        <f aca="false">IF(Flows!BL17*BL$3*BL$4&lt;0.002,100,MAX($CM$2/(Flows!BL17*BL$3*BL$4),1))</f>
        <v>97.6204686442948</v>
      </c>
      <c r="BM20" s="10" t="n">
        <f aca="false">IF(Flows!BM17*BM$3*BM$4&lt;0.002,100,MAX($CM$2/(Flows!BM17*BM$3*BM$4),1))</f>
        <v>74.3281905550138</v>
      </c>
      <c r="BN20" s="10" t="n">
        <f aca="false">IF(Flows!BN17*BN$3*BN$4&lt;0.002,100,MAX($CM$2/(Flows!BN17*BN$3*BN$4),1))</f>
        <v>233477.122596519</v>
      </c>
      <c r="BO20" s="10" t="n">
        <f aca="false">IF(Flows!BO17*BO$3*BO$4&lt;0.002,100,MAX($CM$2/(Flows!BO17*BO$3*BO$4),1))</f>
        <v>38912853.7660864</v>
      </c>
      <c r="BP20" s="10" t="n">
        <f aca="false">IF(Flows!BP17*BP$3*BP$4&lt;0.002,100,MAX($CM$2/(Flows!BP17*BP$3*BP$4),1))</f>
        <v>13337074718.8786</v>
      </c>
      <c r="BQ20" s="10" t="n">
        <f aca="false">IF(Flows!BQ17*BQ$3*BQ$4&lt;0.002,100,MAX($CM$2/(Flows!BQ17*BQ$3*BQ$4),1))</f>
        <v>359195.573225413</v>
      </c>
      <c r="BR20" s="10" t="n">
        <f aca="false">IF(Flows!BR17*BR$3*BR$4&lt;0.002,100,MAX($CM$2/(Flows!BR17*BR$3*BR$4),1))</f>
        <v>389128537.660864</v>
      </c>
      <c r="BS20" s="10" t="n">
        <f aca="false">IF(Flows!BS17*BS$3*BS$4&lt;0.002,100,MAX($CM$2/(Flows!BS17*BS$3*BS$4),1))</f>
        <v>1945643752.28614</v>
      </c>
      <c r="BT20" s="10" t="n">
        <f aca="false">IF(Flows!BT17*BT$3*BT$4&lt;0.002,100,MAX($CM$2/(Flows!BT17*BT$3*BT$4),1))</f>
        <v>1.09653566322249</v>
      </c>
      <c r="BU20" s="10" t="n">
        <f aca="false">IF(Flows!BU17*BU$3*BU$4&lt;0.002,100,MAX($CM$2/(Flows!BU17*BU$3*BU$4),1))</f>
        <v>10.9653566322249</v>
      </c>
      <c r="BV20" s="10" t="n">
        <f aca="false">IF(Flows!BV17*BV$3*BV$4&lt;0.002,100,MAX($CM$2/(Flows!BV17*BV$3*BV$4),1))</f>
        <v>109.653566322249</v>
      </c>
      <c r="BW20" s="10" t="n">
        <f aca="false">IF(Flows!BW17*BW$3*BW$4&lt;0.002,100,MAX($CM$2/(Flows!BW17*BW$3*BW$4),1))</f>
        <v>14.1346869349623</v>
      </c>
      <c r="BX20" s="10" t="n">
        <f aca="false">IF(Flows!BX17*BX$3*BX$4&lt;0.002,100,MAX($CM$2/(Flows!BX17*BX$3*BX$4),1))</f>
        <v>53.5116743624632</v>
      </c>
      <c r="BY20" s="10" t="n">
        <f aca="false">IF(Flows!BY17*BY$3*BY$4&lt;0.002,100,MAX($CM$2/(Flows!BY17*BY$3*BY$4),1))</f>
        <v>13.5278362572226</v>
      </c>
      <c r="BZ20" s="10" t="n">
        <f aca="false">IF(Flows!BZ17*BZ$3*BZ$4&lt;0.002,100,MAX($CM$2/(Flows!BZ17*BZ$3*BZ$4),1))</f>
        <v>97739.4527154051</v>
      </c>
      <c r="CA20" s="10" t="n">
        <f aca="false">IF(Flows!CA17*CA$3*CA$4&lt;0.002,100,MAX($CM$2/(Flows!CA17*CA$3*CA$4),1))</f>
        <v>13077.5941627052</v>
      </c>
      <c r="CB20" s="10" t="n">
        <f aca="false">IF(Flows!CB17*CB$3*CB$4&lt;0.002,100,MAX($CM$2/(Flows!CB17*CB$3*CB$4),1))</f>
        <v>17.9523999493546</v>
      </c>
      <c r="CC20" s="10" t="n">
        <f aca="false">IF(Flows!CC17*CC$3*CC$4&lt;0.002,100,MAX($CM$2/(Flows!CC17*CC$3*CC$4),1))</f>
        <v>8.1421533291453</v>
      </c>
      <c r="CD20" s="10" t="n">
        <f aca="false">IF(Flows!CD17*CD$3*CD$4&lt;0.002,100,MAX($CM$2/(Flows!CD17*CD$3*CD$4),1))</f>
        <v>49.392840616831</v>
      </c>
      <c r="CE20" s="10" t="n">
        <f aca="false">IF(Flows!CE17*CE$3*CE$4&lt;0.002,100,MAX($CM$2/(Flows!CE17*CE$3*CE$4),1))</f>
        <v>40.9668790764365</v>
      </c>
      <c r="CF20" s="10" t="n">
        <f aca="false">IF(Flows!CF17*CF$3*CF$4&lt;0.002,100,MAX($CM$2/(Flows!CF17*CF$3*CF$4),1))</f>
        <v>1</v>
      </c>
      <c r="CG20" s="10" t="n">
        <f aca="false">IF(Flows!CG17*CG$3*CG$4&lt;0.002,100,MAX($CM$2/(Flows!CG17*CG$3*CG$4),1))</f>
        <v>1585819.08611095</v>
      </c>
      <c r="CH20" s="10" t="n">
        <f aca="false">IF(Flows!CH17*CH$3*CH$4&lt;0.002,100,MAX($CM$2/(Flows!CH17*CH$3*CH$4),1))</f>
        <v>23799134.8770121</v>
      </c>
      <c r="CI20" s="10" t="n">
        <f aca="false">IF(Flows!CI17*CI$3*CI$4&lt;0.002,100,MAX($CM$2/(Flows!CI17*CI$3*CI$4),1))</f>
        <v>152.735308362397</v>
      </c>
      <c r="CJ20" s="10" t="n">
        <f aca="false">IF(Flows!CJ17*CJ$3*CJ$4&lt;0.002,100,MAX($CM$2/(Flows!CJ17*CJ$3*CJ$4),1))</f>
        <v>889.985971062814</v>
      </c>
      <c r="CK20" s="10" t="n">
        <f aca="false">IF(Flows!CK17*CK$3*CK$4&lt;0.002,100,MAX($CM$2/(Flows!CK17*CK$3*CK$4),1))</f>
        <v>3599.70340795603</v>
      </c>
      <c r="CL20" s="7" t="s">
        <v>320</v>
      </c>
    </row>
    <row r="21" s="18" customFormat="true" ht="12.8" hidden="false" customHeight="false" outlineLevel="0" collapsed="false">
      <c r="A21" s="22" t="s">
        <v>152</v>
      </c>
      <c r="B21" s="22" t="s">
        <v>39</v>
      </c>
      <c r="C21" s="26" t="n">
        <f aca="false">IF(Flows!C18*C$3*C$4&lt;0.002,100,MAX($CM$2/(Flows!C18*C$3*C$4),1))</f>
        <v>19775.8314118908</v>
      </c>
      <c r="D21" s="26" t="n">
        <f aca="false">IF(Flows!D18*D$3*D$4&lt;0.002,100,MAX($CM$2/(Flows!D18*D$3*D$4),1))</f>
        <v>2.54318311922968</v>
      </c>
      <c r="E21" s="26" t="n">
        <f aca="false">IF(Flows!E18*E$3*E$4&lt;0.002,100,MAX($CM$2/(Flows!E18*E$3*E$4),1))</f>
        <v>5.58533650688999</v>
      </c>
      <c r="F21" s="26" t="n">
        <f aca="false">IF(Flows!F18*F$3*F$4&lt;0.002,100,MAX($CM$2/(Flows!F18*F$3*F$4),1))</f>
        <v>15.5741760858728</v>
      </c>
      <c r="G21" s="26" t="n">
        <f aca="false">IF(Flows!G18*G$3*G$4&lt;0.002,100,MAX($CM$2/(Flows!G18*G$3*G$4),1))</f>
        <v>118.225300583833</v>
      </c>
      <c r="H21" s="26" t="n">
        <f aca="false">IF(Flows!H18*H$3*H$4&lt;0.002,100,MAX($CM$2/(Flows!H18*H$3*H$4),1))</f>
        <v>713.028605557511</v>
      </c>
      <c r="I21" s="26" t="n">
        <f aca="false">IF(Flows!I18*I$3*I$4&lt;0.002,100,MAX($CM$2/(Flows!I18*I$3*I$4),1))</f>
        <v>2139.64226686149</v>
      </c>
      <c r="J21" s="26" t="n">
        <f aca="false">IF(Flows!J18*J$3*J$4&lt;0.002,100,MAX($CM$2/(Flows!J18*J$3*J$4),1))</f>
        <v>2600.32114254481</v>
      </c>
      <c r="K21" s="26" t="n">
        <f aca="false">IF(Flows!K18*K$3*K$4&lt;0.002,100,MAX($CM$2/(Flows!K18*K$3*K$4),1))</f>
        <v>11454.4757887486</v>
      </c>
      <c r="L21" s="26" t="n">
        <f aca="false">IF(Flows!L18*L$3*L$4&lt;0.002,100,MAX($CM$2/(Flows!L18*L$3*L$4),1))</f>
        <v>66091.1246700844</v>
      </c>
      <c r="M21" s="26" t="n">
        <f aca="false">IF(Flows!M18*M$3*M$4&lt;0.002,100,MAX($CM$2/(Flows!M18*M$3*M$4),1))</f>
        <v>48763.4710583281</v>
      </c>
      <c r="N21" s="26" t="n">
        <f aca="false">IF(Flows!N18*N$3*N$4&lt;0.002,100,MAX($CM$2/(Flows!N18*N$3*N$4),1))</f>
        <v>2.43868810282968</v>
      </c>
      <c r="O21" s="26" t="n">
        <f aca="false">IF(Flows!O18*O$3*O$4&lt;0.002,100,MAX($CM$2/(Flows!O18*O$3*O$4),1))</f>
        <v>2.05097757383117</v>
      </c>
      <c r="P21" s="26" t="n">
        <f aca="false">IF(Flows!P18*P$3*P$4&lt;0.002,100,MAX($CM$2/(Flows!P18*P$3*P$4),1))</f>
        <v>1.2305865442987</v>
      </c>
      <c r="Q21" s="26" t="n">
        <f aca="false">IF(Flows!Q18*Q$3*Q$4&lt;0.002,100,MAX($CM$2/(Flows!Q18*Q$3*Q$4),1))</f>
        <v>4846.25762758128</v>
      </c>
      <c r="R21" s="26" t="n">
        <f aca="false">IF(Flows!R18*R$3*R$4&lt;0.002,100,MAX($CM$2/(Flows!R18*R$3*R$4),1))</f>
        <v>31.3821254486262</v>
      </c>
      <c r="S21" s="26" t="n">
        <f aca="false">IF(Flows!S18*S$3*S$4&lt;0.002,100,MAX($CM$2/(Flows!S18*S$3*S$4),1))</f>
        <v>566.495354315008</v>
      </c>
      <c r="T21" s="26" t="n">
        <f aca="false">IF(Flows!T18*T$3*T$4&lt;0.002,100,MAX($CM$2/(Flows!T18*T$3*T$4),1))</f>
        <v>1013.58237414205</v>
      </c>
      <c r="U21" s="26" t="n">
        <f aca="false">IF(Flows!U18*U$3*U$4&lt;0.002,100,MAX($CM$2/(Flows!U18*U$3*U$4),1))</f>
        <v>3250.89807055521</v>
      </c>
      <c r="V21" s="26" t="n">
        <f aca="false">IF(Flows!V18*V$3*V$4&lt;0.002,100,MAX($CM$2/(Flows!V18*V$3*V$4),1))</f>
        <v>112.805954845214</v>
      </c>
      <c r="W21" s="26" t="n">
        <f aca="false">IF(Flows!W18*W$3*W$4&lt;0.002,100,MAX($CM$2/(Flows!W18*W$3*W$4),1))</f>
        <v>3.21145850225217</v>
      </c>
      <c r="X21" s="26" t="n">
        <f aca="false">IF(Flows!X18*X$3*X$4&lt;0.002,100,MAX($CM$2/(Flows!X18*X$3*X$4),1))</f>
        <v>3.71323498407072</v>
      </c>
      <c r="Y21" s="26" t="n">
        <f aca="false">IF(Flows!Y18*Y$3*Y$4&lt;0.002,100,MAX($CM$2/(Flows!Y18*Y$3*Y$4),1))</f>
        <v>330.455623350422</v>
      </c>
      <c r="Z21" s="26" t="n">
        <f aca="false">IF(Flows!Z18*Z$3*Z$4&lt;0.002,100,MAX($CM$2/(Flows!Z18*Z$3*Z$4),1))</f>
        <v>2857.52487512074</v>
      </c>
      <c r="AA21" s="26" t="n">
        <f aca="false">IF(Flows!AA18*AA$3*AA$4&lt;0.002,100,MAX($CM$2/(Flows!AA18*AA$3*AA$4),1))</f>
        <v>4126.05865510411</v>
      </c>
      <c r="AB21" s="26" t="n">
        <f aca="false">IF(Flows!AB18*AB$3*AB$4&lt;0.002,100,MAX($CM$2/(Flows!AB18*AB$3*AB$4),1))</f>
        <v>4305.65412732781</v>
      </c>
      <c r="AC21" s="26" t="n">
        <f aca="false">IF(Flows!AC18*AC$3*AC$4&lt;0.002,100,MAX($CM$2/(Flows!AC18*AC$3*AC$4),1))</f>
        <v>30419.6669043713</v>
      </c>
      <c r="AD21" s="26" t="n">
        <f aca="false">IF(Flows!AD18*AD$3*AD$4&lt;0.002,100,MAX($CM$2/(Flows!AD18*AD$3*AD$4),1))</f>
        <v>27122.2763690293</v>
      </c>
      <c r="AE21" s="26" t="n">
        <f aca="false">IF(Flows!AE18*AE$3*AE$4&lt;0.002,100,MAX($CM$2/(Flows!AE18*AE$3*AE$4),1))</f>
        <v>91042.3096563537</v>
      </c>
      <c r="AF21" s="26" t="n">
        <f aca="false">IF(Flows!AF18*AF$3*AF$4&lt;0.002,100,MAX($CM$2/(Flows!AF18*AF$3*AF$4),1))</f>
        <v>331.775148929214</v>
      </c>
      <c r="AG21" s="26" t="n">
        <f aca="false">IF(Flows!AG18*AG$3*AG$4&lt;0.002,100,MAX($CM$2/(Flows!AG18*AG$3*AG$4),1))</f>
        <v>313.764371379773</v>
      </c>
      <c r="AH21" s="26" t="n">
        <f aca="false">IF(Flows!AH18*AH$3*AH$4&lt;0.002,100,MAX($CM$2/(Flows!AH18*AH$3*AH$4),1))</f>
        <v>205.051915250291</v>
      </c>
      <c r="AI21" s="26" t="n">
        <f aca="false">IF(Flows!AI18*AI$3*AI$4&lt;0.002,100,MAX($CM$2/(Flows!AI18*AI$3*AI$4),1))</f>
        <v>1109.35244156963</v>
      </c>
      <c r="AJ21" s="26" t="n">
        <f aca="false">IF(Flows!AJ18*AJ$3*AJ$4&lt;0.002,100,MAX($CM$2/(Flows!AJ18*AJ$3*AJ$4),1))</f>
        <v>457.146411383521</v>
      </c>
      <c r="AK21" s="26" t="n">
        <f aca="false">IF(Flows!AK18*AK$3*AK$4&lt;0.002,100,MAX($CM$2/(Flows!AK18*AK$3*AK$4),1))</f>
        <v>172.330925625378</v>
      </c>
      <c r="AL21" s="26" t="n">
        <f aca="false">IF(Flows!AL18*AL$3*AL$4&lt;0.002,100,MAX($CM$2/(Flows!AL18*AL$3*AL$4),1))</f>
        <v>353.656623718033</v>
      </c>
      <c r="AM21" s="26" t="n">
        <f aca="false">IF(Flows!AM18*AM$3*AM$4&lt;0.002,100,MAX($CM$2/(Flows!AM18*AM$3*AM$4),1))</f>
        <v>686.487044303734</v>
      </c>
      <c r="AN21" s="26" t="n">
        <f aca="false">IF(Flows!AN18*AN$3*AN$4&lt;0.002,100,MAX($CM$2/(Flows!AN18*AN$3*AN$4),1))</f>
        <v>821.009899193751</v>
      </c>
      <c r="AO21" s="26" t="n">
        <f aca="false">IF(Flows!AO18*AO$3*AO$4&lt;0.002,100,MAX($CM$2/(Flows!AO18*AO$3*AO$4),1))</f>
        <v>6861.42332295662</v>
      </c>
      <c r="AP21" s="26" t="n">
        <f aca="false">IF(Flows!AP18*AP$3*AP$4&lt;0.002,100,MAX($CM$2/(Flows!AP18*AP$3*AP$4),1))</f>
        <v>18382.5580755271</v>
      </c>
      <c r="AQ21" s="26" t="n">
        <f aca="false">IF(Flows!AQ18*AQ$3*AQ$4&lt;0.002,100,MAX($CM$2/(Flows!AQ18*AQ$3*AQ$4),1))</f>
        <v>4812.26146126886</v>
      </c>
      <c r="AR21" s="26" t="n">
        <f aca="false">IF(Flows!AR18*AR$3*AR$4&lt;0.002,100,MAX($CM$2/(Flows!AR18*AR$3*AR$4),1))</f>
        <v>7534.70308027715</v>
      </c>
      <c r="AS21" s="26" t="n">
        <f aca="false">IF(Flows!AS18*AS$3*AS$4&lt;0.002,100,MAX($CM$2/(Flows!AS18*AS$3*AS$4),1))</f>
        <v>1046.20466460681</v>
      </c>
      <c r="AT21" s="26" t="n">
        <f aca="false">IF(Flows!AT18*AT$3*AT$4&lt;0.002,100,MAX($CM$2/(Flows!AT18*AT$3*AT$4),1))</f>
        <v>295.028375899677</v>
      </c>
      <c r="AU21" s="26" t="n">
        <f aca="false">IF(Flows!AU18*AU$3*AU$4&lt;0.002,100,MAX($CM$2/(Flows!AU18*AU$3*AU$4),1))</f>
        <v>477.628562243883</v>
      </c>
      <c r="AV21" s="26" t="n">
        <f aca="false">IF(Flows!AV18*AV$3*AV$4&lt;0.002,100,MAX($CM$2/(Flows!AV18*AV$3*AV$4),1))</f>
        <v>4142.91110068433</v>
      </c>
      <c r="AW21" s="26" t="n">
        <f aca="false">IF(Flows!AW18*AW$3*AW$4&lt;0.002,100,MAX($CM$2/(Flows!AW18*AW$3*AW$4),1))</f>
        <v>9.7612961447009</v>
      </c>
      <c r="AX21" s="26" t="n">
        <f aca="false">IF(Flows!AX18*AX$3*AX$4&lt;0.002,100,MAX($CM$2/(Flows!AX18*AX$3*AX$4),1))</f>
        <v>2120.87174053115</v>
      </c>
      <c r="AY21" s="26" t="n">
        <f aca="false">IF(Flows!AY18*AY$3*AY$4&lt;0.002,100,MAX($CM$2/(Flows!AY18*AY$3*AY$4),1))</f>
        <v>218.576486204958</v>
      </c>
      <c r="AZ21" s="26" t="n">
        <f aca="false">IF(Flows!AZ18*AZ$3*AZ$4&lt;0.002,100,MAX($CM$2/(Flows!AZ18*AZ$3*AZ$4),1))</f>
        <v>65.2384271805</v>
      </c>
      <c r="BA21" s="26" t="n">
        <f aca="false">IF(Flows!BA18*BA$3*BA$4&lt;0.002,100,MAX($CM$2/(Flows!BA18*BA$3*BA$4),1))</f>
        <v>3370.6473581743</v>
      </c>
      <c r="BB21" s="26" t="n">
        <f aca="false">IF(Flows!BB18*BB$3*BB$4&lt;0.002,100,MAX($CM$2/(Flows!BB18*BB$3*BB$4),1))</f>
        <v>1628.31841041482</v>
      </c>
      <c r="BC21" s="26" t="n">
        <f aca="false">IF(Flows!BC18*BC$3*BC$4&lt;0.002,100,MAX($CM$2/(Flows!BC18*BC$3*BC$4),1))</f>
        <v>633.381625528549</v>
      </c>
      <c r="BD21" s="26" t="n">
        <f aca="false">IF(Flows!BD18*BD$3*BD$4&lt;0.002,100,MAX($CM$2/(Flows!BD18*BD$3*BD$4),1))</f>
        <v>2621.85992801285</v>
      </c>
      <c r="BE21" s="26" t="n">
        <f aca="false">IF(Flows!BE18*BE$3*BE$4&lt;0.002,100,MAX($CM$2/(Flows!BE18*BE$3*BE$4),1))</f>
        <v>5264.5144817182</v>
      </c>
      <c r="BF21" s="26" t="n">
        <f aca="false">IF(Flows!BF18*BF$3*BF$4&lt;0.002,100,MAX($CM$2/(Flows!BF18*BF$3*BF$4),1))</f>
        <v>837.924648702952</v>
      </c>
      <c r="BG21" s="26" t="n">
        <f aca="false">IF(Flows!BG18*BG$3*BG$4&lt;0.002,100,MAX($CM$2/(Flows!BG18*BG$3*BG$4),1))</f>
        <v>228.344315052535</v>
      </c>
      <c r="BH21" s="26" t="n">
        <f aca="false">IF(Flows!BH18*BH$3*BH$4&lt;0.002,100,MAX($CM$2/(Flows!BH18*BH$3*BH$4),1))</f>
        <v>111.177337233437</v>
      </c>
      <c r="BI21" s="26" t="n">
        <f aca="false">IF(Flows!BI18*BI$3*BI$4&lt;0.002,100,MAX($CM$2/(Flows!BI18*BI$3*BI$4),1))</f>
        <v>69.5523283124247</v>
      </c>
      <c r="BJ21" s="26" t="n">
        <f aca="false">IF(Flows!BJ18*BJ$3*BJ$4&lt;0.002,100,MAX($CM$2/(Flows!BJ18*BJ$3*BJ$4),1))</f>
        <v>2.34328922136526</v>
      </c>
      <c r="BK21" s="26" t="n">
        <f aca="false">IF(Flows!BK18*BK$3*BK$4&lt;0.002,100,MAX($CM$2/(Flows!BK18*BK$3*BK$4),1))</f>
        <v>139.104656624849</v>
      </c>
      <c r="BL21" s="26" t="n">
        <f aca="false">IF(Flows!BL18*BL$3*BL$4&lt;0.002,100,MAX($CM$2/(Flows!BL18*BL$3*BL$4),1))</f>
        <v>55.9133524101327</v>
      </c>
      <c r="BM21" s="26" t="n">
        <f aca="false">IF(Flows!BM18*BM$3*BM$4&lt;0.002,100,MAX($CM$2/(Flows!BM18*BM$3*BM$4),1))</f>
        <v>27.8538763840239</v>
      </c>
      <c r="BN21" s="26" t="n">
        <f aca="false">IF(Flows!BN18*BN$3*BN$4&lt;0.002,100,MAX($CM$2/(Flows!BN18*BN$3*BN$4),1))</f>
        <v>1</v>
      </c>
      <c r="BO21" s="26" t="n">
        <f aca="false">IF(Flows!BO18*BO$3*BO$4&lt;0.002,100,MAX($CM$2/(Flows!BO18*BO$3*BO$4),1))</f>
        <v>2.22983730076765</v>
      </c>
      <c r="BP21" s="26" t="n">
        <f aca="false">IF(Flows!BP18*BP$3*BP$4&lt;0.002,100,MAX($CM$2/(Flows!BP18*BP$3*BP$4),1))</f>
        <v>6.39229728561663</v>
      </c>
      <c r="BQ21" s="26" t="n">
        <f aca="false">IF(Flows!BQ18*BQ$3*BQ$4&lt;0.002,100,MAX($CM$2/(Flows!BQ18*BQ$3*BQ$4),1))</f>
        <v>1</v>
      </c>
      <c r="BR21" s="26" t="n">
        <f aca="false">IF(Flows!BR18*BR$3*BR$4&lt;0.002,100,MAX($CM$2/(Flows!BR18*BR$3*BR$4),1))</f>
        <v>66.8951190230294</v>
      </c>
      <c r="BS21" s="26" t="n">
        <f aca="false">IF(Flows!BS18*BS$3*BS$4&lt;0.002,100,MAX($CM$2/(Flows!BS18*BS$3*BS$4),1))</f>
        <v>668.951345716618</v>
      </c>
      <c r="BT21" s="26" t="n">
        <f aca="false">IF(Flows!BT18*BT$3*BT$4&lt;0.002,100,MAX($CM$2/(Flows!BT18*BT$3*BT$4),1))</f>
        <v>1</v>
      </c>
      <c r="BU21" s="26" t="n">
        <f aca="false">IF(Flows!BU18*BU$3*BU$4&lt;0.002,100,MAX($CM$2/(Flows!BU18*BU$3*BU$4),1))</f>
        <v>10</v>
      </c>
      <c r="BV21" s="26" t="n">
        <f aca="false">IF(Flows!BV18*BV$3*BV$4&lt;0.002,100,MAX($CM$2/(Flows!BV18*BV$3*BV$4),1))</f>
        <v>100</v>
      </c>
      <c r="BW21" s="26" t="n">
        <f aca="false">IF(Flows!BW18*BW$3*BW$4&lt;0.002,100,MAX($CM$2/(Flows!BW18*BW$3*BW$4),1))</f>
        <v>14.7648287732814</v>
      </c>
      <c r="BX21" s="26" t="n">
        <f aca="false">IF(Flows!BX18*BX$3*BX$4&lt;0.002,100,MAX($CM$2/(Flows!BX18*BX$3*BX$4),1))</f>
        <v>6.34712377207493</v>
      </c>
      <c r="BY21" s="26" t="n">
        <f aca="false">IF(Flows!BY18*BY$3*BY$4&lt;0.002,100,MAX($CM$2/(Flows!BY18*BY$3*BY$4),1))</f>
        <v>11.35258000215</v>
      </c>
      <c r="BZ21" s="26" t="n">
        <f aca="false">IF(Flows!BZ18*BZ$3*BZ$4&lt;0.002,100,MAX($CM$2/(Flows!BZ18*BZ$3*BZ$4),1))</f>
        <v>29741.5836358041</v>
      </c>
      <c r="CA21" s="26" t="n">
        <f aca="false">IF(Flows!CA18*CA$3*CA$4&lt;0.002,100,MAX($CM$2/(Flows!CA18*CA$3*CA$4),1))</f>
        <v>54792.4551995752</v>
      </c>
      <c r="CB21" s="26" t="n">
        <f aca="false">IF(Flows!CB18*CB$3*CB$4&lt;0.002,100,MAX($CM$2/(Flows!CB18*CB$3*CB$4),1))</f>
        <v>25.1203207150013</v>
      </c>
      <c r="CC21" s="26" t="n">
        <f aca="false">IF(Flows!CC18*CC$3*CC$4&lt;0.002,100,MAX($CM$2/(Flows!CC18*CC$3*CC$4),1))</f>
        <v>11.4617582262589</v>
      </c>
      <c r="CD21" s="26" t="n">
        <f aca="false">IF(Flows!CD18*CD$3*CD$4&lt;0.002,100,MAX($CM$2/(Flows!CD18*CD$3*CD$4),1))</f>
        <v>51.764671382344</v>
      </c>
      <c r="CE21" s="26" t="n">
        <f aca="false">IF(Flows!CE18*CE$3*CE$4&lt;0.002,100,MAX($CM$2/(Flows!CE18*CE$3*CE$4),1))</f>
        <v>9.83683146241717</v>
      </c>
      <c r="CF21" s="26" t="n">
        <f aca="false">IF(Flows!CF18*CF$3*CF$4&lt;0.002,100,MAX($CM$2/(Flows!CF18*CF$3*CF$4),1))</f>
        <v>1</v>
      </c>
      <c r="CG21" s="26" t="n">
        <f aca="false">IF(Flows!CG18*CG$3*CG$4&lt;0.002,100,MAX($CM$2/(Flows!CG18*CG$3*CG$4),1))</f>
        <v>6.0113100742759</v>
      </c>
      <c r="CH21" s="26" t="n">
        <f aca="false">IF(Flows!CH18*CH$3*CH$4&lt;0.002,100,MAX($CM$2/(Flows!CH18*CH$3*CH$4),1))</f>
        <v>4.47653873603446</v>
      </c>
      <c r="CI21" s="26" t="n">
        <f aca="false">IF(Flows!CI18*CI$3*CI$4&lt;0.002,100,MAX($CM$2/(Flows!CI18*CI$3*CI$4),1))</f>
        <v>63.9198083541728</v>
      </c>
      <c r="CJ21" s="26" t="n">
        <f aca="false">IF(Flows!CJ18*CJ$3*CJ$4&lt;0.002,100,MAX($CM$2/(Flows!CJ18*CJ$3*CJ$4),1))</f>
        <v>755.394241809652</v>
      </c>
      <c r="CK21" s="26" t="n">
        <f aca="false">IF(Flows!CK18*CK$3*CK$4&lt;0.002,100,MAX($CM$2/(Flows!CK18*CK$3*CK$4),1))</f>
        <v>452.619680994835</v>
      </c>
      <c r="CL21" s="22" t="s">
        <v>320</v>
      </c>
    </row>
    <row r="22" customFormat="false" ht="12.8" hidden="false" customHeight="false" outlineLevel="0" collapsed="false">
      <c r="A22" s="7" t="s">
        <v>153</v>
      </c>
      <c r="B22" s="7" t="s">
        <v>39</v>
      </c>
      <c r="C22" s="10" t="n">
        <f aca="false">IF(Flows!C19*C$3*C$4&lt;0.002,100,MAX($CM$2/(Flows!C19*C$3*C$4),1))</f>
        <v>74105.5381455566</v>
      </c>
      <c r="D22" s="10" t="n">
        <f aca="false">IF(Flows!D19*D$3*D$4&lt;0.002,100,MAX($CM$2/(Flows!D19*D$3*D$4),1))</f>
        <v>5.67917252394874</v>
      </c>
      <c r="E22" s="10" t="n">
        <f aca="false">IF(Flows!E19*E$3*E$4&lt;0.002,100,MAX($CM$2/(Flows!E19*E$3*E$4),1))</f>
        <v>13.7769124136484</v>
      </c>
      <c r="F22" s="10" t="n">
        <f aca="false">IF(Flows!F19*F$3*F$4&lt;0.002,100,MAX($CM$2/(Flows!F19*F$3*F$4),1))</f>
        <v>38.5544091238271</v>
      </c>
      <c r="G22" s="10" t="n">
        <f aca="false">IF(Flows!G19*G$3*G$4&lt;0.002,100,MAX($CM$2/(Flows!G19*G$3*G$4),1))</f>
        <v>34.3487094957107</v>
      </c>
      <c r="H22" s="10" t="n">
        <f aca="false">IF(Flows!H19*H$3*H$4&lt;0.002,100,MAX($CM$2/(Flows!H19*H$3*H$4),1))</f>
        <v>4369.35006244534</v>
      </c>
      <c r="I22" s="10" t="n">
        <f aca="false">IF(Flows!I19*I$3*I$4&lt;0.002,100,MAX($CM$2/(Flows!I19*I$3*I$4),1))</f>
        <v>3683.33932180128</v>
      </c>
      <c r="J22" s="10" t="n">
        <f aca="false">IF(Flows!J19*J$3*J$4&lt;0.002,100,MAX($CM$2/(Flows!J19*J$3*J$4),1))</f>
        <v>4367.86125757075</v>
      </c>
      <c r="K22" s="10" t="n">
        <f aca="false">IF(Flows!K19*K$3*K$4&lt;0.002,100,MAX($CM$2/(Flows!K19*K$3*K$4),1))</f>
        <v>26138.6406565777</v>
      </c>
      <c r="L22" s="10" t="n">
        <f aca="false">IF(Flows!L19*L$3*L$4&lt;0.002,100,MAX($CM$2/(Flows!L19*L$3*L$4),1))</f>
        <v>158066.364759916</v>
      </c>
      <c r="M22" s="10" t="n">
        <f aca="false">IF(Flows!M19*M$3*M$4&lt;0.002,100,MAX($CM$2/(Flows!M19*M$3*M$4),1))</f>
        <v>117830.348871549</v>
      </c>
      <c r="N22" s="10" t="n">
        <f aca="false">IF(Flows!N19*N$3*N$4&lt;0.002,100,MAX($CM$2/(Flows!N19*N$3*N$4),1))</f>
        <v>6.53399922271507</v>
      </c>
      <c r="O22" s="10" t="n">
        <f aca="false">IF(Flows!O19*O$3*O$4&lt;0.002,100,MAX($CM$2/(Flows!O19*O$3*O$4),1))</f>
        <v>3.83427373674902</v>
      </c>
      <c r="P22" s="10" t="n">
        <f aca="false">IF(Flows!P19*P$3*P$4&lt;0.002,100,MAX($CM$2/(Flows!P19*P$3*P$4),1))</f>
        <v>2.30056424204941</v>
      </c>
      <c r="Q22" s="10" t="n">
        <f aca="false">IF(Flows!Q19*Q$3*Q$4&lt;0.002,100,MAX($CM$2/(Flows!Q19*Q$3*Q$4),1))</f>
        <v>1204.94054651535</v>
      </c>
      <c r="R22" s="10" t="n">
        <f aca="false">IF(Flows!R19*R$3*R$4&lt;0.002,100,MAX($CM$2/(Flows!R19*R$3*R$4),1))</f>
        <v>71.6127141276102</v>
      </c>
      <c r="S22" s="10" t="n">
        <f aca="false">IF(Flows!S19*S$3*S$4&lt;0.002,100,MAX($CM$2/(Flows!S19*S$3*S$4),1))</f>
        <v>1354.85455508499</v>
      </c>
      <c r="T22" s="10" t="n">
        <f aca="false">IF(Flows!T19*T$3*T$4&lt;0.002,100,MAX($CM$2/(Flows!T19*T$3*T$4),1))</f>
        <v>2424.12702257854</v>
      </c>
      <c r="U22" s="10" t="n">
        <f aca="false">IF(Flows!U19*U$3*U$4&lt;0.002,100,MAX($CM$2/(Flows!U19*U$3*U$4),1))</f>
        <v>7855.35659143663</v>
      </c>
      <c r="V22" s="10" t="n">
        <f aca="false">IF(Flows!V19*V$3*V$4&lt;0.002,100,MAX($CM$2/(Flows!V19*V$3*V$4),1))</f>
        <v>215.275980170087</v>
      </c>
      <c r="W22" s="10" t="n">
        <f aca="false">IF(Flows!W19*W$3*W$4&lt;0.002,100,MAX($CM$2/(Flows!W19*W$3*W$4),1))</f>
        <v>5.2352984839771</v>
      </c>
      <c r="X22" s="10" t="n">
        <f aca="false">IF(Flows!X19*X$3*X$4&lt;0.002,100,MAX($CM$2/(Flows!X19*X$3*X$4),1))</f>
        <v>12.9890611535201</v>
      </c>
      <c r="Y22" s="10" t="n">
        <f aca="false">IF(Flows!Y19*Y$3*Y$4&lt;0.002,100,MAX($CM$2/(Flows!Y19*Y$3*Y$4),1))</f>
        <v>790.331823799582</v>
      </c>
      <c r="Z22" s="10" t="n">
        <f aca="false">IF(Flows!Z19*Z$3*Z$4&lt;0.002,100,MAX($CM$2/(Flows!Z19*Z$3*Z$4),1))</f>
        <v>11451.8704714568</v>
      </c>
      <c r="AA22" s="10" t="n">
        <f aca="false">IF(Flows!AA19*AA$3*AA$4&lt;0.002,100,MAX($CM$2/(Flows!AA19*AA$3*AA$4),1))</f>
        <v>7658.00037954548</v>
      </c>
      <c r="AB22" s="10" t="n">
        <f aca="false">IF(Flows!AB19*AB$3*AB$4&lt;0.002,100,MAX($CM$2/(Flows!AB19*AB$3*AB$4),1))</f>
        <v>7964.69390325841</v>
      </c>
      <c r="AC22" s="10" t="n">
        <f aca="false">IF(Flows!AC19*AC$3*AC$4&lt;0.002,100,MAX($CM$2/(Flows!AC19*AC$3*AC$4),1))</f>
        <v>55782.7815773198</v>
      </c>
      <c r="AD22" s="10" t="n">
        <f aca="false">IF(Flows!AD19*AD$3*AD$4&lt;0.002,100,MAX($CM$2/(Flows!AD19*AD$3*AD$4),1))</f>
        <v>50171.384614436</v>
      </c>
      <c r="AE22" s="10" t="n">
        <f aca="false">IF(Flows!AE19*AE$3*AE$4&lt;0.002,100,MAX($CM$2/(Flows!AE19*AE$3*AE$4),1))</f>
        <v>150488.925415969</v>
      </c>
      <c r="AF22" s="10" t="n">
        <f aca="false">IF(Flows!AF19*AF$3*AF$4&lt;0.002,100,MAX($CM$2/(Flows!AF19*AF$3*AF$4),1))</f>
        <v>521.590716127507</v>
      </c>
      <c r="AG22" s="10" t="n">
        <f aca="false">IF(Flows!AG19*AG$3*AG$4&lt;0.002,100,MAX($CM$2/(Flows!AG19*AG$3*AG$4),1))</f>
        <v>646.608320215958</v>
      </c>
      <c r="AH22" s="10" t="n">
        <f aca="false">IF(Flows!AH19*AH$3*AH$4&lt;0.002,100,MAX($CM$2/(Flows!AH19*AH$3*AH$4),1))</f>
        <v>340.101618879522</v>
      </c>
      <c r="AI22" s="10" t="n">
        <f aca="false">IF(Flows!AI19*AI$3*AI$4&lt;0.002,100,MAX($CM$2/(Flows!AI19*AI$3*AI$4),1))</f>
        <v>1866.28153229727</v>
      </c>
      <c r="AJ22" s="10" t="n">
        <f aca="false">IF(Flows!AJ19*AJ$3*AJ$4&lt;0.002,100,MAX($CM$2/(Flows!AJ19*AJ$3*AJ$4),1))</f>
        <v>867.664394389549</v>
      </c>
      <c r="AK22" s="10" t="n">
        <f aca="false">IF(Flows!AK19*AK$3*AK$4&lt;0.002,100,MAX($CM$2/(Flows!AK19*AK$3*AK$4),1))</f>
        <v>286.102910735413</v>
      </c>
      <c r="AL22" s="10" t="n">
        <f aca="false">IF(Flows!AL19*AL$3*AL$4&lt;0.002,100,MAX($CM$2/(Flows!AL19*AL$3*AL$4),1))</f>
        <v>577.929281545521</v>
      </c>
      <c r="AM22" s="10" t="n">
        <f aca="false">IF(Flows!AM19*AM$3*AM$4&lt;0.002,100,MAX($CM$2/(Flows!AM19*AM$3*AM$4),1))</f>
        <v>1374.97003474666</v>
      </c>
      <c r="AN22" s="10" t="n">
        <f aca="false">IF(Flows!AN19*AN$3*AN$4&lt;0.002,100,MAX($CM$2/(Flows!AN19*AN$3*AN$4),1))</f>
        <v>1273.67313119967</v>
      </c>
      <c r="AO22" s="10" t="n">
        <f aca="false">IF(Flows!AO19*AO$3*AO$4&lt;0.002,100,MAX($CM$2/(Flows!AO19*AO$3*AO$4),1))</f>
        <v>11087.0085633938</v>
      </c>
      <c r="AP22" s="10" t="n">
        <f aca="false">IF(Flows!AP19*AP$3*AP$4&lt;0.002,100,MAX($CM$2/(Flows!AP19*AP$3*AP$4),1))</f>
        <v>34358.0385374062</v>
      </c>
      <c r="AQ22" s="10" t="n">
        <f aca="false">IF(Flows!AQ19*AQ$3*AQ$4&lt;0.002,100,MAX($CM$2/(Flows!AQ19*AQ$3*AQ$4),1))</f>
        <v>9528.69103675648</v>
      </c>
      <c r="AR22" s="10" t="n">
        <f aca="false">IF(Flows!AR19*AR$3*AR$4&lt;0.002,100,MAX($CM$2/(Flows!AR19*AR$3*AR$4),1))</f>
        <v>14883.4644762733</v>
      </c>
      <c r="AS22" s="10" t="n">
        <f aca="false">IF(Flows!AS19*AS$3*AS$4&lt;0.002,100,MAX($CM$2/(Flows!AS19*AS$3*AS$4),1))</f>
        <v>1911.60318527508</v>
      </c>
      <c r="AT22" s="10" t="n">
        <f aca="false">IF(Flows!AT19*AT$3*AT$4&lt;0.002,100,MAX($CM$2/(Flows!AT19*AT$3*AT$4),1))</f>
        <v>470.103738416292</v>
      </c>
      <c r="AU22" s="10" t="n">
        <f aca="false">IF(Flows!AU19*AU$3*AU$4&lt;0.002,100,MAX($CM$2/(Flows!AU19*AU$3*AU$4),1))</f>
        <v>914.156852872464</v>
      </c>
      <c r="AV22" s="10" t="n">
        <f aca="false">IF(Flows!AV19*AV$3*AV$4&lt;0.002,100,MAX($CM$2/(Flows!AV19*AV$3*AV$4),1))</f>
        <v>8163.98281573468</v>
      </c>
      <c r="AW22" s="10" t="n">
        <f aca="false">IF(Flows!AW19*AW$3*AW$4&lt;0.002,100,MAX($CM$2/(Flows!AW19*AW$3*AW$4),1))</f>
        <v>17.8412594413677</v>
      </c>
      <c r="AX22" s="10" t="n">
        <f aca="false">IF(Flows!AX19*AX$3*AX$4&lt;0.002,100,MAX($CM$2/(Flows!AX19*AX$3*AX$4),1))</f>
        <v>3562.33873892499</v>
      </c>
      <c r="AY22" s="10" t="n">
        <f aca="false">IF(Flows!AY19*AY$3*AY$4&lt;0.002,100,MAX($CM$2/(Flows!AY19*AY$3*AY$4),1))</f>
        <v>389.60945531216</v>
      </c>
      <c r="AZ22" s="10" t="n">
        <f aca="false">IF(Flows!AZ19*AZ$3*AZ$4&lt;0.002,100,MAX($CM$2/(Flows!AZ19*AZ$3*AZ$4),1))</f>
        <v>117.363887527386</v>
      </c>
      <c r="BA22" s="10" t="n">
        <f aca="false">IF(Flows!BA19*BA$3*BA$4&lt;0.002,100,MAX($CM$2/(Flows!BA19*BA$3*BA$4),1))</f>
        <v>8061.38460275574</v>
      </c>
      <c r="BB22" s="10" t="n">
        <f aca="false">IF(Flows!BB19*BB$3*BB$4&lt;0.002,100,MAX($CM$2/(Flows!BB19*BB$3*BB$4),1))</f>
        <v>3119.27815567251</v>
      </c>
      <c r="BC22" s="10" t="n">
        <f aca="false">IF(Flows!BC19*BC$3*BC$4&lt;0.002,100,MAX($CM$2/(Flows!BC19*BC$3*BC$4),1))</f>
        <v>1089.00651236813</v>
      </c>
      <c r="BD22" s="10" t="n">
        <f aca="false">IF(Flows!BD19*BD$3*BD$4&lt;0.002,100,MAX($CM$2/(Flows!BD19*BD$3*BD$4),1))</f>
        <v>4519.13455810561</v>
      </c>
      <c r="BE22" s="10" t="n">
        <f aca="false">IF(Flows!BE19*BE$3*BE$4&lt;0.002,100,MAX($CM$2/(Flows!BE19*BE$3*BE$4),1))</f>
        <v>9846.93588821688</v>
      </c>
      <c r="BF22" s="10" t="n">
        <f aca="false">IF(Flows!BF19*BF$3*BF$4&lt;0.002,100,MAX($CM$2/(Flows!BF19*BF$3*BF$4),1))</f>
        <v>1838.32611738802</v>
      </c>
      <c r="BG22" s="10" t="n">
        <f aca="false">IF(Flows!BG19*BG$3*BG$4&lt;0.002,100,MAX($CM$2/(Flows!BG19*BG$3*BG$4),1))</f>
        <v>427.632324295758</v>
      </c>
      <c r="BH22" s="10" t="n">
        <f aca="false">IF(Flows!BH19*BH$3*BH$4&lt;0.002,100,MAX($CM$2/(Flows!BH19*BH$3*BH$4),1))</f>
        <v>213.740156768954</v>
      </c>
      <c r="BI22" s="10" t="n">
        <f aca="false">IF(Flows!BI19*BI$3*BI$4&lt;0.002,100,MAX($CM$2/(Flows!BI19*BI$3*BI$4),1))</f>
        <v>199.990246127133</v>
      </c>
      <c r="BJ22" s="10" t="n">
        <f aca="false">IF(Flows!BJ19*BJ$3*BJ$4&lt;0.002,100,MAX($CM$2/(Flows!BJ19*BJ$3*BJ$4),1))</f>
        <v>81.5124528302292</v>
      </c>
      <c r="BK22" s="10" t="n">
        <f aca="false">IF(Flows!BK19*BK$3*BK$4&lt;0.002,100,MAX($CM$2/(Flows!BK19*BK$3*BK$4),1))</f>
        <v>399.980492254266</v>
      </c>
      <c r="BL22" s="10" t="n">
        <f aca="false">IF(Flows!BL19*BL$3*BL$4&lt;0.002,100,MAX($CM$2/(Flows!BL19*BL$3*BL$4),1))</f>
        <v>143.057261212429</v>
      </c>
      <c r="BM22" s="10" t="n">
        <f aca="false">IF(Flows!BM19*BM$3*BM$4&lt;0.002,100,MAX($CM$2/(Flows!BM19*BM$3*BM$4),1))</f>
        <v>22.6317826710654</v>
      </c>
      <c r="BN22" s="10" t="n">
        <f aca="false">IF(Flows!BN19*BN$3*BN$4&lt;0.002,100,MAX($CM$2/(Flows!BN19*BN$3*BN$4),1))</f>
        <v>789515.575159241</v>
      </c>
      <c r="BO22" s="10" t="n">
        <f aca="false">IF(Flows!BO19*BO$3*BO$4&lt;0.002,100,MAX($CM$2/(Flows!BO19*BO$3*BO$4),1))</f>
        <v>131585929.193207</v>
      </c>
      <c r="BP22" s="10" t="n">
        <f aca="false">IF(Flows!BP19*BP$3*BP$4&lt;0.002,100,MAX($CM$2/(Flows!BP19*BP$3*BP$4),1))</f>
        <v>26952827640.3947</v>
      </c>
      <c r="BQ22" s="10" t="n">
        <f aca="false">IF(Flows!BQ19*BQ$3*BQ$4&lt;0.002,100,MAX($CM$2/(Flows!BQ19*BQ$3*BQ$4),1))</f>
        <v>1214639.34639883</v>
      </c>
      <c r="BR22" s="10" t="n">
        <f aca="false">IF(Flows!BR19*BR$3*BR$4&lt;0.002,100,MAX($CM$2/(Flows!BR19*BR$3*BR$4),1))</f>
        <v>1315859291.93207</v>
      </c>
      <c r="BS22" s="10" t="n">
        <f aca="false">IF(Flows!BS19*BS$3*BS$4&lt;0.002,100,MAX($CM$2/(Flows!BS19*BS$3*BS$4),1))</f>
        <v>6579298482.6893</v>
      </c>
      <c r="BT22" s="10" t="n">
        <f aca="false">IF(Flows!BT19*BT$3*BT$4&lt;0.002,100,MAX($CM$2/(Flows!BT19*BT$3*BT$4),1))</f>
        <v>2.91549890683677</v>
      </c>
      <c r="BU22" s="10" t="n">
        <f aca="false">IF(Flows!BU19*BU$3*BU$4&lt;0.002,100,MAX($CM$2/(Flows!BU19*BU$3*BU$4),1))</f>
        <v>29.1549890683677</v>
      </c>
      <c r="BV22" s="10" t="n">
        <f aca="false">IF(Flows!BV19*BV$3*BV$4&lt;0.002,100,MAX($CM$2/(Flows!BV19*BV$3*BV$4),1))</f>
        <v>291.549890683677</v>
      </c>
      <c r="BW22" s="10" t="n">
        <f aca="false">IF(Flows!BW19*BW$3*BW$4&lt;0.002,100,MAX($CM$2/(Flows!BW19*BW$3*BW$4),1))</f>
        <v>26.5220931433143</v>
      </c>
      <c r="BX22" s="10" t="n">
        <f aca="false">IF(Flows!BX19*BX$3*BX$4&lt;0.002,100,MAX($CM$2/(Flows!BX19*BX$3*BX$4),1))</f>
        <v>962.267562067297</v>
      </c>
      <c r="BY22" s="10" t="n">
        <f aca="false">IF(Flows!BY19*BY$3*BY$4&lt;0.002,100,MAX($CM$2/(Flows!BY19*BY$3*BY$4),1))</f>
        <v>16.0997695743106</v>
      </c>
      <c r="BZ22" s="10" t="n">
        <f aca="false">IF(Flows!BZ19*BZ$3*BZ$4&lt;0.002,100,MAX($CM$2/(Flows!BZ19*BZ$3*BZ$4),1))</f>
        <v>72521.0172008896</v>
      </c>
      <c r="CA22" s="10" t="n">
        <f aca="false">IF(Flows!CA19*CA$3*CA$4&lt;0.002,100,MAX($CM$2/(Flows!CA19*CA$3*CA$4),1))</f>
        <v>20848.6678532912</v>
      </c>
      <c r="CB22" s="10" t="n">
        <f aca="false">IF(Flows!CB19*CB$3*CB$4&lt;0.002,100,MAX($CM$2/(Flows!CB19*CB$3*CB$4),1))</f>
        <v>20.2185313166659</v>
      </c>
      <c r="CC22" s="10" t="n">
        <f aca="false">IF(Flows!CC19*CC$3*CC$4&lt;0.002,100,MAX($CM$2/(Flows!CC19*CC$3*CC$4),1))</f>
        <v>11.8016488819802</v>
      </c>
      <c r="CD22" s="10" t="n">
        <f aca="false">IF(Flows!CD19*CD$3*CD$4&lt;0.002,100,MAX($CM$2/(Flows!CD19*CD$3*CD$4),1))</f>
        <v>89.8007490779861</v>
      </c>
      <c r="CE22" s="10" t="n">
        <f aca="false">IF(Flows!CE19*CE$3*CE$4&lt;0.002,100,MAX($CM$2/(Flows!CE19*CE$3*CE$4),1))</f>
        <v>16.9180331456498</v>
      </c>
      <c r="CF22" s="10" t="n">
        <f aca="false">IF(Flows!CF19*CF$3*CF$4&lt;0.002,100,MAX($CM$2/(Flows!CF19*CF$3*CF$4),1))</f>
        <v>1</v>
      </c>
      <c r="CG22" s="10" t="n">
        <f aca="false">IF(Flows!CG19*CG$3*CG$4&lt;0.002,100,MAX($CM$2/(Flows!CG19*CG$3*CG$4),1))</f>
        <v>1834173.91347152</v>
      </c>
      <c r="CH22" s="10" t="n">
        <f aca="false">IF(Flows!CH19*CH$3*CH$4&lt;0.002,100,MAX($CM$2/(Flows!CH19*CH$3*CH$4),1))</f>
        <v>4911720.83523439</v>
      </c>
      <c r="CI22" s="10" t="n">
        <f aca="false">IF(Flows!CI19*CI$3*CI$4&lt;0.002,100,MAX($CM$2/(Flows!CI19*CI$3*CI$4),1))</f>
        <v>830.064105813597</v>
      </c>
      <c r="CJ22" s="10" t="n">
        <f aca="false">IF(Flows!CJ19*CJ$3*CJ$4&lt;0.002,100,MAX($CM$2/(Flows!CJ19*CJ$3*CJ$4),1))</f>
        <v>1075.19370361006</v>
      </c>
      <c r="CK22" s="10" t="n">
        <f aca="false">IF(Flows!CK19*CK$3*CK$4&lt;0.002,100,MAX($CM$2/(Flows!CK19*CK$3*CK$4),1))</f>
        <v>869.389981474326</v>
      </c>
      <c r="CL22" s="7" t="s">
        <v>320</v>
      </c>
    </row>
    <row r="23" customFormat="false" ht="12.8" hidden="false" customHeight="false" outlineLevel="0" collapsed="false">
      <c r="A23" s="7" t="s">
        <v>155</v>
      </c>
      <c r="B23" s="7" t="s">
        <v>39</v>
      </c>
      <c r="C23" s="10" t="n">
        <f aca="false">IF(Flows!C20*C$3*C$4&lt;0.002,100,MAX($CM$2/(Flows!C20*C$3*C$4),1))</f>
        <v>743476.144198944</v>
      </c>
      <c r="D23" s="10" t="n">
        <f aca="false">IF(Flows!D20*D$3*D$4&lt;0.002,100,MAX($CM$2/(Flows!D20*D$3*D$4),1))</f>
        <v>158.822277870008</v>
      </c>
      <c r="E23" s="10" t="n">
        <f aca="false">IF(Flows!E20*E$3*E$4&lt;0.002,100,MAX($CM$2/(Flows!E20*E$3*E$4),1))</f>
        <v>252.525671386779</v>
      </c>
      <c r="F23" s="10" t="n">
        <f aca="false">IF(Flows!F20*F$3*F$4&lt;0.002,100,MAX($CM$2/(Flows!F20*F$3*F$4),1))</f>
        <v>490.858252197661</v>
      </c>
      <c r="G23" s="10" t="n">
        <f aca="false">IF(Flows!G20*G$3*G$4&lt;0.002,100,MAX($CM$2/(Flows!G20*G$3*G$4),1))</f>
        <v>4287.89398498456</v>
      </c>
      <c r="H23" s="10" t="n">
        <f aca="false">IF(Flows!H20*H$3*H$4&lt;0.002,100,MAX($CM$2/(Flows!H20*H$3*H$4),1))</f>
        <v>2642447.52996053</v>
      </c>
      <c r="I23" s="10" t="n">
        <f aca="false">IF(Flows!I20*I$3*I$4&lt;0.002,100,MAX($CM$2/(Flows!I20*I$3*I$4),1))</f>
        <v>7219.18352562984</v>
      </c>
      <c r="J23" s="10" t="n">
        <f aca="false">IF(Flows!J20*J$3*J$4&lt;0.002,100,MAX($CM$2/(Flows!J20*J$3*J$4),1))</f>
        <v>8089.68211631989</v>
      </c>
      <c r="K23" s="10" t="n">
        <f aca="false">IF(Flows!K20*K$3*K$4&lt;0.002,100,MAX($CM$2/(Flows!K20*K$3*K$4),1))</f>
        <v>91827.1398461063</v>
      </c>
      <c r="L23" s="10" t="n">
        <f aca="false">IF(Flows!L20*L$3*L$4&lt;0.002,100,MAX($CM$2/(Flows!L20*L$3*L$4),1))</f>
        <v>565421.785681883</v>
      </c>
      <c r="M23" s="10" t="n">
        <f aca="false">IF(Flows!M20*M$3*M$4&lt;0.002,100,MAX($CM$2/(Flows!M20*M$3*M$4),1))</f>
        <v>423231.715500795</v>
      </c>
      <c r="N23" s="10" t="n">
        <f aca="false">IF(Flows!N20*N$3*N$4&lt;0.002,100,MAX($CM$2/(Flows!N20*N$3*N$4),1))</f>
        <v>367.562742368661</v>
      </c>
      <c r="O23" s="10" t="n">
        <f aca="false">IF(Flows!O20*O$3*O$4&lt;0.002,100,MAX($CM$2/(Flows!O20*O$3*O$4),1))</f>
        <v>24.67133775237</v>
      </c>
      <c r="P23" s="10" t="n">
        <f aca="false">IF(Flows!P20*P$3*P$4&lt;0.002,100,MAX($CM$2/(Flows!P20*P$3*P$4),1))</f>
        <v>14.802802651422</v>
      </c>
      <c r="Q23" s="10" t="n">
        <f aca="false">IF(Flows!Q20*Q$3*Q$4&lt;0.002,100,MAX($CM$2/(Flows!Q20*Q$3*Q$4),1))</f>
        <v>30471.4918738302</v>
      </c>
      <c r="R23" s="10" t="n">
        <f aca="false">IF(Flows!R20*R$3*R$4&lt;0.002,100,MAX($CM$2/(Flows!R20*R$3*R$4),1))</f>
        <v>251.581205057825</v>
      </c>
      <c r="S23" s="10" t="n">
        <f aca="false">IF(Flows!S20*S$3*S$4&lt;0.002,100,MAX($CM$2/(Flows!S20*S$3*S$4),1))</f>
        <v>4846.47244870184</v>
      </c>
      <c r="T23" s="10" t="n">
        <f aca="false">IF(Flows!T20*T$3*T$4&lt;0.002,100,MAX($CM$2/(Flows!T20*T$3*T$4),1))</f>
        <v>8671.38452831455</v>
      </c>
      <c r="U23" s="10" t="n">
        <f aca="false">IF(Flows!U20*U$3*U$4&lt;0.002,100,MAX($CM$2/(Flows!U20*U$3*U$4),1))</f>
        <v>28215.447700053</v>
      </c>
      <c r="V23" s="10" t="n">
        <f aca="false">IF(Flows!V20*V$3*V$4&lt;0.002,100,MAX($CM$2/(Flows!V20*V$3*V$4),1))</f>
        <v>3535.48544553637</v>
      </c>
      <c r="W23" s="10" t="n">
        <f aca="false">IF(Flows!W20*W$3*W$4&lt;0.002,100,MAX($CM$2/(Flows!W20*W$3*W$4),1))</f>
        <v>103.349083816788</v>
      </c>
      <c r="X23" s="10" t="n">
        <f aca="false">IF(Flows!X20*X$3*X$4&lt;0.002,100,MAX($CM$2/(Flows!X20*X$3*X$4),1))</f>
        <v>26.2027888132749</v>
      </c>
      <c r="Y23" s="10" t="n">
        <f aca="false">IF(Flows!Y20*Y$3*Y$4&lt;0.002,100,MAX($CM$2/(Flows!Y20*Y$3*Y$4),1))</f>
        <v>2827.10892840941</v>
      </c>
      <c r="Z23" s="10" t="n">
        <f aca="false">IF(Flows!Z20*Z$3*Z$4&lt;0.002,100,MAX($CM$2/(Flows!Z20*Z$3*Z$4),1))</f>
        <v>2175587.83580228</v>
      </c>
      <c r="AA23" s="10" t="n">
        <f aca="false">IF(Flows!AA20*AA$3*AA$4&lt;0.002,100,MAX($CM$2/(Flows!AA20*AA$3*AA$4),1))</f>
        <v>237813.174405447</v>
      </c>
      <c r="AB23" s="10" t="n">
        <f aca="false">IF(Flows!AB20*AB$3*AB$4&lt;0.002,100,MAX($CM$2/(Flows!AB20*AB$3*AB$4),1))</f>
        <v>224721.669527635</v>
      </c>
      <c r="AC23" s="10" t="n">
        <f aca="false">IF(Flows!AC20*AC$3*AC$4&lt;0.002,100,MAX($CM$2/(Flows!AC20*AC$3*AC$4),1))</f>
        <v>578359.086918481</v>
      </c>
      <c r="AD23" s="10" t="n">
        <f aca="false">IF(Flows!AD20*AD$3*AD$4&lt;0.002,100,MAX($CM$2/(Flows!AD20*AD$3*AD$4),1))</f>
        <v>1415571.95417851</v>
      </c>
      <c r="AE23" s="10" t="n">
        <f aca="false">IF(Flows!AE20*AE$3*AE$4&lt;0.002,100,MAX($CM$2/(Flows!AE20*AE$3*AE$4),1))</f>
        <v>3709124.28524175</v>
      </c>
      <c r="AF23" s="10" t="n">
        <f aca="false">IF(Flows!AF20*AF$3*AF$4&lt;0.002,100,MAX($CM$2/(Flows!AF20*AF$3*AF$4),1))</f>
        <v>9950.11676234702</v>
      </c>
      <c r="AG23" s="10" t="n">
        <f aca="false">IF(Flows!AG20*AG$3*AG$4&lt;0.002,100,MAX($CM$2/(Flows!AG20*AG$3*AG$4),1))</f>
        <v>11217.4300057412</v>
      </c>
      <c r="AH23" s="10" t="n">
        <f aca="false">IF(Flows!AH20*AH$3*AH$4&lt;0.002,100,MAX($CM$2/(Flows!AH20*AH$3*AH$4),1))</f>
        <v>9376.04067288364</v>
      </c>
      <c r="AI23" s="10" t="n">
        <f aca="false">IF(Flows!AI20*AI$3*AI$4&lt;0.002,100,MAX($CM$2/(Flows!AI20*AI$3*AI$4),1))</f>
        <v>34982.797680984</v>
      </c>
      <c r="AJ23" s="10" t="n">
        <f aca="false">IF(Flows!AJ20*AJ$3*AJ$4&lt;0.002,100,MAX($CM$2/(Flows!AJ20*AJ$3*AJ$4),1))</f>
        <v>21816.5377344781</v>
      </c>
      <c r="AK23" s="10" t="n">
        <f aca="false">IF(Flows!AK20*AK$3*AK$4&lt;0.002,100,MAX($CM$2/(Flows!AK20*AK$3*AK$4),1))</f>
        <v>6535.98722703569</v>
      </c>
      <c r="AL23" s="10" t="n">
        <f aca="false">IF(Flows!AL20*AL$3*AL$4&lt;0.002,100,MAX($CM$2/(Flows!AL20*AL$3*AL$4),1))</f>
        <v>12899.0808306158</v>
      </c>
      <c r="AM23" s="10" t="n">
        <f aca="false">IF(Flows!AM20*AM$3*AM$4&lt;0.002,100,MAX($CM$2/(Flows!AM20*AM$3*AM$4),1))</f>
        <v>19441.4373792655</v>
      </c>
      <c r="AN23" s="10" t="n">
        <f aca="false">IF(Flows!AN20*AN$3*AN$4&lt;0.002,100,MAX($CM$2/(Flows!AN20*AN$3*AN$4),1))</f>
        <v>31046.411179768</v>
      </c>
      <c r="AO23" s="10" t="n">
        <f aca="false">IF(Flows!AO20*AO$3*AO$4&lt;0.002,100,MAX($CM$2/(Flows!AO20*AO$3*AO$4),1))</f>
        <v>328528.030860452</v>
      </c>
      <c r="AP23" s="10" t="n">
        <f aca="false">IF(Flows!AP20*AP$3*AP$4&lt;0.002,100,MAX($CM$2/(Flows!AP20*AP$3*AP$4),1))</f>
        <v>791028.05581309</v>
      </c>
      <c r="AQ23" s="10" t="n">
        <f aca="false">IF(Flows!AQ20*AQ$3*AQ$4&lt;0.002,100,MAX($CM$2/(Flows!AQ20*AQ$3*AQ$4),1))</f>
        <v>178055.197387408</v>
      </c>
      <c r="AR23" s="10" t="n">
        <f aca="false">IF(Flows!AR20*AR$3*AR$4&lt;0.002,100,MAX($CM$2/(Flows!AR20*AR$3*AR$4),1))</f>
        <v>207830.134147473</v>
      </c>
      <c r="AS23" s="10" t="n">
        <f aca="false">IF(Flows!AS20*AS$3*AS$4&lt;0.002,100,MAX($CM$2/(Flows!AS20*AS$3*AS$4),1))</f>
        <v>35170.5041321042</v>
      </c>
      <c r="AT23" s="10" t="n">
        <f aca="false">IF(Flows!AT20*AT$3*AT$4&lt;0.002,100,MAX($CM$2/(Flows!AT20*AT$3*AT$4),1))</f>
        <v>13021.305427593</v>
      </c>
      <c r="AU23" s="10" t="n">
        <f aca="false">IF(Flows!AU20*AU$3*AU$4&lt;0.002,100,MAX($CM$2/(Flows!AU20*AU$3*AU$4),1))</f>
        <v>14719.8891795024</v>
      </c>
      <c r="AV23" s="10" t="n">
        <f aca="false">IF(Flows!AV20*AV$3*AV$4&lt;0.002,100,MAX($CM$2/(Flows!AV20*AV$3*AV$4),1))</f>
        <v>130082.668969601</v>
      </c>
      <c r="AW23" s="10" t="n">
        <f aca="false">IF(Flows!AW20*AW$3*AW$4&lt;0.002,100,MAX($CM$2/(Flows!AW20*AW$3*AW$4),1))</f>
        <v>182.782936565881</v>
      </c>
      <c r="AX23" s="10" t="n">
        <f aca="false">IF(Flows!AX20*AX$3*AX$4&lt;0.002,100,MAX($CM$2/(Flows!AX20*AX$3*AX$4),1))</f>
        <v>18749.1382683878</v>
      </c>
      <c r="AY23" s="10" t="n">
        <f aca="false">IF(Flows!AY20*AY$3*AY$4&lt;0.002,100,MAX($CM$2/(Flows!AY20*AY$3*AY$4),1))</f>
        <v>12410.4245286119</v>
      </c>
      <c r="AZ23" s="10" t="n">
        <f aca="false">IF(Flows!AZ20*AZ$3*AZ$4&lt;0.002,100,MAX($CM$2/(Flows!AZ20*AZ$3*AZ$4),1))</f>
        <v>3484.83905212118</v>
      </c>
      <c r="BA23" s="10" t="n">
        <f aca="false">IF(Flows!BA20*BA$3*BA$4&lt;0.002,100,MAX($CM$2/(Flows!BA20*BA$3*BA$4),1))</f>
        <v>28836.511069776</v>
      </c>
      <c r="BB23" s="10" t="n">
        <f aca="false">IF(Flows!BB20*BB$3*BB$4&lt;0.002,100,MAX($CM$2/(Flows!BB20*BB$3*BB$4),1))</f>
        <v>55065.4111464346</v>
      </c>
      <c r="BC23" s="10" t="n">
        <f aca="false">IF(Flows!BC20*BC$3*BC$4&lt;0.002,100,MAX($CM$2/(Flows!BC20*BC$3*BC$4),1))</f>
        <v>19895.0997108217</v>
      </c>
      <c r="BD23" s="10" t="n">
        <f aca="false">IF(Flows!BD20*BD$3*BD$4&lt;0.002,100,MAX($CM$2/(Flows!BD20*BD$3*BD$4),1))</f>
        <v>88672.6748004741</v>
      </c>
      <c r="BE23" s="10" t="n">
        <f aca="false">IF(Flows!BE20*BE$3*BE$4&lt;0.002,100,MAX($CM$2/(Flows!BE20*BE$3*BE$4),1))</f>
        <v>215159.38278395</v>
      </c>
      <c r="BF23" s="10" t="n">
        <f aca="false">IF(Flows!BF20*BF$3*BF$4&lt;0.002,100,MAX($CM$2/(Flows!BF20*BF$3*BF$4),1))</f>
        <v>9337.5924174176</v>
      </c>
      <c r="BG23" s="10" t="n">
        <f aca="false">IF(Flows!BG20*BG$3*BG$4&lt;0.002,100,MAX($CM$2/(Flows!BG20*BG$3*BG$4),1))</f>
        <v>3829.16993965626</v>
      </c>
      <c r="BH23" s="10" t="n">
        <f aca="false">IF(Flows!BH20*BH$3*BH$4&lt;0.002,100,MAX($CM$2/(Flows!BH20*BH$3*BH$4),1))</f>
        <v>3372454.24148195</v>
      </c>
      <c r="BI23" s="10" t="n">
        <f aca="false">IF(Flows!BI20*BI$3*BI$4&lt;0.002,100,MAX($CM$2/(Flows!BI20*BI$3*BI$4),1))</f>
        <v>4159.23748966015</v>
      </c>
      <c r="BJ23" s="10" t="n">
        <f aca="false">IF(Flows!BJ20*BJ$3*BJ$4&lt;0.002,100,MAX($CM$2/(Flows!BJ20*BJ$3*BJ$4),1))</f>
        <v>28.9597982895747</v>
      </c>
      <c r="BK23" s="10" t="n">
        <f aca="false">IF(Flows!BK20*BK$3*BK$4&lt;0.002,100,MAX($CM$2/(Flows!BK20*BK$3*BK$4),1))</f>
        <v>8318.47497932031</v>
      </c>
      <c r="BL23" s="10" t="n">
        <f aca="false">IF(Flows!BL20*BL$3*BL$4&lt;0.002,100,MAX($CM$2/(Flows!BL20*BL$3*BL$4),1))</f>
        <v>2084.02364974354</v>
      </c>
      <c r="BM23" s="10" t="n">
        <f aca="false">IF(Flows!BM20*BM$3*BM$4&lt;0.002,100,MAX($CM$2/(Flows!BM20*BM$3*BM$4),1))</f>
        <v>1331.02307526202</v>
      </c>
      <c r="BN23" s="10" t="n">
        <f aca="false">IF(Flows!BN20*BN$3*BN$4&lt;0.002,100,MAX($CM$2/(Flows!BN20*BN$3*BN$4),1))</f>
        <v>10.5762666420759</v>
      </c>
      <c r="BO23" s="10" t="n">
        <f aca="false">IF(Flows!BO20*BO$3*BO$4&lt;0.002,100,MAX($CM$2/(Flows!BO20*BO$3*BO$4),1))</f>
        <v>1762.71110701265</v>
      </c>
      <c r="BP23" s="10" t="n">
        <f aca="false">IF(Flows!BP20*BP$3*BP$4&lt;0.002,100,MAX($CM$2/(Flows!BP20*BP$3*BP$4),1))</f>
        <v>1307.3893011605</v>
      </c>
      <c r="BQ23" s="10" t="n">
        <f aca="false">IF(Flows!BQ20*BQ$3*BQ$4&lt;0.002,100,MAX($CM$2/(Flows!BQ20*BQ$3*BQ$4),1))</f>
        <v>16.2711794493475</v>
      </c>
      <c r="BR23" s="10" t="n">
        <f aca="false">IF(Flows!BR20*BR$3*BR$4&lt;0.002,100,MAX($CM$2/(Flows!BR20*BR$3*BR$4),1))</f>
        <v>52881.3332103794</v>
      </c>
      <c r="BS23" s="10" t="n">
        <f aca="false">IF(Flows!BS20*BS$3*BS$4&lt;0.002,100,MAX($CM$2/(Flows!BS20*BS$3*BS$4),1))</f>
        <v>528813.452516391</v>
      </c>
      <c r="BT23" s="10" t="n">
        <f aca="false">IF(Flows!BT20*BT$3*BT$4&lt;0.002,100,MAX($CM$2/(Flows!BT20*BT$3*BT$4),1))</f>
        <v>149.348383925833</v>
      </c>
      <c r="BU23" s="10" t="n">
        <f aca="false">IF(Flows!BU20*BU$3*BU$4&lt;0.002,100,MAX($CM$2/(Flows!BU20*BU$3*BU$4),1))</f>
        <v>1493.48383925833</v>
      </c>
      <c r="BV23" s="10" t="n">
        <f aca="false">IF(Flows!BV20*BV$3*BV$4&lt;0.002,100,MAX($CM$2/(Flows!BV20*BV$3*BV$4),1))</f>
        <v>14934.8383925833</v>
      </c>
      <c r="BW23" s="10" t="n">
        <f aca="false">IF(Flows!BW20*BW$3*BW$4&lt;0.002,100,MAX($CM$2/(Flows!BW20*BW$3*BW$4),1))</f>
        <v>272.064211007432</v>
      </c>
      <c r="BX23" s="10" t="n">
        <f aca="false">IF(Flows!BX20*BX$3*BX$4&lt;0.002,100,MAX($CM$2/(Flows!BX20*BX$3*BX$4),1))</f>
        <v>387.075134450276</v>
      </c>
      <c r="BY23" s="10" t="n">
        <f aca="false">IF(Flows!BY20*BY$3*BY$4&lt;0.002,100,MAX($CM$2/(Flows!BY20*BY$3*BY$4),1))</f>
        <v>346.150289100144</v>
      </c>
      <c r="BZ23" s="10" t="n">
        <f aca="false">IF(Flows!BZ20*BZ$3*BZ$4&lt;0.002,100,MAX($CM$2/(Flows!BZ20*BZ$3*BZ$4),1))</f>
        <v>1018972.21568971</v>
      </c>
      <c r="CA23" s="10" t="n">
        <f aca="false">IF(Flows!CA20*CA$3*CA$4&lt;0.002,100,MAX($CM$2/(Flows!CA20*CA$3*CA$4),1))</f>
        <v>328816.258736157</v>
      </c>
      <c r="CB23" s="10" t="n">
        <f aca="false">IF(Flows!CB20*CB$3*CB$4&lt;0.002,100,MAX($CM$2/(Flows!CB20*CB$3*CB$4),1))</f>
        <v>985.975352141704</v>
      </c>
      <c r="CC23" s="10" t="n">
        <f aca="false">IF(Flows!CC20*CC$3*CC$4&lt;0.002,100,MAX($CM$2/(Flows!CC20*CC$3*CC$4),1))</f>
        <v>66.8599975994398</v>
      </c>
      <c r="CD23" s="10" t="n">
        <f aca="false">IF(Flows!CD20*CD$3*CD$4&lt;0.002,100,MAX($CM$2/(Flows!CD20*CD$3*CD$4),1))</f>
        <v>738.157679010695</v>
      </c>
      <c r="CE23" s="10" t="n">
        <f aca="false">IF(Flows!CE20*CE$3*CE$4&lt;0.002,100,MAX($CM$2/(Flows!CE20*CE$3*CE$4),1))</f>
        <v>1416.72518528198</v>
      </c>
      <c r="CF23" s="10" t="n">
        <f aca="false">IF(Flows!CF20*CF$3*CF$4&lt;0.002,100,MAX($CM$2/(Flows!CF20*CF$3*CF$4),1))</f>
        <v>2.2404742539038</v>
      </c>
      <c r="CG23" s="10" t="n">
        <f aca="false">IF(Flows!CG20*CG$3*CG$4&lt;0.002,100,MAX($CM$2/(Flows!CG20*CG$3*CG$4),1))</f>
        <v>403.99349139338</v>
      </c>
      <c r="CH23" s="10" t="n">
        <f aca="false">IF(Flows!CH20*CH$3*CH$4&lt;0.002,100,MAX($CM$2/(Flows!CH20*CH$3*CH$4),1))</f>
        <v>22.7373308811757</v>
      </c>
      <c r="CI23" s="10" t="n">
        <f aca="false">IF(Flows!CI20*CI$3*CI$4&lt;0.002,100,MAX($CM$2/(Flows!CI20*CI$3*CI$4),1))</f>
        <v>3719.49870258349</v>
      </c>
      <c r="CJ23" s="10" t="n">
        <f aca="false">IF(Flows!CJ20*CJ$3*CJ$4&lt;0.002,100,MAX($CM$2/(Flows!CJ20*CJ$3*CJ$4),1))</f>
        <v>132040.921531076</v>
      </c>
      <c r="CK23" s="10" t="n">
        <f aca="false">IF(Flows!CK20*CK$3*CK$4&lt;0.002,100,MAX($CM$2/(Flows!CK20*CK$3*CK$4),1))</f>
        <v>12672.0158748091</v>
      </c>
      <c r="CL23" s="7" t="s">
        <v>320</v>
      </c>
    </row>
    <row r="24" customFormat="false" ht="12.8" hidden="false" customHeight="false" outlineLevel="0" collapsed="false">
      <c r="A24" s="7" t="s">
        <v>156</v>
      </c>
      <c r="B24" s="7" t="s">
        <v>39</v>
      </c>
      <c r="C24" s="10" t="n">
        <f aca="false">IF(Flows!C21*C$3*C$4&lt;0.002,100,MAX($CM$2/(Flows!C21*C$3*C$4),1))</f>
        <v>15642.9990106465</v>
      </c>
      <c r="D24" s="10" t="n">
        <f aca="false">IF(Flows!D21*D$3*D$4&lt;0.002,100,MAX($CM$2/(Flows!D21*D$3*D$4),1))</f>
        <v>1.48267491914032</v>
      </c>
      <c r="E24" s="10" t="n">
        <f aca="false">IF(Flows!E21*E$3*E$4&lt;0.002,100,MAX($CM$2/(Flows!E21*E$3*E$4),1))</f>
        <v>2.96592703447898</v>
      </c>
      <c r="F24" s="10" t="n">
        <f aca="false">IF(Flows!F21*F$3*F$4&lt;0.002,100,MAX($CM$2/(Flows!F21*F$3*F$4),1))</f>
        <v>8.30008646969688</v>
      </c>
      <c r="G24" s="10" t="n">
        <f aca="false">IF(Flows!G21*G$3*G$4&lt;0.002,100,MAX($CM$2/(Flows!G21*G$3*G$4),1))</f>
        <v>1.20563994497931</v>
      </c>
      <c r="H24" s="10" t="n">
        <f aca="false">IF(Flows!H21*H$3*H$4&lt;0.002,100,MAX($CM$2/(Flows!H21*H$3*H$4),1))</f>
        <v>839.448185609653</v>
      </c>
      <c r="I24" s="10" t="n">
        <f aca="false">IF(Flows!I21*I$3*I$4&lt;0.002,100,MAX($CM$2/(Flows!I21*I$3*I$4),1))</f>
        <v>1794.03691578478</v>
      </c>
      <c r="J24" s="10" t="n">
        <f aca="false">IF(Flows!J21*J$3*J$4&lt;0.002,100,MAX($CM$2/(Flows!J21*J$3*J$4),1))</f>
        <v>1638.5760004204</v>
      </c>
      <c r="K24" s="10" t="n">
        <f aca="false">IF(Flows!K21*K$3*K$4&lt;0.002,100,MAX($CM$2/(Flows!K21*K$3*K$4),1))</f>
        <v>13047.7491748722</v>
      </c>
      <c r="L24" s="10" t="n">
        <f aca="false">IF(Flows!L21*L$3*L$4&lt;0.002,100,MAX($CM$2/(Flows!L21*L$3*L$4),1))</f>
        <v>66379.4434424713</v>
      </c>
      <c r="M24" s="10" t="n">
        <f aca="false">IF(Flows!M21*M$3*M$4&lt;0.002,100,MAX($CM$2/(Flows!M21*M$3*M$4),1))</f>
        <v>47773.4044120515</v>
      </c>
      <c r="N24" s="10" t="n">
        <f aca="false">IF(Flows!N21*N$3*N$4&lt;0.002,100,MAX($CM$2/(Flows!N21*N$3*N$4),1))</f>
        <v>1.48344098243933</v>
      </c>
      <c r="O24" s="10" t="n">
        <f aca="false">IF(Flows!O21*O$3*O$4&lt;0.002,100,MAX($CM$2/(Flows!O21*O$3*O$4),1))</f>
        <v>1.90610308495832</v>
      </c>
      <c r="P24" s="10" t="n">
        <f aca="false">IF(Flows!P21*P$3*P$4&lt;0.002,100,MAX($CM$2/(Flows!P21*P$3*P$4),1))</f>
        <v>1.14366185097499</v>
      </c>
      <c r="Q24" s="10" t="n">
        <f aca="false">IF(Flows!Q21*Q$3*Q$4&lt;0.002,100,MAX($CM$2/(Flows!Q21*Q$3*Q$4),1))</f>
        <v>80.2033569525577</v>
      </c>
      <c r="R24" s="10" t="n">
        <f aca="false">IF(Flows!R21*R$3*R$4&lt;0.002,100,MAX($CM$2/(Flows!R21*R$3*R$4),1))</f>
        <v>35.7472580133484</v>
      </c>
      <c r="S24" s="10" t="n">
        <f aca="false">IF(Flows!S21*S$3*S$4&lt;0.002,100,MAX($CM$2/(Flows!S21*S$3*S$4),1))</f>
        <v>568.966658078324</v>
      </c>
      <c r="T24" s="10" t="n">
        <f aca="false">IF(Flows!T21*T$3*T$4&lt;0.002,100,MAX($CM$2/(Flows!T21*T$3*T$4),1))</f>
        <v>1018.00406960093</v>
      </c>
      <c r="U24" s="10" t="n">
        <f aca="false">IF(Flows!U21*U$3*U$4&lt;0.002,100,MAX($CM$2/(Flows!U21*U$3*U$4),1))</f>
        <v>3184.8936274701</v>
      </c>
      <c r="V24" s="10" t="n">
        <f aca="false">IF(Flows!V21*V$3*V$4&lt;0.002,100,MAX($CM$2/(Flows!V21*V$3*V$4),1))</f>
        <v>86.7859698033835</v>
      </c>
      <c r="W24" s="10" t="n">
        <f aca="false">IF(Flows!W21*W$3*W$4&lt;0.002,100,MAX($CM$2/(Flows!W21*W$3*W$4),1))</f>
        <v>2.37215287895973</v>
      </c>
      <c r="X24" s="10" t="n">
        <f aca="false">IF(Flows!X21*X$3*X$4&lt;0.002,100,MAX($CM$2/(Flows!X21*X$3*X$4),1))</f>
        <v>5.60989803007575</v>
      </c>
      <c r="Y24" s="10" t="n">
        <f aca="false">IF(Flows!Y21*Y$3*Y$4&lt;0.002,100,MAX($CM$2/(Flows!Y21*Y$3*Y$4),1))</f>
        <v>331.897217212357</v>
      </c>
      <c r="Z24" s="10" t="n">
        <f aca="false">IF(Flows!Z21*Z$3*Z$4&lt;0.002,100,MAX($CM$2/(Flows!Z21*Z$3*Z$4),1))</f>
        <v>4523.65833872334</v>
      </c>
      <c r="AA24" s="10" t="n">
        <f aca="false">IF(Flows!AA21*AA$3*AA$4&lt;0.002,100,MAX($CM$2/(Flows!AA21*AA$3*AA$4),1))</f>
        <v>2926.24825260962</v>
      </c>
      <c r="AB24" s="10" t="n">
        <f aca="false">IF(Flows!AB21*AB$3*AB$4&lt;0.002,100,MAX($CM$2/(Flows!AB21*AB$3*AB$4),1))</f>
        <v>3072.50586936035</v>
      </c>
      <c r="AC24" s="10" t="n">
        <f aca="false">IF(Flows!AC21*AC$3*AC$4&lt;0.002,100,MAX($CM$2/(Flows!AC21*AC$3*AC$4),1))</f>
        <v>22444.2095320297</v>
      </c>
      <c r="AD24" s="10" t="n">
        <f aca="false">IF(Flows!AD21*AD$3*AD$4&lt;0.002,100,MAX($CM$2/(Flows!AD21*AD$3*AD$4),1))</f>
        <v>19354.4002536903</v>
      </c>
      <c r="AE24" s="10" t="n">
        <f aca="false">IF(Flows!AE21*AE$3*AE$4&lt;0.002,100,MAX($CM$2/(Flows!AE21*AE$3*AE$4),1))</f>
        <v>57182.0079621155</v>
      </c>
      <c r="AF24" s="10" t="n">
        <f aca="false">IF(Flows!AF21*AF$3*AF$4&lt;0.002,100,MAX($CM$2/(Flows!AF21*AF$3*AF$4),1))</f>
        <v>227.333753156614</v>
      </c>
      <c r="AG24" s="10" t="n">
        <f aca="false">IF(Flows!AG21*AG$3*AG$4&lt;0.002,100,MAX($CM$2/(Flows!AG21*AG$3*AG$4),1))</f>
        <v>206.947304695758</v>
      </c>
      <c r="AH24" s="10" t="n">
        <f aca="false">IF(Flows!AH21*AH$3*AH$4&lt;0.002,100,MAX($CM$2/(Flows!AH21*AH$3*AH$4),1))</f>
        <v>147.692848547271</v>
      </c>
      <c r="AI24" s="10" t="n">
        <f aca="false">IF(Flows!AI21*AI$3*AI$4&lt;0.002,100,MAX($CM$2/(Flows!AI21*AI$3*AI$4),1))</f>
        <v>786.118735436914</v>
      </c>
      <c r="AJ24" s="10" t="n">
        <f aca="false">IF(Flows!AJ21*AJ$3*AJ$4&lt;0.002,100,MAX($CM$2/(Flows!AJ21*AJ$3*AJ$4),1))</f>
        <v>317.554318347177</v>
      </c>
      <c r="AK24" s="10" t="n">
        <f aca="false">IF(Flows!AK21*AK$3*AK$4&lt;0.002,100,MAX($CM$2/(Flows!AK21*AK$3*AK$4),1))</f>
        <v>137.175284305952</v>
      </c>
      <c r="AL24" s="10" t="n">
        <f aca="false">IF(Flows!AL21*AL$3*AL$4&lt;0.002,100,MAX($CM$2/(Flows!AL21*AL$3*AL$4),1))</f>
        <v>256.065725120888</v>
      </c>
      <c r="AM24" s="10" t="n">
        <f aca="false">IF(Flows!AM21*AM$3*AM$4&lt;0.002,100,MAX($CM$2/(Flows!AM21*AM$3*AM$4),1))</f>
        <v>457.210069603456</v>
      </c>
      <c r="AN24" s="10" t="n">
        <f aca="false">IF(Flows!AN21*AN$3*AN$4&lt;0.002,100,MAX($CM$2/(Flows!AN21*AN$3*AN$4),1))</f>
        <v>551.201854163394</v>
      </c>
      <c r="AO24" s="10" t="n">
        <f aca="false">IF(Flows!AO21*AO$3*AO$4&lt;0.002,100,MAX($CM$2/(Flows!AO21*AO$3*AO$4),1))</f>
        <v>5166.21634808478</v>
      </c>
      <c r="AP24" s="10" t="n">
        <f aca="false">IF(Flows!AP21*AP$3*AP$4&lt;0.002,100,MAX($CM$2/(Flows!AP21*AP$3*AP$4),1))</f>
        <v>12383.0274601716</v>
      </c>
      <c r="AQ24" s="10" t="n">
        <f aca="false">IF(Flows!AQ21*AQ$3*AQ$4&lt;0.002,100,MAX($CM$2/(Flows!AQ21*AQ$3*AQ$4),1))</f>
        <v>3540.33985375466</v>
      </c>
      <c r="AR24" s="10" t="n">
        <f aca="false">IF(Flows!AR21*AR$3*AR$4&lt;0.002,100,MAX($CM$2/(Flows!AR21*AR$3*AR$4),1))</f>
        <v>5061.76739637181</v>
      </c>
      <c r="AS24" s="10" t="n">
        <f aca="false">IF(Flows!AS21*AS$3*AS$4&lt;0.002,100,MAX($CM$2/(Flows!AS21*AS$3*AS$4),1))</f>
        <v>773.996063855952</v>
      </c>
      <c r="AT24" s="10" t="n">
        <f aca="false">IF(Flows!AT21*AT$3*AT$4&lt;0.002,100,MAX($CM$2/(Flows!AT21*AT$3*AT$4),1))</f>
        <v>227.496647228014</v>
      </c>
      <c r="AU24" s="10" t="n">
        <f aca="false">IF(Flows!AU21*AU$3*AU$4&lt;0.002,100,MAX($CM$2/(Flows!AU21*AU$3*AU$4),1))</f>
        <v>302.238391011841</v>
      </c>
      <c r="AV24" s="10" t="n">
        <f aca="false">IF(Flows!AV21*AV$3*AV$4&lt;0.002,100,MAX($CM$2/(Flows!AV21*AV$3*AV$4),1))</f>
        <v>3086.33551293159</v>
      </c>
      <c r="AW24" s="10" t="n">
        <f aca="false">IF(Flows!AW21*AW$3*AW$4&lt;0.002,100,MAX($CM$2/(Flows!AW21*AW$3*AW$4),1))</f>
        <v>7.15399145938961</v>
      </c>
      <c r="AX24" s="10" t="n">
        <f aca="false">IF(Flows!AX21*AX$3*AX$4&lt;0.002,100,MAX($CM$2/(Flows!AX21*AX$3*AX$4),1))</f>
        <v>1354.94125802402</v>
      </c>
      <c r="AY24" s="10" t="n">
        <f aca="false">IF(Flows!AY21*AY$3*AY$4&lt;0.002,100,MAX($CM$2/(Flows!AY21*AY$3*AY$4),1))</f>
        <v>153.005858137761</v>
      </c>
      <c r="AZ24" s="10" t="n">
        <f aca="false">IF(Flows!AZ21*AZ$3*AZ$4&lt;0.002,100,MAX($CM$2/(Flows!AZ21*AZ$3*AZ$4),1))</f>
        <v>45.4285656479124</v>
      </c>
      <c r="BA24" s="10" t="n">
        <f aca="false">IF(Flows!BA21*BA$3*BA$4&lt;0.002,100,MAX($CM$2/(Flows!BA21*BA$3*BA$4),1))</f>
        <v>3385.35161556604</v>
      </c>
      <c r="BB24" s="10" t="n">
        <f aca="false">IF(Flows!BB21*BB$3*BB$4&lt;0.002,100,MAX($CM$2/(Flows!BB21*BB$3*BB$4),1))</f>
        <v>1241.24386585861</v>
      </c>
      <c r="BC24" s="10" t="n">
        <f aca="false">IF(Flows!BC21*BC$3*BC$4&lt;0.002,100,MAX($CM$2/(Flows!BC21*BC$3*BC$4),1))</f>
        <v>476.263992945331</v>
      </c>
      <c r="BD24" s="10" t="n">
        <f aca="false">IF(Flows!BD21*BD$3*BD$4&lt;0.002,100,MAX($CM$2/(Flows!BD21*BD$3*BD$4),1))</f>
        <v>2065.42710136683</v>
      </c>
      <c r="BE24" s="10" t="n">
        <f aca="false">IF(Flows!BE21*BE$3*BE$4&lt;0.002,100,MAX($CM$2/(Flows!BE21*BE$3*BE$4),1))</f>
        <v>4134.89458508002</v>
      </c>
      <c r="BF24" s="10" t="n">
        <f aca="false">IF(Flows!BF21*BF$3*BF$4&lt;0.002,100,MAX($CM$2/(Flows!BF21*BF$3*BF$4),1))</f>
        <v>749.043443212126</v>
      </c>
      <c r="BG24" s="10" t="n">
        <f aca="false">IF(Flows!BG21*BG$3*BG$4&lt;0.002,100,MAX($CM$2/(Flows!BG21*BG$3*BG$4),1))</f>
        <v>176.872883854387</v>
      </c>
      <c r="BH24" s="10" t="n">
        <f aca="false">IF(Flows!BH21*BH$3*BH$4&lt;0.002,100,MAX($CM$2/(Flows!BH21*BH$3*BH$4),1))</f>
        <v>85.3786534554817</v>
      </c>
      <c r="BI24" s="10" t="n">
        <f aca="false">IF(Flows!BI21*BI$3*BI$4&lt;0.002,100,MAX($CM$2/(Flows!BI21*BI$3*BI$4),1))</f>
        <v>44.3479490537657</v>
      </c>
      <c r="BJ24" s="10" t="n">
        <f aca="false">IF(Flows!BJ21*BJ$3*BJ$4&lt;0.002,100,MAX($CM$2/(Flows!BJ21*BJ$3*BJ$4),1))</f>
        <v>3.31202461609823</v>
      </c>
      <c r="BK24" s="10" t="n">
        <f aca="false">IF(Flows!BK21*BK$3*BK$4&lt;0.002,100,MAX($CM$2/(Flows!BK21*BK$3*BK$4),1))</f>
        <v>88.6958981075314</v>
      </c>
      <c r="BL24" s="10" t="n">
        <f aca="false">IF(Flows!BL21*BL$3*BL$4&lt;0.002,100,MAX($CM$2/(Flows!BL21*BL$3*BL$4),1))</f>
        <v>2344.68633921665</v>
      </c>
      <c r="BM24" s="10" t="n">
        <f aca="false">IF(Flows!BM21*BM$3*BM$4&lt;0.002,100,MAX($CM$2/(Flows!BM21*BM$3*BM$4),1))</f>
        <v>10.3368096952944</v>
      </c>
      <c r="BN24" s="10" t="n">
        <f aca="false">IF(Flows!BN21*BN$3*BN$4&lt;0.002,100,MAX($CM$2/(Flows!BN21*BN$3*BN$4),1))</f>
        <v>214996.275729121</v>
      </c>
      <c r="BO24" s="10" t="n">
        <f aca="false">IF(Flows!BO21*BO$3*BO$4&lt;0.002,100,MAX($CM$2/(Flows!BO21*BO$3*BO$4),1))</f>
        <v>35832712.6215202</v>
      </c>
      <c r="BP24" s="10" t="n">
        <f aca="false">IF(Flows!BP21*BP$3*BP$4&lt;0.002,100,MAX($CM$2/(Flows!BP21*BP$3*BP$4),1))</f>
        <v>11714743422.5551</v>
      </c>
      <c r="BQ24" s="10" t="n">
        <f aca="false">IF(Flows!BQ21*BQ$3*BQ$4&lt;0.002,100,MAX($CM$2/(Flows!BQ21*BQ$3*BQ$4),1))</f>
        <v>330763.501121724</v>
      </c>
      <c r="BR24" s="10" t="n">
        <f aca="false">IF(Flows!BR21*BR$3*BR$4&lt;0.002,100,MAX($CM$2/(Flows!BR21*BR$3*BR$4),1))</f>
        <v>358327126.215202</v>
      </c>
      <c r="BS24" s="10" t="n">
        <f aca="false">IF(Flows!BS21*BS$3*BS$4&lt;0.002,100,MAX($CM$2/(Flows!BS21*BS$3*BS$4),1))</f>
        <v>1791636229.5451</v>
      </c>
      <c r="BT24" s="10" t="n">
        <f aca="false">IF(Flows!BT21*BT$3*BT$4&lt;0.002,100,MAX($CM$2/(Flows!BT21*BT$3*BT$4),1))</f>
        <v>1</v>
      </c>
      <c r="BU24" s="10" t="n">
        <f aca="false">IF(Flows!BU21*BU$3*BU$4&lt;0.002,100,MAX($CM$2/(Flows!BU21*BU$3*BU$4),1))</f>
        <v>7.16071357429833</v>
      </c>
      <c r="BV24" s="10" t="n">
        <f aca="false">IF(Flows!BV21*BV$3*BV$4&lt;0.002,100,MAX($CM$2/(Flows!BV21*BV$3*BV$4),1))</f>
        <v>71.6071357429833</v>
      </c>
      <c r="BW24" s="10" t="n">
        <f aca="false">IF(Flows!BW21*BW$3*BW$4&lt;0.002,100,MAX($CM$2/(Flows!BW21*BW$3*BW$4),1))</f>
        <v>11.2303346481541</v>
      </c>
      <c r="BX24" s="10" t="n">
        <f aca="false">IF(Flows!BX21*BX$3*BX$4&lt;0.002,100,MAX($CM$2/(Flows!BX21*BX$3*BX$4),1))</f>
        <v>4.49521789083344</v>
      </c>
      <c r="BY24" s="10" t="n">
        <f aca="false">IF(Flows!BY21*BY$3*BY$4&lt;0.002,100,MAX($CM$2/(Flows!BY21*BY$3*BY$4),1))</f>
        <v>32.1234470376771</v>
      </c>
      <c r="BZ24" s="10" t="n">
        <f aca="false">IF(Flows!BZ21*BZ$3*BZ$4&lt;0.002,100,MAX($CM$2/(Flows!BZ21*BZ$3*BZ$4),1))</f>
        <v>1274725.19830861</v>
      </c>
      <c r="CA24" s="10" t="n">
        <f aca="false">IF(Flows!CA21*CA$3*CA$4&lt;0.002,100,MAX($CM$2/(Flows!CA21*CA$3*CA$4),1))</f>
        <v>633688.395538689</v>
      </c>
      <c r="CB24" s="10" t="n">
        <f aca="false">IF(Flows!CB21*CB$3*CB$4&lt;0.002,100,MAX($CM$2/(Flows!CB21*CB$3*CB$4),1))</f>
        <v>212.731845172353</v>
      </c>
      <c r="CC24" s="10" t="n">
        <f aca="false">IF(Flows!CC21*CC$3*CC$4&lt;0.002,100,MAX($CM$2/(Flows!CC21*CC$3*CC$4),1))</f>
        <v>305.998966087318</v>
      </c>
      <c r="CD24" s="10" t="n">
        <f aca="false">IF(Flows!CD21*CD$3*CD$4&lt;0.002,100,MAX($CM$2/(Flows!CD21*CD$3*CD$4),1))</f>
        <v>38.0572651106826</v>
      </c>
      <c r="CE24" s="10" t="n">
        <f aca="false">IF(Flows!CE21*CE$3*CE$4&lt;0.002,100,MAX($CM$2/(Flows!CE21*CE$3*CE$4),1))</f>
        <v>2.31548992008946</v>
      </c>
      <c r="CF24" s="10" t="n">
        <f aca="false">IF(Flows!CF21*CF$3*CF$4&lt;0.002,100,MAX($CM$2/(Flows!CF21*CF$3*CF$4),1))</f>
        <v>43.57918348012</v>
      </c>
      <c r="CG24" s="10" t="n">
        <f aca="false">IF(Flows!CG21*CG$3*CG$4&lt;0.002,100,MAX($CM$2/(Flows!CG21*CG$3*CG$4),1))</f>
        <v>36679587.0646811</v>
      </c>
      <c r="CH24" s="10" t="n">
        <f aca="false">IF(Flows!CH21*CH$3*CH$4&lt;0.002,100,MAX($CM$2/(Flows!CH21*CH$3*CH$4),1))</f>
        <v>36613697.9673214</v>
      </c>
      <c r="CI24" s="10" t="n">
        <f aca="false">IF(Flows!CI21*CI$3*CI$4&lt;0.002,100,MAX($CM$2/(Flows!CI21*CI$3*CI$4),1))</f>
        <v>72.3845286046103</v>
      </c>
      <c r="CJ24" s="10" t="n">
        <f aca="false">IF(Flows!CJ21*CJ$3*CJ$4&lt;0.002,100,MAX($CM$2/(Flows!CJ21*CJ$3*CJ$4),1))</f>
        <v>667.043634324878</v>
      </c>
      <c r="CK24" s="10" t="n">
        <f aca="false">IF(Flows!CK21*CK$3*CK$4&lt;0.002,100,MAX($CM$2/(Flows!CK21*CK$3*CK$4),1))</f>
        <v>219.359748927306</v>
      </c>
      <c r="CL24" s="7" t="s">
        <v>320</v>
      </c>
    </row>
    <row r="25" customFormat="false" ht="12.8" hidden="false" customHeight="false" outlineLevel="0" collapsed="false">
      <c r="A25" s="7" t="s">
        <v>157</v>
      </c>
      <c r="B25" s="7" t="s">
        <v>39</v>
      </c>
      <c r="C25" s="10" t="n">
        <f aca="false">IF(Flows!C22*C$3*C$4&lt;0.002,100,MAX($CM$2/(Flows!C22*C$3*C$4),1))</f>
        <v>116787.41628974</v>
      </c>
      <c r="D25" s="10" t="n">
        <f aca="false">IF(Flows!D22*D$3*D$4&lt;0.002,100,MAX($CM$2/(Flows!D22*D$3*D$4),1))</f>
        <v>29.0969551923539</v>
      </c>
      <c r="E25" s="10" t="n">
        <f aca="false">IF(Flows!E22*E$3*E$4&lt;0.002,100,MAX($CM$2/(Flows!E22*E$3*E$4),1))</f>
        <v>44.9893669727671</v>
      </c>
      <c r="F25" s="10" t="n">
        <f aca="false">IF(Flows!F22*F$3*F$4&lt;0.002,100,MAX($CM$2/(Flows!F22*F$3*F$4),1))</f>
        <v>87.450127024542</v>
      </c>
      <c r="G25" s="10" t="n">
        <f aca="false">IF(Flows!G22*G$3*G$4&lt;0.002,100,MAX($CM$2/(Flows!G22*G$3*G$4),1))</f>
        <v>69.643535519542</v>
      </c>
      <c r="H25" s="10" t="n">
        <f aca="false">IF(Flows!H22*H$3*H$4&lt;0.002,100,MAX($CM$2/(Flows!H22*H$3*H$4),1))</f>
        <v>106559.238220451</v>
      </c>
      <c r="I25" s="10" t="n">
        <f aca="false">IF(Flows!I22*I$3*I$4&lt;0.002,100,MAX($CM$2/(Flows!I22*I$3*I$4),1))</f>
        <v>2817.24932651775</v>
      </c>
      <c r="J25" s="10" t="n">
        <f aca="false">IF(Flows!J22*J$3*J$4&lt;0.002,100,MAX($CM$2/(Flows!J22*J$3*J$4),1))</f>
        <v>2527.16385648811</v>
      </c>
      <c r="K25" s="10" t="n">
        <f aca="false">IF(Flows!K22*K$3*K$4&lt;0.002,100,MAX($CM$2/(Flows!K22*K$3*K$4),1))</f>
        <v>29662.5751118589</v>
      </c>
      <c r="L25" s="10" t="n">
        <f aca="false">IF(Flows!L22*L$3*L$4&lt;0.002,100,MAX($CM$2/(Flows!L22*L$3*L$4),1))</f>
        <v>189224.776302244</v>
      </c>
      <c r="M25" s="10" t="n">
        <f aca="false">IF(Flows!M22*M$3*M$4&lt;0.002,100,MAX($CM$2/(Flows!M22*M$3*M$4),1))</f>
        <v>142824.791570536</v>
      </c>
      <c r="N25" s="10" t="n">
        <f aca="false">IF(Flows!N22*N$3*N$4&lt;0.002,100,MAX($CM$2/(Flows!N22*N$3*N$4),1))</f>
        <v>69.6751928918724</v>
      </c>
      <c r="O25" s="10" t="n">
        <f aca="false">IF(Flows!O22*O$3*O$4&lt;0.002,100,MAX($CM$2/(Flows!O22*O$3*O$4),1))</f>
        <v>8.68872538060496</v>
      </c>
      <c r="P25" s="10" t="n">
        <f aca="false">IF(Flows!P22*P$3*P$4&lt;0.002,100,MAX($CM$2/(Flows!P22*P$3*P$4),1))</f>
        <v>5.21323522836297</v>
      </c>
      <c r="Q25" s="10" t="n">
        <f aca="false">IF(Flows!Q22*Q$3*Q$4&lt;0.002,100,MAX($CM$2/(Flows!Q22*Q$3*Q$4),1))</f>
        <v>952.500919510401</v>
      </c>
      <c r="R25" s="10" t="n">
        <f aca="false">IF(Flows!R22*R$3*R$4&lt;0.002,100,MAX($CM$2/(Flows!R22*R$3*R$4),1))</f>
        <v>81.2673290735861</v>
      </c>
      <c r="S25" s="10" t="n">
        <f aca="false">IF(Flows!S22*S$3*S$4&lt;0.002,100,MAX($CM$2/(Flows!S22*S$3*S$4),1))</f>
        <v>1621.92665401923</v>
      </c>
      <c r="T25" s="10" t="n">
        <f aca="false">IF(Flows!T22*T$3*T$4&lt;0.002,100,MAX($CM$2/(Flows!T22*T$3*T$4),1))</f>
        <v>2901.97661135793</v>
      </c>
      <c r="U25" s="10" t="n">
        <f aca="false">IF(Flows!U22*U$3*U$4&lt;0.002,100,MAX($CM$2/(Flows!U22*U$3*U$4),1))</f>
        <v>9521.65277136905</v>
      </c>
      <c r="V25" s="10" t="n">
        <f aca="false">IF(Flows!V22*V$3*V$4&lt;0.002,100,MAX($CM$2/(Flows!V22*V$3*V$4),1))</f>
        <v>1431.43451784395</v>
      </c>
      <c r="W25" s="10" t="n">
        <f aca="false">IF(Flows!W22*W$3*W$4&lt;0.002,100,MAX($CM$2/(Flows!W22*W$3*W$4),1))</f>
        <v>37.0057304754444</v>
      </c>
      <c r="X25" s="10" t="n">
        <f aca="false">IF(Flows!X22*X$3*X$4&lt;0.002,100,MAX($CM$2/(Flows!X22*X$3*X$4),1))</f>
        <v>14.0619852441605</v>
      </c>
      <c r="Y25" s="10" t="n">
        <f aca="false">IF(Flows!Y22*Y$3*Y$4&lt;0.002,100,MAX($CM$2/(Flows!Y22*Y$3*Y$4),1))</f>
        <v>946.123881511218</v>
      </c>
      <c r="Z25" s="10" t="n">
        <f aca="false">IF(Flows!Z22*Z$3*Z$4&lt;0.002,100,MAX($CM$2/(Flows!Z22*Z$3*Z$4),1))</f>
        <v>678889.769080068</v>
      </c>
      <c r="AA25" s="10" t="n">
        <f aca="false">IF(Flows!AA22*AA$3*AA$4&lt;0.002,100,MAX($CM$2/(Flows!AA22*AA$3*AA$4),1))</f>
        <v>54620.5845051984</v>
      </c>
      <c r="AB25" s="10" t="n">
        <f aca="false">IF(Flows!AB22*AB$3*AB$4&lt;0.002,100,MAX($CM$2/(Flows!AB22*AB$3*AB$4),1))</f>
        <v>50212.5997490801</v>
      </c>
      <c r="AC25" s="10" t="n">
        <f aca="false">IF(Flows!AC22*AC$3*AC$4&lt;0.002,100,MAX($CM$2/(Flows!AC22*AC$3*AC$4),1))</f>
        <v>176650.71618579</v>
      </c>
      <c r="AD25" s="10" t="n">
        <f aca="false">IF(Flows!AD22*AD$3*AD$4&lt;0.002,100,MAX($CM$2/(Flows!AD22*AD$3*AD$4),1))</f>
        <v>316300.373259943</v>
      </c>
      <c r="AE25" s="10" t="n">
        <f aca="false">IF(Flows!AE22*AE$3*AE$4&lt;0.002,100,MAX($CM$2/(Flows!AE22*AE$3*AE$4),1))</f>
        <v>907894.684540576</v>
      </c>
      <c r="AF25" s="10" t="n">
        <f aca="false">IF(Flows!AF22*AF$3*AF$4&lt;0.002,100,MAX($CM$2/(Flows!AF22*AF$3*AF$4),1))</f>
        <v>2831.05719015994</v>
      </c>
      <c r="AG25" s="10" t="n">
        <f aca="false">IF(Flows!AG22*AG$3*AG$4&lt;0.002,100,MAX($CM$2/(Flows!AG22*AG$3*AG$4),1))</f>
        <v>3324.59621729457</v>
      </c>
      <c r="AH25" s="10" t="n">
        <f aca="false">IF(Flows!AH22*AH$3*AH$4&lt;0.002,100,MAX($CM$2/(Flows!AH22*AH$3*AH$4),1))</f>
        <v>2077.81994199991</v>
      </c>
      <c r="AI25" s="10" t="n">
        <f aca="false">IF(Flows!AI22*AI$3*AI$4&lt;0.002,100,MAX($CM$2/(Flows!AI22*AI$3*AI$4),1))</f>
        <v>12437.2868447996</v>
      </c>
      <c r="AJ25" s="10" t="n">
        <f aca="false">IF(Flows!AJ22*AJ$3*AJ$4&lt;0.002,100,MAX($CM$2/(Flows!AJ22*AJ$3*AJ$4),1))</f>
        <v>5064.6892485705</v>
      </c>
      <c r="AK25" s="10" t="n">
        <f aca="false">IF(Flows!AK22*AK$3*AK$4&lt;0.002,100,MAX($CM$2/(Flows!AK22*AK$3*AK$4),1))</f>
        <v>2147.76506192016</v>
      </c>
      <c r="AL25" s="10" t="n">
        <f aca="false">IF(Flows!AL22*AL$3*AL$4&lt;0.002,100,MAX($CM$2/(Flows!AL22*AL$3*AL$4),1))</f>
        <v>3804.57341992655</v>
      </c>
      <c r="AM25" s="10" t="n">
        <f aca="false">IF(Flows!AM22*AM$3*AM$4&lt;0.002,100,MAX($CM$2/(Flows!AM22*AM$3*AM$4),1))</f>
        <v>6078.98929268599</v>
      </c>
      <c r="AN25" s="10" t="n">
        <f aca="false">IF(Flows!AN22*AN$3*AN$4&lt;0.002,100,MAX($CM$2/(Flows!AN22*AN$3*AN$4),1))</f>
        <v>8588.37943657955</v>
      </c>
      <c r="AO25" s="10" t="n">
        <f aca="false">IF(Flows!AO22*AO$3*AO$4&lt;0.002,100,MAX($CM$2/(Flows!AO22*AO$3*AO$4),1))</f>
        <v>80641.9722392771</v>
      </c>
      <c r="AP25" s="10" t="n">
        <f aca="false">IF(Flows!AP22*AP$3*AP$4&lt;0.002,100,MAX($CM$2/(Flows!AP22*AP$3*AP$4),1))</f>
        <v>185142.348386483</v>
      </c>
      <c r="AQ25" s="10" t="n">
        <f aca="false">IF(Flows!AQ22*AQ$3*AQ$4&lt;0.002,100,MAX($CM$2/(Flows!AQ22*AQ$3*AQ$4),1))</f>
        <v>59332.7099849489</v>
      </c>
      <c r="AR25" s="10" t="n">
        <f aca="false">IF(Flows!AR22*AR$3*AR$4&lt;0.002,100,MAX($CM$2/(Flows!AR22*AR$3*AR$4),1))</f>
        <v>69673.8433772998</v>
      </c>
      <c r="AS25" s="10" t="n">
        <f aca="false">IF(Flows!AS22*AS$3*AS$4&lt;0.002,100,MAX($CM$2/(Flows!AS22*AS$3*AS$4),1))</f>
        <v>8471.75554656875</v>
      </c>
      <c r="AT25" s="10" t="n">
        <f aca="false">IF(Flows!AT22*AT$3*AT$4&lt;0.002,100,MAX($CM$2/(Flows!AT22*AT$3*AT$4),1))</f>
        <v>3044.17498728096</v>
      </c>
      <c r="AU25" s="10" t="n">
        <f aca="false">IF(Flows!AU22*AU$3*AU$4&lt;0.002,100,MAX($CM$2/(Flows!AU22*AU$3*AU$4),1))</f>
        <v>4975.50503669384</v>
      </c>
      <c r="AV25" s="10" t="n">
        <f aca="false">IF(Flows!AV22*AV$3*AV$4&lt;0.002,100,MAX($CM$2/(Flows!AV22*AV$3*AV$4),1))</f>
        <v>36978.2080900462</v>
      </c>
      <c r="AW25" s="10" t="n">
        <f aca="false">IF(Flows!AW22*AW$3*AW$4&lt;0.002,100,MAX($CM$2/(Flows!AW22*AW$3*AW$4),1))</f>
        <v>55.8159264821911</v>
      </c>
      <c r="AX25" s="10" t="n">
        <f aca="false">IF(Flows!AX22*AX$3*AX$4&lt;0.002,100,MAX($CM$2/(Flows!AX22*AX$3*AX$4),1))</f>
        <v>7924.13575992326</v>
      </c>
      <c r="AY25" s="10" t="n">
        <f aca="false">IF(Flows!AY22*AY$3*AY$4&lt;0.002,100,MAX($CM$2/(Flows!AY22*AY$3*AY$4),1))</f>
        <v>2782.41325729738</v>
      </c>
      <c r="AZ25" s="10" t="n">
        <f aca="false">IF(Flows!AZ22*AZ$3*AZ$4&lt;0.002,100,MAX($CM$2/(Flows!AZ22*AZ$3*AZ$4),1))</f>
        <v>760.444774330983</v>
      </c>
      <c r="BA25" s="10" t="n">
        <f aca="false">IF(Flows!BA22*BA$3*BA$4&lt;0.002,100,MAX($CM$2/(Flows!BA22*BA$3*BA$4),1))</f>
        <v>9650.46359141442</v>
      </c>
      <c r="BB25" s="10" t="n">
        <f aca="false">IF(Flows!BB22*BB$3*BB$4&lt;0.002,100,MAX($CM$2/(Flows!BB22*BB$3*BB$4),1))</f>
        <v>14192.7143935831</v>
      </c>
      <c r="BC25" s="10" t="n">
        <f aca="false">IF(Flows!BC22*BC$3*BC$4&lt;0.002,100,MAX($CM$2/(Flows!BC22*BC$3*BC$4),1))</f>
        <v>5952.12579615676</v>
      </c>
      <c r="BD25" s="10" t="n">
        <f aca="false">IF(Flows!BD22*BD$3*BD$4&lt;0.002,100,MAX($CM$2/(Flows!BD22*BD$3*BD$4),1))</f>
        <v>26849.1941240317</v>
      </c>
      <c r="BE25" s="10" t="n">
        <f aca="false">IF(Flows!BE22*BE$3*BE$4&lt;0.002,100,MAX($CM$2/(Flows!BE22*BE$3*BE$4),1))</f>
        <v>65930.5390318067</v>
      </c>
      <c r="BF25" s="10" t="n">
        <f aca="false">IF(Flows!BF22*BF$3*BF$4&lt;0.002,100,MAX($CM$2/(Flows!BF22*BF$3*BF$4),1))</f>
        <v>3632.72233198515</v>
      </c>
      <c r="BG25" s="10" t="n">
        <f aca="false">IF(Flows!BG22*BG$3*BG$4&lt;0.002,100,MAX($CM$2/(Flows!BG22*BG$3*BG$4),1))</f>
        <v>1169.11008192939</v>
      </c>
      <c r="BH25" s="10" t="n">
        <f aca="false">IF(Flows!BH22*BH$3*BH$4&lt;0.002,100,MAX($CM$2/(Flows!BH22*BH$3*BH$4),1))</f>
        <v>2711879.45198992</v>
      </c>
      <c r="BI25" s="10" t="n">
        <f aca="false">IF(Flows!BI22*BI$3*BI$4&lt;0.002,100,MAX($CM$2/(Flows!BI22*BI$3*BI$4),1))</f>
        <v>755.012820872137</v>
      </c>
      <c r="BJ25" s="10" t="n">
        <f aca="false">IF(Flows!BJ22*BJ$3*BJ$4&lt;0.002,100,MAX($CM$2/(Flows!BJ22*BJ$3*BJ$4),1))</f>
        <v>17.6272163389742</v>
      </c>
      <c r="BK25" s="10" t="n">
        <f aca="false">IF(Flows!BK22*BK$3*BK$4&lt;0.002,100,MAX($CM$2/(Flows!BK22*BK$3*BK$4),1))</f>
        <v>1510.02564174427</v>
      </c>
      <c r="BL25" s="10" t="n">
        <f aca="false">IF(Flows!BL22*BL$3*BL$4&lt;0.002,100,MAX($CM$2/(Flows!BL22*BL$3*BL$4),1))</f>
        <v>299.93998288211</v>
      </c>
      <c r="BM25" s="10" t="n">
        <f aca="false">IF(Flows!BM22*BM$3*BM$4&lt;0.002,100,MAX($CM$2/(Flows!BM22*BM$3*BM$4),1))</f>
        <v>148.560011863633</v>
      </c>
      <c r="BN25" s="10" t="n">
        <f aca="false">IF(Flows!BN22*BN$3*BN$4&lt;0.002,100,MAX($CM$2/(Flows!BN22*BN$3*BN$4),1))</f>
        <v>1</v>
      </c>
      <c r="BO25" s="10" t="n">
        <f aca="false">IF(Flows!BO22*BO$3*BO$4&lt;0.002,100,MAX($CM$2/(Flows!BO22*BO$3*BO$4),1))</f>
        <v>129.259057353387</v>
      </c>
      <c r="BP25" s="10" t="n">
        <f aca="false">IF(Flows!BP22*BP$3*BP$4&lt;0.002,100,MAX($CM$2/(Flows!BP22*BP$3*BP$4),1))</f>
        <v>183.048329963371</v>
      </c>
      <c r="BQ25" s="10" t="n">
        <f aca="false">IF(Flows!BQ22*BQ$3*BQ$4&lt;0.002,100,MAX($CM$2/(Flows!BQ22*BQ$3*BQ$4),1))</f>
        <v>1.19316052941588</v>
      </c>
      <c r="BR25" s="10" t="n">
        <f aca="false">IF(Flows!BR22*BR$3*BR$4&lt;0.002,100,MAX($CM$2/(Flows!BR22*BR$3*BR$4),1))</f>
        <v>3877.7717206016</v>
      </c>
      <c r="BS25" s="10" t="n">
        <f aca="false">IF(Flows!BS22*BS$3*BS$4&lt;0.002,100,MAX($CM$2/(Flows!BS22*BS$3*BS$4),1))</f>
        <v>38777.7271771966</v>
      </c>
      <c r="BT25" s="10" t="n">
        <f aca="false">IF(Flows!BT22*BT$3*BT$4&lt;0.002,100,MAX($CM$2/(Flows!BT22*BT$3*BT$4),1))</f>
        <v>21.0694471358657</v>
      </c>
      <c r="BU25" s="10" t="n">
        <f aca="false">IF(Flows!BU22*BU$3*BU$4&lt;0.002,100,MAX($CM$2/(Flows!BU22*BU$3*BU$4),1))</f>
        <v>210.694471358657</v>
      </c>
      <c r="BV25" s="10" t="n">
        <f aca="false">IF(Flows!BV22*BV$3*BV$4&lt;0.002,100,MAX($CM$2/(Flows!BV22*BV$3*BV$4),1))</f>
        <v>2106.94471358657</v>
      </c>
      <c r="BW25" s="10" t="n">
        <f aca="false">IF(Flows!BW22*BW$3*BW$4&lt;0.002,100,MAX($CM$2/(Flows!BW22*BW$3*BW$4),1))</f>
        <v>92.3229061775565</v>
      </c>
      <c r="BX25" s="10" t="n">
        <f aca="false">IF(Flows!BX22*BX$3*BX$4&lt;0.002,100,MAX($CM$2/(Flows!BX22*BX$3*BX$4),1))</f>
        <v>210.650472384379</v>
      </c>
      <c r="BY25" s="10" t="n">
        <f aca="false">IF(Flows!BY22*BY$3*BY$4&lt;0.002,100,MAX($CM$2/(Flows!BY22*BY$3*BY$4),1))</f>
        <v>947.328641359627</v>
      </c>
      <c r="BZ25" s="10" t="n">
        <f aca="false">IF(Flows!BZ22*BZ$3*BZ$4&lt;0.002,100,MAX($CM$2/(Flows!BZ22*BZ$3*BZ$4),1))</f>
        <v>81444.1151491349</v>
      </c>
      <c r="CA25" s="10" t="n">
        <f aca="false">IF(Flows!CA22*CA$3*CA$4&lt;0.002,100,MAX($CM$2/(Flows!CA22*CA$3*CA$4),1))</f>
        <v>248009.514315275</v>
      </c>
      <c r="CB25" s="10" t="n">
        <f aca="false">IF(Flows!CB22*CB$3*CB$4&lt;0.002,100,MAX($CM$2/(Flows!CB22*CB$3*CB$4),1))</f>
        <v>175.475426743055</v>
      </c>
      <c r="CC25" s="10" t="n">
        <f aca="false">IF(Flows!CC22*CC$3*CC$4&lt;0.002,100,MAX($CM$2/(Flows!CC22*CC$3*CC$4),1))</f>
        <v>24.2446695930971</v>
      </c>
      <c r="CD25" s="10" t="n">
        <f aca="false">IF(Flows!CD22*CD$3*CD$4&lt;0.002,100,MAX($CM$2/(Flows!CD22*CD$3*CD$4),1))</f>
        <v>251.269483896839</v>
      </c>
      <c r="CE25" s="10" t="n">
        <f aca="false">IF(Flows!CE22*CE$3*CE$4&lt;0.002,100,MAX($CM$2/(Flows!CE22*CE$3*CE$4),1))</f>
        <v>104.212234594553</v>
      </c>
      <c r="CF25" s="10" t="n">
        <f aca="false">IF(Flows!CF22*CF$3*CF$4&lt;0.002,100,MAX($CM$2/(Flows!CF22*CF$3*CF$4),1))</f>
        <v>1</v>
      </c>
      <c r="CG25" s="10" t="n">
        <f aca="false">IF(Flows!CG22*CG$3*CG$4&lt;0.002,100,MAX($CM$2/(Flows!CG22*CG$3*CG$4),1))</f>
        <v>39.2630944345152</v>
      </c>
      <c r="CH25" s="10" t="n">
        <f aca="false">IF(Flows!CH22*CH$3*CH$4&lt;0.002,100,MAX($CM$2/(Flows!CH22*CH$3*CH$4),1))</f>
        <v>15.7375784102872</v>
      </c>
      <c r="CI25" s="10" t="n">
        <f aca="false">IF(Flows!CI22*CI$3*CI$4&lt;0.002,100,MAX($CM$2/(Flows!CI22*CI$3*CI$4),1))</f>
        <v>468.061295810029</v>
      </c>
      <c r="CJ25" s="10" t="n">
        <f aca="false">IF(Flows!CJ22*CJ$3*CJ$4&lt;0.002,100,MAX($CM$2/(Flows!CJ22*CJ$3*CJ$4),1))</f>
        <v>27189.4722673475</v>
      </c>
      <c r="CK25" s="10" t="n">
        <f aca="false">IF(Flows!CK22*CK$3*CK$4&lt;0.002,100,MAX($CM$2/(Flows!CK22*CK$3*CK$4),1))</f>
        <v>1752.14883464922</v>
      </c>
      <c r="CL25" s="7" t="s">
        <v>320</v>
      </c>
    </row>
    <row r="26" customFormat="false" ht="12.8" hidden="false" customHeight="false" outlineLevel="0" collapsed="false">
      <c r="A26" s="7" t="s">
        <v>158</v>
      </c>
      <c r="B26" s="7" t="s">
        <v>39</v>
      </c>
      <c r="C26" s="10" t="n">
        <f aca="false">IF(Flows!C23*C$3*C$4&lt;0.002,100,MAX($CM$2/(Flows!C23*C$3*C$4),1))</f>
        <v>15256.0399872679</v>
      </c>
      <c r="D26" s="10" t="n">
        <f aca="false">IF(Flows!D23*D$3*D$4&lt;0.002,100,MAX($CM$2/(Flows!D23*D$3*D$4),1))</f>
        <v>2.78357314170114</v>
      </c>
      <c r="E26" s="10" t="n">
        <f aca="false">IF(Flows!E23*E$3*E$4&lt;0.002,100,MAX($CM$2/(Flows!E23*E$3*E$4),1))</f>
        <v>4.4988008969821</v>
      </c>
      <c r="F26" s="10" t="n">
        <f aca="false">IF(Flows!F23*F$3*F$4&lt;0.002,100,MAX($CM$2/(Flows!F23*F$3*F$4),1))</f>
        <v>11.711074839403</v>
      </c>
      <c r="G26" s="10" t="n">
        <f aca="false">IF(Flows!G23*G$3*G$4&lt;0.002,100,MAX($CM$2/(Flows!G23*G$3*G$4),1))</f>
        <v>8.26683843207814</v>
      </c>
      <c r="H26" s="10" t="n">
        <f aca="false">IF(Flows!H23*H$3*H$4&lt;0.002,100,MAX($CM$2/(Flows!H23*H$3*H$4),1))</f>
        <v>1249.30846774126</v>
      </c>
      <c r="I26" s="10" t="n">
        <f aca="false">IF(Flows!I23*I$3*I$4&lt;0.002,100,MAX($CM$2/(Flows!I23*I$3*I$4),1))</f>
        <v>3224.84033635516</v>
      </c>
      <c r="J26" s="10" t="n">
        <f aca="false">IF(Flows!J23*J$3*J$4&lt;0.002,100,MAX($CM$2/(Flows!J23*J$3*J$4),1))</f>
        <v>2753.94783604119</v>
      </c>
      <c r="K26" s="10" t="n">
        <f aca="false">IF(Flows!K23*K$3*K$4&lt;0.002,100,MAX($CM$2/(Flows!K23*K$3*K$4),1))</f>
        <v>14149.6383410539</v>
      </c>
      <c r="L26" s="10" t="n">
        <f aca="false">IF(Flows!L23*L$3*L$4&lt;0.002,100,MAX($CM$2/(Flows!L23*L$3*L$4),1))</f>
        <v>89947.5816465517</v>
      </c>
      <c r="M26" s="10" t="n">
        <f aca="false">IF(Flows!M23*M$3*M$4&lt;0.002,100,MAX($CM$2/(Flows!M23*M$3*M$4),1))</f>
        <v>67834.2060413732</v>
      </c>
      <c r="N26" s="10" t="n">
        <f aca="false">IF(Flows!N23*N$3*N$4&lt;0.002,100,MAX($CM$2/(Flows!N23*N$3*N$4),1))</f>
        <v>3.58532553632681</v>
      </c>
      <c r="O26" s="10" t="n">
        <f aca="false">IF(Flows!O23*O$3*O$4&lt;0.002,100,MAX($CM$2/(Flows!O23*O$3*O$4),1))</f>
        <v>2.8476574325057</v>
      </c>
      <c r="P26" s="10" t="n">
        <f aca="false">IF(Flows!P23*P$3*P$4&lt;0.002,100,MAX($CM$2/(Flows!P23*P$3*P$4),1))</f>
        <v>1.70859445950342</v>
      </c>
      <c r="Q26" s="10" t="n">
        <f aca="false">IF(Flows!Q23*Q$3*Q$4&lt;0.002,100,MAX($CM$2/(Flows!Q23*Q$3*Q$4),1))</f>
        <v>419.949980424262</v>
      </c>
      <c r="R26" s="10" t="n">
        <f aca="false">IF(Flows!R23*R$3*R$4&lt;0.002,100,MAX($CM$2/(Flows!R23*R$3*R$4),1))</f>
        <v>38.7661324412435</v>
      </c>
      <c r="S26" s="10" t="n">
        <f aca="false">IF(Flows!S23*S$3*S$4&lt;0.002,100,MAX($CM$2/(Flows!S23*S$3*S$4),1))</f>
        <v>770.979271256156</v>
      </c>
      <c r="T26" s="10" t="n">
        <f aca="false">IF(Flows!T23*T$3*T$4&lt;0.002,100,MAX($CM$2/(Flows!T23*T$3*T$4),1))</f>
        <v>1379.448205924</v>
      </c>
      <c r="U26" s="10" t="n">
        <f aca="false">IF(Flows!U23*U$3*U$4&lt;0.002,100,MAX($CM$2/(Flows!U23*U$3*U$4),1))</f>
        <v>4522.28040275821</v>
      </c>
      <c r="V26" s="10" t="n">
        <f aca="false">IF(Flows!V23*V$3*V$4&lt;0.002,100,MAX($CM$2/(Flows!V23*V$3*V$4),1))</f>
        <v>194.05332127454</v>
      </c>
      <c r="W26" s="10" t="n">
        <f aca="false">IF(Flows!W23*W$3*W$4&lt;0.002,100,MAX($CM$2/(Flows!W23*W$3*W$4),1))</f>
        <v>5.27809780804287</v>
      </c>
      <c r="X26" s="10" t="n">
        <f aca="false">IF(Flows!X23*X$3*X$4&lt;0.002,100,MAX($CM$2/(Flows!X23*X$3*X$4),1))</f>
        <v>6.26539622294171</v>
      </c>
      <c r="Y26" s="10" t="n">
        <f aca="false">IF(Flows!Y23*Y$3*Y$4&lt;0.002,100,MAX($CM$2/(Flows!Y23*Y$3*Y$4),1))</f>
        <v>449.737908232759</v>
      </c>
      <c r="Z26" s="10" t="n">
        <f aca="false">IF(Flows!Z23*Z$3*Z$4&lt;0.002,100,MAX($CM$2/(Flows!Z23*Z$3*Z$4),1))</f>
        <v>9887.15632977772</v>
      </c>
      <c r="AA26" s="10" t="n">
        <f aca="false">IF(Flows!AA23*AA$3*AA$4&lt;0.002,100,MAX($CM$2/(Flows!AA23*AA$3*AA$4),1))</f>
        <v>6260.31728860307</v>
      </c>
      <c r="AB26" s="10" t="n">
        <f aca="false">IF(Flows!AB23*AB$3*AB$4&lt;0.002,100,MAX($CM$2/(Flows!AB23*AB$3*AB$4),1))</f>
        <v>6654.22918570695</v>
      </c>
      <c r="AC26" s="10" t="n">
        <f aca="false">IF(Flows!AC23*AC$3*AC$4&lt;0.002,100,MAX($CM$2/(Flows!AC23*AC$3*AC$4),1))</f>
        <v>28252.6353923767</v>
      </c>
      <c r="AD26" s="10" t="n">
        <f aca="false">IF(Flows!AD23*AD$3*AD$4&lt;0.002,100,MAX($CM$2/(Flows!AD23*AD$3*AD$4),1))</f>
        <v>41916.4748631617</v>
      </c>
      <c r="AE26" s="10" t="n">
        <f aca="false">IF(Flows!AE23*AE$3*AE$4&lt;0.002,100,MAX($CM$2/(Flows!AE23*AE$3*AE$4),1))</f>
        <v>120682.389947924</v>
      </c>
      <c r="AF26" s="10" t="n">
        <f aca="false">IF(Flows!AF23*AF$3*AF$4&lt;0.002,100,MAX($CM$2/(Flows!AF23*AF$3*AF$4),1))</f>
        <v>509.468189391534</v>
      </c>
      <c r="AG26" s="10" t="n">
        <f aca="false">IF(Flows!AG23*AG$3*AG$4&lt;0.002,100,MAX($CM$2/(Flows!AG23*AG$3*AG$4),1))</f>
        <v>437.21336880357</v>
      </c>
      <c r="AH26" s="10" t="n">
        <f aca="false">IF(Flows!AH23*AH$3*AH$4&lt;0.002,100,MAX($CM$2/(Flows!AH23*AH$3*AH$4),1))</f>
        <v>329.163258385645</v>
      </c>
      <c r="AI26" s="10" t="n">
        <f aca="false">IF(Flows!AI23*AI$3*AI$4&lt;0.002,100,MAX($CM$2/(Flows!AI23*AI$3*AI$4),1))</f>
        <v>1728.13253093505</v>
      </c>
      <c r="AJ26" s="10" t="n">
        <f aca="false">IF(Flows!AJ23*AJ$3*AJ$4&lt;0.002,100,MAX($CM$2/(Flows!AJ23*AJ$3*AJ$4),1))</f>
        <v>691.873951984742</v>
      </c>
      <c r="AK26" s="10" t="n">
        <f aca="false">IF(Flows!AK23*AK$3*AK$4&lt;0.002,100,MAX($CM$2/(Flows!AK23*AK$3*AK$4),1))</f>
        <v>319.788209143037</v>
      </c>
      <c r="AL26" s="10" t="n">
        <f aca="false">IF(Flows!AL23*AL$3*AL$4&lt;0.002,100,MAX($CM$2/(Flows!AL23*AL$3*AL$4),1))</f>
        <v>566.595985809671</v>
      </c>
      <c r="AM26" s="10" t="n">
        <f aca="false">IF(Flows!AM23*AM$3*AM$4&lt;0.002,100,MAX($CM$2/(Flows!AM23*AM$3*AM$4),1))</f>
        <v>998.34857422137</v>
      </c>
      <c r="AN26" s="10" t="n">
        <f aca="false">IF(Flows!AN23*AN$3*AN$4&lt;0.002,100,MAX($CM$2/(Flows!AN23*AN$3*AN$4),1))</f>
        <v>1196.54735436279</v>
      </c>
      <c r="AO26" s="10" t="n">
        <f aca="false">IF(Flows!AO23*AO$3*AO$4&lt;0.002,100,MAX($CM$2/(Flows!AO23*AO$3*AO$4),1))</f>
        <v>11608.7812721005</v>
      </c>
      <c r="AP26" s="10" t="n">
        <f aca="false">IF(Flows!AP23*AP$3*AP$4&lt;0.002,100,MAX($CM$2/(Flows!AP23*AP$3*AP$4),1))</f>
        <v>26550.7488547712</v>
      </c>
      <c r="AQ26" s="10" t="n">
        <f aca="false">IF(Flows!AQ23*AQ$3*AQ$4&lt;0.002,100,MAX($CM$2/(Flows!AQ23*AQ$3*AQ$4),1))</f>
        <v>7775.63097202061</v>
      </c>
      <c r="AR26" s="10" t="n">
        <f aca="false">IF(Flows!AR23*AR$3*AR$4&lt;0.002,100,MAX($CM$2/(Flows!AR23*AR$3*AR$4),1))</f>
        <v>10761.2670974243</v>
      </c>
      <c r="AS26" s="10" t="n">
        <f aca="false">IF(Flows!AS23*AS$3*AS$4&lt;0.002,100,MAX($CM$2/(Flows!AS23*AS$3*AS$4),1))</f>
        <v>1812.38785694989</v>
      </c>
      <c r="AT26" s="10" t="n">
        <f aca="false">IF(Flows!AT23*AT$3*AT$4&lt;0.002,100,MAX($CM$2/(Flows!AT23*AT$3*AT$4),1))</f>
        <v>522.56429698841</v>
      </c>
      <c r="AU26" s="10" t="n">
        <f aca="false">IF(Flows!AU23*AU$3*AU$4&lt;0.002,100,MAX($CM$2/(Flows!AU23*AU$3*AU$4),1))</f>
        <v>611.212096916484</v>
      </c>
      <c r="AV26" s="10" t="n">
        <f aca="false">IF(Flows!AV23*AV$3*AV$4&lt;0.002,100,MAX($CM$2/(Flows!AV23*AV$3*AV$4),1))</f>
        <v>6988.08455251885</v>
      </c>
      <c r="AW26" s="10" t="n">
        <f aca="false">IF(Flows!AW23*AW$3*AW$4&lt;0.002,100,MAX($CM$2/(Flows!AW23*AW$3*AW$4),1))</f>
        <v>8.99123031231046</v>
      </c>
      <c r="AX26" s="10" t="n">
        <f aca="false">IF(Flows!AX23*AX$3*AX$4&lt;0.002,100,MAX($CM$2/(Flows!AX23*AX$3*AX$4),1))</f>
        <v>1704.80399512233</v>
      </c>
      <c r="AY26" s="10" t="n">
        <f aca="false">IF(Flows!AY23*AY$3*AY$4&lt;0.002,100,MAX($CM$2/(Flows!AY23*AY$3*AY$4),1))</f>
        <v>326.929725702979</v>
      </c>
      <c r="AZ26" s="10" t="n">
        <f aca="false">IF(Flows!AZ23*AZ$3*AZ$4&lt;0.002,100,MAX($CM$2/(Flows!AZ23*AZ$3*AZ$4),1))</f>
        <v>97.303537513448</v>
      </c>
      <c r="BA26" s="10" t="n">
        <f aca="false">IF(Flows!BA23*BA$3*BA$4&lt;0.002,100,MAX($CM$2/(Flows!BA23*BA$3*BA$4),1))</f>
        <v>4587.32666397414</v>
      </c>
      <c r="BB26" s="10" t="n">
        <f aca="false">IF(Flows!BB23*BB$3*BB$4&lt;0.002,100,MAX($CM$2/(Flows!BB23*BB$3*BB$4),1))</f>
        <v>2813.87540630146</v>
      </c>
      <c r="BC26" s="10" t="n">
        <f aca="false">IF(Flows!BC23*BC$3*BC$4&lt;0.002,100,MAX($CM$2/(Flows!BC23*BC$3*BC$4),1))</f>
        <v>1096.43792891756</v>
      </c>
      <c r="BD26" s="10" t="n">
        <f aca="false">IF(Flows!BD23*BD$3*BD$4&lt;0.002,100,MAX($CM$2/(Flows!BD23*BD$3*BD$4),1))</f>
        <v>4864.67589366383</v>
      </c>
      <c r="BE26" s="10" t="n">
        <f aca="false">IF(Flows!BE23*BE$3*BE$4&lt;0.002,100,MAX($CM$2/(Flows!BE23*BE$3*BE$4),1))</f>
        <v>9195.26855674568</v>
      </c>
      <c r="BF26" s="10" t="n">
        <f aca="false">IF(Flows!BF23*BF$3*BF$4&lt;0.002,100,MAX($CM$2/(Flows!BF23*BF$3*BF$4),1))</f>
        <v>1018.06455810682</v>
      </c>
      <c r="BG26" s="10" t="n">
        <f aca="false">IF(Flows!BG23*BG$3*BG$4&lt;0.002,100,MAX($CM$2/(Flows!BG23*BG$3*BG$4),1))</f>
        <v>229.076478339367</v>
      </c>
      <c r="BH26" s="10" t="n">
        <f aca="false">IF(Flows!BH23*BH$3*BH$4&lt;0.002,100,MAX($CM$2/(Flows!BH23*BH$3*BH$4),1))</f>
        <v>109.574286796419</v>
      </c>
      <c r="BI26" s="10" t="n">
        <f aca="false">IF(Flows!BI23*BI$3*BI$4&lt;0.002,100,MAX($CM$2/(Flows!BI23*BI$3*BI$4),1))</f>
        <v>89.2081232881371</v>
      </c>
      <c r="BJ26" s="10" t="n">
        <f aca="false">IF(Flows!BJ23*BJ$3*BJ$4&lt;0.002,100,MAX($CM$2/(Flows!BJ23*BJ$3*BJ$4),1))</f>
        <v>1.96091795439771</v>
      </c>
      <c r="BK26" s="10" t="n">
        <f aca="false">IF(Flows!BK23*BK$3*BK$4&lt;0.002,100,MAX($CM$2/(Flows!BK23*BK$3*BK$4),1))</f>
        <v>178.416246576274</v>
      </c>
      <c r="BL26" s="10" t="n">
        <f aca="false">IF(Flows!BL23*BL$3*BL$4&lt;0.002,100,MAX($CM$2/(Flows!BL23*BL$3*BL$4),1))</f>
        <v>144.685124372749</v>
      </c>
      <c r="BM26" s="10" t="n">
        <f aca="false">IF(Flows!BM23*BM$3*BM$4&lt;0.002,100,MAX($CM$2/(Flows!BM23*BM$3*BM$4),1))</f>
        <v>26.0627645564457</v>
      </c>
      <c r="BN26" s="10" t="n">
        <f aca="false">IF(Flows!BN23*BN$3*BN$4&lt;0.002,100,MAX($CM$2/(Flows!BN23*BN$3*BN$4),1))</f>
        <v>544007.553959007</v>
      </c>
      <c r="BO26" s="10" t="n">
        <f aca="false">IF(Flows!BO23*BO$3*BO$4&lt;0.002,100,MAX($CM$2/(Flows!BO23*BO$3*BO$4),1))</f>
        <v>90667925.6598344</v>
      </c>
      <c r="BP26" s="10" t="n">
        <f aca="false">IF(Flows!BP23*BP$3*BP$4&lt;0.002,100,MAX($CM$2/(Flows!BP23*BP$3*BP$4),1))</f>
        <v>20767172974.4759</v>
      </c>
      <c r="BQ26" s="10" t="n">
        <f aca="false">IF(Flows!BQ23*BQ$3*BQ$4&lt;0.002,100,MAX($CM$2/(Flows!BQ23*BQ$3*BQ$4),1))</f>
        <v>836934.698398472</v>
      </c>
      <c r="BR26" s="10" t="n">
        <f aca="false">IF(Flows!BR23*BR$3*BR$4&lt;0.002,100,MAX($CM$2/(Flows!BR23*BR$3*BR$4),1))</f>
        <v>906679256.598345</v>
      </c>
      <c r="BS26" s="10" t="n">
        <f aca="false">IF(Flows!BS23*BS$3*BS$4&lt;0.002,100,MAX($CM$2/(Flows!BS23*BS$3*BS$4),1))</f>
        <v>4533398259.88178</v>
      </c>
      <c r="BT26" s="10" t="n">
        <f aca="false">IF(Flows!BT23*BT$3*BT$4&lt;0.002,100,MAX($CM$2/(Flows!BT23*BT$3*BT$4),1))</f>
        <v>2.23855490753505</v>
      </c>
      <c r="BU26" s="10" t="n">
        <f aca="false">IF(Flows!BU23*BU$3*BU$4&lt;0.002,100,MAX($CM$2/(Flows!BU23*BU$3*BU$4),1))</f>
        <v>22.3855490753506</v>
      </c>
      <c r="BV26" s="10" t="n">
        <f aca="false">IF(Flows!BV23*BV$3*BV$4&lt;0.002,100,MAX($CM$2/(Flows!BV23*BV$3*BV$4),1))</f>
        <v>223.855490753506</v>
      </c>
      <c r="BW26" s="10" t="n">
        <f aca="false">IF(Flows!BW23*BW$3*BW$4&lt;0.002,100,MAX($CM$2/(Flows!BW23*BW$3*BW$4),1))</f>
        <v>18.0474274374505</v>
      </c>
      <c r="BX26" s="10" t="n">
        <f aca="false">IF(Flows!BX23*BX$3*BX$4&lt;0.002,100,MAX($CM$2/(Flows!BX23*BX$3*BX$4),1))</f>
        <v>29.1185026492655</v>
      </c>
      <c r="BY26" s="10" t="n">
        <f aca="false">IF(Flows!BY23*BY$3*BY$4&lt;0.002,100,MAX($CM$2/(Flows!BY23*BY$3*BY$4),1))</f>
        <v>40.3334266723374</v>
      </c>
      <c r="BZ26" s="10" t="n">
        <f aca="false">IF(Flows!BZ23*BZ$3*BZ$4&lt;0.002,100,MAX($CM$2/(Flows!BZ23*BZ$3*BZ$4),1))</f>
        <v>26194.6457911762</v>
      </c>
      <c r="CA26" s="10" t="n">
        <f aca="false">IF(Flows!CA23*CA$3*CA$4&lt;0.002,100,MAX($CM$2/(Flows!CA23*CA$3*CA$4),1))</f>
        <v>40898.2363790022</v>
      </c>
      <c r="CB26" s="10" t="n">
        <f aca="false">IF(Flows!CB23*CB$3*CB$4&lt;0.002,100,MAX($CM$2/(Flows!CB23*CB$3*CB$4),1))</f>
        <v>115.321823558413</v>
      </c>
      <c r="CC26" s="10" t="n">
        <f aca="false">IF(Flows!CC23*CC$3*CC$4&lt;0.002,100,MAX($CM$2/(Flows!CC23*CC$3*CC$4),1))</f>
        <v>7.57733996336903</v>
      </c>
      <c r="CD26" s="10" t="n">
        <f aca="false">IF(Flows!CD23*CD$3*CD$4&lt;0.002,100,MAX($CM$2/(Flows!CD23*CD$3*CD$4),1))</f>
        <v>62.3682675999708</v>
      </c>
      <c r="CE26" s="10" t="n">
        <f aca="false">IF(Flows!CE23*CE$3*CE$4&lt;0.002,100,MAX($CM$2/(Flows!CE23*CE$3*CE$4),1))</f>
        <v>108.642830002465</v>
      </c>
      <c r="CF26" s="10" t="n">
        <f aca="false">IF(Flows!CF23*CF$3*CF$4&lt;0.002,100,MAX($CM$2/(Flows!CF23*CF$3*CF$4),1))</f>
        <v>1</v>
      </c>
      <c r="CG26" s="10" t="n">
        <f aca="false">IF(Flows!CG23*CG$3*CG$4&lt;0.002,100,MAX($CM$2/(Flows!CG23*CG$3*CG$4),1))</f>
        <v>1546136.88790695</v>
      </c>
      <c r="CH26" s="10" t="n">
        <f aca="false">IF(Flows!CH23*CH$3*CH$4&lt;0.002,100,MAX($CM$2/(Flows!CH23*CH$3*CH$4),1))</f>
        <v>2505365.92193109</v>
      </c>
      <c r="CI26" s="10" t="n">
        <f aca="false">IF(Flows!CI23*CI$3*CI$4&lt;0.002,100,MAX($CM$2/(Flows!CI23*CI$3*CI$4),1))</f>
        <v>119.848946623117</v>
      </c>
      <c r="CJ26" s="10" t="n">
        <f aca="false">IF(Flows!CJ23*CJ$3*CJ$4&lt;0.002,100,MAX($CM$2/(Flows!CJ23*CJ$3*CJ$4),1))</f>
        <v>665.85533631424</v>
      </c>
      <c r="CK26" s="10" t="n">
        <f aca="false">IF(Flows!CK23*CK$3*CK$4&lt;0.002,100,MAX($CM$2/(Flows!CK23*CK$3*CK$4),1))</f>
        <v>9119.91787012912</v>
      </c>
      <c r="CL26" s="7" t="s">
        <v>320</v>
      </c>
    </row>
    <row r="27" customFormat="false" ht="12.8" hidden="false" customHeight="false" outlineLevel="0" collapsed="false">
      <c r="A27" s="7" t="s">
        <v>159</v>
      </c>
      <c r="B27" s="7" t="s">
        <v>39</v>
      </c>
      <c r="C27" s="10" t="n">
        <f aca="false">IF(Flows!C24*C$3*C$4&lt;0.002,100,MAX($CM$2/(Flows!C24*C$3*C$4),1))</f>
        <v>104921.244844316</v>
      </c>
      <c r="D27" s="10" t="n">
        <f aca="false">IF(Flows!D24*D$3*D$4&lt;0.002,100,MAX($CM$2/(Flows!D24*D$3*D$4),1))</f>
        <v>24.1977127353309</v>
      </c>
      <c r="E27" s="10" t="n">
        <f aca="false">IF(Flows!E24*E$3*E$4&lt;0.002,100,MAX($CM$2/(Flows!E24*E$3*E$4),1))</f>
        <v>82.2438513603504</v>
      </c>
      <c r="F27" s="10" t="n">
        <f aca="false">IF(Flows!F24*F$3*F$4&lt;0.002,100,MAX($CM$2/(Flows!F24*F$3*F$4),1))</f>
        <v>252.653111378996</v>
      </c>
      <c r="G27" s="10" t="n">
        <f aca="false">IF(Flows!G24*G$3*G$4&lt;0.002,100,MAX($CM$2/(Flows!G24*G$3*G$4),1))</f>
        <v>103.653728831186</v>
      </c>
      <c r="H27" s="10" t="n">
        <f aca="false">IF(Flows!H24*H$3*H$4&lt;0.002,100,MAX($CM$2/(Flows!H24*H$3*H$4),1))</f>
        <v>40966.4708258903</v>
      </c>
      <c r="I27" s="10" t="n">
        <f aca="false">IF(Flows!I24*I$3*I$4&lt;0.002,100,MAX($CM$2/(Flows!I24*I$3*I$4),1))</f>
        <v>3281.75304692876</v>
      </c>
      <c r="J27" s="10" t="n">
        <f aca="false">IF(Flows!J24*J$3*J$4&lt;0.002,100,MAX($CM$2/(Flows!J24*J$3*J$4),1))</f>
        <v>3435.90584643016</v>
      </c>
      <c r="K27" s="10" t="n">
        <f aca="false">IF(Flows!K24*K$3*K$4&lt;0.002,100,MAX($CM$2/(Flows!K24*K$3*K$4),1))</f>
        <v>41251.947174377</v>
      </c>
      <c r="L27" s="10" t="n">
        <f aca="false">IF(Flows!L24*L$3*L$4&lt;0.002,100,MAX($CM$2/(Flows!L24*L$3*L$4),1))</f>
        <v>375383.920454257</v>
      </c>
      <c r="M27" s="10" t="n">
        <f aca="false">IF(Flows!M24*M$3*M$4&lt;0.002,100,MAX($CM$2/(Flows!M24*M$3*M$4),1))</f>
        <v>315754.800595076</v>
      </c>
      <c r="N27" s="10" t="n">
        <f aca="false">IF(Flows!N24*N$3*N$4&lt;0.002,100,MAX($CM$2/(Flows!N24*N$3*N$4),1))</f>
        <v>59.5955803505004</v>
      </c>
      <c r="O27" s="10" t="n">
        <f aca="false">IF(Flows!O24*O$3*O$4&lt;0.002,100,MAX($CM$2/(Flows!O24*O$3*O$4),1))</f>
        <v>13.2869744178773</v>
      </c>
      <c r="P27" s="10" t="n">
        <f aca="false">IF(Flows!P24*P$3*P$4&lt;0.002,100,MAX($CM$2/(Flows!P24*P$3*P$4),1))</f>
        <v>7.97218465072634</v>
      </c>
      <c r="Q27" s="10" t="n">
        <f aca="false">IF(Flows!Q24*Q$3*Q$4&lt;0.002,100,MAX($CM$2/(Flows!Q24*Q$3*Q$4),1))</f>
        <v>2827.73517513302</v>
      </c>
      <c r="R27" s="10" t="n">
        <f aca="false">IF(Flows!R24*R$3*R$4&lt;0.002,100,MAX($CM$2/(Flows!R24*R$3*R$4),1))</f>
        <v>113.019033354458</v>
      </c>
      <c r="S27" s="10" t="n">
        <f aca="false">IF(Flows!S24*S$3*S$4&lt;0.002,100,MAX($CM$2/(Flows!S24*S$3*S$4),1))</f>
        <v>3217.57646103648</v>
      </c>
      <c r="T27" s="10" t="n">
        <f aca="false">IF(Flows!T24*T$3*T$4&lt;0.002,100,MAX($CM$2/(Flows!T24*T$3*T$4),1))</f>
        <v>5756.93827587408</v>
      </c>
      <c r="U27" s="10" t="n">
        <f aca="false">IF(Flows!U24*U$3*U$4&lt;0.002,100,MAX($CM$2/(Flows!U24*U$3*U$4),1))</f>
        <v>21050.3200396718</v>
      </c>
      <c r="V27" s="10" t="n">
        <f aca="false">IF(Flows!V24*V$3*V$4&lt;0.002,100,MAX($CM$2/(Flows!V24*V$3*V$4),1))</f>
        <v>1668.54755593421</v>
      </c>
      <c r="W27" s="10" t="n">
        <f aca="false">IF(Flows!W24*W$3*W$4&lt;0.002,100,MAX($CM$2/(Flows!W24*W$3*W$4),1))</f>
        <v>54.7399499295873</v>
      </c>
      <c r="X27" s="10" t="n">
        <f aca="false">IF(Flows!X24*X$3*X$4&lt;0.002,100,MAX($CM$2/(Flows!X24*X$3*X$4),1))</f>
        <v>15.5691253218107</v>
      </c>
      <c r="Y27" s="10" t="n">
        <f aca="false">IF(Flows!Y24*Y$3*Y$4&lt;0.002,100,MAX($CM$2/(Flows!Y24*Y$3*Y$4),1))</f>
        <v>1876.91960227128</v>
      </c>
      <c r="Z27" s="10" t="n">
        <f aca="false">IF(Flows!Z24*Z$3*Z$4&lt;0.002,100,MAX($CM$2/(Flows!Z24*Z$3*Z$4),1))</f>
        <v>47402.3377127935</v>
      </c>
      <c r="AA27" s="10" t="n">
        <f aca="false">IF(Flows!AA24*AA$3*AA$4&lt;0.002,100,MAX($CM$2/(Flows!AA24*AA$3*AA$4),1))</f>
        <v>78772.0684156186</v>
      </c>
      <c r="AB27" s="10" t="n">
        <f aca="false">IF(Flows!AB24*AB$3*AB$4&lt;0.002,100,MAX($CM$2/(Flows!AB24*AB$3*AB$4),1))</f>
        <v>77175.9829189233</v>
      </c>
      <c r="AC27" s="10" t="n">
        <f aca="false">IF(Flows!AC24*AC$3*AC$4&lt;0.002,100,MAX($CM$2/(Flows!AC24*AC$3*AC$4),1))</f>
        <v>298850.576419548</v>
      </c>
      <c r="AD27" s="10" t="n">
        <f aca="false">IF(Flows!AD24*AD$3*AD$4&lt;0.002,100,MAX($CM$2/(Flows!AD24*AD$3*AD$4),1))</f>
        <v>486148.742067585</v>
      </c>
      <c r="AE27" s="10" t="n">
        <f aca="false">IF(Flows!AE24*AE$3*AE$4&lt;0.002,100,MAX($CM$2/(Flows!AE24*AE$3*AE$4),1))</f>
        <v>1494391.87831401</v>
      </c>
      <c r="AF27" s="10" t="n">
        <f aca="false">IF(Flows!AF24*AF$3*AF$4&lt;0.002,100,MAX($CM$2/(Flows!AF24*AF$3*AF$4),1))</f>
        <v>4553.69769324549</v>
      </c>
      <c r="AG27" s="10" t="n">
        <f aca="false">IF(Flows!AG24*AG$3*AG$4&lt;0.002,100,MAX($CM$2/(Flows!AG24*AG$3*AG$4),1))</f>
        <v>4170.00386546651</v>
      </c>
      <c r="AH27" s="10" t="n">
        <f aca="false">IF(Flows!AH24*AH$3*AH$4&lt;0.002,100,MAX($CM$2/(Flows!AH24*AH$3*AH$4),1))</f>
        <v>2842.83501661852</v>
      </c>
      <c r="AI27" s="10" t="n">
        <f aca="false">IF(Flows!AI24*AI$3*AI$4&lt;0.002,100,MAX($CM$2/(Flows!AI24*AI$3*AI$4),1))</f>
        <v>19445.7752236562</v>
      </c>
      <c r="AJ27" s="10" t="n">
        <f aca="false">IF(Flows!AJ24*AJ$3*AJ$4&lt;0.002,100,MAX($CM$2/(Flows!AJ24*AJ$3*AJ$4),1))</f>
        <v>7557.12173316967</v>
      </c>
      <c r="AK27" s="10" t="n">
        <f aca="false">IF(Flows!AK24*AK$3*AK$4&lt;0.002,100,MAX($CM$2/(Flows!AK24*AK$3*AK$4),1))</f>
        <v>3433.99797207466</v>
      </c>
      <c r="AL27" s="10" t="n">
        <f aca="false">IF(Flows!AL24*AL$3*AL$4&lt;0.002,100,MAX($CM$2/(Flows!AL24*AL$3*AL$4),1))</f>
        <v>6000.82979290796</v>
      </c>
      <c r="AM27" s="10" t="n">
        <f aca="false">IF(Flows!AM24*AM$3*AM$4&lt;0.002,100,MAX($CM$2/(Flows!AM24*AM$3*AM$4),1))</f>
        <v>11499.0377385489</v>
      </c>
      <c r="AN27" s="10" t="n">
        <f aca="false">IF(Flows!AN24*AN$3*AN$4&lt;0.002,100,MAX($CM$2/(Flows!AN24*AN$3*AN$4),1))</f>
        <v>10083.783836242</v>
      </c>
      <c r="AO27" s="10" t="n">
        <f aca="false">IF(Flows!AO24*AO$3*AO$4&lt;0.002,100,MAX($CM$2/(Flows!AO24*AO$3*AO$4),1))</f>
        <v>115306.748654471</v>
      </c>
      <c r="AP27" s="10" t="n">
        <f aca="false">IF(Flows!AP24*AP$3*AP$4&lt;0.002,100,MAX($CM$2/(Flows!AP24*AP$3*AP$4),1))</f>
        <v>251095.98837929</v>
      </c>
      <c r="AQ27" s="10" t="n">
        <f aca="false">IF(Flows!AQ24*AQ$3*AQ$4&lt;0.002,100,MAX($CM$2/(Flows!AQ24*AQ$3*AQ$4),1))</f>
        <v>82203.3964405044</v>
      </c>
      <c r="AR27" s="10" t="n">
        <f aca="false">IF(Flows!AR24*AR$3*AR$4&lt;0.002,100,MAX($CM$2/(Flows!AR24*AR$3*AR$4),1))</f>
        <v>120487.047759965</v>
      </c>
      <c r="AS27" s="10" t="n">
        <f aca="false">IF(Flows!AS24*AS$3*AS$4&lt;0.002,100,MAX($CM$2/(Flows!AS24*AS$3*AS$4),1))</f>
        <v>14550.3244094555</v>
      </c>
      <c r="AT27" s="10" t="n">
        <f aca="false">IF(Flows!AT24*AT$3*AT$4&lt;0.002,100,MAX($CM$2/(Flows!AT24*AT$3*AT$4),1))</f>
        <v>4250.55221832113</v>
      </c>
      <c r="AU27" s="10" t="n">
        <f aca="false">IF(Flows!AU24*AU$3*AU$4&lt;0.002,100,MAX($CM$2/(Flows!AU24*AU$3*AU$4),1))</f>
        <v>4711.59275026843</v>
      </c>
      <c r="AV27" s="10" t="n">
        <f aca="false">IF(Flows!AV24*AV$3*AV$4&lt;0.002,100,MAX($CM$2/(Flows!AV24*AV$3*AV$4),1))</f>
        <v>70203.7208175239</v>
      </c>
      <c r="AW27" s="10" t="n">
        <f aca="false">IF(Flows!AW24*AW$3*AW$4&lt;0.002,100,MAX($CM$2/(Flows!AW24*AW$3*AW$4),1))</f>
        <v>94.4407891725176</v>
      </c>
      <c r="AX27" s="10" t="n">
        <f aca="false">IF(Flows!AX24*AX$3*AX$4&lt;0.002,100,MAX($CM$2/(Flows!AX24*AX$3*AX$4),1))</f>
        <v>12534.0985359948</v>
      </c>
      <c r="AY27" s="10" t="n">
        <f aca="false">IF(Flows!AY24*AY$3*AY$4&lt;0.002,100,MAX($CM$2/(Flows!AY24*AY$3*AY$4),1))</f>
        <v>4085.43899327039</v>
      </c>
      <c r="AZ27" s="10" t="n">
        <f aca="false">IF(Flows!AZ24*AZ$3*AZ$4&lt;0.002,100,MAX($CM$2/(Flows!AZ24*AZ$3*AZ$4),1))</f>
        <v>1152.76502657509</v>
      </c>
      <c r="BA27" s="10" t="n">
        <f aca="false">IF(Flows!BA24*BA$3*BA$4&lt;0.002,100,MAX($CM$2/(Flows!BA24*BA$3*BA$4),1))</f>
        <v>19144.5799431671</v>
      </c>
      <c r="BB27" s="10" t="n">
        <f aca="false">IF(Flows!BB24*BB$3*BB$4&lt;0.002,100,MAX($CM$2/(Flows!BB24*BB$3*BB$4),1))</f>
        <v>27346.443457332</v>
      </c>
      <c r="BC27" s="10" t="n">
        <f aca="false">IF(Flows!BC24*BC$3*BC$4&lt;0.002,100,MAX($CM$2/(Flows!BC24*BC$3*BC$4),1))</f>
        <v>9648.16220638124</v>
      </c>
      <c r="BD27" s="10" t="n">
        <f aca="false">IF(Flows!BD24*BD$3*BD$4&lt;0.002,100,MAX($CM$2/(Flows!BD24*BD$3*BD$4),1))</f>
        <v>47280.4362774198</v>
      </c>
      <c r="BE27" s="10" t="n">
        <f aca="false">IF(Flows!BE24*BE$3*BE$4&lt;0.002,100,MAX($CM$2/(Flows!BE24*BE$3*BE$4),1))</f>
        <v>78172.9627635717</v>
      </c>
      <c r="BF27" s="10" t="n">
        <f aca="false">IF(Flows!BF24*BF$3*BF$4&lt;0.002,100,MAX($CM$2/(Flows!BF24*BF$3*BF$4),1))</f>
        <v>7920.51155988434</v>
      </c>
      <c r="BG27" s="10" t="n">
        <f aca="false">IF(Flows!BG24*BG$3*BG$4&lt;0.002,100,MAX($CM$2/(Flows!BG24*BG$3*BG$4),1))</f>
        <v>2150.39142288687</v>
      </c>
      <c r="BH27" s="10" t="n">
        <f aca="false">IF(Flows!BH24*BH$3*BH$4&lt;0.002,100,MAX($CM$2/(Flows!BH24*BH$3*BH$4),1))</f>
        <v>1091.11207301966</v>
      </c>
      <c r="BI27" s="10" t="n">
        <f aca="false">IF(Flows!BI24*BI$3*BI$4&lt;0.002,100,MAX($CM$2/(Flows!BI24*BI$3*BI$4),1))</f>
        <v>3039.63530352533</v>
      </c>
      <c r="BJ27" s="10" t="n">
        <f aca="false">IF(Flows!BJ24*BJ$3*BJ$4&lt;0.002,100,MAX($CM$2/(Flows!BJ24*BJ$3*BJ$4),1))</f>
        <v>31.4751852006525</v>
      </c>
      <c r="BK27" s="10" t="n">
        <f aca="false">IF(Flows!BK24*BK$3*BK$4&lt;0.002,100,MAX($CM$2/(Flows!BK24*BK$3*BK$4),1))</f>
        <v>6079.27060705065</v>
      </c>
      <c r="BL27" s="10" t="n">
        <f aca="false">IF(Flows!BL24*BL$3*BL$4&lt;0.002,100,MAX($CM$2/(Flows!BL24*BL$3*BL$4),1))</f>
        <v>686.991242559631</v>
      </c>
      <c r="BM27" s="10" t="n">
        <f aca="false">IF(Flows!BM24*BM$3*BM$4&lt;0.002,100,MAX($CM$2/(Flows!BM24*BM$3*BM$4),1))</f>
        <v>763.88372950678</v>
      </c>
      <c r="BN27" s="10" t="n">
        <f aca="false">IF(Flows!BN24*BN$3*BN$4&lt;0.002,100,MAX($CM$2/(Flows!BN24*BN$3*BN$4),1))</f>
        <v>7467533.39440551</v>
      </c>
      <c r="BO27" s="10" t="n">
        <f aca="false">IF(Flows!BO24*BO$3*BO$4&lt;0.002,100,MAX($CM$2/(Flows!BO24*BO$3*BO$4),1))</f>
        <v>1244588899.06758</v>
      </c>
      <c r="BP27" s="10" t="n">
        <f aca="false">IF(Flows!BP24*BP$3*BP$4&lt;0.002,100,MAX($CM$2/(Flows!BP24*BP$3*BP$4),1))</f>
        <v>130579637529.588</v>
      </c>
      <c r="BQ27" s="10" t="n">
        <f aca="false">IF(Flows!BQ24*BQ$3*BQ$4&lt;0.002,100,MAX($CM$2/(Flows!BQ24*BQ$3*BQ$4),1))</f>
        <v>11488512.91447</v>
      </c>
      <c r="BR27" s="10" t="n">
        <f aca="false">IF(Flows!BR24*BR$3*BR$4&lt;0.002,100,MAX($CM$2/(Flows!BR24*BR$3*BR$4),1))</f>
        <v>12445888990.6758</v>
      </c>
      <c r="BS27" s="10" t="n">
        <f aca="false">IF(Flows!BS24*BS$3*BS$4&lt;0.002,100,MAX($CM$2/(Flows!BS24*BS$3*BS$4),1))</f>
        <v>62229479927.5157</v>
      </c>
      <c r="BT27" s="10" t="n">
        <f aca="false">IF(Flows!BT24*BT$3*BT$4&lt;0.002,100,MAX($CM$2/(Flows!BT24*BT$3*BT$4),1))</f>
        <v>47.1593223594299</v>
      </c>
      <c r="BU27" s="10" t="n">
        <f aca="false">IF(Flows!BU24*BU$3*BU$4&lt;0.002,100,MAX($CM$2/(Flows!BU24*BU$3*BU$4),1))</f>
        <v>471.593223594299</v>
      </c>
      <c r="BV27" s="10" t="n">
        <f aca="false">IF(Flows!BV24*BV$3*BV$4&lt;0.002,100,MAX($CM$2/(Flows!BV24*BV$3*BV$4),1))</f>
        <v>4715.93223594299</v>
      </c>
      <c r="BW27" s="10" t="n">
        <f aca="false">IF(Flows!BW24*BW$3*BW$4&lt;0.002,100,MAX($CM$2/(Flows!BW24*BW$3*BW$4),1))</f>
        <v>155.382085555745</v>
      </c>
      <c r="BX27" s="10" t="n">
        <f aca="false">IF(Flows!BX24*BX$3*BX$4&lt;0.002,100,MAX($CM$2/(Flows!BX24*BX$3*BX$4),1))</f>
        <v>114.431245198946</v>
      </c>
      <c r="BY27" s="10" t="n">
        <f aca="false">IF(Flows!BY24*BY$3*BY$4&lt;0.002,100,MAX($CM$2/(Flows!BY24*BY$3*BY$4),1))</f>
        <v>132.775946133632</v>
      </c>
      <c r="BZ27" s="10" t="n">
        <f aca="false">IF(Flows!BZ24*BZ$3*BZ$4&lt;0.002,100,MAX($CM$2/(Flows!BZ24*BZ$3*BZ$4),1))</f>
        <v>214281.864886977</v>
      </c>
      <c r="CA27" s="10" t="n">
        <f aca="false">IF(Flows!CA24*CA$3*CA$4&lt;0.002,100,MAX($CM$2/(Flows!CA24*CA$3*CA$4),1))</f>
        <v>96287.3909297828</v>
      </c>
      <c r="CB27" s="10" t="n">
        <f aca="false">IF(Flows!CB24*CB$3*CB$4&lt;0.002,100,MAX($CM$2/(Flows!CB24*CB$3*CB$4),1))</f>
        <v>325.824746052652</v>
      </c>
      <c r="CC27" s="10" t="n">
        <f aca="false">IF(Flows!CC24*CC$3*CC$4&lt;0.002,100,MAX($CM$2/(Flows!CC24*CC$3*CC$4),1))</f>
        <v>23.2791556412843</v>
      </c>
      <c r="CD27" s="10" t="n">
        <f aca="false">IF(Flows!CD24*CD$3*CD$4&lt;0.002,100,MAX($CM$2/(Flows!CD24*CD$3*CD$4),1))</f>
        <v>620.094151289603</v>
      </c>
      <c r="CE27" s="10" t="n">
        <f aca="false">IF(Flows!CE24*CE$3*CE$4&lt;0.002,100,MAX($CM$2/(Flows!CE24*CE$3*CE$4),1))</f>
        <v>3708.71165435467</v>
      </c>
      <c r="CF27" s="10" t="n">
        <f aca="false">IF(Flows!CF24*CF$3*CF$4&lt;0.002,100,MAX($CM$2/(Flows!CF24*CF$3*CF$4),1))</f>
        <v>1</v>
      </c>
      <c r="CG27" s="10" t="n">
        <f aca="false">IF(Flows!CG24*CG$3*CG$4&lt;0.002,100,MAX($CM$2/(Flows!CG24*CG$3*CG$4),1))</f>
        <v>10384174.7109843</v>
      </c>
      <c r="CH27" s="10" t="n">
        <f aca="false">IF(Flows!CH24*CH$3*CH$4&lt;0.002,100,MAX($CM$2/(Flows!CH24*CH$3*CH$4),1))</f>
        <v>2784108.47233626</v>
      </c>
      <c r="CI27" s="10" t="n">
        <f aca="false">IF(Flows!CI24*CI$3*CI$4&lt;0.002,100,MAX($CM$2/(Flows!CI24*CI$3*CI$4),1))</f>
        <v>970.174436884121</v>
      </c>
      <c r="CJ27" s="10" t="n">
        <f aca="false">IF(Flows!CJ24*CJ$3*CJ$4&lt;0.002,100,MAX($CM$2/(Flows!CJ24*CJ$3*CJ$4),1))</f>
        <v>5991.21404258012</v>
      </c>
      <c r="CK27" s="10" t="n">
        <f aca="false">IF(Flows!CK24*CK$3*CK$4&lt;0.002,100,MAX($CM$2/(Flows!CK24*CK$3*CK$4),1))</f>
        <v>67569.18668181</v>
      </c>
      <c r="CL27" s="7" t="s">
        <v>320</v>
      </c>
    </row>
    <row r="28" customFormat="false" ht="12.8" hidden="false" customHeight="false" outlineLevel="0" collapsed="false">
      <c r="A28" s="7" t="s">
        <v>160</v>
      </c>
      <c r="B28" s="7" t="s">
        <v>39</v>
      </c>
      <c r="C28" s="10" t="n">
        <f aca="false">IF(Flows!C25*C$3*C$4&lt;0.002,100,MAX($CM$2/(Flows!C25*C$3*C$4),1))</f>
        <v>47801.1476569143</v>
      </c>
      <c r="D28" s="10" t="n">
        <f aca="false">IF(Flows!D25*D$3*D$4&lt;0.002,100,MAX($CM$2/(Flows!D25*D$3*D$4),1))</f>
        <v>11.3466871612467</v>
      </c>
      <c r="E28" s="10" t="n">
        <f aca="false">IF(Flows!E25*E$3*E$4&lt;0.002,100,MAX($CM$2/(Flows!E25*E$3*E$4),1))</f>
        <v>38.6502776162099</v>
      </c>
      <c r="F28" s="10" t="n">
        <f aca="false">IF(Flows!F25*F$3*F$4&lt;0.002,100,MAX($CM$2/(Flows!F25*F$3*F$4),1))</f>
        <v>118.733652836997</v>
      </c>
      <c r="G28" s="10" t="n">
        <f aca="false">IF(Flows!G25*G$3*G$4&lt;0.002,100,MAX($CM$2/(Flows!G25*G$3*G$4),1))</f>
        <v>38.7539344655611</v>
      </c>
      <c r="H28" s="10" t="n">
        <f aca="false">IF(Flows!H25*H$3*H$4&lt;0.002,100,MAX($CM$2/(Flows!H25*H$3*H$4),1))</f>
        <v>24992.9721374624</v>
      </c>
      <c r="I28" s="10" t="n">
        <f aca="false">IF(Flows!I25*I$3*I$4&lt;0.002,100,MAX($CM$2/(Flows!I25*I$3*I$4),1))</f>
        <v>2648.96609671</v>
      </c>
      <c r="J28" s="10" t="n">
        <f aca="false">IF(Flows!J25*J$3*J$4&lt;0.002,100,MAX($CM$2/(Flows!J25*J$3*J$4),1))</f>
        <v>1915.37602001779</v>
      </c>
      <c r="K28" s="10" t="n">
        <f aca="false">IF(Flows!K25*K$3*K$4&lt;0.002,100,MAX($CM$2/(Flows!K25*K$3*K$4),1))</f>
        <v>26652.2862768478</v>
      </c>
      <c r="L28" s="10" t="n">
        <f aca="false">IF(Flows!L25*L$3*L$4&lt;0.002,100,MAX($CM$2/(Flows!L25*L$3*L$4),1))</f>
        <v>244398.588151413</v>
      </c>
      <c r="M28" s="10" t="n">
        <f aca="false">IF(Flows!M25*M$3*M$4&lt;0.002,100,MAX($CM$2/(Flows!M25*M$3*M$4),1))</f>
        <v>206184.199583866</v>
      </c>
      <c r="N28" s="10" t="n">
        <f aca="false">IF(Flows!N25*N$3*N$4&lt;0.002,100,MAX($CM$2/(Flows!N25*N$3*N$4),1))</f>
        <v>24.663174173957</v>
      </c>
      <c r="O28" s="10" t="n">
        <f aca="false">IF(Flows!O25*O$3*O$4&lt;0.002,100,MAX($CM$2/(Flows!O25*O$3*O$4),1))</f>
        <v>8.8708287122556</v>
      </c>
      <c r="P28" s="10" t="n">
        <f aca="false">IF(Flows!P25*P$3*P$4&lt;0.002,100,MAX($CM$2/(Flows!P25*P$3*P$4),1))</f>
        <v>5.32249722735336</v>
      </c>
      <c r="Q28" s="10" t="n">
        <f aca="false">IF(Flows!Q25*Q$3*Q$4&lt;0.002,100,MAX($CM$2/(Flows!Q25*Q$3*Q$4),1))</f>
        <v>1508.18420528517</v>
      </c>
      <c r="R28" s="10" t="n">
        <f aca="false">IF(Flows!R25*R$3*R$4&lt;0.002,100,MAX($CM$2/(Flows!R25*R$3*R$4),1))</f>
        <v>73.0199624023227</v>
      </c>
      <c r="S28" s="10" t="n">
        <f aca="false">IF(Flows!S25*S$3*S$4&lt;0.002,100,MAX($CM$2/(Flows!S25*S$3*S$4),1))</f>
        <v>2094.84504129782</v>
      </c>
      <c r="T28" s="10" t="n">
        <f aca="false">IF(Flows!T25*T$3*T$4&lt;0.002,100,MAX($CM$2/(Flows!T25*T$3*T$4),1))</f>
        <v>3748.12960820443</v>
      </c>
      <c r="U28" s="10" t="n">
        <f aca="false">IF(Flows!U25*U$3*U$4&lt;0.002,100,MAX($CM$2/(Flows!U25*U$3*U$4),1))</f>
        <v>13745.6133055911</v>
      </c>
      <c r="V28" s="10" t="n">
        <f aca="false">IF(Flows!V25*V$3*V$4&lt;0.002,100,MAX($CM$2/(Flows!V25*V$3*V$4),1))</f>
        <v>918.742454354634</v>
      </c>
      <c r="W28" s="10" t="n">
        <f aca="false">IF(Flows!W25*W$3*W$4&lt;0.002,100,MAX($CM$2/(Flows!W25*W$3*W$4),1))</f>
        <v>32.0574926136144</v>
      </c>
      <c r="X28" s="10" t="n">
        <f aca="false">IF(Flows!X25*X$3*X$4&lt;0.002,100,MAX($CM$2/(Flows!X25*X$3*X$4),1))</f>
        <v>11.0735254521404</v>
      </c>
      <c r="Y28" s="10" t="n">
        <f aca="false">IF(Flows!Y25*Y$3*Y$4&lt;0.002,100,MAX($CM$2/(Flows!Y25*Y$3*Y$4),1))</f>
        <v>1221.99294075707</v>
      </c>
      <c r="Z28" s="10" t="n">
        <f aca="false">IF(Flows!Z25*Z$3*Z$4&lt;0.002,100,MAX($CM$2/(Flows!Z25*Z$3*Z$4),1))</f>
        <v>34976.686418302</v>
      </c>
      <c r="AA28" s="10" t="n">
        <f aca="false">IF(Flows!AA25*AA$3*AA$4&lt;0.002,100,MAX($CM$2/(Flows!AA25*AA$3*AA$4),1))</f>
        <v>48392.5093725173</v>
      </c>
      <c r="AB28" s="10" t="n">
        <f aca="false">IF(Flows!AB25*AB$3*AB$4&lt;0.002,100,MAX($CM$2/(Flows!AB25*AB$3*AB$4),1))</f>
        <v>44552.3434272807</v>
      </c>
      <c r="AC28" s="10" t="n">
        <f aca="false">IF(Flows!AC25*AC$3*AC$4&lt;0.002,100,MAX($CM$2/(Flows!AC25*AC$3*AC$4),1))</f>
        <v>204522.146305191</v>
      </c>
      <c r="AD28" s="10" t="n">
        <f aca="false">IF(Flows!AD25*AD$3*AD$4&lt;0.002,100,MAX($CM$2/(Flows!AD25*AD$3*AD$4),1))</f>
        <v>280645.155321045</v>
      </c>
      <c r="AE28" s="10" t="n">
        <f aca="false">IF(Flows!AE25*AE$3*AE$4&lt;0.002,100,MAX($CM$2/(Flows!AE25*AE$3*AE$4),1))</f>
        <v>810512.494229073</v>
      </c>
      <c r="AF28" s="10" t="n">
        <f aca="false">IF(Flows!AF25*AF$3*AF$4&lt;0.002,100,MAX($CM$2/(Flows!AF25*AF$3*AF$4),1))</f>
        <v>2931.49654080661</v>
      </c>
      <c r="AG28" s="10" t="n">
        <f aca="false">IF(Flows!AG25*AG$3*AG$4&lt;0.002,100,MAX($CM$2/(Flows!AG25*AG$3*AG$4),1))</f>
        <v>2945.59077976102</v>
      </c>
      <c r="AH28" s="10" t="n">
        <f aca="false">IF(Flows!AH25*AH$3*AH$4&lt;0.002,100,MAX($CM$2/(Flows!AH25*AH$3*AH$4),1))</f>
        <v>1690.12476776058</v>
      </c>
      <c r="AI28" s="10" t="n">
        <f aca="false">IF(Flows!AI25*AI$3*AI$4&lt;0.002,100,MAX($CM$2/(Flows!AI25*AI$3*AI$4),1))</f>
        <v>10554.2585528276</v>
      </c>
      <c r="AJ28" s="10" t="n">
        <f aca="false">IF(Flows!AJ25*AJ$3*AJ$4&lt;0.002,100,MAX($CM$2/(Flows!AJ25*AJ$3*AJ$4),1))</f>
        <v>4002.24616817563</v>
      </c>
      <c r="AK28" s="10" t="n">
        <f aca="false">IF(Flows!AK25*AK$3*AK$4&lt;0.002,100,MAX($CM$2/(Flows!AK25*AK$3*AK$4),1))</f>
        <v>1577.18912924583</v>
      </c>
      <c r="AL28" s="10" t="n">
        <f aca="false">IF(Flows!AL25*AL$3*AL$4&lt;0.002,100,MAX($CM$2/(Flows!AL25*AL$3*AL$4),1))</f>
        <v>3524.98758845738</v>
      </c>
      <c r="AM28" s="10" t="n">
        <f aca="false">IF(Flows!AM25*AM$3*AM$4&lt;0.002,100,MAX($CM$2/(Flows!AM25*AM$3*AM$4),1))</f>
        <v>4874.98662127441</v>
      </c>
      <c r="AN28" s="10" t="n">
        <f aca="false">IF(Flows!AN25*AN$3*AN$4&lt;0.002,100,MAX($CM$2/(Flows!AN25*AN$3*AN$4),1))</f>
        <v>6434.12441803989</v>
      </c>
      <c r="AO28" s="10" t="n">
        <f aca="false">IF(Flows!AO25*AO$3*AO$4&lt;0.002,100,MAX($CM$2/(Flows!AO25*AO$3*AO$4),1))</f>
        <v>73433.8422225523</v>
      </c>
      <c r="AP28" s="10" t="n">
        <f aca="false">IF(Flows!AP25*AP$3*AP$4&lt;0.002,100,MAX($CM$2/(Flows!AP25*AP$3*AP$4),1))</f>
        <v>188802.401818314</v>
      </c>
      <c r="AQ28" s="10" t="n">
        <f aca="false">IF(Flows!AQ25*AQ$3*AQ$4&lt;0.002,100,MAX($CM$2/(Flows!AQ25*AQ$3*AQ$4),1))</f>
        <v>52432.5433883786</v>
      </c>
      <c r="AR28" s="10" t="n">
        <f aca="false">IF(Flows!AR25*AR$3*AR$4&lt;0.002,100,MAX($CM$2/(Flows!AR25*AR$3*AR$4),1))</f>
        <v>69501.8109786701</v>
      </c>
      <c r="AS28" s="10" t="n">
        <f aca="false">IF(Flows!AS25*AS$3*AS$4&lt;0.002,100,MAX($CM$2/(Flows!AS25*AS$3*AS$4),1))</f>
        <v>7763.57236652443</v>
      </c>
      <c r="AT28" s="10" t="n">
        <f aca="false">IF(Flows!AT25*AT$3*AT$4&lt;0.002,100,MAX($CM$2/(Flows!AT25*AT$3*AT$4),1))</f>
        <v>2282.86925803711</v>
      </c>
      <c r="AU28" s="10" t="n">
        <f aca="false">IF(Flows!AU25*AU$3*AU$4&lt;0.002,100,MAX($CM$2/(Flows!AU25*AU$3*AU$4),1))</f>
        <v>3465.0093581334</v>
      </c>
      <c r="AV28" s="10" t="n">
        <f aca="false">IF(Flows!AV25*AV$3*AV$4&lt;0.002,100,MAX($CM$2/(Flows!AV25*AV$3*AV$4),1))</f>
        <v>28690.9624536867</v>
      </c>
      <c r="AW28" s="10" t="n">
        <f aca="false">IF(Flows!AW25*AW$3*AW$4&lt;0.002,100,MAX($CM$2/(Flows!AW25*AW$3*AW$4),1))</f>
        <v>64.4823344647761</v>
      </c>
      <c r="AX28" s="10" t="n">
        <f aca="false">IF(Flows!AX25*AX$3*AX$4&lt;0.002,100,MAX($CM$2/(Flows!AX25*AX$3*AX$4),1))</f>
        <v>9129.89093630903</v>
      </c>
      <c r="AY28" s="10" t="n">
        <f aca="false">IF(Flows!AY25*AY$3*AY$4&lt;0.002,100,MAX($CM$2/(Flows!AY25*AY$3*AY$4),1))</f>
        <v>2437.96408041585</v>
      </c>
      <c r="AZ28" s="10" t="n">
        <f aca="false">IF(Flows!AZ25*AZ$3*AZ$4&lt;0.002,100,MAX($CM$2/(Flows!AZ25*AZ$3*AZ$4),1))</f>
        <v>661.384868784428</v>
      </c>
      <c r="BA28" s="10" t="n">
        <f aca="false">IF(Flows!BA25*BA$3*BA$4&lt;0.002,100,MAX($CM$2/(Flows!BA25*BA$3*BA$4),1))</f>
        <v>12464.3279957221</v>
      </c>
      <c r="BB28" s="10" t="n">
        <f aca="false">IF(Flows!BB25*BB$3*BB$4&lt;0.002,100,MAX($CM$2/(Flows!BB25*BB$3*BB$4),1))</f>
        <v>12425.298646524</v>
      </c>
      <c r="BC28" s="10" t="n">
        <f aca="false">IF(Flows!BC25*BC$3*BC$4&lt;0.002,100,MAX($CM$2/(Flows!BC25*BC$3*BC$4),1))</f>
        <v>5994.9536105737</v>
      </c>
      <c r="BD28" s="10" t="n">
        <f aca="false">IF(Flows!BD25*BD$3*BD$4&lt;0.002,100,MAX($CM$2/(Flows!BD25*BD$3*BD$4),1))</f>
        <v>28988.9098729242</v>
      </c>
      <c r="BE28" s="10" t="n">
        <f aca="false">IF(Flows!BE25*BE$3*BE$4&lt;0.002,100,MAX($CM$2/(Flows!BE25*BE$3*BE$4),1))</f>
        <v>53995.9059739229</v>
      </c>
      <c r="BF28" s="10" t="n">
        <f aca="false">IF(Flows!BF25*BF$3*BF$4&lt;0.002,100,MAX($CM$2/(Flows!BF25*BF$3*BF$4),1))</f>
        <v>4318.39882503284</v>
      </c>
      <c r="BG28" s="10" t="n">
        <f aca="false">IF(Flows!BG25*BG$3*BG$4&lt;0.002,100,MAX($CM$2/(Flows!BG25*BG$3*BG$4),1))</f>
        <v>1391.77165238069</v>
      </c>
      <c r="BH28" s="10" t="n">
        <f aca="false">IF(Flows!BH25*BH$3*BH$4&lt;0.002,100,MAX($CM$2/(Flows!BH25*BH$3*BH$4),1))</f>
        <v>704.069310660545</v>
      </c>
      <c r="BI28" s="10" t="n">
        <f aca="false">IF(Flows!BI25*BI$3*BI$4&lt;0.002,100,MAX($CM$2/(Flows!BI25*BI$3*BI$4),1))</f>
        <v>1427.08420361144</v>
      </c>
      <c r="BJ28" s="10" t="n">
        <f aca="false">IF(Flows!BJ25*BJ$3*BJ$4&lt;0.002,100,MAX($CM$2/(Flows!BJ25*BJ$3*BJ$4),1))</f>
        <v>15.4280182959024</v>
      </c>
      <c r="BK28" s="10" t="n">
        <f aca="false">IF(Flows!BK25*BK$3*BK$4&lt;0.002,100,MAX($CM$2/(Flows!BK25*BK$3*BK$4),1))</f>
        <v>2854.16840722289</v>
      </c>
      <c r="BL28" s="10" t="n">
        <f aca="false">IF(Flows!BL25*BL$3*BL$4&lt;0.002,100,MAX($CM$2/(Flows!BL25*BL$3*BL$4),1))</f>
        <v>482.916085017756</v>
      </c>
      <c r="BM28" s="10" t="n">
        <f aca="false">IF(Flows!BM25*BM$3*BM$4&lt;0.002,100,MAX($CM$2/(Flows!BM25*BM$3*BM$4),1))</f>
        <v>270.784976617885</v>
      </c>
      <c r="BN28" s="10" t="n">
        <f aca="false">IF(Flows!BN25*BN$3*BN$4&lt;0.002,100,MAX($CM$2/(Flows!BN25*BN$3*BN$4),1))</f>
        <v>3208083.05149239</v>
      </c>
      <c r="BO28" s="10" t="n">
        <f aca="false">IF(Flows!BO25*BO$3*BO$4&lt;0.002,100,MAX($CM$2/(Flows!BO25*BO$3*BO$4),1))</f>
        <v>534680508.582066</v>
      </c>
      <c r="BP28" s="10" t="n">
        <f aca="false">IF(Flows!BP25*BP$3*BP$4&lt;0.002,100,MAX($CM$2/(Flows!BP25*BP$3*BP$4),1))</f>
        <v>80341535330.0672</v>
      </c>
      <c r="BQ28" s="10" t="n">
        <f aca="false">IF(Flows!BQ25*BQ$3*BQ$4&lt;0.002,100,MAX($CM$2/(Flows!BQ25*BQ$3*BQ$4),1))</f>
        <v>4935512.38691138</v>
      </c>
      <c r="BR28" s="10" t="n">
        <f aca="false">IF(Flows!BR25*BR$3*BR$4&lt;0.002,100,MAX($CM$2/(Flows!BR25*BR$3*BR$4),1))</f>
        <v>5346805085.82066</v>
      </c>
      <c r="BS28" s="10" t="n">
        <f aca="false">IF(Flows!BS25*BS$3*BS$4&lt;0.002,100,MAX($CM$2/(Flows!BS25*BS$3*BS$4),1))</f>
        <v>26734040350.8435</v>
      </c>
      <c r="BT28" s="10" t="n">
        <f aca="false">IF(Flows!BT25*BT$3*BT$4&lt;0.002,100,MAX($CM$2/(Flows!BT25*BT$3*BT$4),1))</f>
        <v>19.9515124309831</v>
      </c>
      <c r="BU28" s="10" t="n">
        <f aca="false">IF(Flows!BU25*BU$3*BU$4&lt;0.002,100,MAX($CM$2/(Flows!BU25*BU$3*BU$4),1))</f>
        <v>199.515124309831</v>
      </c>
      <c r="BV28" s="10" t="n">
        <f aca="false">IF(Flows!BV25*BV$3*BV$4&lt;0.002,100,MAX($CM$2/(Flows!BV25*BV$3*BV$4),1))</f>
        <v>1995.15124309831</v>
      </c>
      <c r="BW28" s="10" t="n">
        <f aca="false">IF(Flows!BW25*BW$3*BW$4&lt;0.002,100,MAX($CM$2/(Flows!BW25*BW$3*BW$4),1))</f>
        <v>101.729185717147</v>
      </c>
      <c r="BX28" s="10" t="n">
        <f aca="false">IF(Flows!BX25*BX$3*BX$4&lt;0.002,100,MAX($CM$2/(Flows!BX25*BX$3*BX$4),1))</f>
        <v>62.1370954359352</v>
      </c>
      <c r="BY28" s="10" t="n">
        <f aca="false">IF(Flows!BY25*BY$3*BY$4&lt;0.002,100,MAX($CM$2/(Flows!BY25*BY$3*BY$4),1))</f>
        <v>179.730078801737</v>
      </c>
      <c r="BZ28" s="10" t="n">
        <f aca="false">IF(Flows!BZ25*BZ$3*BZ$4&lt;0.002,100,MAX($CM$2/(Flows!BZ25*BZ$3*BZ$4),1))</f>
        <v>99556.7825795433</v>
      </c>
      <c r="CA28" s="10" t="n">
        <f aca="false">IF(Flows!CA25*CA$3*CA$4&lt;0.002,100,MAX($CM$2/(Flows!CA25*CA$3*CA$4),1))</f>
        <v>158388.674298809</v>
      </c>
      <c r="CB28" s="10" t="n">
        <f aca="false">IF(Flows!CB25*CB$3*CB$4&lt;0.002,100,MAX($CM$2/(Flows!CB25*CB$3*CB$4),1))</f>
        <v>346.630161973672</v>
      </c>
      <c r="CC28" s="10" t="n">
        <f aca="false">IF(Flows!CC25*CC$3*CC$4&lt;0.002,100,MAX($CM$2/(Flows!CC25*CC$3*CC$4),1))</f>
        <v>27.9044370360759</v>
      </c>
      <c r="CD28" s="10" t="n">
        <f aca="false">IF(Flows!CD25*CD$3*CD$4&lt;0.002,100,MAX($CM$2/(Flows!CD25*CD$3*CD$4),1))</f>
        <v>406.660912220931</v>
      </c>
      <c r="CE28" s="10" t="n">
        <f aca="false">IF(Flows!CE25*CE$3*CE$4&lt;0.002,100,MAX($CM$2/(Flows!CE25*CE$3*CE$4),1))</f>
        <v>299.075038039942</v>
      </c>
      <c r="CF28" s="10" t="n">
        <f aca="false">IF(Flows!CF25*CF$3*CF$4&lt;0.002,100,MAX($CM$2/(Flows!CF25*CF$3*CF$4),1))</f>
        <v>1</v>
      </c>
      <c r="CG28" s="10" t="n">
        <f aca="false">IF(Flows!CG25*CG$3*CG$4&lt;0.002,100,MAX($CM$2/(Flows!CG25*CG$3*CG$4),1))</f>
        <v>2014344.75058645</v>
      </c>
      <c r="CH28" s="10" t="n">
        <f aca="false">IF(Flows!CH25*CH$3*CH$4&lt;0.002,100,MAX($CM$2/(Flows!CH25*CH$3*CH$4),1))</f>
        <v>713245.148751127</v>
      </c>
      <c r="CI28" s="10" t="n">
        <f aca="false">IF(Flows!CI25*CI$3*CI$4&lt;0.002,100,MAX($CM$2/(Flows!CI25*CI$3*CI$4),1))</f>
        <v>1420.22289307923</v>
      </c>
      <c r="CJ28" s="10" t="n">
        <f aca="false">IF(Flows!CJ25*CJ$3*CJ$4&lt;0.002,100,MAX($CM$2/(Flows!CJ25*CJ$3*CJ$4),1))</f>
        <v>13182.7841640212</v>
      </c>
      <c r="CK28" s="10" t="n">
        <f aca="false">IF(Flows!CK25*CK$3*CK$4&lt;0.002,100,MAX($CM$2/(Flows!CK25*CK$3*CK$4),1))</f>
        <v>6797.33712645558</v>
      </c>
      <c r="CL28" s="7" t="s">
        <v>320</v>
      </c>
    </row>
    <row r="29" customFormat="false" ht="12.8" hidden="false" customHeight="false" outlineLevel="0" collapsed="false">
      <c r="A29" s="7"/>
      <c r="B29" s="7" t="s">
        <v>39</v>
      </c>
      <c r="CL29" s="7" t="s">
        <v>320</v>
      </c>
      <c r="CX29" s="1" t="s">
        <v>408</v>
      </c>
      <c r="DD29" s="1" t="s">
        <v>409</v>
      </c>
    </row>
    <row r="30" customFormat="false" ht="12.8" hidden="false" customHeight="false" outlineLevel="0" collapsed="false">
      <c r="A30" s="7" t="s">
        <v>410</v>
      </c>
      <c r="B30" s="7" t="s">
        <v>39</v>
      </c>
      <c r="C30" s="19" t="n">
        <v>1</v>
      </c>
      <c r="D30" s="19" t="n">
        <v>2</v>
      </c>
      <c r="E30" s="19" t="n">
        <v>3</v>
      </c>
      <c r="F30" s="19" t="n">
        <v>4</v>
      </c>
      <c r="G30" s="19" t="n">
        <v>5</v>
      </c>
      <c r="H30" s="19" t="n">
        <v>6</v>
      </c>
      <c r="I30" s="19" t="n">
        <v>7</v>
      </c>
      <c r="J30" s="19" t="n">
        <v>8</v>
      </c>
      <c r="K30" s="19" t="n">
        <v>9</v>
      </c>
      <c r="L30" s="19" t="n">
        <v>10</v>
      </c>
      <c r="M30" s="19" t="n">
        <v>11</v>
      </c>
      <c r="N30" s="19" t="n">
        <v>12</v>
      </c>
      <c r="O30" s="19" t="n">
        <v>13</v>
      </c>
      <c r="P30" s="19" t="n">
        <v>14</v>
      </c>
      <c r="Q30" s="19" t="n">
        <v>15</v>
      </c>
      <c r="R30" s="19" t="n">
        <v>16</v>
      </c>
      <c r="S30" s="19" t="n">
        <v>17</v>
      </c>
      <c r="T30" s="19" t="n">
        <v>18</v>
      </c>
      <c r="U30" s="19" t="n">
        <v>19</v>
      </c>
      <c r="V30" s="19" t="n">
        <v>20</v>
      </c>
      <c r="W30" s="19" t="n">
        <v>21</v>
      </c>
      <c r="X30" s="19" t="n">
        <v>22</v>
      </c>
      <c r="Y30" s="19" t="n">
        <v>23</v>
      </c>
      <c r="Z30" s="19" t="n">
        <v>24</v>
      </c>
      <c r="AA30" s="19" t="n">
        <v>25</v>
      </c>
      <c r="AB30" s="19" t="n">
        <v>26</v>
      </c>
      <c r="AC30" s="19" t="n">
        <v>27</v>
      </c>
      <c r="AD30" s="19" t="n">
        <v>28</v>
      </c>
      <c r="AE30" s="19" t="n">
        <v>29</v>
      </c>
      <c r="AF30" s="19" t="n">
        <v>30</v>
      </c>
      <c r="AG30" s="19" t="n">
        <v>31</v>
      </c>
      <c r="AH30" s="19" t="n">
        <v>32</v>
      </c>
      <c r="AI30" s="19" t="n">
        <v>33</v>
      </c>
      <c r="AJ30" s="19" t="n">
        <v>34</v>
      </c>
      <c r="AK30" s="19" t="n">
        <v>35</v>
      </c>
      <c r="AL30" s="19" t="n">
        <v>36</v>
      </c>
      <c r="AM30" s="19" t="n">
        <v>37</v>
      </c>
      <c r="AN30" s="19" t="n">
        <v>38</v>
      </c>
      <c r="AO30" s="19" t="n">
        <v>39</v>
      </c>
      <c r="AP30" s="19" t="n">
        <v>40</v>
      </c>
      <c r="AQ30" s="19" t="n">
        <v>41</v>
      </c>
      <c r="AR30" s="19" t="n">
        <v>42</v>
      </c>
      <c r="AS30" s="19" t="n">
        <v>43</v>
      </c>
      <c r="AT30" s="19" t="n">
        <v>44</v>
      </c>
      <c r="AU30" s="19" t="n">
        <v>45</v>
      </c>
      <c r="AV30" s="19" t="n">
        <v>46</v>
      </c>
      <c r="AW30" s="19" t="n">
        <v>47</v>
      </c>
      <c r="AX30" s="19" t="n">
        <v>48</v>
      </c>
      <c r="AY30" s="19" t="n">
        <v>49</v>
      </c>
      <c r="AZ30" s="19" t="n">
        <v>50</v>
      </c>
      <c r="BA30" s="19" t="n">
        <v>51</v>
      </c>
      <c r="BB30" s="19" t="n">
        <v>52</v>
      </c>
      <c r="BC30" s="19" t="n">
        <v>53</v>
      </c>
      <c r="BD30" s="19" t="n">
        <v>54</v>
      </c>
      <c r="BE30" s="19" t="n">
        <v>55</v>
      </c>
      <c r="BF30" s="19" t="n">
        <v>56</v>
      </c>
      <c r="BG30" s="19" t="n">
        <v>57</v>
      </c>
      <c r="BH30" s="19" t="n">
        <v>58</v>
      </c>
      <c r="BI30" s="19" t="n">
        <v>59</v>
      </c>
      <c r="BJ30" s="19" t="n">
        <v>60</v>
      </c>
      <c r="BK30" s="19" t="n">
        <v>61</v>
      </c>
      <c r="BL30" s="19" t="n">
        <v>62</v>
      </c>
      <c r="BM30" s="19" t="n">
        <v>63</v>
      </c>
      <c r="BN30" s="19" t="n">
        <v>64</v>
      </c>
      <c r="BO30" s="19" t="n">
        <v>65</v>
      </c>
      <c r="BP30" s="19" t="n">
        <v>66</v>
      </c>
      <c r="BQ30" s="19" t="n">
        <v>67</v>
      </c>
      <c r="BR30" s="19" t="n">
        <v>68</v>
      </c>
      <c r="BS30" s="19" t="n">
        <v>69</v>
      </c>
      <c r="BT30" s="19" t="n">
        <v>70</v>
      </c>
      <c r="BU30" s="19" t="n">
        <v>71</v>
      </c>
      <c r="BV30" s="19" t="n">
        <v>72</v>
      </c>
      <c r="BW30" s="19" t="n">
        <v>73</v>
      </c>
      <c r="BX30" s="19" t="n">
        <v>74</v>
      </c>
      <c r="BY30" s="19" t="n">
        <v>75</v>
      </c>
      <c r="BZ30" s="19" t="n">
        <v>76</v>
      </c>
      <c r="CA30" s="19" t="n">
        <v>77</v>
      </c>
      <c r="CB30" s="19" t="n">
        <v>78</v>
      </c>
      <c r="CC30" s="19" t="n">
        <v>79</v>
      </c>
      <c r="CD30" s="19" t="n">
        <v>80</v>
      </c>
      <c r="CE30" s="19" t="n">
        <v>81</v>
      </c>
      <c r="CF30" s="19" t="n">
        <v>82</v>
      </c>
      <c r="CG30" s="19" t="n">
        <v>83</v>
      </c>
      <c r="CH30" s="19" t="n">
        <v>84</v>
      </c>
      <c r="CI30" s="19" t="n">
        <v>85</v>
      </c>
      <c r="CJ30" s="19" t="n">
        <v>86</v>
      </c>
      <c r="CK30" s="19" t="n">
        <v>87</v>
      </c>
      <c r="CL30" s="7" t="s">
        <v>320</v>
      </c>
      <c r="CM30" s="1" t="s">
        <v>411</v>
      </c>
      <c r="CN30" s="1" t="s">
        <v>412</v>
      </c>
      <c r="CO30" s="1" t="s">
        <v>413</v>
      </c>
      <c r="CP30" s="1" t="s">
        <v>414</v>
      </c>
      <c r="CQ30" s="1" t="s">
        <v>415</v>
      </c>
      <c r="CR30" s="1" t="s">
        <v>416</v>
      </c>
      <c r="CS30" s="1" t="s">
        <v>417</v>
      </c>
      <c r="CT30" s="1" t="s">
        <v>418</v>
      </c>
      <c r="CU30" s="1" t="s">
        <v>282</v>
      </c>
      <c r="CV30" s="1" t="s">
        <v>419</v>
      </c>
      <c r="CX30" s="1" t="s">
        <v>420</v>
      </c>
      <c r="CY30" s="1" t="s">
        <v>421</v>
      </c>
      <c r="CZ30" s="1" t="s">
        <v>422</v>
      </c>
      <c r="DA30" s="1" t="s">
        <v>423</v>
      </c>
      <c r="DB30" s="1" t="s">
        <v>424</v>
      </c>
      <c r="DD30" s="1" t="s">
        <v>420</v>
      </c>
      <c r="DE30" s="1" t="s">
        <v>421</v>
      </c>
      <c r="DF30" s="1" t="s">
        <v>422</v>
      </c>
      <c r="DG30" s="1" t="s">
        <v>423</v>
      </c>
      <c r="DH30" s="1" t="s">
        <v>424</v>
      </c>
    </row>
    <row r="31" customFormat="false" ht="12.8" hidden="false" customHeight="false" outlineLevel="0" collapsed="false">
      <c r="A31" s="7" t="s">
        <v>131</v>
      </c>
      <c r="B31" s="7" t="s">
        <v>39</v>
      </c>
      <c r="C31" s="10" t="n">
        <f aca="false">MAX(Flows!C61*C$4*C6/100,0)</f>
        <v>0</v>
      </c>
      <c r="D31" s="10" t="n">
        <f aca="false">MAX(Flows!D61*D$4*D6/100,0)</f>
        <v>0</v>
      </c>
      <c r="E31" s="10" t="n">
        <f aca="false">MAX(Flows!E61*E$4*E6/100,0)</f>
        <v>0</v>
      </c>
      <c r="F31" s="10" t="n">
        <f aca="false">MAX(Flows!F61*F$4*F6/100,0)</f>
        <v>0</v>
      </c>
      <c r="G31" s="10" t="n">
        <f aca="false">MAX(Flows!G61*G$4*G6/100,0)</f>
        <v>0</v>
      </c>
      <c r="H31" s="10" t="n">
        <f aca="false">MAX(Flows!H61*H$4*H6/100,0)</f>
        <v>0</v>
      </c>
      <c r="I31" s="10" t="n">
        <f aca="false">MAX(Flows!I61*I$4*I6/100,0)</f>
        <v>72379884.8636398</v>
      </c>
      <c r="J31" s="10" t="n">
        <f aca="false">MAX(Flows!J61*J$4*J6/100,0)</f>
        <v>0</v>
      </c>
      <c r="K31" s="10" t="n">
        <f aca="false">MAX(Flows!K61*K$4*K6/100,0)</f>
        <v>0</v>
      </c>
      <c r="L31" s="10" t="n">
        <f aca="false">MAX(Flows!L61*L$4*L6/100,0)</f>
        <v>0</v>
      </c>
      <c r="M31" s="10" t="n">
        <f aca="false">MAX(Flows!M61*M$4*M6/100,0)</f>
        <v>0</v>
      </c>
      <c r="N31" s="10" t="n">
        <f aca="false">MAX(Flows!N61*N$4*N6/100,0)</f>
        <v>0</v>
      </c>
      <c r="O31" s="10" t="n">
        <f aca="false">MAX(Flows!O61*O$4*O6/100,0)</f>
        <v>0</v>
      </c>
      <c r="P31" s="10" t="n">
        <f aca="false">MAX(Flows!P61*P$4*P6/100,0)</f>
        <v>0</v>
      </c>
      <c r="Q31" s="10" t="n">
        <f aca="false">MAX(Flows!Q61*Q$4*Q6/100,0)</f>
        <v>0</v>
      </c>
      <c r="R31" s="10" t="n">
        <f aca="false">MAX(Flows!R61*R$4*R6/100,0)</f>
        <v>0</v>
      </c>
      <c r="S31" s="10" t="n">
        <f aca="false">MAX(Flows!S61*S$4*S6/100,0)</f>
        <v>0</v>
      </c>
      <c r="T31" s="10" t="n">
        <f aca="false">MAX(Flows!T61*T$4*T6/100,0)</f>
        <v>0</v>
      </c>
      <c r="U31" s="10" t="n">
        <f aca="false">MAX(Flows!U61*U$4*U6/100,0)</f>
        <v>0</v>
      </c>
      <c r="V31" s="10" t="n">
        <f aca="false">MAX(Flows!V61*V$4*V6/100,0)</f>
        <v>0</v>
      </c>
      <c r="W31" s="10" t="n">
        <f aca="false">MAX(Flows!W61*W$4*W6/100,0)</f>
        <v>0</v>
      </c>
      <c r="X31" s="10" t="n">
        <f aca="false">MAX(Flows!X61*X$4*X6/100,0)</f>
        <v>0</v>
      </c>
      <c r="Y31" s="10" t="n">
        <f aca="false">MAX(Flows!Y61*Y$4*Y6/100,0)</f>
        <v>0</v>
      </c>
      <c r="Z31" s="10" t="n">
        <f aca="false">MAX(Flows!Z61*Z$4*Z6/100,0)</f>
        <v>946079.337671967</v>
      </c>
      <c r="AA31" s="10" t="n">
        <f aca="false">MAX(Flows!AA61*AA$4*AA6/100,0)</f>
        <v>0</v>
      </c>
      <c r="AB31" s="10" t="n">
        <f aca="false">MAX(Flows!AB61*AB$4*AB6/100,0)</f>
        <v>0</v>
      </c>
      <c r="AC31" s="10" t="n">
        <f aca="false">MAX(Flows!AC61*AC$4*AC6/100,0)</f>
        <v>442553.335700895</v>
      </c>
      <c r="AD31" s="10" t="n">
        <f aca="false">MAX(Flows!AD61*AD$4*AD6/100,0)</f>
        <v>0</v>
      </c>
      <c r="AE31" s="10" t="n">
        <f aca="false">MAX(Flows!AE61*AE$4*AE6/100,0)</f>
        <v>0</v>
      </c>
      <c r="AF31" s="10" t="n">
        <f aca="false">MAX(Flows!AF61*AF$4*AF6/100,0)</f>
        <v>0</v>
      </c>
      <c r="AG31" s="10" t="n">
        <f aca="false">MAX(Flows!AG61*AG$4*AG6/100,0)</f>
        <v>0</v>
      </c>
      <c r="AH31" s="10" t="n">
        <f aca="false">MAX(Flows!AH61*AH$4*AH6/100,0)</f>
        <v>0</v>
      </c>
      <c r="AI31" s="10" t="n">
        <f aca="false">MAX(Flows!AI61*AI$4*AI6/100,0)</f>
        <v>0</v>
      </c>
      <c r="AJ31" s="10" t="n">
        <f aca="false">MAX(Flows!AJ61*AJ$4*AJ6/100,0)</f>
        <v>0</v>
      </c>
      <c r="AK31" s="10" t="n">
        <f aca="false">MAX(Flows!AK61*AK$4*AK6/100,0)</f>
        <v>0</v>
      </c>
      <c r="AL31" s="10" t="n">
        <f aca="false">MAX(Flows!AL61*AL$4*AL6/100,0)</f>
        <v>0</v>
      </c>
      <c r="AM31" s="10" t="n">
        <f aca="false">MAX(Flows!AM61*AM$4*AM6/100,0)</f>
        <v>0</v>
      </c>
      <c r="AN31" s="10" t="n">
        <f aca="false">MAX(Flows!AN61*AN$4*AN6/100,0)</f>
        <v>7725602.23811656</v>
      </c>
      <c r="AO31" s="10" t="n">
        <f aca="false">MAX(Flows!AO61*AO$4*AO6/100,0)</f>
        <v>5826582.0756743</v>
      </c>
      <c r="AP31" s="10" t="n">
        <f aca="false">MAX(Flows!AP61*AP$4*AP6/100,0)</f>
        <v>0</v>
      </c>
      <c r="AQ31" s="10" t="n">
        <f aca="false">MAX(Flows!AQ61*AQ$4*AQ6/100,0)</f>
        <v>0</v>
      </c>
      <c r="AR31" s="10" t="n">
        <f aca="false">MAX(Flows!AR61*AR$4*AR6/100,0)</f>
        <v>0</v>
      </c>
      <c r="AS31" s="10" t="n">
        <f aca="false">MAX(Flows!AS61*AS$4*AS6/100,0)</f>
        <v>9897681.2176847</v>
      </c>
      <c r="AT31" s="10" t="n">
        <f aca="false">MAX(Flows!AT61*AT$4*AT6/100,0)</f>
        <v>0</v>
      </c>
      <c r="AU31" s="10" t="n">
        <f aca="false">MAX(Flows!AU61*AU$4*AU6/100,0)</f>
        <v>0</v>
      </c>
      <c r="AV31" s="10" t="n">
        <f aca="false">MAX(Flows!AV61*AV$4*AV6/100,0)</f>
        <v>0</v>
      </c>
      <c r="AW31" s="10" t="n">
        <f aca="false">MAX(Flows!AW61*AW$4*AW6/100,0)</f>
        <v>7497426.49441667</v>
      </c>
      <c r="AX31" s="10" t="n">
        <f aca="false">MAX(Flows!AX61*AX$4*AX6/100,0)</f>
        <v>0</v>
      </c>
      <c r="AY31" s="10" t="n">
        <f aca="false">MAX(Flows!AY61*AY$4*AY6/100,0)</f>
        <v>0</v>
      </c>
      <c r="AZ31" s="10" t="n">
        <f aca="false">MAX(Flows!AZ61*AZ$4*AZ6/100,0)</f>
        <v>0</v>
      </c>
      <c r="BA31" s="10" t="n">
        <f aca="false">MAX(Flows!BA61*BA$4*BA6/100,0)</f>
        <v>0</v>
      </c>
      <c r="BB31" s="10" t="n">
        <f aca="false">MAX(Flows!BB61*BB$4*BB6/100,0)</f>
        <v>0</v>
      </c>
      <c r="BC31" s="10" t="n">
        <f aca="false">MAX(Flows!BC61*BC$4*BC6/100,0)</f>
        <v>0</v>
      </c>
      <c r="BD31" s="10" t="n">
        <f aca="false">MAX(Flows!BD61*BD$4*BD6/100,0)</f>
        <v>0</v>
      </c>
      <c r="BE31" s="10" t="n">
        <f aca="false">MAX(Flows!BE61*BE$4*BE6/100,0)</f>
        <v>0</v>
      </c>
      <c r="BF31" s="10" t="n">
        <f aca="false">MAX(Flows!BF61*BF$4*BF6/100,0)</f>
        <v>0</v>
      </c>
      <c r="BG31" s="10" t="n">
        <f aca="false">MAX(Flows!BG61*BG$4*BG6/100,0)</f>
        <v>16899266.8164991</v>
      </c>
      <c r="BH31" s="10" t="n">
        <f aca="false">MAX(Flows!BH61*BH$4*BH6/100,0)</f>
        <v>9211035.23971586</v>
      </c>
      <c r="BI31" s="10" t="n">
        <f aca="false">MAX(Flows!BI61*BI$4*BI6/100,0)</f>
        <v>0</v>
      </c>
      <c r="BJ31" s="10" t="n">
        <f aca="false">MAX(Flows!BJ61*BJ$4*BJ6/100,0)</f>
        <v>0</v>
      </c>
      <c r="BK31" s="10" t="n">
        <f aca="false">MAX(Flows!BK61*BK$4*BK6/100,0)</f>
        <v>0</v>
      </c>
      <c r="BL31" s="10" t="n">
        <f aca="false">MAX(Flows!BL61*BL$4*BL6/100,0)</f>
        <v>0</v>
      </c>
      <c r="BM31" s="10" t="n">
        <f aca="false">MAX(Flows!BM61*BM$4*BM6/100,0)</f>
        <v>0</v>
      </c>
      <c r="BN31" s="10" t="n">
        <f aca="false">MAX(Flows!BN61*BN$4*BN6/100,0)</f>
        <v>0</v>
      </c>
      <c r="BO31" s="10" t="n">
        <f aca="false">MAX(Flows!BO61*BO$4*BO6/100,0)</f>
        <v>0</v>
      </c>
      <c r="BP31" s="10" t="n">
        <f aca="false">MAX(Flows!BP61*BP$4*BP6/100,0)</f>
        <v>0</v>
      </c>
      <c r="BQ31" s="10" t="n">
        <f aca="false">MAX(Flows!BQ61*BQ$4*BQ6/100,0)</f>
        <v>0</v>
      </c>
      <c r="BR31" s="10" t="n">
        <f aca="false">MAX(Flows!BR61*BR$4*BR6/100,0)</f>
        <v>0</v>
      </c>
      <c r="BS31" s="10" t="n">
        <f aca="false">MAX(Flows!BS61*BS$4*BS6/100,0)</f>
        <v>0</v>
      </c>
      <c r="BT31" s="10" t="n">
        <f aca="false">MAX(Flows!BT61*BT$4*BT6/100,0)</f>
        <v>0</v>
      </c>
      <c r="BU31" s="10" t="n">
        <f aca="false">MAX(Flows!BU61*BU$4*BU6/100,0)</f>
        <v>0</v>
      </c>
      <c r="BV31" s="10" t="n">
        <f aca="false">MAX(Flows!BV61*BV$4*BV6/100,0)</f>
        <v>0</v>
      </c>
      <c r="BW31" s="10" t="n">
        <f aca="false">MAX(Flows!BW61*BW$4*BW6/100,0)</f>
        <v>0</v>
      </c>
      <c r="BX31" s="10" t="n">
        <f aca="false">MAX(Flows!BX61*BX$4*BX6/100,0)</f>
        <v>0</v>
      </c>
      <c r="BY31" s="10" t="n">
        <f aca="false">MAX(Flows!BY61*BY$4*BY6/100,0)</f>
        <v>0</v>
      </c>
      <c r="BZ31" s="10" t="n">
        <f aca="false">MAX(Flows!BZ61*BZ$4*BZ6/100,0)</f>
        <v>0</v>
      </c>
      <c r="CA31" s="10" t="n">
        <f aca="false">MAX(Flows!CA61*CA$4*CA6/100,0)</f>
        <v>0</v>
      </c>
      <c r="CB31" s="10" t="n">
        <f aca="false">MAX(Flows!CB61*CB$4*CB6/100,0)</f>
        <v>0</v>
      </c>
      <c r="CC31" s="10" t="n">
        <f aca="false">MAX(Flows!CC61*CC$4*CC6/100,0)</f>
        <v>0</v>
      </c>
      <c r="CD31" s="10" t="n">
        <f aca="false">MAX(Flows!CD61*CD$4*CD6/100,0)</f>
        <v>0</v>
      </c>
      <c r="CE31" s="10" t="n">
        <f aca="false">MAX(Flows!CE61*CE$4*CE6/100,0)</f>
        <v>0</v>
      </c>
      <c r="CF31" s="10" t="n">
        <f aca="false">MAX(Flows!CF61*CF$4*CF6/100,0)</f>
        <v>0</v>
      </c>
      <c r="CG31" s="10" t="n">
        <f aca="false">MAX(Flows!CG61*CG$4*CG6/100,0)</f>
        <v>0</v>
      </c>
      <c r="CH31" s="10" t="n">
        <f aca="false">MAX(Flows!CH61*CH$4*CH6/100,0)</f>
        <v>0</v>
      </c>
      <c r="CI31" s="10" t="n">
        <f aca="false">MAX(Flows!CI61*CI$4*CI6/100,0)</f>
        <v>0</v>
      </c>
      <c r="CJ31" s="10" t="n">
        <f aca="false">MAX(Flows!CJ61*CJ$4*CJ6/100,0)</f>
        <v>0</v>
      </c>
      <c r="CK31" s="10" t="n">
        <f aca="false">MAX(Flows!CK61*CK$4*CK6/100,0)</f>
        <v>0</v>
      </c>
      <c r="CL31" s="7" t="s">
        <v>320</v>
      </c>
      <c r="CM31" s="10" t="n">
        <f aca="false" t="array" ref="CM31:CM31">SUM(IF($C$150:$CK$150=CM$30,$C31:$CK31,0),IF($C$150:$CK$150=CM$30,-$C91:$CK91,0))</f>
        <v>-337298116.486029</v>
      </c>
      <c r="CN31" s="10" t="n">
        <f aca="false" t="array" ref="CN31:CN31">SUM(IF($C$150:$CK$150=CN$30,$C31:$CK31,0),IF($C$150:$CK$150=CN$30,-$C91:$CK91,0))</f>
        <v>-918868690.109735</v>
      </c>
      <c r="CO31" s="10" t="n">
        <f aca="false" t="array" ref="CO31:CO31">SUM(IF($C$150:$CK$150=CO$30,$C31:$CK31,0),IF($C$150:$CK$150=CO$30,-$C91:$CK91,0))</f>
        <v>-1135011853.70277</v>
      </c>
      <c r="CP31" s="10" t="n">
        <f aca="false" t="array" ref="CP31:CP31">SUM(IF($C$150:$CK$150=CP$30,$C31:$CK31,0),IF($C$150:$CK$150=CP$30,-$C91:$CK91,0))</f>
        <v>-453622129.827789</v>
      </c>
      <c r="CQ31" s="10" t="n">
        <f aca="false" t="array" ref="CQ31:CQ31">SUM(IF($C$150:$CK$150=CQ$30,$C31:$CK31,0),IF($C$150:$CK$150=CQ$30,-$C91:$CK91,0))</f>
        <v>-908443798.737222</v>
      </c>
      <c r="CR31" s="10" t="n">
        <f aca="false" t="array" ref="CR31:CR31">SUM(IF($C$150:$CK$150=CR$30,$C31:$CK31,0),IF($C$150:$CK$150=CR$30,-$C91:$CK91,0))</f>
        <v>-7303122207856660</v>
      </c>
      <c r="CS31" s="10" t="n">
        <f aca="false" t="array" ref="CS31:CS31">SUM(IF($C$150:$CK$150=CS$30,$C31:$CK31,0),IF($C$150:$CK$150=CS$30,-$C91:$CK91,0))</f>
        <v>-170904936.314122</v>
      </c>
      <c r="CT31" s="10" t="n">
        <f aca="false" t="array" ref="CT31:CT31">SUM(IF($C$150:$CK$150=CT$30,$C31:$CK31,0),IF($C$150:$CK$150=CT$30,-$C91:$CK91,0))</f>
        <v>-56388080.7655907</v>
      </c>
      <c r="CU31" s="10" t="n">
        <f aca="false" t="array" ref="CU31:CU31">SUM(IF($C$150:$CK$150=CU$30,$C31:$CK31,0),IF($C$150:$CK$150=CU$30,-$C91:$CK91,0))</f>
        <v>66669132.3530421</v>
      </c>
      <c r="CV31" s="10" t="n">
        <f aca="false" t="array" ref="CV31:CV31">SUM(IF($C$150:$CK$150=CV$30,$C31:$CK31,0),IF($C$150:$CK$150=CV$30,-$C91:$CK91,0))</f>
        <v>-1703153.69573005</v>
      </c>
      <c r="CX31" s="0" t="str">
        <f aca="false">INDEX($C$1:$CK$1,MATCH(LARGE($C31:$CK31,1),$C31:$CK31,0))</f>
        <v>Honey (lb)</v>
      </c>
      <c r="CY31" s="0" t="str">
        <f aca="false">INDEX($C$1:$CK$1,MATCH(LARGE($C31:$CK31,2),$C31:$CK31,0))</f>
        <v>Cured Meat (lb)</v>
      </c>
      <c r="CZ31" s="0" t="str">
        <f aca="false">INDEX($C$1:$CK$1,MATCH(LARGE($C31:$CK31,3),$C31:$CK31,0))</f>
        <v>Dagger (ea)</v>
      </c>
      <c r="DA31" s="0" t="str">
        <f aca="false">INDEX($C$1:$CK$1,MATCH(LARGE($C31:$CK31,4),$C31:$CK31,0))</f>
        <v>Salted Fish (lb)</v>
      </c>
      <c r="DB31" s="0" t="str">
        <f aca="false">INDEX($C$1:$CK$1,MATCH(LARGE($C31:$CK31,5),$C31:$CK31,0))</f>
        <v>Axe (ea)</v>
      </c>
      <c r="DD31" s="0" t="str">
        <f aca="false">IF(LARGE($CM31:$CV31,1)&gt;0,INDEX($CM$30:$CV$30,MATCH(LARGE($CM31:$CV31,1),$CM31:$CV31,0)),"N/A")</f>
        <v>Honey</v>
      </c>
      <c r="DE31" s="0" t="str">
        <f aca="false">IF(LARGE($CM31:$CV31,2)&gt;0,INDEX($CM$30:$CV$30,MATCH(LARGE($CM31:$CV31,2),$CM31:$CV31,0)),"N/A")</f>
        <v>N/A</v>
      </c>
      <c r="DF31" s="0" t="str">
        <f aca="false">IF(LARGE($CM31:$CV31,3)&gt;0,INDEX($CM$30:$CV$30,MATCH(LARGE($CM31:$CV31,3),$CM31:$CV31,0)),"N/A")</f>
        <v>N/A</v>
      </c>
      <c r="DG31" s="0" t="str">
        <f aca="false">IF(LARGE($CM31:$CV31,4)&gt;0,INDEX($CM$30:$CV$30,MATCH(LARGE($CM31:$CV31,4),$CM31:$CV31,0)),"N/A")</f>
        <v>N/A</v>
      </c>
      <c r="DH31" s="0" t="str">
        <f aca="false">IF(LARGE($CM31:$CV31,5)&gt;0,INDEX($CM$30:$CV$30,MATCH(LARGE($CM31:$CV31,5),$CM31:$CV31,0)),"N/A")</f>
        <v>N/A</v>
      </c>
    </row>
    <row r="32" customFormat="false" ht="12.8" hidden="false" customHeight="false" outlineLevel="0" collapsed="false">
      <c r="A32" s="7" t="s">
        <v>133</v>
      </c>
      <c r="B32" s="7" t="s">
        <v>39</v>
      </c>
      <c r="C32" s="10" t="n">
        <f aca="false">MAX(Flows!C62*C$4*C7/100,0)</f>
        <v>0</v>
      </c>
      <c r="D32" s="10" t="n">
        <f aca="false">MAX(Flows!D62*D$4*D7/100,0)</f>
        <v>0</v>
      </c>
      <c r="E32" s="10" t="n">
        <f aca="false">MAX(Flows!E62*E$4*E7/100,0)</f>
        <v>8047347.34833231</v>
      </c>
      <c r="F32" s="10" t="n">
        <f aca="false">MAX(Flows!F62*F$4*F7/100,0)</f>
        <v>0</v>
      </c>
      <c r="G32" s="10" t="n">
        <f aca="false">MAX(Flows!G62*G$4*G7/100,0)</f>
        <v>0</v>
      </c>
      <c r="H32" s="10" t="n">
        <f aca="false">MAX(Flows!H62*H$4*H7/100,0)</f>
        <v>0</v>
      </c>
      <c r="I32" s="10" t="n">
        <f aca="false">MAX(Flows!I62*I$4*I7/100,0)</f>
        <v>0</v>
      </c>
      <c r="J32" s="10" t="n">
        <f aca="false">MAX(Flows!J62*J$4*J7/100,0)</f>
        <v>0</v>
      </c>
      <c r="K32" s="10" t="n">
        <f aca="false">MAX(Flows!K62*K$4*K7/100,0)</f>
        <v>0</v>
      </c>
      <c r="L32" s="10" t="n">
        <f aca="false">MAX(Flows!L62*L$4*L7/100,0)</f>
        <v>0</v>
      </c>
      <c r="M32" s="10" t="n">
        <f aca="false">MAX(Flows!M62*M$4*M7/100,0)</f>
        <v>0</v>
      </c>
      <c r="N32" s="10" t="n">
        <f aca="false">MAX(Flows!N62*N$4*N7/100,0)</f>
        <v>0</v>
      </c>
      <c r="O32" s="10" t="n">
        <f aca="false">MAX(Flows!O62*O$4*O7/100,0)</f>
        <v>0</v>
      </c>
      <c r="P32" s="10" t="n">
        <f aca="false">MAX(Flows!P62*P$4*P7/100,0)</f>
        <v>0</v>
      </c>
      <c r="Q32" s="10" t="n">
        <f aca="false">MAX(Flows!Q62*Q$4*Q7/100,0)</f>
        <v>0</v>
      </c>
      <c r="R32" s="10" t="n">
        <f aca="false">MAX(Flows!R62*R$4*R7/100,0)</f>
        <v>0</v>
      </c>
      <c r="S32" s="10" t="n">
        <f aca="false">MAX(Flows!S62*S$4*S7/100,0)</f>
        <v>0</v>
      </c>
      <c r="T32" s="10" t="n">
        <f aca="false">MAX(Flows!T62*T$4*T7/100,0)</f>
        <v>0</v>
      </c>
      <c r="U32" s="10" t="n">
        <f aca="false">MAX(Flows!U62*U$4*U7/100,0)</f>
        <v>0</v>
      </c>
      <c r="V32" s="10" t="n">
        <f aca="false">MAX(Flows!V62*V$4*V7/100,0)</f>
        <v>0</v>
      </c>
      <c r="W32" s="10" t="n">
        <f aca="false">MAX(Flows!W62*W$4*W7/100,0)</f>
        <v>0</v>
      </c>
      <c r="X32" s="10" t="n">
        <f aca="false">MAX(Flows!X62*X$4*X7/100,0)</f>
        <v>0</v>
      </c>
      <c r="Y32" s="10" t="n">
        <f aca="false">MAX(Flows!Y62*Y$4*Y7/100,0)</f>
        <v>0</v>
      </c>
      <c r="Z32" s="10" t="n">
        <f aca="false">MAX(Flows!Z62*Z$4*Z7/100,0)</f>
        <v>0</v>
      </c>
      <c r="AA32" s="10" t="n">
        <f aca="false">MAX(Flows!AA62*AA$4*AA7/100,0)</f>
        <v>0</v>
      </c>
      <c r="AB32" s="10" t="n">
        <f aca="false">MAX(Flows!AB62*AB$4*AB7/100,0)</f>
        <v>0</v>
      </c>
      <c r="AC32" s="10" t="n">
        <f aca="false">MAX(Flows!AC62*AC$4*AC7/100,0)</f>
        <v>765355.180155862</v>
      </c>
      <c r="AD32" s="10" t="n">
        <f aca="false">MAX(Flows!AD62*AD$4*AD7/100,0)</f>
        <v>0</v>
      </c>
      <c r="AE32" s="10" t="n">
        <f aca="false">MAX(Flows!AE62*AE$4*AE7/100,0)</f>
        <v>0</v>
      </c>
      <c r="AF32" s="10" t="n">
        <f aca="false">MAX(Flows!AF62*AF$4*AF7/100,0)</f>
        <v>0</v>
      </c>
      <c r="AG32" s="10" t="n">
        <f aca="false">MAX(Flows!AG62*AG$4*AG7/100,0)</f>
        <v>0</v>
      </c>
      <c r="AH32" s="10" t="n">
        <f aca="false">MAX(Flows!AH62*AH$4*AH7/100,0)</f>
        <v>0</v>
      </c>
      <c r="AI32" s="10" t="n">
        <f aca="false">MAX(Flows!AI62*AI$4*AI7/100,0)</f>
        <v>0</v>
      </c>
      <c r="AJ32" s="10" t="n">
        <f aca="false">MAX(Flows!AJ62*AJ$4*AJ7/100,0)</f>
        <v>6221191.91112306</v>
      </c>
      <c r="AK32" s="10" t="n">
        <f aca="false">MAX(Flows!AK62*AK$4*AK7/100,0)</f>
        <v>0</v>
      </c>
      <c r="AL32" s="10" t="n">
        <f aca="false">MAX(Flows!AL62*AL$4*AL7/100,0)</f>
        <v>19078246.5217546</v>
      </c>
      <c r="AM32" s="10" t="n">
        <f aca="false">MAX(Flows!AM62*AM$4*AM7/100,0)</f>
        <v>0</v>
      </c>
      <c r="AN32" s="10" t="n">
        <f aca="false">MAX(Flows!AN62*AN$4*AN7/100,0)</f>
        <v>0</v>
      </c>
      <c r="AO32" s="10" t="n">
        <f aca="false">MAX(Flows!AO62*AO$4*AO7/100,0)</f>
        <v>14176088.2811799</v>
      </c>
      <c r="AP32" s="10" t="n">
        <f aca="false">MAX(Flows!AP62*AP$4*AP7/100,0)</f>
        <v>0</v>
      </c>
      <c r="AQ32" s="10" t="n">
        <f aca="false">MAX(Flows!AQ62*AQ$4*AQ7/100,0)</f>
        <v>0</v>
      </c>
      <c r="AR32" s="10" t="n">
        <f aca="false">MAX(Flows!AR62*AR$4*AR7/100,0)</f>
        <v>0</v>
      </c>
      <c r="AS32" s="10" t="n">
        <f aca="false">MAX(Flows!AS62*AS$4*AS7/100,0)</f>
        <v>0</v>
      </c>
      <c r="AT32" s="10" t="n">
        <f aca="false">MAX(Flows!AT62*AT$4*AT7/100,0)</f>
        <v>0</v>
      </c>
      <c r="AU32" s="10" t="n">
        <f aca="false">MAX(Flows!AU62*AU$4*AU7/100,0)</f>
        <v>22154237.6191353</v>
      </c>
      <c r="AV32" s="10" t="n">
        <f aca="false">MAX(Flows!AV62*AV$4*AV7/100,0)</f>
        <v>0</v>
      </c>
      <c r="AW32" s="10" t="n">
        <f aca="false">MAX(Flows!AW62*AW$4*AW7/100,0)</f>
        <v>14533725.4302259</v>
      </c>
      <c r="AX32" s="10" t="n">
        <f aca="false">MAX(Flows!AX62*AX$4*AX7/100,0)</f>
        <v>0</v>
      </c>
      <c r="AY32" s="10" t="n">
        <f aca="false">MAX(Flows!AY62*AY$4*AY7/100,0)</f>
        <v>6298890.08355577</v>
      </c>
      <c r="AZ32" s="10" t="n">
        <f aca="false">MAX(Flows!AZ62*AZ$4*AZ7/100,0)</f>
        <v>0</v>
      </c>
      <c r="BA32" s="10" t="n">
        <f aca="false">MAX(Flows!BA62*BA$4*BA7/100,0)</f>
        <v>0</v>
      </c>
      <c r="BB32" s="10" t="n">
        <f aca="false">MAX(Flows!BB62*BB$4*BB7/100,0)</f>
        <v>0</v>
      </c>
      <c r="BC32" s="10" t="n">
        <f aca="false">MAX(Flows!BC62*BC$4*BC7/100,0)</f>
        <v>0</v>
      </c>
      <c r="BD32" s="10" t="n">
        <f aca="false">MAX(Flows!BD62*BD$4*BD7/100,0)</f>
        <v>10117945.8321999</v>
      </c>
      <c r="BE32" s="10" t="n">
        <f aca="false">MAX(Flows!BE62*BE$4*BE7/100,0)</f>
        <v>0</v>
      </c>
      <c r="BF32" s="10" t="n">
        <f aca="false">MAX(Flows!BF62*BF$4*BF7/100,0)</f>
        <v>0</v>
      </c>
      <c r="BG32" s="10" t="n">
        <f aca="false">MAX(Flows!BG62*BG$4*BG7/100,0)</f>
        <v>0</v>
      </c>
      <c r="BH32" s="10" t="n">
        <f aca="false">MAX(Flows!BH62*BH$4*BH7/100,0)</f>
        <v>0</v>
      </c>
      <c r="BI32" s="10" t="n">
        <f aca="false">MAX(Flows!BI62*BI$4*BI7/100,0)</f>
        <v>0</v>
      </c>
      <c r="BJ32" s="10" t="n">
        <f aca="false">MAX(Flows!BJ62*BJ$4*BJ7/100,0)</f>
        <v>0</v>
      </c>
      <c r="BK32" s="10" t="n">
        <f aca="false">MAX(Flows!BK62*BK$4*BK7/100,0)</f>
        <v>0</v>
      </c>
      <c r="BL32" s="10" t="n">
        <f aca="false">MAX(Flows!BL62*BL$4*BL7/100,0)</f>
        <v>0</v>
      </c>
      <c r="BM32" s="10" t="n">
        <f aca="false">MAX(Flows!BM62*BM$4*BM7/100,0)</f>
        <v>0</v>
      </c>
      <c r="BN32" s="10" t="n">
        <f aca="false">MAX(Flows!BN62*BN$4*BN7/100,0)</f>
        <v>0</v>
      </c>
      <c r="BO32" s="10" t="n">
        <f aca="false">MAX(Flows!BO62*BO$4*BO7/100,0)</f>
        <v>3647944.36847222</v>
      </c>
      <c r="BP32" s="10" t="n">
        <f aca="false">MAX(Flows!BP62*BP$4*BP7/100,0)</f>
        <v>14591778.0462696</v>
      </c>
      <c r="BQ32" s="10" t="n">
        <f aca="false">MAX(Flows!BQ62*BQ$4*BQ7/100,0)</f>
        <v>0</v>
      </c>
      <c r="BR32" s="10" t="n">
        <f aca="false">MAX(Flows!BR62*BR$4*BR7/100,0)</f>
        <v>3647944.07980757</v>
      </c>
      <c r="BS32" s="10" t="n">
        <f aca="false">MAX(Flows!BS62*BS$4*BS7/100,0)</f>
        <v>3647943.6468106</v>
      </c>
      <c r="BT32" s="10" t="n">
        <f aca="false">MAX(Flows!BT62*BT$4*BT7/100,0)</f>
        <v>0</v>
      </c>
      <c r="BU32" s="10" t="n">
        <f aca="false">MAX(Flows!BU62*BU$4*BU7/100,0)</f>
        <v>0</v>
      </c>
      <c r="BV32" s="10" t="n">
        <f aca="false">MAX(Flows!BV62*BV$4*BV7/100,0)</f>
        <v>0</v>
      </c>
      <c r="BW32" s="10" t="n">
        <f aca="false">MAX(Flows!BW62*BW$4*BW7/100,0)</f>
        <v>0</v>
      </c>
      <c r="BX32" s="10" t="n">
        <f aca="false">MAX(Flows!BX62*BX$4*BX7/100,0)</f>
        <v>0</v>
      </c>
      <c r="BY32" s="10" t="n">
        <f aca="false">MAX(Flows!BY62*BY$4*BY7/100,0)</f>
        <v>0</v>
      </c>
      <c r="BZ32" s="10" t="n">
        <f aca="false">MAX(Flows!BZ62*BZ$4*BZ7/100,0)</f>
        <v>0</v>
      </c>
      <c r="CA32" s="10" t="n">
        <f aca="false">MAX(Flows!CA62*CA$4*CA7/100,0)</f>
        <v>0</v>
      </c>
      <c r="CB32" s="10" t="n">
        <f aca="false">MAX(Flows!CB62*CB$4*CB7/100,0)</f>
        <v>0</v>
      </c>
      <c r="CC32" s="10" t="n">
        <f aca="false">MAX(Flows!CC62*CC$4*CC7/100,0)</f>
        <v>0</v>
      </c>
      <c r="CD32" s="10" t="n">
        <f aca="false">MAX(Flows!CD62*CD$4*CD7/100,0)</f>
        <v>0</v>
      </c>
      <c r="CE32" s="10" t="n">
        <f aca="false">MAX(Flows!CE62*CE$4*CE7/100,0)</f>
        <v>0</v>
      </c>
      <c r="CF32" s="10" t="n">
        <f aca="false">MAX(Flows!CF62*CF$4*CF7/100,0)</f>
        <v>0</v>
      </c>
      <c r="CG32" s="10" t="n">
        <f aca="false">MAX(Flows!CG62*CG$4*CG7/100,0)</f>
        <v>3647915.64633969</v>
      </c>
      <c r="CH32" s="10" t="n">
        <f aca="false">MAX(Flows!CH62*CH$4*CH7/100,0)</f>
        <v>3647915.64633969</v>
      </c>
      <c r="CI32" s="10" t="n">
        <f aca="false">MAX(Flows!CI62*CI$4*CI7/100,0)</f>
        <v>0</v>
      </c>
      <c r="CJ32" s="10" t="n">
        <f aca="false">MAX(Flows!CJ62*CJ$4*CJ7/100,0)</f>
        <v>0</v>
      </c>
      <c r="CK32" s="10" t="n">
        <f aca="false">MAX(Flows!CK62*CK$4*CK7/100,0)</f>
        <v>0</v>
      </c>
      <c r="CL32" s="7" t="s">
        <v>320</v>
      </c>
      <c r="CM32" s="10" t="n">
        <f aca="false" t="array" ref="CM32:CM32">SUM(IF($C$150:$CK$150=CM$30,$C32:$CK32,0),IF($C$150:$CK$150=CM$30,-$C92:$CK92,0))</f>
        <v>-239723155.429829</v>
      </c>
      <c r="CN32" s="10" t="n">
        <f aca="false" t="array" ref="CN32:CN32">SUM(IF($C$150:$CK$150=CN$30,$C32:$CK32,0),IF($C$150:$CK$150=CN$30,-$C92:$CK92,0))</f>
        <v>-180424877.751181</v>
      </c>
      <c r="CO32" s="10" t="n">
        <f aca="false" t="array" ref="CO32:CO32">SUM(IF($C$150:$CK$150=CO$30,$C32:$CK32,0),IF($C$150:$CK$150=CO$30,-$C92:$CK92,0))</f>
        <v>-1039021895.26845</v>
      </c>
      <c r="CP32" s="10" t="n">
        <f aca="false" t="array" ref="CP32:CP32">SUM(IF($C$150:$CK$150=CP$30,$C32:$CK32,0),IF($C$150:$CK$150=CP$30,-$C92:$CK92,0))</f>
        <v>-268564360.316997</v>
      </c>
      <c r="CQ32" s="10" t="n">
        <f aca="false" t="array" ref="CQ32:CQ32">SUM(IF($C$150:$CK$150=CQ$30,$C32:$CK32,0),IF($C$150:$CK$150=CQ$30,-$C92:$CK92,0))</f>
        <v>-510741681.048064</v>
      </c>
      <c r="CR32" s="10" t="n">
        <f aca="false" t="array" ref="CR32:CR32">SUM(IF($C$150:$CK$150=CR$30,$C32:$CK32,0),IF($C$150:$CK$150=CR$30,-$C92:$CK92,0))</f>
        <v>-5186246.09381799</v>
      </c>
      <c r="CS32" s="10" t="n">
        <f aca="false" t="array" ref="CS32:CS32">SUM(IF($C$150:$CK$150=CS$30,$C32:$CK32,0),IF($C$150:$CK$150=CS$30,-$C92:$CK92,0))</f>
        <v>-46089411.3036898</v>
      </c>
      <c r="CT32" s="10" t="n">
        <f aca="false" t="array" ref="CT32:CT32">SUM(IF($C$150:$CK$150=CT$30,$C32:$CK32,0),IF($C$150:$CK$150=CT$30,-$C92:$CK92,0))</f>
        <v>-18139242.2141088</v>
      </c>
      <c r="CU32" s="10" t="n">
        <f aca="false" t="array" ref="CU32:CU32">SUM(IF($C$150:$CK$150=CU$30,$C32:$CK32,0),IF($C$150:$CK$150=CU$30,-$C92:$CK92,0))</f>
        <v>-70036957.3929564</v>
      </c>
      <c r="CV32" s="10" t="n">
        <f aca="false" t="array" ref="CV32:CV32">SUM(IF($C$150:$CK$150=CV$30,$C32:$CK32,0),IF($C$150:$CK$150=CV$30,-$C92:$CK92,0))</f>
        <v>-3327548.57325592</v>
      </c>
      <c r="CX32" s="0" t="str">
        <f aca="false">INDEX($C$1:$CK$1,MATCH(LARGE($C32:$CK32,1),$C32:$CK32,0))</f>
        <v>Spear (ea)</v>
      </c>
      <c r="CY32" s="0" t="str">
        <f aca="false">INDEX($C$1:$CK$1,MATCH(LARGE($C32:$CK32,2),$C32:$CK32,0))</f>
        <v>Hammers (ea)</v>
      </c>
      <c r="CZ32" s="0" t="str">
        <f aca="false">INDEX($C$1:$CK$1,MATCH(LARGE($C32:$CK32,3),$C32:$CK32,0))</f>
        <v>Iron (lb)</v>
      </c>
      <c r="DA32" s="0" t="str">
        <f aca="false">INDEX($C$1:$CK$1,MATCH(LARGE($C32:$CK32,4),$C32:$CK32,0))</f>
        <v>Thread (Kyd)</v>
      </c>
      <c r="DB32" s="0" t="str">
        <f aca="false">INDEX($C$1:$CK$1,MATCH(LARGE($C32:$CK32,5),$C32:$CK32,0))</f>
        <v>Chainmail (ea)</v>
      </c>
      <c r="DD32" s="0" t="str">
        <f aca="false">IF(LARGE($CM32:$CV32,1)&gt;0,INDEX($CM$30:$CV$30,MATCH(LARGE($CM32:$CV32,1),$CM32:$CV32,0)),"N/A")</f>
        <v>N/A</v>
      </c>
      <c r="DE32" s="0" t="str">
        <f aca="false">IF(LARGE($CM32:$CV32,2)&gt;0,INDEX($CM$30:$CV$30,MATCH(LARGE($CM32:$CV32,2),$CM32:$CV32,0)),"N/A")</f>
        <v>N/A</v>
      </c>
      <c r="DF32" s="0" t="str">
        <f aca="false">IF(LARGE($CM32:$CV32,3)&gt;0,INDEX($CM$30:$CV$30,MATCH(LARGE($CM32:$CV32,3),$CM32:$CV32,0)),"N/A")</f>
        <v>N/A</v>
      </c>
      <c r="DG32" s="0" t="str">
        <f aca="false">IF(LARGE($CM32:$CV32,4)&gt;0,INDEX($CM$30:$CV$30,MATCH(LARGE($CM32:$CV32,4),$CM32:$CV32,0)),"N/A")</f>
        <v>N/A</v>
      </c>
      <c r="DH32" s="0" t="str">
        <f aca="false">IF(LARGE($CM32:$CV32,5)&gt;0,INDEX($CM$30:$CV$30,MATCH(LARGE($CM32:$CV32,5),$CM32:$CV32,0)),"N/A")</f>
        <v>N/A</v>
      </c>
    </row>
    <row r="33" customFormat="false" ht="12.8" hidden="false" customHeight="false" outlineLevel="0" collapsed="false">
      <c r="A33" s="7" t="s">
        <v>135</v>
      </c>
      <c r="B33" s="7" t="s">
        <v>39</v>
      </c>
      <c r="C33" s="10" t="n">
        <f aca="false">MAX(Flows!C63*C$4*C8/100,0)</f>
        <v>0</v>
      </c>
      <c r="D33" s="10" t="n">
        <f aca="false">MAX(Flows!D63*D$4*D8/100,0)</f>
        <v>0</v>
      </c>
      <c r="E33" s="10" t="n">
        <f aca="false">MAX(Flows!E63*E$4*E8/100,0)</f>
        <v>0</v>
      </c>
      <c r="F33" s="10" t="n">
        <f aca="false">MAX(Flows!F63*F$4*F8/100,0)</f>
        <v>0</v>
      </c>
      <c r="G33" s="10" t="n">
        <f aca="false">MAX(Flows!G63*G$4*G8/100,0)</f>
        <v>557393.327367803</v>
      </c>
      <c r="H33" s="10" t="n">
        <f aca="false">MAX(Flows!H63*H$4*H8/100,0)</f>
        <v>21778447.6814414</v>
      </c>
      <c r="I33" s="10" t="n">
        <f aca="false">MAX(Flows!I63*I$4*I8/100,0)</f>
        <v>63315290.7488105</v>
      </c>
      <c r="J33" s="10" t="n">
        <f aca="false">MAX(Flows!J63*J$4*J8/100,0)</f>
        <v>68136425.9861417</v>
      </c>
      <c r="K33" s="10" t="n">
        <f aca="false">MAX(Flows!K63*K$4*K8/100,0)</f>
        <v>0</v>
      </c>
      <c r="L33" s="10" t="n">
        <f aca="false">MAX(Flows!L63*L$4*L8/100,0)</f>
        <v>0</v>
      </c>
      <c r="M33" s="10" t="n">
        <f aca="false">MAX(Flows!M63*M$4*M8/100,0)</f>
        <v>0</v>
      </c>
      <c r="N33" s="10" t="n">
        <f aca="false">MAX(Flows!N63*N$4*N8/100,0)</f>
        <v>0</v>
      </c>
      <c r="O33" s="10" t="n">
        <f aca="false">MAX(Flows!O63*O$4*O8/100,0)</f>
        <v>0</v>
      </c>
      <c r="P33" s="10" t="n">
        <f aca="false">MAX(Flows!P63*P$4*P8/100,0)</f>
        <v>0</v>
      </c>
      <c r="Q33" s="10" t="n">
        <f aca="false">MAX(Flows!Q63*Q$4*Q8/100,0)</f>
        <v>0</v>
      </c>
      <c r="R33" s="10" t="n">
        <f aca="false">MAX(Flows!R63*R$4*R8/100,0)</f>
        <v>0</v>
      </c>
      <c r="S33" s="10" t="n">
        <f aca="false">MAX(Flows!S63*S$4*S8/100,0)</f>
        <v>0</v>
      </c>
      <c r="T33" s="10" t="n">
        <f aca="false">MAX(Flows!T63*T$4*T8/100,0)</f>
        <v>0</v>
      </c>
      <c r="U33" s="10" t="n">
        <f aca="false">MAX(Flows!U63*U$4*U8/100,0)</f>
        <v>0</v>
      </c>
      <c r="V33" s="10" t="n">
        <f aca="false">MAX(Flows!V63*V$4*V8/100,0)</f>
        <v>79553208.3202998</v>
      </c>
      <c r="W33" s="10" t="n">
        <f aca="false">MAX(Flows!W63*W$4*W8/100,0)</f>
        <v>0</v>
      </c>
      <c r="X33" s="10" t="n">
        <f aca="false">MAX(Flows!X63*X$4*X8/100,0)</f>
        <v>0</v>
      </c>
      <c r="Y33" s="10" t="n">
        <f aca="false">MAX(Flows!Y63*Y$4*Y8/100,0)</f>
        <v>0</v>
      </c>
      <c r="Z33" s="10" t="n">
        <f aca="false">MAX(Flows!Z63*Z$4*Z8/100,0)</f>
        <v>1038669.53059014</v>
      </c>
      <c r="AA33" s="10" t="n">
        <f aca="false">MAX(Flows!AA63*AA$4*AA8/100,0)</f>
        <v>0</v>
      </c>
      <c r="AB33" s="10" t="n">
        <f aca="false">MAX(Flows!AB63*AB$4*AB8/100,0)</f>
        <v>21882.6158104895</v>
      </c>
      <c r="AC33" s="10" t="n">
        <f aca="false">MAX(Flows!AC63*AC$4*AC8/100,0)</f>
        <v>73323.3546570339</v>
      </c>
      <c r="AD33" s="10" t="n">
        <f aca="false">MAX(Flows!AD63*AD$4*AD8/100,0)</f>
        <v>10941.3079052453</v>
      </c>
      <c r="AE33" s="10" t="n">
        <f aca="false">MAX(Flows!AE63*AE$4*AE8/100,0)</f>
        <v>0</v>
      </c>
      <c r="AF33" s="10" t="n">
        <f aca="false">MAX(Flows!AF63*AF$4*AF8/100,0)</f>
        <v>3223843.33469719</v>
      </c>
      <c r="AG33" s="10" t="n">
        <f aca="false">MAX(Flows!AG63*AG$4*AG8/100,0)</f>
        <v>0</v>
      </c>
      <c r="AH33" s="10" t="n">
        <f aca="false">MAX(Flows!AH63*AH$4*AH8/100,0)</f>
        <v>0</v>
      </c>
      <c r="AI33" s="10" t="n">
        <f aca="false">MAX(Flows!AI63*AI$4*AI8/100,0)</f>
        <v>2347323.44559461</v>
      </c>
      <c r="AJ33" s="10" t="n">
        <f aca="false">MAX(Flows!AJ63*AJ$4*AJ8/100,0)</f>
        <v>0</v>
      </c>
      <c r="AK33" s="10" t="n">
        <f aca="false">MAX(Flows!AK63*AK$4*AK8/100,0)</f>
        <v>12070872.6835256</v>
      </c>
      <c r="AL33" s="10" t="n">
        <f aca="false">MAX(Flows!AL63*AL$4*AL8/100,0)</f>
        <v>15331498.770735</v>
      </c>
      <c r="AM33" s="10" t="n">
        <f aca="false">MAX(Flows!AM63*AM$4*AM8/100,0)</f>
        <v>22090432.0577491</v>
      </c>
      <c r="AN33" s="10" t="n">
        <f aca="false">MAX(Flows!AN63*AN$4*AN8/100,0)</f>
        <v>0</v>
      </c>
      <c r="AO33" s="10" t="n">
        <f aca="false">MAX(Flows!AO63*AO$4*AO8/100,0)</f>
        <v>17612250.0752939</v>
      </c>
      <c r="AP33" s="10" t="n">
        <f aca="false">MAX(Flows!AP63*AP$4*AP8/100,0)</f>
        <v>0</v>
      </c>
      <c r="AQ33" s="10" t="n">
        <f aca="false">MAX(Flows!AQ63*AQ$4*AQ8/100,0)</f>
        <v>0</v>
      </c>
      <c r="AR33" s="10" t="n">
        <f aca="false">MAX(Flows!AR63*AR$4*AR8/100,0)</f>
        <v>5985378.65386721</v>
      </c>
      <c r="AS33" s="10" t="n">
        <f aca="false">MAX(Flows!AS63*AS$4*AS8/100,0)</f>
        <v>0</v>
      </c>
      <c r="AT33" s="10" t="n">
        <f aca="false">MAX(Flows!AT63*AT$4*AT8/100,0)</f>
        <v>11214782.9164531</v>
      </c>
      <c r="AU33" s="10" t="n">
        <f aca="false">MAX(Flows!AU63*AU$4*AU8/100,0)</f>
        <v>5673252.34154271</v>
      </c>
      <c r="AV33" s="10" t="n">
        <f aca="false">MAX(Flows!AV63*AV$4*AV8/100,0)</f>
        <v>21406886.8293253</v>
      </c>
      <c r="AW33" s="10" t="n">
        <f aca="false">MAX(Flows!AW63*AW$4*AW8/100,0)</f>
        <v>1461206.25053455</v>
      </c>
      <c r="AX33" s="10" t="n">
        <f aca="false">MAX(Flows!AX63*AX$4*AX8/100,0)</f>
        <v>0</v>
      </c>
      <c r="AY33" s="10" t="n">
        <f aca="false">MAX(Flows!AY63*AY$4*AY8/100,0)</f>
        <v>0</v>
      </c>
      <c r="AZ33" s="10" t="n">
        <f aca="false">MAX(Flows!AZ63*AZ$4*AZ8/100,0)</f>
        <v>287576.577258793</v>
      </c>
      <c r="BA33" s="10" t="n">
        <f aca="false">MAX(Flows!BA63*BA$4*BA8/100,0)</f>
        <v>0</v>
      </c>
      <c r="BB33" s="10" t="n">
        <f aca="false">MAX(Flows!BB63*BB$4*BB8/100,0)</f>
        <v>0</v>
      </c>
      <c r="BC33" s="10" t="n">
        <f aca="false">MAX(Flows!BC63*BC$4*BC8/100,0)</f>
        <v>0</v>
      </c>
      <c r="BD33" s="10" t="n">
        <f aca="false">MAX(Flows!BD63*BD$4*BD8/100,0)</f>
        <v>0</v>
      </c>
      <c r="BE33" s="10" t="n">
        <f aca="false">MAX(Flows!BE63*BE$4*BE8/100,0)</f>
        <v>0</v>
      </c>
      <c r="BF33" s="10" t="n">
        <f aca="false">MAX(Flows!BF63*BF$4*BF8/100,0)</f>
        <v>0</v>
      </c>
      <c r="BG33" s="10" t="n">
        <f aca="false">MAX(Flows!BG63*BG$4*BG8/100,0)</f>
        <v>22221456.4958088</v>
      </c>
      <c r="BH33" s="10" t="n">
        <f aca="false">MAX(Flows!BH63*BH$4*BH8/100,0)</f>
        <v>3385110.18462919</v>
      </c>
      <c r="BI33" s="10" t="n">
        <f aca="false">MAX(Flows!BI63*BI$4*BI8/100,0)</f>
        <v>0</v>
      </c>
      <c r="BJ33" s="10" t="n">
        <f aca="false">MAX(Flows!BJ63*BJ$4*BJ8/100,0)</f>
        <v>0</v>
      </c>
      <c r="BK33" s="10" t="n">
        <f aca="false">MAX(Flows!BK63*BK$4*BK8/100,0)</f>
        <v>0</v>
      </c>
      <c r="BL33" s="10" t="n">
        <f aca="false">MAX(Flows!BL63*BL$4*BL8/100,0)</f>
        <v>0</v>
      </c>
      <c r="BM33" s="10" t="n">
        <f aca="false">MAX(Flows!BM63*BM$4*BM8/100,0)</f>
        <v>0</v>
      </c>
      <c r="BN33" s="10" t="n">
        <f aca="false">MAX(Flows!BN63*BN$4*BN8/100,0)</f>
        <v>0</v>
      </c>
      <c r="BO33" s="10" t="n">
        <f aca="false">MAX(Flows!BO63*BO$4*BO8/100,0)</f>
        <v>0</v>
      </c>
      <c r="BP33" s="10" t="n">
        <f aca="false">MAX(Flows!BP63*BP$4*BP8/100,0)</f>
        <v>0</v>
      </c>
      <c r="BQ33" s="10" t="n">
        <f aca="false">MAX(Flows!BQ63*BQ$4*BQ8/100,0)</f>
        <v>0</v>
      </c>
      <c r="BR33" s="10" t="n">
        <f aca="false">MAX(Flows!BR63*BR$4*BR8/100,0)</f>
        <v>0</v>
      </c>
      <c r="BS33" s="10" t="n">
        <f aca="false">MAX(Flows!BS63*BS$4*BS8/100,0)</f>
        <v>0</v>
      </c>
      <c r="BT33" s="10" t="n">
        <f aca="false">MAX(Flows!BT63*BT$4*BT8/100,0)</f>
        <v>0</v>
      </c>
      <c r="BU33" s="10" t="n">
        <f aca="false">MAX(Flows!BU63*BU$4*BU8/100,0)</f>
        <v>0</v>
      </c>
      <c r="BV33" s="10" t="n">
        <f aca="false">MAX(Flows!BV63*BV$4*BV8/100,0)</f>
        <v>0</v>
      </c>
      <c r="BW33" s="10" t="n">
        <f aca="false">MAX(Flows!BW63*BW$4*BW8/100,0)</f>
        <v>0</v>
      </c>
      <c r="BX33" s="10" t="n">
        <f aca="false">MAX(Flows!BX63*BX$4*BX8/100,0)</f>
        <v>0</v>
      </c>
      <c r="BY33" s="10" t="n">
        <f aca="false">MAX(Flows!BY63*BY$4*BY8/100,0)</f>
        <v>0</v>
      </c>
      <c r="BZ33" s="10" t="n">
        <f aca="false">MAX(Flows!BZ63*BZ$4*BZ8/100,0)</f>
        <v>0</v>
      </c>
      <c r="CA33" s="10" t="n">
        <f aca="false">MAX(Flows!CA63*CA$4*CA8/100,0)</f>
        <v>0</v>
      </c>
      <c r="CB33" s="10" t="n">
        <f aca="false">MAX(Flows!CB63*CB$4*CB8/100,0)</f>
        <v>0</v>
      </c>
      <c r="CC33" s="10" t="n">
        <f aca="false">MAX(Flows!CC63*CC$4*CC8/100,0)</f>
        <v>0</v>
      </c>
      <c r="CD33" s="10" t="n">
        <f aca="false">MAX(Flows!CD63*CD$4*CD8/100,0)</f>
        <v>0</v>
      </c>
      <c r="CE33" s="10" t="n">
        <f aca="false">MAX(Flows!CE63*CE$4*CE8/100,0)</f>
        <v>0</v>
      </c>
      <c r="CF33" s="10" t="n">
        <f aca="false">MAX(Flows!CF63*CF$4*CF8/100,0)</f>
        <v>0</v>
      </c>
      <c r="CG33" s="10" t="n">
        <f aca="false">MAX(Flows!CG63*CG$4*CG8/100,0)</f>
        <v>0</v>
      </c>
      <c r="CH33" s="10" t="n">
        <f aca="false">MAX(Flows!CH63*CH$4*CH8/100,0)</f>
        <v>0</v>
      </c>
      <c r="CI33" s="10" t="n">
        <f aca="false">MAX(Flows!CI63*CI$4*CI8/100,0)</f>
        <v>0</v>
      </c>
      <c r="CJ33" s="10" t="n">
        <f aca="false">MAX(Flows!CJ63*CJ$4*CJ8/100,0)</f>
        <v>0</v>
      </c>
      <c r="CK33" s="10" t="n">
        <f aca="false">MAX(Flows!CK63*CK$4*CK8/100,0)</f>
        <v>0</v>
      </c>
      <c r="CL33" s="7" t="s">
        <v>320</v>
      </c>
      <c r="CM33" s="10" t="n">
        <f aca="false" t="array" ref="CM33:CM33">SUM(IF($C$150:$CK$150=CM$30,$C33:$CK33,0),IF($C$150:$CK$150=CM$30,-$C93:$CK93,0))</f>
        <v>-74018584.3634781</v>
      </c>
      <c r="CN33" s="10" t="n">
        <f aca="false" t="array" ref="CN33:CN33">SUM(IF($C$150:$CK$150=CN$30,$C33:$CK33,0),IF($C$150:$CK$150=CN$30,-$C93:$CK93,0))</f>
        <v>-32771259.414791</v>
      </c>
      <c r="CO33" s="10" t="n">
        <f aca="false" t="array" ref="CO33:CO33">SUM(IF($C$150:$CK$150=CO$30,$C33:$CK33,0),IF($C$150:$CK$150=CO$30,-$C93:$CK93,0))</f>
        <v>-47055349.2592209</v>
      </c>
      <c r="CP33" s="10" t="n">
        <f aca="false" t="array" ref="CP33:CP33">SUM(IF($C$150:$CK$150=CP$30,$C33:$CK33,0),IF($C$150:$CK$150=CP$30,-$C93:$CK93,0))</f>
        <v>-7440395.00123063</v>
      </c>
      <c r="CQ33" s="10" t="n">
        <f aca="false" t="array" ref="CQ33:CQ33">SUM(IF($C$150:$CK$150=CQ$30,$C33:$CK33,0),IF($C$150:$CK$150=CQ$30,-$C93:$CK93,0))</f>
        <v>16214952.4377196</v>
      </c>
      <c r="CR33" s="10" t="n">
        <f aca="false" t="array" ref="CR33:CR33">SUM(IF($C$150:$CK$150=CR$30,$C33:$CK33,0),IF($C$150:$CK$150=CR$30,-$C93:$CK93,0))</f>
        <v>-8196929943735860</v>
      </c>
      <c r="CS33" s="10" t="n">
        <f aca="false" t="array" ref="CS33:CS33">SUM(IF($C$150:$CK$150=CS$30,$C33:$CK33,0),IF($C$150:$CK$150=CS$30,-$C93:$CK93,0))</f>
        <v>16182627.7264048</v>
      </c>
      <c r="CT33" s="10" t="n">
        <f aca="false" t="array" ref="CT33:CT33">SUM(IF($C$150:$CK$150=CT$30,$C33:$CK33,0),IF($C$150:$CK$150=CT$30,-$C93:$CK93,0))</f>
        <v>-7410876.43287633</v>
      </c>
      <c r="CU33" s="10" t="n">
        <f aca="false" t="array" ref="CU33:CU33">SUM(IF($C$150:$CK$150=CU$30,$C33:$CK33,0),IF($C$150:$CK$150=CU$30,-$C93:$CK93,0))</f>
        <v>131451716.734952</v>
      </c>
      <c r="CV33" s="10" t="n">
        <f aca="false" t="array" ref="CV33:CV33">SUM(IF($C$150:$CK$150=CV$30,$C33:$CK33,0),IF($C$150:$CK$150=CV$30,-$C93:$CK93,0))</f>
        <v>32823.9237157348</v>
      </c>
      <c r="CX33" s="0" t="str">
        <f aca="false">INDEX($C$1:$CK$1,MATCH(LARGE($C33:$CK33,1),$C33:$CK33,0))</f>
        <v>Cider (gal)</v>
      </c>
      <c r="CY33" s="0" t="str">
        <f aca="false">INDEX($C$1:$CK$1,MATCH(LARGE($C33:$CK33,2),$C33:$CK33,0))</f>
        <v>Wax (lb)</v>
      </c>
      <c r="CZ33" s="0" t="str">
        <f aca="false">INDEX($C$1:$CK$1,MATCH(LARGE($C33:$CK33,3),$C33:$CK33,0))</f>
        <v>Honey (lb)</v>
      </c>
      <c r="DA33" s="0" t="str">
        <f aca="false">INDEX($C$1:$CK$1,MATCH(LARGE($C33:$CK33,4),$C33:$CK33,0))</f>
        <v>Cured Meat (lb)</v>
      </c>
      <c r="DB33" s="0" t="str">
        <f aca="false">INDEX($C$1:$CK$1,MATCH(LARGE($C33:$CK33,5),$C33:$CK33,0))</f>
        <v>Sickle (ea)</v>
      </c>
      <c r="DD33" s="0" t="str">
        <f aca="false">IF(LARGE($CM33:$CV33,1)&gt;0,INDEX($CM$30:$CV$30,MATCH(LARGE($CM33:$CV33,1),$CM33:$CV33,0)),"N/A")</f>
        <v>Honey</v>
      </c>
      <c r="DE33" s="0" t="str">
        <f aca="false">IF(LARGE($CM33:$CV33,2)&gt;0,INDEX($CM$30:$CV$30,MATCH(LARGE($CM33:$CV33,2),$CM33:$CV33,0)),"N/A")</f>
        <v>Tools</v>
      </c>
      <c r="DF33" s="0" t="str">
        <f aca="false">IF(LARGE($CM33:$CV33,3)&gt;0,INDEX($CM$30:$CV$30,MATCH(LARGE($CM33:$CV33,3),$CM33:$CV33,0)),"N/A")</f>
        <v>Wood</v>
      </c>
      <c r="DG33" s="0" t="str">
        <f aca="false">IF(LARGE($CM33:$CV33,4)&gt;0,INDEX($CM$30:$CV$30,MATCH(LARGE($CM33:$CV33,4),$CM33:$CV33,0)),"N/A")</f>
        <v>Service</v>
      </c>
      <c r="DH33" s="0" t="str">
        <f aca="false">IF(LARGE($CM33:$CV33,5)&gt;0,INDEX($CM$30:$CV$30,MATCH(LARGE($CM33:$CV33,5),$CM33:$CV33,0)),"N/A")</f>
        <v>N/A</v>
      </c>
    </row>
    <row r="34" customFormat="false" ht="12.8" hidden="false" customHeight="false" outlineLevel="0" collapsed="false">
      <c r="A34" s="7" t="s">
        <v>137</v>
      </c>
      <c r="B34" s="7" t="s">
        <v>39</v>
      </c>
      <c r="C34" s="10" t="n">
        <f aca="false">MAX(Flows!C64*C$4*C9/100,0)</f>
        <v>76822905.193766</v>
      </c>
      <c r="D34" s="10" t="n">
        <f aca="false">MAX(Flows!D64*D$4*D9/100,0)</f>
        <v>103994919.776851</v>
      </c>
      <c r="E34" s="10" t="n">
        <f aca="false">MAX(Flows!E64*E$4*E9/100,0)</f>
        <v>78388981.114406</v>
      </c>
      <c r="F34" s="10" t="n">
        <f aca="false">MAX(Flows!F64*F$4*F9/100,0)</f>
        <v>0</v>
      </c>
      <c r="G34" s="10" t="n">
        <f aca="false">MAX(Flows!G64*G$4*G9/100,0)</f>
        <v>91318488.4136297</v>
      </c>
      <c r="H34" s="10" t="n">
        <f aca="false">MAX(Flows!H64*H$4*H9/100,0)</f>
        <v>67471307.1475259</v>
      </c>
      <c r="I34" s="10" t="n">
        <f aca="false">MAX(Flows!I64*I$4*I9/100,0)</f>
        <v>0</v>
      </c>
      <c r="J34" s="10" t="n">
        <f aca="false">MAX(Flows!J64*J$4*J9/100,0)</f>
        <v>0</v>
      </c>
      <c r="K34" s="10" t="n">
        <f aca="false">MAX(Flows!K64*K$4*K9/100,0)</f>
        <v>0</v>
      </c>
      <c r="L34" s="10" t="n">
        <f aca="false">MAX(Flows!L64*L$4*L9/100,0)</f>
        <v>0</v>
      </c>
      <c r="M34" s="10" t="n">
        <f aca="false">MAX(Flows!M64*M$4*M9/100,0)</f>
        <v>0</v>
      </c>
      <c r="N34" s="10" t="n">
        <f aca="false">MAX(Flows!N64*N$4*N9/100,0)</f>
        <v>109096369.251975</v>
      </c>
      <c r="O34" s="10" t="n">
        <f aca="false">MAX(Flows!O64*O$4*O9/100,0)</f>
        <v>0</v>
      </c>
      <c r="P34" s="10" t="n">
        <f aca="false">MAX(Flows!P64*P$4*P9/100,0)</f>
        <v>0</v>
      </c>
      <c r="Q34" s="10" t="n">
        <f aca="false">MAX(Flows!Q64*Q$4*Q9/100,0)</f>
        <v>52365202.5356664</v>
      </c>
      <c r="R34" s="10" t="n">
        <f aca="false">MAX(Flows!R64*R$4*R9/100,0)</f>
        <v>71896127.3995335</v>
      </c>
      <c r="S34" s="10" t="n">
        <f aca="false">MAX(Flows!S64*S$4*S9/100,0)</f>
        <v>0</v>
      </c>
      <c r="T34" s="10" t="n">
        <f aca="false">MAX(Flows!T64*T$4*T9/100,0)</f>
        <v>0</v>
      </c>
      <c r="U34" s="10" t="n">
        <f aca="false">MAX(Flows!U64*U$4*U9/100,0)</f>
        <v>0</v>
      </c>
      <c r="V34" s="10" t="n">
        <f aca="false">MAX(Flows!V64*V$4*V9/100,0)</f>
        <v>94803627.2979914</v>
      </c>
      <c r="W34" s="10" t="n">
        <f aca="false">MAX(Flows!W64*W$4*W9/100,0)</f>
        <v>65657412.1522321</v>
      </c>
      <c r="X34" s="10" t="n">
        <f aca="false">MAX(Flows!X64*X$4*X9/100,0)</f>
        <v>107890695.5071</v>
      </c>
      <c r="Y34" s="10" t="n">
        <f aca="false">MAX(Flows!Y64*Y$4*Y9/100,0)</f>
        <v>0</v>
      </c>
      <c r="Z34" s="10" t="n">
        <f aca="false">MAX(Flows!Z64*Z$4*Z9/100,0)</f>
        <v>0</v>
      </c>
      <c r="AA34" s="10" t="n">
        <f aca="false">MAX(Flows!AA64*AA$4*AA9/100,0)</f>
        <v>0</v>
      </c>
      <c r="AB34" s="10" t="n">
        <f aca="false">MAX(Flows!AB64*AB$4*AB9/100,0)</f>
        <v>0</v>
      </c>
      <c r="AC34" s="10" t="n">
        <f aca="false">MAX(Flows!AC64*AC$4*AC9/100,0)</f>
        <v>304746.451543122</v>
      </c>
      <c r="AD34" s="10" t="n">
        <f aca="false">MAX(Flows!AD64*AD$4*AD9/100,0)</f>
        <v>0</v>
      </c>
      <c r="AE34" s="10" t="n">
        <f aca="false">MAX(Flows!AE64*AE$4*AE9/100,0)</f>
        <v>3727274.84630568</v>
      </c>
      <c r="AF34" s="10" t="n">
        <f aca="false">MAX(Flows!AF64*AF$4*AF9/100,0)</f>
        <v>2491173.4387638</v>
      </c>
      <c r="AG34" s="10" t="n">
        <f aca="false">MAX(Flows!AG64*AG$4*AG9/100,0)</f>
        <v>20770541.2828959</v>
      </c>
      <c r="AH34" s="10" t="n">
        <f aca="false">MAX(Flows!AH64*AH$4*AH9/100,0)</f>
        <v>14772738.3510291</v>
      </c>
      <c r="AI34" s="10" t="n">
        <f aca="false">MAX(Flows!AI64*AI$4*AI9/100,0)</f>
        <v>4103842.56793897</v>
      </c>
      <c r="AJ34" s="10" t="n">
        <f aca="false">MAX(Flows!AJ64*AJ$4*AJ9/100,0)</f>
        <v>1757168.03255011</v>
      </c>
      <c r="AK34" s="10" t="n">
        <f aca="false">MAX(Flows!AK64*AK$4*AK9/100,0)</f>
        <v>2423170.29943671</v>
      </c>
      <c r="AL34" s="10" t="n">
        <f aca="false">MAX(Flows!AL64*AL$4*AL9/100,0)</f>
        <v>6278489.73974276</v>
      </c>
      <c r="AM34" s="10" t="n">
        <f aca="false">MAX(Flows!AM64*AM$4*AM9/100,0)</f>
        <v>0</v>
      </c>
      <c r="AN34" s="10" t="n">
        <f aca="false">MAX(Flows!AN64*AN$4*AN9/100,0)</f>
        <v>7093506.3759394</v>
      </c>
      <c r="AO34" s="10" t="n">
        <f aca="false">MAX(Flows!AO64*AO$4*AO9/100,0)</f>
        <v>10047478.9426119</v>
      </c>
      <c r="AP34" s="10" t="n">
        <f aca="false">MAX(Flows!AP64*AP$4*AP9/100,0)</f>
        <v>8678806.41947739</v>
      </c>
      <c r="AQ34" s="10" t="n">
        <f aca="false">MAX(Flows!AQ64*AQ$4*AQ9/100,0)</f>
        <v>16062129.4705742</v>
      </c>
      <c r="AR34" s="10" t="n">
        <f aca="false">MAX(Flows!AR64*AR$4*AR9/100,0)</f>
        <v>21999224.062354</v>
      </c>
      <c r="AS34" s="10" t="n">
        <f aca="false">MAX(Flows!AS64*AS$4*AS9/100,0)</f>
        <v>2587470.20073984</v>
      </c>
      <c r="AT34" s="10" t="n">
        <f aca="false">MAX(Flows!AT64*AT$4*AT9/100,0)</f>
        <v>4657921.17295498</v>
      </c>
      <c r="AU34" s="10" t="n">
        <f aca="false">MAX(Flows!AU64*AU$4*AU9/100,0)</f>
        <v>6683736.1783522</v>
      </c>
      <c r="AV34" s="10" t="n">
        <f aca="false">MAX(Flows!AV64*AV$4*AV9/100,0)</f>
        <v>0</v>
      </c>
      <c r="AW34" s="10" t="n">
        <f aca="false">MAX(Flows!AW64*AW$4*AW9/100,0)</f>
        <v>5575225.89973393</v>
      </c>
      <c r="AX34" s="10" t="n">
        <f aca="false">MAX(Flows!AX64*AX$4*AX9/100,0)</f>
        <v>7521910.36896409</v>
      </c>
      <c r="AY34" s="10" t="n">
        <f aca="false">MAX(Flows!AY64*AY$4*AY9/100,0)</f>
        <v>0</v>
      </c>
      <c r="AZ34" s="10" t="n">
        <f aca="false">MAX(Flows!AZ64*AZ$4*AZ9/100,0)</f>
        <v>0</v>
      </c>
      <c r="BA34" s="10" t="n">
        <f aca="false">MAX(Flows!BA64*BA$4*BA9/100,0)</f>
        <v>0</v>
      </c>
      <c r="BB34" s="10" t="n">
        <f aca="false">MAX(Flows!BB64*BB$4*BB9/100,0)</f>
        <v>5154035.64301138</v>
      </c>
      <c r="BC34" s="10" t="n">
        <f aca="false">MAX(Flows!BC64*BC$4*BC9/100,0)</f>
        <v>3287620.23301425</v>
      </c>
      <c r="BD34" s="10" t="n">
        <f aca="false">MAX(Flows!BD64*BD$4*BD9/100,0)</f>
        <v>3908918.39448314</v>
      </c>
      <c r="BE34" s="10" t="n">
        <f aca="false">MAX(Flows!BE64*BE$4*BE9/100,0)</f>
        <v>3180720.1955032</v>
      </c>
      <c r="BF34" s="10" t="n">
        <f aca="false">MAX(Flows!BF64*BF$4*BF9/100,0)</f>
        <v>90087012.6150934</v>
      </c>
      <c r="BG34" s="10" t="n">
        <f aca="false">MAX(Flows!BG64*BG$4*BG9/100,0)</f>
        <v>5258948.34853807</v>
      </c>
      <c r="BH34" s="10" t="n">
        <f aca="false">MAX(Flows!BH64*BH$4*BH9/100,0)</f>
        <v>0</v>
      </c>
      <c r="BI34" s="10" t="n">
        <f aca="false">MAX(Flows!BI64*BI$4*BI9/100,0)</f>
        <v>66658117.1716343</v>
      </c>
      <c r="BJ34" s="10" t="n">
        <f aca="false">MAX(Flows!BJ64*BJ$4*BJ9/100,0)</f>
        <v>66658117.1716343</v>
      </c>
      <c r="BK34" s="10" t="n">
        <f aca="false">MAX(Flows!BK64*BK$4*BK9/100,0)</f>
        <v>66658117.1716343</v>
      </c>
      <c r="BL34" s="10" t="n">
        <f aca="false">MAX(Flows!BL64*BL$4*BL9/100,0)</f>
        <v>5236520.25356664</v>
      </c>
      <c r="BM34" s="10" t="n">
        <f aca="false">MAX(Flows!BM64*BM$4*BM9/100,0)</f>
        <v>5236520.25356664</v>
      </c>
      <c r="BN34" s="10" t="n">
        <f aca="false">MAX(Flows!BN64*BN$4*BN9/100,0)</f>
        <v>0</v>
      </c>
      <c r="BO34" s="10" t="n">
        <f aca="false">MAX(Flows!BO64*BO$4*BO9/100,0)</f>
        <v>0</v>
      </c>
      <c r="BP34" s="10" t="n">
        <f aca="false">MAX(Flows!BP64*BP$4*BP9/100,0)</f>
        <v>0</v>
      </c>
      <c r="BQ34" s="10" t="n">
        <f aca="false">MAX(Flows!BQ64*BQ$4*BQ9/100,0)</f>
        <v>0</v>
      </c>
      <c r="BR34" s="10" t="n">
        <f aca="false">MAX(Flows!BR64*BR$4*BR9/100,0)</f>
        <v>0</v>
      </c>
      <c r="BS34" s="10" t="n">
        <f aca="false">MAX(Flows!BS64*BS$4*BS9/100,0)</f>
        <v>0</v>
      </c>
      <c r="BT34" s="10" t="n">
        <f aca="false">MAX(Flows!BT64*BT$4*BT9/100,0)</f>
        <v>0</v>
      </c>
      <c r="BU34" s="10" t="n">
        <f aca="false">MAX(Flows!BU64*BU$4*BU9/100,0)</f>
        <v>0</v>
      </c>
      <c r="BV34" s="10" t="n">
        <f aca="false">MAX(Flows!BV64*BV$4*BV9/100,0)</f>
        <v>0</v>
      </c>
      <c r="BW34" s="10" t="n">
        <f aca="false">MAX(Flows!BW64*BW$4*BW9/100,0)</f>
        <v>0</v>
      </c>
      <c r="BX34" s="10" t="n">
        <f aca="false">MAX(Flows!BX64*BX$4*BX9/100,0)</f>
        <v>10473040.5071333</v>
      </c>
      <c r="BY34" s="10" t="n">
        <f aca="false">MAX(Flows!BY64*BY$4*BY9/100,0)</f>
        <v>10473040.5071333</v>
      </c>
      <c r="BZ34" s="10" t="n">
        <f aca="false">MAX(Flows!BZ64*BZ$4*BZ9/100,0)</f>
        <v>61289749.7895837</v>
      </c>
      <c r="CA34" s="10" t="n">
        <f aca="false">MAX(Flows!CA64*CA$4*CA9/100,0)</f>
        <v>61289749.7895836</v>
      </c>
      <c r="CB34" s="10" t="n">
        <f aca="false">MAX(Flows!CB64*CB$4*CB9/100,0)</f>
        <v>52365202.5356664</v>
      </c>
      <c r="CC34" s="10" t="n">
        <f aca="false">MAX(Flows!CC64*CC$4*CC9/100,0)</f>
        <v>3332905.85858171</v>
      </c>
      <c r="CD34" s="10" t="n">
        <f aca="false">MAX(Flows!CD64*CD$4*CD9/100,0)</f>
        <v>0</v>
      </c>
      <c r="CE34" s="10" t="n">
        <f aca="false">MAX(Flows!CE64*CE$4*CE9/100,0)</f>
        <v>3332905.85858171</v>
      </c>
      <c r="CF34" s="10" t="n">
        <f aca="false">MAX(Flows!CF64*CF$4*CF9/100,0)</f>
        <v>13982041.3662002</v>
      </c>
      <c r="CG34" s="10" t="n">
        <f aca="false">MAX(Flows!CG64*CG$4*CG9/100,0)</f>
        <v>0</v>
      </c>
      <c r="CH34" s="10" t="n">
        <f aca="false">MAX(Flows!CH64*CH$4*CH9/100,0)</f>
        <v>0</v>
      </c>
      <c r="CI34" s="10" t="n">
        <f aca="false">MAX(Flows!CI64*CI$4*CI9/100,0)</f>
        <v>26182601.2678332</v>
      </c>
      <c r="CJ34" s="10" t="n">
        <f aca="false">MAX(Flows!CJ64*CJ$4*CJ9/100,0)</f>
        <v>2618260.12678332</v>
      </c>
      <c r="CK34" s="10" t="n">
        <f aca="false">MAX(Flows!CK64*CK$4*CK9/100,0)</f>
        <v>2618260.12678332</v>
      </c>
      <c r="CL34" s="7" t="s">
        <v>320</v>
      </c>
      <c r="CM34" s="10" t="n">
        <f aca="false" t="array" ref="CM34:CM34">SUM(IF($C$150:$CK$150=CM$30,$C34:$CK34,0),IF($C$150:$CK$150=CM$30,-$C94:$CK94,0))</f>
        <v>490689454.063961</v>
      </c>
      <c r="CN34" s="10" t="n">
        <f aca="false" t="array" ref="CN34:CN34">SUM(IF($C$150:$CK$150=CN$30,$C34:$CK34,0),IF($C$150:$CK$150=CN$30,-$C94:$CK94,0))</f>
        <v>272155357.979682</v>
      </c>
      <c r="CO34" s="10" t="n">
        <f aca="false" t="array" ref="CO34:CO34">SUM(IF($C$150:$CK$150=CO$30,$C34:$CK34,0),IF($C$150:$CK$150=CO$30,-$C94:$CK94,0))</f>
        <v>480568594.28649</v>
      </c>
      <c r="CP34" s="10" t="n">
        <f aca="false" t="array" ref="CP34:CP34">SUM(IF($C$150:$CK$150=CP$30,$C34:$CK34,0),IF($C$150:$CK$150=CP$30,-$C94:$CK94,0))</f>
        <v>114655072.936918</v>
      </c>
      <c r="CQ34" s="10" t="n">
        <f aca="false" t="array" ref="CQ34:CQ34">SUM(IF($C$150:$CK$150=CQ$30,$C34:$CK34,0),IF($C$150:$CK$150=CQ$30,-$C94:$CK94,0))</f>
        <v>135851071.116776</v>
      </c>
      <c r="CR34" s="10" t="n">
        <f aca="false" t="array" ref="CR34:CR34">SUM(IF($C$150:$CK$150=CR$30,$C34:$CK34,0),IF($C$150:$CK$150=CR$30,-$C94:$CK94,0))</f>
        <v>-12859742177401400</v>
      </c>
      <c r="CS34" s="10" t="n">
        <f aca="false" t="array" ref="CS34:CS34">SUM(IF($C$150:$CK$150=CS$30,$C34:$CK34,0),IF($C$150:$CK$150=CS$30,-$C94:$CK94,0))</f>
        <v>3473430.35129715</v>
      </c>
      <c r="CT34" s="10" t="n">
        <f aca="false" t="array" ref="CT34:CT34">SUM(IF($C$150:$CK$150=CT$30,$C34:$CK34,0),IF($C$150:$CK$150=CT$30,-$C94:$CK94,0))</f>
        <v>19218561.6197669</v>
      </c>
      <c r="CU34" s="10" t="n">
        <f aca="false" t="array" ref="CU34:CU34">SUM(IF($C$150:$CK$150=CU$30,$C34:$CK34,0),IF($C$150:$CK$150=CU$30,-$C94:$CK94,0))</f>
        <v>-212552781.487125</v>
      </c>
      <c r="CV34" s="10" t="n">
        <f aca="false" t="array" ref="CV34:CV34">SUM(IF($C$150:$CK$150=CV$30,$C34:$CK34,0),IF($C$150:$CK$150=CV$30,-$C94:$CK94,0))</f>
        <v>-232340.18018846</v>
      </c>
      <c r="CX34" s="0" t="str">
        <f aca="false">INDEX($C$1:$CK$1,MATCH(LARGE($C34:$CK34,1),$C34:$CK34,0))</f>
        <v>Jingla (lb)</v>
      </c>
      <c r="CY34" s="0" t="str">
        <f aca="false">INDEX($C$1:$CK$1,MATCH(LARGE($C34:$CK34,2),$C34:$CK34,0))</f>
        <v>Chipak (lb)</v>
      </c>
      <c r="CZ34" s="0" t="str">
        <f aca="false">INDEX($C$1:$CK$1,MATCH(LARGE($C34:$CK34,3),$C34:$CK34,0))</f>
        <v>Jeet (lb)</v>
      </c>
      <c r="DA34" s="0" t="str">
        <f aca="false">INDEX($C$1:$CK$1,MATCH(LARGE($C34:$CK34,4),$C34:$CK34,0))</f>
        <v>Cider (gal)</v>
      </c>
      <c r="DB34" s="0" t="str">
        <f aca="false">INDEX($C$1:$CK$1,MATCH(LARGE($C34:$CK34,5),$C34:$CK34,0))</f>
        <v>Nunives (lb)</v>
      </c>
      <c r="DD34" s="0" t="str">
        <f aca="false">IF(LARGE($CM34:$CV34,1)&gt;0,INDEX($CM$30:$CV$30,MATCH(LARGE($CM34:$CV34,1),$CM34:$CV34,0)),"N/A")</f>
        <v>Produce</v>
      </c>
      <c r="DE34" s="0" t="str">
        <f aca="false">IF(LARGE($CM34:$CV34,2)&gt;0,INDEX($CM$30:$CV$30,MATCH(LARGE($CM34:$CV34,2),$CM34:$CV34,0)),"N/A")</f>
        <v>Food Prod</v>
      </c>
      <c r="DF34" s="0" t="str">
        <f aca="false">IF(LARGE($CM34:$CV34,3)&gt;0,INDEX($CM$30:$CV$30,MATCH(LARGE($CM34:$CV34,3),$CM34:$CV34,0)),"N/A")</f>
        <v>Animal</v>
      </c>
      <c r="DG34" s="0" t="str">
        <f aca="false">IF(LARGE($CM34:$CV34,4)&gt;0,INDEX($CM$30:$CV$30,MATCH(LARGE($CM34:$CV34,4),$CM34:$CV34,0)),"N/A")</f>
        <v>Tools</v>
      </c>
      <c r="DH34" s="0" t="str">
        <f aca="false">IF(LARGE($CM34:$CV34,5)&gt;0,INDEX($CM$30:$CV$30,MATCH(LARGE($CM34:$CV34,5),$CM34:$CV34,0)),"N/A")</f>
        <v>Textile</v>
      </c>
    </row>
    <row r="35" customFormat="false" ht="12.8" hidden="false" customHeight="false" outlineLevel="0" collapsed="false">
      <c r="A35" s="7" t="s">
        <v>139</v>
      </c>
      <c r="B35" s="7" t="s">
        <v>39</v>
      </c>
      <c r="C35" s="10" t="n">
        <f aca="false">MAX(Flows!C65*C$4*C10/100,0)</f>
        <v>0</v>
      </c>
      <c r="D35" s="10" t="n">
        <f aca="false">MAX(Flows!D65*D$4*D10/100,0)</f>
        <v>0</v>
      </c>
      <c r="E35" s="10" t="n">
        <f aca="false">MAX(Flows!E65*E$4*E10/100,0)</f>
        <v>0</v>
      </c>
      <c r="F35" s="10" t="n">
        <f aca="false">MAX(Flows!F65*F$4*F10/100,0)</f>
        <v>0</v>
      </c>
      <c r="G35" s="10" t="n">
        <f aca="false">MAX(Flows!G65*G$4*G10/100,0)</f>
        <v>0</v>
      </c>
      <c r="H35" s="10" t="n">
        <f aca="false">MAX(Flows!H65*H$4*H10/100,0)</f>
        <v>0</v>
      </c>
      <c r="I35" s="10" t="n">
        <f aca="false">MAX(Flows!I65*I$4*I10/100,0)</f>
        <v>25663738.7825196</v>
      </c>
      <c r="J35" s="10" t="n">
        <f aca="false">MAX(Flows!J65*J$4*J10/100,0)</f>
        <v>55277770.1914827</v>
      </c>
      <c r="K35" s="10" t="n">
        <f aca="false">MAX(Flows!K65*K$4*K10/100,0)</f>
        <v>0</v>
      </c>
      <c r="L35" s="10" t="n">
        <f aca="false">MAX(Flows!L65*L$4*L10/100,0)</f>
        <v>0</v>
      </c>
      <c r="M35" s="10" t="n">
        <f aca="false">MAX(Flows!M65*M$4*M10/100,0)</f>
        <v>0</v>
      </c>
      <c r="N35" s="10" t="n">
        <f aca="false">MAX(Flows!N65*N$4*N10/100,0)</f>
        <v>0</v>
      </c>
      <c r="O35" s="10" t="n">
        <f aca="false">MAX(Flows!O65*O$4*O10/100,0)</f>
        <v>0</v>
      </c>
      <c r="P35" s="10" t="n">
        <f aca="false">MAX(Flows!P65*P$4*P10/100,0)</f>
        <v>0</v>
      </c>
      <c r="Q35" s="10" t="n">
        <f aca="false">MAX(Flows!Q65*Q$4*Q10/100,0)</f>
        <v>0</v>
      </c>
      <c r="R35" s="10" t="n">
        <f aca="false">MAX(Flows!R65*R$4*R10/100,0)</f>
        <v>0</v>
      </c>
      <c r="S35" s="10" t="n">
        <f aca="false">MAX(Flows!S65*S$4*S10/100,0)</f>
        <v>0</v>
      </c>
      <c r="T35" s="10" t="n">
        <f aca="false">MAX(Flows!T65*T$4*T10/100,0)</f>
        <v>0</v>
      </c>
      <c r="U35" s="10" t="n">
        <f aca="false">MAX(Flows!U65*U$4*U10/100,0)</f>
        <v>0</v>
      </c>
      <c r="V35" s="10" t="n">
        <f aca="false">MAX(Flows!V65*V$4*V10/100,0)</f>
        <v>21953731.681302</v>
      </c>
      <c r="W35" s="10" t="n">
        <f aca="false">MAX(Flows!W65*W$4*W10/100,0)</f>
        <v>0</v>
      </c>
      <c r="X35" s="10" t="n">
        <f aca="false">MAX(Flows!X65*X$4*X10/100,0)</f>
        <v>0</v>
      </c>
      <c r="Y35" s="10" t="n">
        <f aca="false">MAX(Flows!Y65*Y$4*Y10/100,0)</f>
        <v>0</v>
      </c>
      <c r="Z35" s="10" t="n">
        <f aca="false">MAX(Flows!Z65*Z$4*Z10/100,0)</f>
        <v>0</v>
      </c>
      <c r="AA35" s="10" t="n">
        <f aca="false">MAX(Flows!AA65*AA$4*AA10/100,0)</f>
        <v>0</v>
      </c>
      <c r="AB35" s="10" t="n">
        <f aca="false">MAX(Flows!AB65*AB$4*AB10/100,0)</f>
        <v>0</v>
      </c>
      <c r="AC35" s="10" t="n">
        <f aca="false">MAX(Flows!AC65*AC$4*AC10/100,0)</f>
        <v>712850.02372224</v>
      </c>
      <c r="AD35" s="10" t="n">
        <f aca="false">MAX(Flows!AD65*AD$4*AD10/100,0)</f>
        <v>0</v>
      </c>
      <c r="AE35" s="10" t="n">
        <f aca="false">MAX(Flows!AE65*AE$4*AE10/100,0)</f>
        <v>0</v>
      </c>
      <c r="AF35" s="10" t="n">
        <f aca="false">MAX(Flows!AF65*AF$4*AF10/100,0)</f>
        <v>0</v>
      </c>
      <c r="AG35" s="10" t="n">
        <f aca="false">MAX(Flows!AG65*AG$4*AG10/100,0)</f>
        <v>0</v>
      </c>
      <c r="AH35" s="10" t="n">
        <f aca="false">MAX(Flows!AH65*AH$4*AH10/100,0)</f>
        <v>0</v>
      </c>
      <c r="AI35" s="10" t="n">
        <f aca="false">MAX(Flows!AI65*AI$4*AI10/100,0)</f>
        <v>0</v>
      </c>
      <c r="AJ35" s="10" t="n">
        <f aca="false">MAX(Flows!AJ65*AJ$4*AJ10/100,0)</f>
        <v>0</v>
      </c>
      <c r="AK35" s="10" t="n">
        <f aca="false">MAX(Flows!AK65*AK$4*AK10/100,0)</f>
        <v>15048290.5799719</v>
      </c>
      <c r="AL35" s="10" t="n">
        <f aca="false">MAX(Flows!AL65*AL$4*AL10/100,0)</f>
        <v>0</v>
      </c>
      <c r="AM35" s="10" t="n">
        <f aca="false">MAX(Flows!AM65*AM$4*AM10/100,0)</f>
        <v>0</v>
      </c>
      <c r="AN35" s="10" t="n">
        <f aca="false">MAX(Flows!AN65*AN$4*AN10/100,0)</f>
        <v>0</v>
      </c>
      <c r="AO35" s="10" t="n">
        <f aca="false">MAX(Flows!AO65*AO$4*AO10/100,0)</f>
        <v>0</v>
      </c>
      <c r="AP35" s="10" t="n">
        <f aca="false">MAX(Flows!AP65*AP$4*AP10/100,0)</f>
        <v>0</v>
      </c>
      <c r="AQ35" s="10" t="n">
        <f aca="false">MAX(Flows!AQ65*AQ$4*AQ10/100,0)</f>
        <v>0</v>
      </c>
      <c r="AR35" s="10" t="n">
        <f aca="false">MAX(Flows!AR65*AR$4*AR10/100,0)</f>
        <v>0</v>
      </c>
      <c r="AS35" s="10" t="n">
        <f aca="false">MAX(Flows!AS65*AS$4*AS10/100,0)</f>
        <v>0</v>
      </c>
      <c r="AT35" s="10" t="n">
        <f aca="false">MAX(Flows!AT65*AT$4*AT10/100,0)</f>
        <v>0</v>
      </c>
      <c r="AU35" s="10" t="n">
        <f aca="false">MAX(Flows!AU65*AU$4*AU10/100,0)</f>
        <v>0</v>
      </c>
      <c r="AV35" s="10" t="n">
        <f aca="false">MAX(Flows!AV65*AV$4*AV10/100,0)</f>
        <v>0</v>
      </c>
      <c r="AW35" s="10" t="n">
        <f aca="false">MAX(Flows!AW65*AW$4*AW10/100,0)</f>
        <v>13717324.5376745</v>
      </c>
      <c r="AX35" s="10" t="n">
        <f aca="false">MAX(Flows!AX65*AX$4*AX10/100,0)</f>
        <v>6407677.79296271</v>
      </c>
      <c r="AY35" s="10" t="n">
        <f aca="false">MAX(Flows!AY65*AY$4*AY10/100,0)</f>
        <v>4090287.31233645</v>
      </c>
      <c r="AZ35" s="10" t="n">
        <f aca="false">MAX(Flows!AZ65*AZ$4*AZ10/100,0)</f>
        <v>0</v>
      </c>
      <c r="BA35" s="10" t="n">
        <f aca="false">MAX(Flows!BA65*BA$4*BA10/100,0)</f>
        <v>0</v>
      </c>
      <c r="BB35" s="10" t="n">
        <f aca="false">MAX(Flows!BB65*BB$4*BB10/100,0)</f>
        <v>0</v>
      </c>
      <c r="BC35" s="10" t="n">
        <f aca="false">MAX(Flows!BC65*BC$4*BC10/100,0)</f>
        <v>0</v>
      </c>
      <c r="BD35" s="10" t="n">
        <f aca="false">MAX(Flows!BD65*BD$4*BD10/100,0)</f>
        <v>0</v>
      </c>
      <c r="BE35" s="10" t="n">
        <f aca="false">MAX(Flows!BE65*BE$4*BE10/100,0)</f>
        <v>0</v>
      </c>
      <c r="BF35" s="10" t="n">
        <f aca="false">MAX(Flows!BF65*BF$4*BF10/100,0)</f>
        <v>0</v>
      </c>
      <c r="BG35" s="10" t="n">
        <f aca="false">MAX(Flows!BG65*BG$4*BG10/100,0)</f>
        <v>0</v>
      </c>
      <c r="BH35" s="10" t="n">
        <f aca="false">MAX(Flows!BH65*BH$4*BH10/100,0)</f>
        <v>0</v>
      </c>
      <c r="BI35" s="10" t="n">
        <f aca="false">MAX(Flows!BI65*BI$4*BI10/100,0)</f>
        <v>0</v>
      </c>
      <c r="BJ35" s="10" t="n">
        <f aca="false">MAX(Flows!BJ65*BJ$4*BJ10/100,0)</f>
        <v>0</v>
      </c>
      <c r="BK35" s="10" t="n">
        <f aca="false">MAX(Flows!BK65*BK$4*BK10/100,0)</f>
        <v>0</v>
      </c>
      <c r="BL35" s="10" t="n">
        <f aca="false">MAX(Flows!BL65*BL$4*BL10/100,0)</f>
        <v>0</v>
      </c>
      <c r="BM35" s="10" t="n">
        <f aca="false">MAX(Flows!BM65*BM$4*BM10/100,0)</f>
        <v>0</v>
      </c>
      <c r="BN35" s="10" t="n">
        <f aca="false">MAX(Flows!BN65*BN$4*BN10/100,0)</f>
        <v>0</v>
      </c>
      <c r="BO35" s="10" t="n">
        <f aca="false">MAX(Flows!BO65*BO$4*BO10/100,0)</f>
        <v>2486401.46583165</v>
      </c>
      <c r="BP35" s="10" t="n">
        <f aca="false">MAX(Flows!BP65*BP$4*BP10/100,0)</f>
        <v>9945606.90414344</v>
      </c>
      <c r="BQ35" s="10" t="n">
        <f aca="false">MAX(Flows!BQ65*BQ$4*BQ10/100,0)</f>
        <v>0</v>
      </c>
      <c r="BR35" s="10" t="n">
        <f aca="false">MAX(Flows!BR65*BR$4*BR10/100,0)</f>
        <v>2486400.94092401</v>
      </c>
      <c r="BS35" s="10" t="n">
        <f aca="false">MAX(Flows!BS65*BS$4*BS10/100,0)</f>
        <v>2486400.15356255</v>
      </c>
      <c r="BT35" s="10" t="n">
        <f aca="false">MAX(Flows!BT65*BT$4*BT10/100,0)</f>
        <v>0</v>
      </c>
      <c r="BU35" s="10" t="n">
        <f aca="false">MAX(Flows!BU65*BU$4*BU10/100,0)</f>
        <v>0</v>
      </c>
      <c r="BV35" s="10" t="n">
        <f aca="false">MAX(Flows!BV65*BV$4*BV10/100,0)</f>
        <v>0</v>
      </c>
      <c r="BW35" s="10" t="n">
        <f aca="false">MAX(Flows!BW65*BW$4*BW10/100,0)</f>
        <v>0</v>
      </c>
      <c r="BX35" s="10" t="n">
        <f aca="false">MAX(Flows!BX65*BX$4*BX10/100,0)</f>
        <v>0</v>
      </c>
      <c r="BY35" s="10" t="n">
        <f aca="false">MAX(Flows!BY65*BY$4*BY10/100,0)</f>
        <v>0</v>
      </c>
      <c r="BZ35" s="10" t="n">
        <f aca="false">MAX(Flows!BZ65*BZ$4*BZ10/100,0)</f>
        <v>0</v>
      </c>
      <c r="CA35" s="10" t="n">
        <f aca="false">MAX(Flows!CA65*CA$4*CA10/100,0)</f>
        <v>0</v>
      </c>
      <c r="CB35" s="10" t="n">
        <f aca="false">MAX(Flows!CB65*CB$4*CB10/100,0)</f>
        <v>0</v>
      </c>
      <c r="CC35" s="10" t="n">
        <f aca="false">MAX(Flows!CC65*CC$4*CC10/100,0)</f>
        <v>0</v>
      </c>
      <c r="CD35" s="10" t="n">
        <f aca="false">MAX(Flows!CD65*CD$4*CD10/100,0)</f>
        <v>0</v>
      </c>
      <c r="CE35" s="10" t="n">
        <f aca="false">MAX(Flows!CE65*CE$4*CE10/100,0)</f>
        <v>0</v>
      </c>
      <c r="CF35" s="10" t="n">
        <f aca="false">MAX(Flows!CF65*CF$4*CF10/100,0)</f>
        <v>0</v>
      </c>
      <c r="CG35" s="10" t="n">
        <f aca="false">MAX(Flows!CG65*CG$4*CG10/100,0)</f>
        <v>2486349.23752169</v>
      </c>
      <c r="CH35" s="10" t="n">
        <f aca="false">MAX(Flows!CH65*CH$4*CH10/100,0)</f>
        <v>2486349.23752169</v>
      </c>
      <c r="CI35" s="10" t="n">
        <f aca="false">MAX(Flows!CI65*CI$4*CI10/100,0)</f>
        <v>0</v>
      </c>
      <c r="CJ35" s="10" t="n">
        <f aca="false">MAX(Flows!CJ65*CJ$4*CJ10/100,0)</f>
        <v>0</v>
      </c>
      <c r="CK35" s="10" t="n">
        <f aca="false">MAX(Flows!CK65*CK$4*CK10/100,0)</f>
        <v>0</v>
      </c>
      <c r="CL35" s="7" t="s">
        <v>320</v>
      </c>
      <c r="CM35" s="10" t="n">
        <f aca="false" t="array" ref="CM35:CM35">SUM(IF($C$150:$CK$150=CM$30,$C35:$CK35,0),IF($C$150:$CK$150=CM$30,-$C95:$CK95,0))</f>
        <v>-745278433.508594</v>
      </c>
      <c r="CN35" s="10" t="n">
        <f aca="false" t="array" ref="CN35:CN35">SUM(IF($C$150:$CK$150=CN$30,$C35:$CK35,0),IF($C$150:$CK$150=CN$30,-$C95:$CK95,0))</f>
        <v>-659758604.254749</v>
      </c>
      <c r="CO35" s="10" t="n">
        <f aca="false" t="array" ref="CO35:CO35">SUM(IF($C$150:$CK$150=CO$30,$C35:$CK35,0),IF($C$150:$CK$150=CO$30,-$C95:$CK95,0))</f>
        <v>-1309261661.72347</v>
      </c>
      <c r="CP35" s="10" t="n">
        <f aca="false" t="array" ref="CP35:CP35">SUM(IF($C$150:$CK$150=CP$30,$C35:$CK35,0),IF($C$150:$CK$150=CP$30,-$C95:$CK95,0))</f>
        <v>-326072673.350221</v>
      </c>
      <c r="CQ35" s="10" t="n">
        <f aca="false" t="array" ref="CQ35:CQ35">SUM(IF($C$150:$CK$150=CQ$30,$C35:$CK35,0),IF($C$150:$CK$150=CQ$30,-$C95:$CK95,0))</f>
        <v>-1019919201.00076</v>
      </c>
      <c r="CR35" s="10" t="n">
        <f aca="false" t="array" ref="CR35:CR35">SUM(IF($C$150:$CK$150=CR$30,$C35:$CK35,0),IF($C$150:$CK$150=CR$30,-$C95:$CK95,0))</f>
        <v>-841543.651272632</v>
      </c>
      <c r="CS35" s="10" t="n">
        <f aca="false" t="array" ref="CS35:CS35">SUM(IF($C$150:$CK$150=CS$30,$C35:$CK35,0),IF($C$150:$CK$150=CS$30,-$C95:$CK95,0))</f>
        <v>-202343333.246816</v>
      </c>
      <c r="CT35" s="10" t="n">
        <f aca="false" t="array" ref="CT35:CT35">SUM(IF($C$150:$CK$150=CT$30,$C35:$CK35,0),IF($C$150:$CK$150=CT$30,-$C95:$CK95,0))</f>
        <v>-45384160.9009578</v>
      </c>
      <c r="CU35" s="10" t="n">
        <f aca="false" t="array" ref="CU35:CU35">SUM(IF($C$150:$CK$150=CU$30,$C35:$CK35,0),IF($C$150:$CK$150=CU$30,-$C95:$CK95,0))</f>
        <v>80941508.9740023</v>
      </c>
      <c r="CV35" s="10" t="n">
        <f aca="false" t="array" ref="CV35:CV35">SUM(IF($C$150:$CK$150=CV$30,$C35:$CK35,0),IF($C$150:$CK$150=CV$30,-$C95:$CK95,0))</f>
        <v>-2714726.99963435</v>
      </c>
      <c r="CX35" s="0" t="str">
        <f aca="false">INDEX($C$1:$CK$1,MATCH(LARGE($C35:$CK35,1),$C35:$CK35,0))</f>
        <v>Wax (lb)</v>
      </c>
      <c r="CY35" s="0" t="str">
        <f aca="false">INDEX($C$1:$CK$1,MATCH(LARGE($C35:$CK35,2),$C35:$CK35,0))</f>
        <v>Honey (lb)</v>
      </c>
      <c r="CZ35" s="0" t="str">
        <f aca="false">INDEX($C$1:$CK$1,MATCH(LARGE($C35:$CK35,3),$C35:$CK35,0))</f>
        <v>Cider (gal)</v>
      </c>
      <c r="DA35" s="0" t="str">
        <f aca="false">INDEX($C$1:$CK$1,MATCH(LARGE($C35:$CK35,4),$C35:$CK35,0))</f>
        <v>Chisels (ea)</v>
      </c>
      <c r="DB35" s="0" t="str">
        <f aca="false">INDEX($C$1:$CK$1,MATCH(LARGE($C35:$CK35,5),$C35:$CK35,0))</f>
        <v>Thread (Kyd)</v>
      </c>
      <c r="DD35" s="0" t="str">
        <f aca="false">IF(LARGE($CM35:$CV35,1)&gt;0,INDEX($CM$30:$CV$30,MATCH(LARGE($CM35:$CV35,1),$CM35:$CV35,0)),"N/A")</f>
        <v>Honey</v>
      </c>
      <c r="DE35" s="0" t="str">
        <f aca="false">IF(LARGE($CM35:$CV35,2)&gt;0,INDEX($CM$30:$CV$30,MATCH(LARGE($CM35:$CV35,2),$CM35:$CV35,0)),"N/A")</f>
        <v>N/A</v>
      </c>
      <c r="DF35" s="0" t="str">
        <f aca="false">IF(LARGE($CM35:$CV35,3)&gt;0,INDEX($CM$30:$CV$30,MATCH(LARGE($CM35:$CV35,3),$CM35:$CV35,0)),"N/A")</f>
        <v>N/A</v>
      </c>
      <c r="DG35" s="0" t="str">
        <f aca="false">IF(LARGE($CM35:$CV35,4)&gt;0,INDEX($CM$30:$CV$30,MATCH(LARGE($CM35:$CV35,4),$CM35:$CV35,0)),"N/A")</f>
        <v>N/A</v>
      </c>
      <c r="DH35" s="0" t="str">
        <f aca="false">IF(LARGE($CM35:$CV35,5)&gt;0,INDEX($CM$30:$CV$30,MATCH(LARGE($CM35:$CV35,5),$CM35:$CV35,0)),"N/A")</f>
        <v>N/A</v>
      </c>
    </row>
    <row r="36" customFormat="false" ht="12.8" hidden="false" customHeight="false" outlineLevel="0" collapsed="false">
      <c r="A36" s="7" t="s">
        <v>140</v>
      </c>
      <c r="B36" s="7" t="s">
        <v>39</v>
      </c>
      <c r="C36" s="10" t="n">
        <f aca="false">MAX(Flows!C66*C$4*C11/100,0)</f>
        <v>9383901.07644382</v>
      </c>
      <c r="D36" s="10" t="n">
        <f aca="false">MAX(Flows!D66*D$4*D11/100,0)</f>
        <v>24290792.6993875</v>
      </c>
      <c r="E36" s="10" t="n">
        <f aca="false">MAX(Flows!E66*E$4*E11/100,0)</f>
        <v>0</v>
      </c>
      <c r="F36" s="10" t="n">
        <f aca="false">MAX(Flows!F66*F$4*F11/100,0)</f>
        <v>0</v>
      </c>
      <c r="G36" s="10" t="n">
        <f aca="false">MAX(Flows!G66*G$4*G11/100,0)</f>
        <v>27117513.8139497</v>
      </c>
      <c r="H36" s="10" t="n">
        <f aca="false">MAX(Flows!H66*H$4*H11/100,0)</f>
        <v>48761436.6581334</v>
      </c>
      <c r="I36" s="10" t="n">
        <f aca="false">MAX(Flows!I66*I$4*I11/100,0)</f>
        <v>63424565.9075885</v>
      </c>
      <c r="J36" s="10" t="n">
        <f aca="false">MAX(Flows!J66*J$4*J11/100,0)</f>
        <v>67650008.7523374</v>
      </c>
      <c r="K36" s="10" t="n">
        <f aca="false">MAX(Flows!K66*K$4*K11/100,0)</f>
        <v>0</v>
      </c>
      <c r="L36" s="10" t="n">
        <f aca="false">MAX(Flows!L66*L$4*L11/100,0)</f>
        <v>0</v>
      </c>
      <c r="M36" s="10" t="n">
        <f aca="false">MAX(Flows!M66*M$4*M11/100,0)</f>
        <v>0</v>
      </c>
      <c r="N36" s="10" t="n">
        <f aca="false">MAX(Flows!N66*N$4*N11/100,0)</f>
        <v>24840779.8697542</v>
      </c>
      <c r="O36" s="10" t="n">
        <f aca="false">MAX(Flows!O66*O$4*O11/100,0)</f>
        <v>0</v>
      </c>
      <c r="P36" s="10" t="n">
        <f aca="false">MAX(Flows!P66*P$4*P11/100,0)</f>
        <v>0</v>
      </c>
      <c r="Q36" s="10" t="n">
        <f aca="false">MAX(Flows!Q66*Q$4*Q11/100,0)</f>
        <v>0</v>
      </c>
      <c r="R36" s="10" t="n">
        <f aca="false">MAX(Flows!R66*R$4*R11/100,0)</f>
        <v>10544012.5337019</v>
      </c>
      <c r="S36" s="10" t="n">
        <f aca="false">MAX(Flows!S66*S$4*S11/100,0)</f>
        <v>0</v>
      </c>
      <c r="T36" s="10" t="n">
        <f aca="false">MAX(Flows!T66*T$4*T11/100,0)</f>
        <v>0</v>
      </c>
      <c r="U36" s="10" t="n">
        <f aca="false">MAX(Flows!U66*U$4*U11/100,0)</f>
        <v>0</v>
      </c>
      <c r="V36" s="10" t="n">
        <f aca="false">MAX(Flows!V66*V$4*V11/100,0)</f>
        <v>0</v>
      </c>
      <c r="W36" s="10" t="n">
        <f aca="false">MAX(Flows!W66*W$4*W11/100,0)</f>
        <v>36337749.4579781</v>
      </c>
      <c r="X36" s="10" t="n">
        <f aca="false">MAX(Flows!X66*X$4*X11/100,0)</f>
        <v>0</v>
      </c>
      <c r="Y36" s="10" t="n">
        <f aca="false">MAX(Flows!Y66*Y$4*Y11/100,0)</f>
        <v>0</v>
      </c>
      <c r="Z36" s="10" t="n">
        <f aca="false">MAX(Flows!Z66*Z$4*Z11/100,0)</f>
        <v>716608.664363157</v>
      </c>
      <c r="AA36" s="10" t="n">
        <f aca="false">MAX(Flows!AA66*AA$4*AA11/100,0)</f>
        <v>0</v>
      </c>
      <c r="AB36" s="10" t="n">
        <f aca="false">MAX(Flows!AB66*AB$4*AB11/100,0)</f>
        <v>0</v>
      </c>
      <c r="AC36" s="10" t="n">
        <f aca="false">MAX(Flows!AC66*AC$4*AC11/100,0)</f>
        <v>0</v>
      </c>
      <c r="AD36" s="10" t="n">
        <f aca="false">MAX(Flows!AD66*AD$4*AD11/100,0)</f>
        <v>0</v>
      </c>
      <c r="AE36" s="10" t="n">
        <f aca="false">MAX(Flows!AE66*AE$4*AE11/100,0)</f>
        <v>4802025.97317024</v>
      </c>
      <c r="AF36" s="10" t="n">
        <f aca="false">MAX(Flows!AF66*AF$4*AF11/100,0)</f>
        <v>0</v>
      </c>
      <c r="AG36" s="10" t="n">
        <f aca="false">MAX(Flows!AG66*AG$4*AG11/100,0)</f>
        <v>8993796.90966994</v>
      </c>
      <c r="AH36" s="10" t="n">
        <f aca="false">MAX(Flows!AH66*AH$4*AH11/100,0)</f>
        <v>0</v>
      </c>
      <c r="AI36" s="10" t="n">
        <f aca="false">MAX(Flows!AI66*AI$4*AI11/100,0)</f>
        <v>0</v>
      </c>
      <c r="AJ36" s="10" t="n">
        <f aca="false">MAX(Flows!AJ66*AJ$4*AJ11/100,0)</f>
        <v>0</v>
      </c>
      <c r="AK36" s="10" t="n">
        <f aca="false">MAX(Flows!AK66*AK$4*AK11/100,0)</f>
        <v>14138210.4494681</v>
      </c>
      <c r="AL36" s="10" t="n">
        <f aca="false">MAX(Flows!AL66*AL$4*AL11/100,0)</f>
        <v>0</v>
      </c>
      <c r="AM36" s="10" t="n">
        <f aca="false">MAX(Flows!AM66*AM$4*AM11/100,0)</f>
        <v>7125836.90467125</v>
      </c>
      <c r="AN36" s="10" t="n">
        <f aca="false">MAX(Flows!AN66*AN$4*AN11/100,0)</f>
        <v>16204302.1617523</v>
      </c>
      <c r="AO36" s="10" t="n">
        <f aca="false">MAX(Flows!AO66*AO$4*AO11/100,0)</f>
        <v>0</v>
      </c>
      <c r="AP36" s="10" t="n">
        <f aca="false">MAX(Flows!AP66*AP$4*AP11/100,0)</f>
        <v>2493711.55717269</v>
      </c>
      <c r="AQ36" s="10" t="n">
        <f aca="false">MAX(Flows!AQ66*AQ$4*AQ11/100,0)</f>
        <v>17914499.8662873</v>
      </c>
      <c r="AR36" s="10" t="n">
        <f aca="false">MAX(Flows!AR66*AR$4*AR11/100,0)</f>
        <v>0</v>
      </c>
      <c r="AS36" s="10" t="n">
        <f aca="false">MAX(Flows!AS66*AS$4*AS11/100,0)</f>
        <v>47555.1874686738</v>
      </c>
      <c r="AT36" s="10" t="n">
        <f aca="false">MAX(Flows!AT66*AT$4*AT11/100,0)</f>
        <v>0</v>
      </c>
      <c r="AU36" s="10" t="n">
        <f aca="false">MAX(Flows!AU66*AU$4*AU11/100,0)</f>
        <v>13831170.768373</v>
      </c>
      <c r="AV36" s="10" t="n">
        <f aca="false">MAX(Flows!AV66*AV$4*AV11/100,0)</f>
        <v>21505771.3533172</v>
      </c>
      <c r="AW36" s="10" t="n">
        <f aca="false">MAX(Flows!AW66*AW$4*AW11/100,0)</f>
        <v>0</v>
      </c>
      <c r="AX36" s="10" t="n">
        <f aca="false">MAX(Flows!AX66*AX$4*AX11/100,0)</f>
        <v>0</v>
      </c>
      <c r="AY36" s="10" t="n">
        <f aca="false">MAX(Flows!AY66*AY$4*AY11/100,0)</f>
        <v>0</v>
      </c>
      <c r="AZ36" s="10" t="n">
        <f aca="false">MAX(Flows!AZ66*AZ$4*AZ11/100,0)</f>
        <v>0</v>
      </c>
      <c r="BA36" s="10" t="n">
        <f aca="false">MAX(Flows!BA66*BA$4*BA11/100,0)</f>
        <v>0</v>
      </c>
      <c r="BB36" s="10" t="n">
        <f aca="false">MAX(Flows!BB66*BB$4*BB11/100,0)</f>
        <v>7955736.71280422</v>
      </c>
      <c r="BC36" s="10" t="n">
        <f aca="false">MAX(Flows!BC66*BC$4*BC11/100,0)</f>
        <v>5382553.76143877</v>
      </c>
      <c r="BD36" s="10" t="n">
        <f aca="false">MAX(Flows!BD66*BD$4*BD11/100,0)</f>
        <v>0</v>
      </c>
      <c r="BE36" s="10" t="n">
        <f aca="false">MAX(Flows!BE66*BE$4*BE11/100,0)</f>
        <v>9699053.75896398</v>
      </c>
      <c r="BF36" s="10" t="n">
        <f aca="false">MAX(Flows!BF66*BF$4*BF11/100,0)</f>
        <v>0</v>
      </c>
      <c r="BG36" s="10" t="n">
        <f aca="false">MAX(Flows!BG66*BG$4*BG11/100,0)</f>
        <v>0</v>
      </c>
      <c r="BH36" s="10" t="n">
        <f aca="false">MAX(Flows!BH66*BH$4*BH11/100,0)</f>
        <v>0</v>
      </c>
      <c r="BI36" s="10" t="n">
        <f aca="false">MAX(Flows!BI66*BI$4*BI11/100,0)</f>
        <v>0</v>
      </c>
      <c r="BJ36" s="10" t="n">
        <f aca="false">MAX(Flows!BJ66*BJ$4*BJ11/100,0)</f>
        <v>0</v>
      </c>
      <c r="BK36" s="10" t="n">
        <f aca="false">MAX(Flows!BK66*BK$4*BK11/100,0)</f>
        <v>0</v>
      </c>
      <c r="BL36" s="10" t="n">
        <f aca="false">MAX(Flows!BL66*BL$4*BL11/100,0)</f>
        <v>0</v>
      </c>
      <c r="BM36" s="10" t="n">
        <f aca="false">MAX(Flows!BM66*BM$4*BM11/100,0)</f>
        <v>0</v>
      </c>
      <c r="BN36" s="10" t="n">
        <f aca="false">MAX(Flows!BN66*BN$4*BN11/100,0)</f>
        <v>0</v>
      </c>
      <c r="BO36" s="10" t="n">
        <f aca="false">MAX(Flows!BO66*BO$4*BO11/100,0)</f>
        <v>0</v>
      </c>
      <c r="BP36" s="10" t="n">
        <f aca="false">MAX(Flows!BP66*BP$4*BP11/100,0)</f>
        <v>0</v>
      </c>
      <c r="BQ36" s="10" t="n">
        <f aca="false">MAX(Flows!BQ66*BQ$4*BQ11/100,0)</f>
        <v>0</v>
      </c>
      <c r="BR36" s="10" t="n">
        <f aca="false">MAX(Flows!BR66*BR$4*BR11/100,0)</f>
        <v>0</v>
      </c>
      <c r="BS36" s="10" t="n">
        <f aca="false">MAX(Flows!BS66*BS$4*BS11/100,0)</f>
        <v>0</v>
      </c>
      <c r="BT36" s="10" t="n">
        <f aca="false">MAX(Flows!BT66*BT$4*BT11/100,0)</f>
        <v>0</v>
      </c>
      <c r="BU36" s="10" t="n">
        <f aca="false">MAX(Flows!BU66*BU$4*BU11/100,0)</f>
        <v>0</v>
      </c>
      <c r="BV36" s="10" t="n">
        <f aca="false">MAX(Flows!BV66*BV$4*BV11/100,0)</f>
        <v>0</v>
      </c>
      <c r="BW36" s="10" t="n">
        <f aca="false">MAX(Flows!BW66*BW$4*BW11/100,0)</f>
        <v>0</v>
      </c>
      <c r="BX36" s="10" t="n">
        <f aca="false">MAX(Flows!BX66*BX$4*BX11/100,0)</f>
        <v>0</v>
      </c>
      <c r="BY36" s="10" t="n">
        <f aca="false">MAX(Flows!BY66*BY$4*BY11/100,0)</f>
        <v>0</v>
      </c>
      <c r="BZ36" s="10" t="n">
        <f aca="false">MAX(Flows!BZ66*BZ$4*BZ11/100,0)</f>
        <v>0</v>
      </c>
      <c r="CA36" s="10" t="n">
        <f aca="false">MAX(Flows!CA66*CA$4*CA11/100,0)</f>
        <v>0</v>
      </c>
      <c r="CB36" s="10" t="n">
        <f aca="false">MAX(Flows!CB66*CB$4*CB11/100,0)</f>
        <v>0</v>
      </c>
      <c r="CC36" s="10" t="n">
        <f aca="false">MAX(Flows!CC66*CC$4*CC11/100,0)</f>
        <v>0</v>
      </c>
      <c r="CD36" s="10" t="n">
        <f aca="false">MAX(Flows!CD66*CD$4*CD11/100,0)</f>
        <v>0</v>
      </c>
      <c r="CE36" s="10" t="n">
        <f aca="false">MAX(Flows!CE66*CE$4*CE11/100,0)</f>
        <v>0</v>
      </c>
      <c r="CF36" s="10" t="n">
        <f aca="false">MAX(Flows!CF66*CF$4*CF11/100,0)</f>
        <v>0</v>
      </c>
      <c r="CG36" s="10" t="n">
        <f aca="false">MAX(Flows!CG66*CG$4*CG11/100,0)</f>
        <v>0</v>
      </c>
      <c r="CH36" s="10" t="n">
        <f aca="false">MAX(Flows!CH66*CH$4*CH11/100,0)</f>
        <v>0</v>
      </c>
      <c r="CI36" s="10" t="n">
        <f aca="false">MAX(Flows!CI66*CI$4*CI11/100,0)</f>
        <v>0</v>
      </c>
      <c r="CJ36" s="10" t="n">
        <f aca="false">MAX(Flows!CJ66*CJ$4*CJ11/100,0)</f>
        <v>0</v>
      </c>
      <c r="CK36" s="10" t="n">
        <f aca="false">MAX(Flows!CK66*CK$4*CK11/100,0)</f>
        <v>0</v>
      </c>
      <c r="CL36" s="7" t="s">
        <v>320</v>
      </c>
      <c r="CM36" s="10" t="n">
        <f aca="false" t="array" ref="CM36:CM36">SUM(IF($C$150:$CK$150=CM$30,$C36:$CK36,0),IF($C$150:$CK$150=CM$30,-$C96:$CK96,0))</f>
        <v>52001663.7610084</v>
      </c>
      <c r="CN36" s="10" t="n">
        <f aca="false" t="array" ref="CN36:CN36">SUM(IF($C$150:$CK$150=CN$30,$C36:$CK36,0),IF($C$150:$CK$150=CN$30,-$C96:$CK96,0))</f>
        <v>-47215138.4651066</v>
      </c>
      <c r="CO36" s="10" t="n">
        <f aca="false" t="array" ref="CO36:CO36">SUM(IF($C$150:$CK$150=CO$30,$C36:$CK36,0),IF($C$150:$CK$150=CO$30,-$C96:$CK96,0))</f>
        <v>26205385.9664662</v>
      </c>
      <c r="CP36" s="10" t="n">
        <f aca="false" t="array" ref="CP36:CP36">SUM(IF($C$150:$CK$150=CP$30,$C36:$CK36,0),IF($C$150:$CK$150=CP$30,-$C96:$CK96,0))</f>
        <v>27229270.0325141</v>
      </c>
      <c r="CQ36" s="10" t="n">
        <f aca="false" t="array" ref="CQ36:CQ36">SUM(IF($C$150:$CK$150=CQ$30,$C36:$CK36,0),IF($C$150:$CK$150=CQ$30,-$C96:$CK96,0))</f>
        <v>13159566.881993</v>
      </c>
      <c r="CR36" s="10" t="n">
        <f aca="false" t="array" ref="CR36:CR36">SUM(IF($C$150:$CK$150=CR$30,$C36:$CK36,0),IF($C$150:$CK$150=CR$30,-$C96:$CK96,0))</f>
        <v>-17418502496848300</v>
      </c>
      <c r="CS36" s="10" t="n">
        <f aca="false" t="array" ref="CS36:CS36">SUM(IF($C$150:$CK$150=CS$30,$C36:$CK36,0),IF($C$150:$CK$150=CS$30,-$C96:$CK96,0))</f>
        <v>4051306.5348191</v>
      </c>
      <c r="CT36" s="10" t="n">
        <f aca="false" t="array" ref="CT36:CT36">SUM(IF($C$150:$CK$150=CT$30,$C36:$CK36,0),IF($C$150:$CK$150=CT$30,-$C96:$CK96,0))</f>
        <v>-2533454.07580599</v>
      </c>
      <c r="CU36" s="10" t="n">
        <f aca="false" t="array" ref="CU36:CU36">SUM(IF($C$150:$CK$150=CU$30,$C36:$CK36,0),IF($C$150:$CK$150=CU$30,-$C96:$CK96,0))</f>
        <v>131074574.659926</v>
      </c>
      <c r="CV36" s="10" t="n">
        <f aca="false" t="array" ref="CV36:CV36">SUM(IF($C$150:$CK$150=CV$30,$C36:$CK36,0),IF($C$150:$CK$150=CV$30,-$C96:$CK96,0))</f>
        <v>-948776.979411419</v>
      </c>
      <c r="CX36" s="0" t="str">
        <f aca="false">INDEX($C$1:$CK$1,MATCH(LARGE($C36:$CK36,1),$C36:$CK36,0))</f>
        <v>Wax (lb)</v>
      </c>
      <c r="CY36" s="0" t="str">
        <f aca="false">INDEX($C$1:$CK$1,MATCH(LARGE($C36:$CK36,2),$C36:$CK36,0))</f>
        <v>Honey (lb)</v>
      </c>
      <c r="CZ36" s="0" t="str">
        <f aca="false">INDEX($C$1:$CK$1,MATCH(LARGE($C36:$CK36,3),$C36:$CK36,0))</f>
        <v>Jax (lb)</v>
      </c>
      <c r="DA36" s="0" t="str">
        <f aca="false">INDEX($C$1:$CK$1,MATCH(LARGE($C36:$CK36,4),$C36:$CK36,0))</f>
        <v>Sauce (lb)</v>
      </c>
      <c r="DB36" s="0" t="str">
        <f aca="false">INDEX($C$1:$CK$1,MATCH(LARGE($C36:$CK36,5),$C36:$CK36,0))</f>
        <v>Nunives (lb)</v>
      </c>
      <c r="DD36" s="0" t="str">
        <f aca="false">IF(LARGE($CM36:$CV36,1)&gt;0,INDEX($CM$30:$CV$30,MATCH(LARGE($CM36:$CV36,1),$CM36:$CV36,0)),"N/A")</f>
        <v>Honey</v>
      </c>
      <c r="DE36" s="0" t="str">
        <f aca="false">IF(LARGE($CM36:$CV36,2)&gt;0,INDEX($CM$30:$CV$30,MATCH(LARGE($CM36:$CV36,2),$CM36:$CV36,0)),"N/A")</f>
        <v>Produce</v>
      </c>
      <c r="DF36" s="0" t="str">
        <f aca="false">IF(LARGE($CM36:$CV36,3)&gt;0,INDEX($CM$30:$CV$30,MATCH(LARGE($CM36:$CV36,3),$CM36:$CV36,0)),"N/A")</f>
        <v>Textile</v>
      </c>
      <c r="DG36" s="0" t="str">
        <f aca="false">IF(LARGE($CM36:$CV36,4)&gt;0,INDEX($CM$30:$CV$30,MATCH(LARGE($CM36:$CV36,4),$CM36:$CV36,0)),"N/A")</f>
        <v>Food Prod</v>
      </c>
      <c r="DH36" s="0" t="str">
        <f aca="false">IF(LARGE($CM36:$CV36,5)&gt;0,INDEX($CM$30:$CV$30,MATCH(LARGE($CM36:$CV36,5),$CM36:$CV36,0)),"N/A")</f>
        <v>Tools</v>
      </c>
    </row>
    <row r="37" customFormat="false" ht="12.8" hidden="false" customHeight="false" outlineLevel="0" collapsed="false">
      <c r="A37" s="7" t="s">
        <v>141</v>
      </c>
      <c r="B37" s="7" t="s">
        <v>39</v>
      </c>
      <c r="C37" s="10" t="n">
        <f aca="false">MAX(Flows!C67*C$4*C12/100,0)</f>
        <v>0</v>
      </c>
      <c r="D37" s="10" t="n">
        <f aca="false">MAX(Flows!D67*D$4*D12/100,0)</f>
        <v>0</v>
      </c>
      <c r="E37" s="10" t="n">
        <f aca="false">MAX(Flows!E67*E$4*E12/100,0)</f>
        <v>0</v>
      </c>
      <c r="F37" s="10" t="n">
        <f aca="false">MAX(Flows!F67*F$4*F12/100,0)</f>
        <v>0</v>
      </c>
      <c r="G37" s="10" t="n">
        <f aca="false">MAX(Flows!G67*G$4*G12/100,0)</f>
        <v>0</v>
      </c>
      <c r="H37" s="10" t="n">
        <f aca="false">MAX(Flows!H67*H$4*H12/100,0)</f>
        <v>14741746.1168266</v>
      </c>
      <c r="I37" s="10" t="n">
        <f aca="false">MAX(Flows!I67*I$4*I12/100,0)</f>
        <v>56998692.4638944</v>
      </c>
      <c r="J37" s="10" t="n">
        <f aca="false">MAX(Flows!J67*J$4*J12/100,0)</f>
        <v>78974400.7407466</v>
      </c>
      <c r="K37" s="10" t="n">
        <f aca="false">MAX(Flows!K67*K$4*K12/100,0)</f>
        <v>0</v>
      </c>
      <c r="L37" s="10" t="n">
        <f aca="false">MAX(Flows!L67*L$4*L12/100,0)</f>
        <v>0</v>
      </c>
      <c r="M37" s="10" t="n">
        <f aca="false">MAX(Flows!M67*M$4*M12/100,0)</f>
        <v>0</v>
      </c>
      <c r="N37" s="10" t="n">
        <f aca="false">MAX(Flows!N67*N$4*N12/100,0)</f>
        <v>0</v>
      </c>
      <c r="O37" s="10" t="n">
        <f aca="false">MAX(Flows!O67*O$4*O12/100,0)</f>
        <v>0</v>
      </c>
      <c r="P37" s="10" t="n">
        <f aca="false">MAX(Flows!P67*P$4*P12/100,0)</f>
        <v>0</v>
      </c>
      <c r="Q37" s="10" t="n">
        <f aca="false">MAX(Flows!Q67*Q$4*Q12/100,0)</f>
        <v>0</v>
      </c>
      <c r="R37" s="10" t="n">
        <f aca="false">MAX(Flows!R67*R$4*R12/100,0)</f>
        <v>0</v>
      </c>
      <c r="S37" s="10" t="n">
        <f aca="false">MAX(Flows!S67*S$4*S12/100,0)</f>
        <v>0</v>
      </c>
      <c r="T37" s="10" t="n">
        <f aca="false">MAX(Flows!T67*T$4*T12/100,0)</f>
        <v>0</v>
      </c>
      <c r="U37" s="10" t="n">
        <f aca="false">MAX(Flows!U67*U$4*U12/100,0)</f>
        <v>0</v>
      </c>
      <c r="V37" s="10" t="n">
        <f aca="false">MAX(Flows!V67*V$4*V12/100,0)</f>
        <v>0</v>
      </c>
      <c r="W37" s="10" t="n">
        <f aca="false">MAX(Flows!W67*W$4*W12/100,0)</f>
        <v>0</v>
      </c>
      <c r="X37" s="10" t="n">
        <f aca="false">MAX(Flows!X67*X$4*X12/100,0)</f>
        <v>46050804.0053352</v>
      </c>
      <c r="Y37" s="10" t="n">
        <f aca="false">MAX(Flows!Y67*Y$4*Y12/100,0)</f>
        <v>0</v>
      </c>
      <c r="Z37" s="10" t="n">
        <f aca="false">MAX(Flows!Z67*Z$4*Z12/100,0)</f>
        <v>1127147.42228425</v>
      </c>
      <c r="AA37" s="10" t="n">
        <f aca="false">MAX(Flows!AA67*AA$4*AA12/100,0)</f>
        <v>0</v>
      </c>
      <c r="AB37" s="10" t="n">
        <f aca="false">MAX(Flows!AB67*AB$4*AB12/100,0)</f>
        <v>0</v>
      </c>
      <c r="AC37" s="10" t="n">
        <f aca="false">MAX(Flows!AC67*AC$4*AC12/100,0)</f>
        <v>145796.137195806</v>
      </c>
      <c r="AD37" s="10" t="n">
        <f aca="false">MAX(Flows!AD67*AD$4*AD12/100,0)</f>
        <v>0</v>
      </c>
      <c r="AE37" s="10" t="n">
        <f aca="false">MAX(Flows!AE67*AE$4*AE12/100,0)</f>
        <v>0</v>
      </c>
      <c r="AF37" s="10" t="n">
        <f aca="false">MAX(Flows!AF67*AF$4*AF12/100,0)</f>
        <v>665016.308522046</v>
      </c>
      <c r="AG37" s="10" t="n">
        <f aca="false">MAX(Flows!AG67*AG$4*AG12/100,0)</f>
        <v>0</v>
      </c>
      <c r="AH37" s="10" t="n">
        <f aca="false">MAX(Flows!AH67*AH$4*AH12/100,0)</f>
        <v>0</v>
      </c>
      <c r="AI37" s="10" t="n">
        <f aca="false">MAX(Flows!AI67*AI$4*AI12/100,0)</f>
        <v>4338708.22444832</v>
      </c>
      <c r="AJ37" s="10" t="n">
        <f aca="false">MAX(Flows!AJ67*AJ$4*AJ12/100,0)</f>
        <v>3064583.71187305</v>
      </c>
      <c r="AK37" s="10" t="n">
        <f aca="false">MAX(Flows!AK67*AK$4*AK12/100,0)</f>
        <v>4290416.90444923</v>
      </c>
      <c r="AL37" s="10" t="n">
        <f aca="false">MAX(Flows!AL67*AL$4*AL12/100,0)</f>
        <v>6123224.33283793</v>
      </c>
      <c r="AM37" s="10" t="n">
        <f aca="false">MAX(Flows!AM67*AM$4*AM12/100,0)</f>
        <v>0</v>
      </c>
      <c r="AN37" s="10" t="n">
        <f aca="false">MAX(Flows!AN67*AN$4*AN12/100,0)</f>
        <v>3828104.3415294</v>
      </c>
      <c r="AO37" s="10" t="n">
        <f aca="false">MAX(Flows!AO67*AO$4*AO12/100,0)</f>
        <v>16416001.270513</v>
      </c>
      <c r="AP37" s="10" t="n">
        <f aca="false">MAX(Flows!AP67*AP$4*AP12/100,0)</f>
        <v>0</v>
      </c>
      <c r="AQ37" s="10" t="n">
        <f aca="false">MAX(Flows!AQ67*AQ$4*AQ12/100,0)</f>
        <v>0</v>
      </c>
      <c r="AR37" s="10" t="n">
        <f aca="false">MAX(Flows!AR67*AR$4*AR12/100,0)</f>
        <v>0</v>
      </c>
      <c r="AS37" s="10" t="n">
        <f aca="false">MAX(Flows!AS67*AS$4*AS12/100,0)</f>
        <v>11462997.4381887</v>
      </c>
      <c r="AT37" s="10" t="n">
        <f aca="false">MAX(Flows!AT67*AT$4*AT12/100,0)</f>
        <v>3124634.72048525</v>
      </c>
      <c r="AU37" s="10" t="n">
        <f aca="false">MAX(Flows!AU67*AU$4*AU12/100,0)</f>
        <v>0</v>
      </c>
      <c r="AV37" s="10" t="n">
        <f aca="false">MAX(Flows!AV67*AV$4*AV12/100,0)</f>
        <v>0</v>
      </c>
      <c r="AW37" s="10" t="n">
        <f aca="false">MAX(Flows!AW67*AW$4*AW12/100,0)</f>
        <v>2351128.20022109</v>
      </c>
      <c r="AX37" s="10" t="n">
        <f aca="false">MAX(Flows!AX67*AX$4*AX12/100,0)</f>
        <v>0</v>
      </c>
      <c r="AY37" s="10" t="n">
        <f aca="false">MAX(Flows!AY67*AY$4*AY12/100,0)</f>
        <v>0</v>
      </c>
      <c r="AZ37" s="10" t="n">
        <f aca="false">MAX(Flows!AZ67*AZ$4*AZ12/100,0)</f>
        <v>0</v>
      </c>
      <c r="BA37" s="10" t="n">
        <f aca="false">MAX(Flows!BA67*BA$4*BA12/100,0)</f>
        <v>0</v>
      </c>
      <c r="BB37" s="10" t="n">
        <f aca="false">MAX(Flows!BB67*BB$4*BB12/100,0)</f>
        <v>0</v>
      </c>
      <c r="BC37" s="10" t="n">
        <f aca="false">MAX(Flows!BC67*BC$4*BC12/100,0)</f>
        <v>7752023.54956991</v>
      </c>
      <c r="BD37" s="10" t="n">
        <f aca="false">MAX(Flows!BD67*BD$4*BD12/100,0)</f>
        <v>2746340.79861717</v>
      </c>
      <c r="BE37" s="10" t="n">
        <f aca="false">MAX(Flows!BE67*BE$4*BE12/100,0)</f>
        <v>8355903.80952366</v>
      </c>
      <c r="BF37" s="10" t="n">
        <f aca="false">MAX(Flows!BF67*BF$4*BF12/100,0)</f>
        <v>63435671.9652819</v>
      </c>
      <c r="BG37" s="10" t="n">
        <f aca="false">MAX(Flows!BG67*BG$4*BG12/100,0)</f>
        <v>8403875.96404193</v>
      </c>
      <c r="BH37" s="10" t="n">
        <f aca="false">MAX(Flows!BH67*BH$4*BH12/100,0)</f>
        <v>7327139.509583</v>
      </c>
      <c r="BI37" s="10" t="n">
        <f aca="false">MAX(Flows!BI67*BI$4*BI12/100,0)</f>
        <v>0</v>
      </c>
      <c r="BJ37" s="10" t="n">
        <f aca="false">MAX(Flows!BJ67*BJ$4*BJ12/100,0)</f>
        <v>0</v>
      </c>
      <c r="BK37" s="10" t="n">
        <f aca="false">MAX(Flows!BK67*BK$4*BK12/100,0)</f>
        <v>0</v>
      </c>
      <c r="BL37" s="10" t="n">
        <f aca="false">MAX(Flows!BL67*BL$4*BL12/100,0)</f>
        <v>0</v>
      </c>
      <c r="BM37" s="10" t="n">
        <f aca="false">MAX(Flows!BM67*BM$4*BM12/100,0)</f>
        <v>0</v>
      </c>
      <c r="BN37" s="10" t="n">
        <f aca="false">MAX(Flows!BN67*BN$4*BN12/100,0)</f>
        <v>0</v>
      </c>
      <c r="BO37" s="10" t="n">
        <f aca="false">MAX(Flows!BO67*BO$4*BO12/100,0)</f>
        <v>0</v>
      </c>
      <c r="BP37" s="10" t="n">
        <f aca="false">MAX(Flows!BP67*BP$4*BP12/100,0)</f>
        <v>0</v>
      </c>
      <c r="BQ37" s="10" t="n">
        <f aca="false">MAX(Flows!BQ67*BQ$4*BQ12/100,0)</f>
        <v>0</v>
      </c>
      <c r="BR37" s="10" t="n">
        <f aca="false">MAX(Flows!BR67*BR$4*BR12/100,0)</f>
        <v>0</v>
      </c>
      <c r="BS37" s="10" t="n">
        <f aca="false">MAX(Flows!BS67*BS$4*BS12/100,0)</f>
        <v>0</v>
      </c>
      <c r="BT37" s="10" t="n">
        <f aca="false">MAX(Flows!BT67*BT$4*BT12/100,0)</f>
        <v>0</v>
      </c>
      <c r="BU37" s="10" t="n">
        <f aca="false">MAX(Flows!BU67*BU$4*BU12/100,0)</f>
        <v>0</v>
      </c>
      <c r="BV37" s="10" t="n">
        <f aca="false">MAX(Flows!BV67*BV$4*BV12/100,0)</f>
        <v>0</v>
      </c>
      <c r="BW37" s="10" t="n">
        <f aca="false">MAX(Flows!BW67*BW$4*BW12/100,0)</f>
        <v>0</v>
      </c>
      <c r="BX37" s="10" t="n">
        <f aca="false">MAX(Flows!BX67*BX$4*BX12/100,0)</f>
        <v>0</v>
      </c>
      <c r="BY37" s="10" t="n">
        <f aca="false">MAX(Flows!BY67*BY$4*BY12/100,0)</f>
        <v>0</v>
      </c>
      <c r="BZ37" s="10" t="n">
        <f aca="false">MAX(Flows!BZ67*BZ$4*BZ12/100,0)</f>
        <v>0</v>
      </c>
      <c r="CA37" s="10" t="n">
        <f aca="false">MAX(Flows!CA67*CA$4*CA12/100,0)</f>
        <v>0</v>
      </c>
      <c r="CB37" s="10" t="n">
        <f aca="false">MAX(Flows!CB67*CB$4*CB12/100,0)</f>
        <v>0</v>
      </c>
      <c r="CC37" s="10" t="n">
        <f aca="false">MAX(Flows!CC67*CC$4*CC12/100,0)</f>
        <v>0</v>
      </c>
      <c r="CD37" s="10" t="n">
        <f aca="false">MAX(Flows!CD67*CD$4*CD12/100,0)</f>
        <v>0</v>
      </c>
      <c r="CE37" s="10" t="n">
        <f aca="false">MAX(Flows!CE67*CE$4*CE12/100,0)</f>
        <v>0</v>
      </c>
      <c r="CF37" s="10" t="n">
        <f aca="false">MAX(Flows!CF67*CF$4*CF12/100,0)</f>
        <v>0</v>
      </c>
      <c r="CG37" s="10" t="n">
        <f aca="false">MAX(Flows!CG67*CG$4*CG12/100,0)</f>
        <v>0</v>
      </c>
      <c r="CH37" s="10" t="n">
        <f aca="false">MAX(Flows!CH67*CH$4*CH12/100,0)</f>
        <v>0</v>
      </c>
      <c r="CI37" s="10" t="n">
        <f aca="false">MAX(Flows!CI67*CI$4*CI12/100,0)</f>
        <v>0</v>
      </c>
      <c r="CJ37" s="10" t="n">
        <f aca="false">MAX(Flows!CJ67*CJ$4*CJ12/100,0)</f>
        <v>0</v>
      </c>
      <c r="CK37" s="10" t="n">
        <f aca="false">MAX(Flows!CK67*CK$4*CK12/100,0)</f>
        <v>0</v>
      </c>
      <c r="CL37" s="7" t="s">
        <v>320</v>
      </c>
      <c r="CM37" s="10" t="n">
        <f aca="false" t="array" ref="CM37:CM37">SUM(IF($C$150:$CK$150=CM$30,$C37:$CK37,0),IF($C$150:$CK$150=CM$30,-$C97:$CK97,0))</f>
        <v>-1958214.23705547</v>
      </c>
      <c r="CN37" s="10" t="n">
        <f aca="false" t="array" ref="CN37:CN37">SUM(IF($C$150:$CK$150=CN$30,$C37:$CK37,0),IF($C$150:$CK$150=CN$30,-$C97:$CK97,0))</f>
        <v>-74987899.17713</v>
      </c>
      <c r="CO37" s="10" t="n">
        <f aca="false" t="array" ref="CO37:CO37">SUM(IF($C$150:$CK$150=CO$30,$C37:$CK37,0),IF($C$150:$CK$150=CO$30,-$C97:$CK97,0))</f>
        <v>-316878342.783249</v>
      </c>
      <c r="CP37" s="10" t="n">
        <f aca="false" t="array" ref="CP37:CP37">SUM(IF($C$150:$CK$150=CP$30,$C37:$CK37,0),IF($C$150:$CK$150=CP$30,-$C97:$CK97,0))</f>
        <v>5635992.59095085</v>
      </c>
      <c r="CQ37" s="10" t="n">
        <f aca="false" t="array" ref="CQ37:CQ37">SUM(IF($C$150:$CK$150=CQ$30,$C37:$CK37,0),IF($C$150:$CK$150=CQ$30,-$C97:$CK97,0))</f>
        <v>-75570383.5904859</v>
      </c>
      <c r="CR37" s="10" t="n">
        <f aca="false" t="array" ref="CR37:CR37">SUM(IF($C$150:$CK$150=CR$30,$C37:$CK37,0),IF($C$150:$CK$150=CR$30,-$C97:$CK97,0))</f>
        <v>-6502697490001090</v>
      </c>
      <c r="CS37" s="10" t="n">
        <f aca="false" t="array" ref="CS37:CS37">SUM(IF($C$150:$CK$150=CS$30,$C37:$CK37,0),IF($C$150:$CK$150=CS$30,-$C97:$CK97,0))</f>
        <v>-14127194.9677561</v>
      </c>
      <c r="CT37" s="10" t="n">
        <f aca="false" t="array" ref="CT37:CT37">SUM(IF($C$150:$CK$150=CT$30,$C37:$CK37,0),IF($C$150:$CK$150=CT$30,-$C97:$CK97,0))</f>
        <v>-9429121.88243359</v>
      </c>
      <c r="CU37" s="10" t="n">
        <f aca="false" t="array" ref="CU37:CU37">SUM(IF($C$150:$CK$150=CU$30,$C37:$CK37,0),IF($C$150:$CK$150=CU$30,-$C97:$CK97,0))</f>
        <v>135973093.204641</v>
      </c>
      <c r="CV37" s="10" t="n">
        <f aca="false" t="array" ref="CV37:CV37">SUM(IF($C$150:$CK$150=CV$30,$C37:$CK37,0),IF($C$150:$CK$150=CV$30,-$C97:$CK97,0))</f>
        <v>-708524.36979829</v>
      </c>
      <c r="CX37" s="0" t="str">
        <f aca="false">INDEX($C$1:$CK$1,MATCH(LARGE($C37:$CK37,1),$C37:$CK37,0))</f>
        <v>Wax (lb)</v>
      </c>
      <c r="CY37" s="0" t="str">
        <f aca="false">INDEX($C$1:$CK$1,MATCH(LARGE($C37:$CK37,2),$C37:$CK37,0))</f>
        <v>Salt (lb)</v>
      </c>
      <c r="CZ37" s="0" t="str">
        <f aca="false">INDEX($C$1:$CK$1,MATCH(LARGE($C37:$CK37,3),$C37:$CK37,0))</f>
        <v>Honey (lb)</v>
      </c>
      <c r="DA37" s="0" t="str">
        <f aca="false">INDEX($C$1:$CK$1,MATCH(LARGE($C37:$CK37,4),$C37:$CK37,0))</f>
        <v>Chipak (lb)</v>
      </c>
      <c r="DB37" s="0" t="str">
        <f aca="false">INDEX($C$1:$CK$1,MATCH(LARGE($C37:$CK37,5),$C37:$CK37,0))</f>
        <v>Chainmail (ea)</v>
      </c>
      <c r="DD37" s="0" t="str">
        <f aca="false">IF(LARGE($CM37:$CV37,1)&gt;0,INDEX($CM$30:$CV$30,MATCH(LARGE($CM37:$CV37,1),$CM37:$CV37,0)),"N/A")</f>
        <v>Honey</v>
      </c>
      <c r="DE37" s="0" t="str">
        <f aca="false">IF(LARGE($CM37:$CV37,2)&gt;0,INDEX($CM$30:$CV$30,MATCH(LARGE($CM37:$CV37,2),$CM37:$CV37,0)),"N/A")</f>
        <v>Textile</v>
      </c>
      <c r="DF37" s="0" t="str">
        <f aca="false">IF(LARGE($CM37:$CV37,3)&gt;0,INDEX($CM$30:$CV$30,MATCH(LARGE($CM37:$CV37,3),$CM37:$CV37,0)),"N/A")</f>
        <v>N/A</v>
      </c>
      <c r="DG37" s="0" t="str">
        <f aca="false">IF(LARGE($CM37:$CV37,4)&gt;0,INDEX($CM$30:$CV$30,MATCH(LARGE($CM37:$CV37,4),$CM37:$CV37,0)),"N/A")</f>
        <v>N/A</v>
      </c>
      <c r="DH37" s="0" t="str">
        <f aca="false">IF(LARGE($CM37:$CV37,5)&gt;0,INDEX($CM$30:$CV$30,MATCH(LARGE($CM37:$CV37,5),$CM37:$CV37,0)),"N/A")</f>
        <v>N/A</v>
      </c>
    </row>
    <row r="38" customFormat="false" ht="12.8" hidden="false" customHeight="false" outlineLevel="0" collapsed="false">
      <c r="A38" s="7" t="s">
        <v>142</v>
      </c>
      <c r="B38" s="7" t="s">
        <v>39</v>
      </c>
      <c r="C38" s="10" t="n">
        <f aca="false">MAX(Flows!C68*C$4*C13/100,0)</f>
        <v>0</v>
      </c>
      <c r="D38" s="10" t="n">
        <f aca="false">MAX(Flows!D68*D$4*D13/100,0)</f>
        <v>0</v>
      </c>
      <c r="E38" s="10" t="n">
        <f aca="false">MAX(Flows!E68*E$4*E13/100,0)</f>
        <v>0</v>
      </c>
      <c r="F38" s="10" t="n">
        <f aca="false">MAX(Flows!F68*F$4*F13/100,0)</f>
        <v>0</v>
      </c>
      <c r="G38" s="10" t="n">
        <f aca="false">MAX(Flows!G68*G$4*G13/100,0)</f>
        <v>0</v>
      </c>
      <c r="H38" s="10" t="n">
        <f aca="false">MAX(Flows!H68*H$4*H13/100,0)</f>
        <v>0</v>
      </c>
      <c r="I38" s="10" t="n">
        <f aca="false">MAX(Flows!I68*I$4*I13/100,0)</f>
        <v>0</v>
      </c>
      <c r="J38" s="10" t="n">
        <f aca="false">MAX(Flows!J68*J$4*J13/100,0)</f>
        <v>95382912.5356589</v>
      </c>
      <c r="K38" s="10" t="n">
        <f aca="false">MAX(Flows!K68*K$4*K13/100,0)</f>
        <v>0</v>
      </c>
      <c r="L38" s="10" t="n">
        <f aca="false">MAX(Flows!L68*L$4*L13/100,0)</f>
        <v>0</v>
      </c>
      <c r="M38" s="10" t="n">
        <f aca="false">MAX(Flows!M68*M$4*M13/100,0)</f>
        <v>0</v>
      </c>
      <c r="N38" s="10" t="n">
        <f aca="false">MAX(Flows!N68*N$4*N13/100,0)</f>
        <v>0</v>
      </c>
      <c r="O38" s="10" t="n">
        <f aca="false">MAX(Flows!O68*O$4*O13/100,0)</f>
        <v>0</v>
      </c>
      <c r="P38" s="10" t="n">
        <f aca="false">MAX(Flows!P68*P$4*P13/100,0)</f>
        <v>0</v>
      </c>
      <c r="Q38" s="10" t="n">
        <f aca="false">MAX(Flows!Q68*Q$4*Q13/100,0)</f>
        <v>0</v>
      </c>
      <c r="R38" s="10" t="n">
        <f aca="false">MAX(Flows!R68*R$4*R13/100,0)</f>
        <v>0</v>
      </c>
      <c r="S38" s="10" t="n">
        <f aca="false">MAX(Flows!S68*S$4*S13/100,0)</f>
        <v>0</v>
      </c>
      <c r="T38" s="10" t="n">
        <f aca="false">MAX(Flows!T68*T$4*T13/100,0)</f>
        <v>0</v>
      </c>
      <c r="U38" s="10" t="n">
        <f aca="false">MAX(Flows!U68*U$4*U13/100,0)</f>
        <v>0</v>
      </c>
      <c r="V38" s="10" t="n">
        <f aca="false">MAX(Flows!V68*V$4*V13/100,0)</f>
        <v>0</v>
      </c>
      <c r="W38" s="10" t="n">
        <f aca="false">MAX(Flows!W68*W$4*W13/100,0)</f>
        <v>0</v>
      </c>
      <c r="X38" s="10" t="n">
        <f aca="false">MAX(Flows!X68*X$4*X13/100,0)</f>
        <v>0</v>
      </c>
      <c r="Y38" s="10" t="n">
        <f aca="false">MAX(Flows!Y68*Y$4*Y13/100,0)</f>
        <v>0</v>
      </c>
      <c r="Z38" s="10" t="n">
        <f aca="false">MAX(Flows!Z68*Z$4*Z13/100,0)</f>
        <v>0</v>
      </c>
      <c r="AA38" s="10" t="n">
        <f aca="false">MAX(Flows!AA68*AA$4*AA13/100,0)</f>
        <v>0</v>
      </c>
      <c r="AB38" s="10" t="n">
        <f aca="false">MAX(Flows!AB68*AB$4*AB13/100,0)</f>
        <v>0</v>
      </c>
      <c r="AC38" s="10" t="n">
        <f aca="false">MAX(Flows!AC68*AC$4*AC13/100,0)</f>
        <v>672527.907334435</v>
      </c>
      <c r="AD38" s="10" t="n">
        <f aca="false">MAX(Flows!AD68*AD$4*AD13/100,0)</f>
        <v>0</v>
      </c>
      <c r="AE38" s="10" t="n">
        <f aca="false">MAX(Flows!AE68*AE$4*AE13/100,0)</f>
        <v>0</v>
      </c>
      <c r="AF38" s="10" t="n">
        <f aca="false">MAX(Flows!AF68*AF$4*AF13/100,0)</f>
        <v>0</v>
      </c>
      <c r="AG38" s="10" t="n">
        <f aca="false">MAX(Flows!AG68*AG$4*AG13/100,0)</f>
        <v>0</v>
      </c>
      <c r="AH38" s="10" t="n">
        <f aca="false">MAX(Flows!AH68*AH$4*AH13/100,0)</f>
        <v>0</v>
      </c>
      <c r="AI38" s="10" t="n">
        <f aca="false">MAX(Flows!AI68*AI$4*AI13/100,0)</f>
        <v>7493984.32270347</v>
      </c>
      <c r="AJ38" s="10" t="n">
        <f aca="false">MAX(Flows!AJ68*AJ$4*AJ13/100,0)</f>
        <v>0</v>
      </c>
      <c r="AK38" s="10" t="n">
        <f aca="false">MAX(Flows!AK68*AK$4*AK13/100,0)</f>
        <v>0</v>
      </c>
      <c r="AL38" s="10" t="n">
        <f aca="false">MAX(Flows!AL68*AL$4*AL13/100,0)</f>
        <v>0</v>
      </c>
      <c r="AM38" s="10" t="n">
        <f aca="false">MAX(Flows!AM68*AM$4*AM13/100,0)</f>
        <v>0</v>
      </c>
      <c r="AN38" s="10" t="n">
        <f aca="false">MAX(Flows!AN68*AN$4*AN13/100,0)</f>
        <v>0</v>
      </c>
      <c r="AO38" s="10" t="n">
        <f aca="false">MAX(Flows!AO68*AO$4*AO13/100,0)</f>
        <v>0</v>
      </c>
      <c r="AP38" s="10" t="n">
        <f aca="false">MAX(Flows!AP68*AP$4*AP13/100,0)</f>
        <v>0</v>
      </c>
      <c r="AQ38" s="10" t="n">
        <f aca="false">MAX(Flows!AQ68*AQ$4*AQ13/100,0)</f>
        <v>0</v>
      </c>
      <c r="AR38" s="10" t="n">
        <f aca="false">MAX(Flows!AR68*AR$4*AR13/100,0)</f>
        <v>0</v>
      </c>
      <c r="AS38" s="10" t="n">
        <f aca="false">MAX(Flows!AS68*AS$4*AS13/100,0)</f>
        <v>0</v>
      </c>
      <c r="AT38" s="10" t="n">
        <f aca="false">MAX(Flows!AT68*AT$4*AT13/100,0)</f>
        <v>0</v>
      </c>
      <c r="AU38" s="10" t="n">
        <f aca="false">MAX(Flows!AU68*AU$4*AU13/100,0)</f>
        <v>0</v>
      </c>
      <c r="AV38" s="10" t="n">
        <f aca="false">MAX(Flows!AV68*AV$4*AV13/100,0)</f>
        <v>0</v>
      </c>
      <c r="AW38" s="10" t="n">
        <f aca="false">MAX(Flows!AW68*AW$4*AW13/100,0)</f>
        <v>13324689.7095352</v>
      </c>
      <c r="AX38" s="10" t="n">
        <f aca="false">MAX(Flows!AX68*AX$4*AX13/100,0)</f>
        <v>0</v>
      </c>
      <c r="AY38" s="10" t="n">
        <f aca="false">MAX(Flows!AY68*AY$4*AY13/100,0)</f>
        <v>6532242.82653673</v>
      </c>
      <c r="AZ38" s="10" t="n">
        <f aca="false">MAX(Flows!AZ68*AZ$4*AZ13/100,0)</f>
        <v>3976706.15779005</v>
      </c>
      <c r="BA38" s="10" t="n">
        <f aca="false">MAX(Flows!BA68*BA$4*BA13/100,0)</f>
        <v>0</v>
      </c>
      <c r="BB38" s="10" t="n">
        <f aca="false">MAX(Flows!BB68*BB$4*BB13/100,0)</f>
        <v>0</v>
      </c>
      <c r="BC38" s="10" t="n">
        <f aca="false">MAX(Flows!BC68*BC$4*BC13/100,0)</f>
        <v>0</v>
      </c>
      <c r="BD38" s="10" t="n">
        <f aca="false">MAX(Flows!BD68*BD$4*BD13/100,0)</f>
        <v>0</v>
      </c>
      <c r="BE38" s="10" t="n">
        <f aca="false">MAX(Flows!BE68*BE$4*BE13/100,0)</f>
        <v>0</v>
      </c>
      <c r="BF38" s="10" t="n">
        <f aca="false">MAX(Flows!BF68*BF$4*BF13/100,0)</f>
        <v>0</v>
      </c>
      <c r="BG38" s="10" t="n">
        <f aca="false">MAX(Flows!BG68*BG$4*BG13/100,0)</f>
        <v>0</v>
      </c>
      <c r="BH38" s="10" t="n">
        <f aca="false">MAX(Flows!BH68*BH$4*BH13/100,0)</f>
        <v>0</v>
      </c>
      <c r="BI38" s="10" t="n">
        <f aca="false">MAX(Flows!BI68*BI$4*BI13/100,0)</f>
        <v>0</v>
      </c>
      <c r="BJ38" s="10" t="n">
        <f aca="false">MAX(Flows!BJ68*BJ$4*BJ13/100,0)</f>
        <v>0</v>
      </c>
      <c r="BK38" s="10" t="n">
        <f aca="false">MAX(Flows!BK68*BK$4*BK13/100,0)</f>
        <v>0</v>
      </c>
      <c r="BL38" s="10" t="n">
        <f aca="false">MAX(Flows!BL68*BL$4*BL13/100,0)</f>
        <v>0</v>
      </c>
      <c r="BM38" s="10" t="n">
        <f aca="false">MAX(Flows!BM68*BM$4*BM13/100,0)</f>
        <v>0</v>
      </c>
      <c r="BN38" s="10" t="n">
        <f aca="false">MAX(Flows!BN68*BN$4*BN13/100,0)</f>
        <v>0</v>
      </c>
      <c r="BO38" s="10" t="n">
        <f aca="false">MAX(Flows!BO68*BO$4*BO13/100,0)</f>
        <v>2594914.80917872</v>
      </c>
      <c r="BP38" s="10" t="n">
        <f aca="false">MAX(Flows!BP68*BP$4*BP13/100,0)</f>
        <v>10379660.1208118</v>
      </c>
      <c r="BQ38" s="10" t="n">
        <f aca="false">MAX(Flows!BQ68*BQ$4*BQ13/100,0)</f>
        <v>0</v>
      </c>
      <c r="BR38" s="10" t="n">
        <f aca="false">MAX(Flows!BR68*BR$4*BR13/100,0)</f>
        <v>2594914.36330849</v>
      </c>
      <c r="BS38" s="10" t="n">
        <f aca="false">MAX(Flows!BS68*BS$4*BS13/100,0)</f>
        <v>2594913.69450316</v>
      </c>
      <c r="BT38" s="10" t="n">
        <f aca="false">MAX(Flows!BT68*BT$4*BT13/100,0)</f>
        <v>0</v>
      </c>
      <c r="BU38" s="10" t="n">
        <f aca="false">MAX(Flows!BU68*BU$4*BU13/100,0)</f>
        <v>0</v>
      </c>
      <c r="BV38" s="10" t="n">
        <f aca="false">MAX(Flows!BV68*BV$4*BV13/100,0)</f>
        <v>0</v>
      </c>
      <c r="BW38" s="10" t="n">
        <f aca="false">MAX(Flows!BW68*BW$4*BW13/100,0)</f>
        <v>0</v>
      </c>
      <c r="BX38" s="10" t="n">
        <f aca="false">MAX(Flows!BX68*BX$4*BX13/100,0)</f>
        <v>0</v>
      </c>
      <c r="BY38" s="10" t="n">
        <f aca="false">MAX(Flows!BY68*BY$4*BY13/100,0)</f>
        <v>0</v>
      </c>
      <c r="BZ38" s="10" t="n">
        <f aca="false">MAX(Flows!BZ68*BZ$4*BZ13/100,0)</f>
        <v>0</v>
      </c>
      <c r="CA38" s="10" t="n">
        <f aca="false">MAX(Flows!CA68*CA$4*CA13/100,0)</f>
        <v>0</v>
      </c>
      <c r="CB38" s="10" t="n">
        <f aca="false">MAX(Flows!CB68*CB$4*CB13/100,0)</f>
        <v>0</v>
      </c>
      <c r="CC38" s="10" t="n">
        <f aca="false">MAX(Flows!CC68*CC$4*CC13/100,0)</f>
        <v>0</v>
      </c>
      <c r="CD38" s="10" t="n">
        <f aca="false">MAX(Flows!CD68*CD$4*CD13/100,0)</f>
        <v>0</v>
      </c>
      <c r="CE38" s="10" t="n">
        <f aca="false">MAX(Flows!CE68*CE$4*CE13/100,0)</f>
        <v>0</v>
      </c>
      <c r="CF38" s="10" t="n">
        <f aca="false">MAX(Flows!CF68*CF$4*CF13/100,0)</f>
        <v>0</v>
      </c>
      <c r="CG38" s="10" t="n">
        <f aca="false">MAX(Flows!CG68*CG$4*CG13/100,0)</f>
        <v>2594870.4450916</v>
      </c>
      <c r="CH38" s="10" t="n">
        <f aca="false">MAX(Flows!CH68*CH$4*CH13/100,0)</f>
        <v>2594870.4450916</v>
      </c>
      <c r="CI38" s="10" t="n">
        <f aca="false">MAX(Flows!CI68*CI$4*CI13/100,0)</f>
        <v>0</v>
      </c>
      <c r="CJ38" s="10" t="n">
        <f aca="false">MAX(Flows!CJ68*CJ$4*CJ13/100,0)</f>
        <v>0</v>
      </c>
      <c r="CK38" s="10" t="n">
        <f aca="false">MAX(Flows!CK68*CK$4*CK13/100,0)</f>
        <v>0</v>
      </c>
      <c r="CL38" s="7" t="s">
        <v>320</v>
      </c>
      <c r="CM38" s="10" t="n">
        <f aca="false" t="array" ref="CM38:CM38">SUM(IF($C$150:$CK$150=CM$30,$C38:$CK38,0),IF($C$150:$CK$150=CM$30,-$C98:$CK98,0))</f>
        <v>-698097248.407891</v>
      </c>
      <c r="CN38" s="10" t="n">
        <f aca="false" t="array" ref="CN38:CN38">SUM(IF($C$150:$CK$150=CN$30,$C38:$CK38,0),IF($C$150:$CK$150=CN$30,-$C98:$CK98,0))</f>
        <v>-601221211.436705</v>
      </c>
      <c r="CO38" s="10" t="n">
        <f aca="false" t="array" ref="CO38:CO38">SUM(IF($C$150:$CK$150=CO$30,$C38:$CK38,0),IF($C$150:$CK$150=CO$30,-$C98:$CK98,0))</f>
        <v>-1632933525.08364</v>
      </c>
      <c r="CP38" s="10" t="n">
        <f aca="false" t="array" ref="CP38:CP38">SUM(IF($C$150:$CK$150=CP$30,$C38:$CK38,0),IF($C$150:$CK$150=CP$30,-$C98:$CK98,0))</f>
        <v>-660580861.990498</v>
      </c>
      <c r="CQ38" s="10" t="n">
        <f aca="false" t="array" ref="CQ38:CQ38">SUM(IF($C$150:$CK$150=CQ$30,$C38:$CK38,0),IF($C$150:$CK$150=CQ$30,-$C98:$CK98,0))</f>
        <v>-733123847.051702</v>
      </c>
      <c r="CR38" s="10" t="n">
        <f aca="false" t="array" ref="CR38:CR38">SUM(IF($C$150:$CK$150=CR$30,$C38:$CK38,0),IF($C$150:$CK$150=CR$30,-$C98:$CK98,0))</f>
        <v>-84953567.2227511</v>
      </c>
      <c r="CS38" s="10" t="n">
        <f aca="false" t="array" ref="CS38:CS38">SUM(IF($C$150:$CK$150=CS$30,$C38:$CK38,0),IF($C$150:$CK$150=CS$30,-$C98:$CK98,0))</f>
        <v>-135430153.954215</v>
      </c>
      <c r="CT38" s="10" t="n">
        <f aca="false" t="array" ref="CT38:CT38">SUM(IF($C$150:$CK$150=CT$30,$C38:$CK38,0),IF($C$150:$CK$150=CT$30,-$C98:$CK98,0))</f>
        <v>-51564446.94472</v>
      </c>
      <c r="CU38" s="10" t="n">
        <f aca="false" t="array" ref="CU38:CU38">SUM(IF($C$150:$CK$150=CU$30,$C38:$CK38,0),IF($C$150:$CK$150=CU$30,-$C98:$CK98,0))</f>
        <v>65245627.8761066</v>
      </c>
      <c r="CV38" s="10" t="n">
        <f aca="false" t="array" ref="CV38:CV38">SUM(IF($C$150:$CK$150=CV$30,$C38:$CK38,0),IF($C$150:$CK$150=CV$30,-$C98:$CK98,0))</f>
        <v>-1109416.97885028</v>
      </c>
      <c r="CX38" s="0" t="str">
        <f aca="false">INDEX($C$1:$CK$1,MATCH(LARGE($C38:$CK38,1),$C38:$CK38,0))</f>
        <v>Wax (lb)</v>
      </c>
      <c r="CY38" s="0" t="str">
        <f aca="false">INDEX($C$1:$CK$1,MATCH(LARGE($C38:$CK38,2),$C38:$CK38,0))</f>
        <v>Thread (Kyd)</v>
      </c>
      <c r="CZ38" s="0" t="str">
        <f aca="false">INDEX($C$1:$CK$1,MATCH(LARGE($C38:$CK38,3),$C38:$CK38,0))</f>
        <v>Iron (lb)</v>
      </c>
      <c r="DA38" s="0" t="str">
        <f aca="false">INDEX($C$1:$CK$1,MATCH(LARGE($C38:$CK38,4),$C38:$CK38,0))</f>
        <v>Auger (ea)</v>
      </c>
      <c r="DB38" s="0" t="str">
        <f aca="false">INDEX($C$1:$CK$1,MATCH(LARGE($C38:$CK38,5),$C38:$CK38,0))</f>
        <v>Silk Cloth (yd)</v>
      </c>
      <c r="DD38" s="0" t="str">
        <f aca="false">IF(LARGE($CM38:$CV38,1)&gt;0,INDEX($CM$30:$CV$30,MATCH(LARGE($CM38:$CV38,1),$CM38:$CV38,0)),"N/A")</f>
        <v>Honey</v>
      </c>
      <c r="DE38" s="0" t="str">
        <f aca="false">IF(LARGE($CM38:$CV38,2)&gt;0,INDEX($CM$30:$CV$30,MATCH(LARGE($CM38:$CV38,2),$CM38:$CV38,0)),"N/A")</f>
        <v>N/A</v>
      </c>
      <c r="DF38" s="0" t="str">
        <f aca="false">IF(LARGE($CM38:$CV38,3)&gt;0,INDEX($CM$30:$CV$30,MATCH(LARGE($CM38:$CV38,3),$CM38:$CV38,0)),"N/A")</f>
        <v>N/A</v>
      </c>
      <c r="DG38" s="0" t="str">
        <f aca="false">IF(LARGE($CM38:$CV38,4)&gt;0,INDEX($CM$30:$CV$30,MATCH(LARGE($CM38:$CV38,4),$CM38:$CV38,0)),"N/A")</f>
        <v>N/A</v>
      </c>
      <c r="DH38" s="0" t="str">
        <f aca="false">IF(LARGE($CM38:$CV38,5)&gt;0,INDEX($CM$30:$CV$30,MATCH(LARGE($CM38:$CV38,5),$CM38:$CV38,0)),"N/A")</f>
        <v>N/A</v>
      </c>
    </row>
    <row r="39" customFormat="false" ht="12.8" hidden="false" customHeight="false" outlineLevel="0" collapsed="false">
      <c r="A39" s="7" t="s">
        <v>143</v>
      </c>
      <c r="B39" s="7" t="s">
        <v>39</v>
      </c>
      <c r="C39" s="10" t="n">
        <f aca="false">MAX(Flows!C69*C$4*C14/100,0)</f>
        <v>32379950.2864395</v>
      </c>
      <c r="D39" s="10" t="n">
        <f aca="false">MAX(Flows!D69*D$4*D14/100,0)</f>
        <v>40325099.5419451</v>
      </c>
      <c r="E39" s="10" t="n">
        <f aca="false">MAX(Flows!E69*E$4*E14/100,0)</f>
        <v>29111600.9860778</v>
      </c>
      <c r="F39" s="10" t="n">
        <f aca="false">MAX(Flows!F69*F$4*F14/100,0)</f>
        <v>0</v>
      </c>
      <c r="G39" s="10" t="n">
        <f aca="false">MAX(Flows!G69*G$4*G14/100,0)</f>
        <v>41831872.7263328</v>
      </c>
      <c r="H39" s="10" t="n">
        <f aca="false">MAX(Flows!H69*H$4*H14/100,0)</f>
        <v>58166356.9499068</v>
      </c>
      <c r="I39" s="10" t="n">
        <f aca="false">MAX(Flows!I69*I$4*I14/100,0)</f>
        <v>57050184.7082945</v>
      </c>
      <c r="J39" s="10" t="n">
        <f aca="false">MAX(Flows!J69*J$4*J14/100,0)</f>
        <v>0</v>
      </c>
      <c r="K39" s="10" t="n">
        <f aca="false">MAX(Flows!K69*K$4*K14/100,0)</f>
        <v>0</v>
      </c>
      <c r="L39" s="10" t="n">
        <f aca="false">MAX(Flows!L69*L$4*L14/100,0)</f>
        <v>0</v>
      </c>
      <c r="M39" s="10" t="n">
        <f aca="false">MAX(Flows!M69*M$4*M14/100,0)</f>
        <v>0</v>
      </c>
      <c r="N39" s="10" t="n">
        <f aca="false">MAX(Flows!N69*N$4*N14/100,0)</f>
        <v>42501860.8787873</v>
      </c>
      <c r="O39" s="10" t="n">
        <f aca="false">MAX(Flows!O69*O$4*O14/100,0)</f>
        <v>0</v>
      </c>
      <c r="P39" s="10" t="n">
        <f aca="false">MAX(Flows!P69*P$4*P14/100,0)</f>
        <v>0</v>
      </c>
      <c r="Q39" s="10" t="n">
        <f aca="false">MAX(Flows!Q69*Q$4*Q14/100,0)</f>
        <v>31824739.3598808</v>
      </c>
      <c r="R39" s="10" t="n">
        <f aca="false">MAX(Flows!R69*R$4*R14/100,0)</f>
        <v>36018150.4224209</v>
      </c>
      <c r="S39" s="10" t="n">
        <f aca="false">MAX(Flows!S69*S$4*S14/100,0)</f>
        <v>0</v>
      </c>
      <c r="T39" s="10" t="n">
        <f aca="false">MAX(Flows!T69*T$4*T14/100,0)</f>
        <v>0</v>
      </c>
      <c r="U39" s="10" t="n">
        <f aca="false">MAX(Flows!U69*U$4*U14/100,0)</f>
        <v>0</v>
      </c>
      <c r="V39" s="10" t="n">
        <f aca="false">MAX(Flows!V69*V$4*V14/100,0)</f>
        <v>40963385.1714818</v>
      </c>
      <c r="W39" s="10" t="n">
        <f aca="false">MAX(Flows!W69*W$4*W14/100,0)</f>
        <v>25861562.3785653</v>
      </c>
      <c r="X39" s="10" t="n">
        <f aca="false">MAX(Flows!X69*X$4*X14/100,0)</f>
        <v>15272520.8287381</v>
      </c>
      <c r="Y39" s="10" t="n">
        <f aca="false">MAX(Flows!Y69*Y$4*Y14/100,0)</f>
        <v>0</v>
      </c>
      <c r="Z39" s="10" t="n">
        <f aca="false">MAX(Flows!Z69*Z$4*Z14/100,0)</f>
        <v>569437.427182208</v>
      </c>
      <c r="AA39" s="10" t="n">
        <f aca="false">MAX(Flows!AA69*AA$4*AA14/100,0)</f>
        <v>38326.8988354141</v>
      </c>
      <c r="AB39" s="10" t="n">
        <f aca="false">MAX(Flows!AB69*AB$4*AB14/100,0)</f>
        <v>303565.399664196</v>
      </c>
      <c r="AC39" s="10" t="n">
        <f aca="false">MAX(Flows!AC69*AC$4*AC14/100,0)</f>
        <v>0</v>
      </c>
      <c r="AD39" s="10" t="n">
        <f aca="false">MAX(Flows!AD69*AD$4*AD14/100,0)</f>
        <v>151782.699832098</v>
      </c>
      <c r="AE39" s="10" t="n">
        <f aca="false">MAX(Flows!AE69*AE$4*AE14/100,0)</f>
        <v>29577.5244757015</v>
      </c>
      <c r="AF39" s="10" t="n">
        <f aca="false">MAX(Flows!AF69*AF$4*AF14/100,0)</f>
        <v>2404332.51184511</v>
      </c>
      <c r="AG39" s="10" t="n">
        <f aca="false">MAX(Flows!AG69*AG$4*AG14/100,0)</f>
        <v>13998524.5048735</v>
      </c>
      <c r="AH39" s="10" t="n">
        <f aca="false">MAX(Flows!AH69*AH$4*AH14/100,0)</f>
        <v>4108049.88381839</v>
      </c>
      <c r="AI39" s="10" t="n">
        <f aca="false">MAX(Flows!AI69*AI$4*AI14/100,0)</f>
        <v>9972064.38148519</v>
      </c>
      <c r="AJ39" s="10" t="n">
        <f aca="false">MAX(Flows!AJ69*AJ$4*AJ14/100,0)</f>
        <v>11921950.8693712</v>
      </c>
      <c r="AK39" s="10" t="n">
        <f aca="false">MAX(Flows!AK69*AK$4*AK14/100,0)</f>
        <v>3164569.10588959</v>
      </c>
      <c r="AL39" s="10" t="n">
        <f aca="false">MAX(Flows!AL69*AL$4*AL14/100,0)</f>
        <v>5241962.40762659</v>
      </c>
      <c r="AM39" s="10" t="n">
        <f aca="false">MAX(Flows!AM69*AM$4*AM14/100,0)</f>
        <v>21180514.2035472</v>
      </c>
      <c r="AN39" s="10" t="n">
        <f aca="false">MAX(Flows!AN69*AN$4*AN14/100,0)</f>
        <v>0</v>
      </c>
      <c r="AO39" s="10" t="n">
        <f aca="false">MAX(Flows!AO69*AO$4*AO14/100,0)</f>
        <v>1707613.91389027</v>
      </c>
      <c r="AP39" s="10" t="n">
        <f aca="false">MAX(Flows!AP69*AP$4*AP14/100,0)</f>
        <v>19524209.6045806</v>
      </c>
      <c r="AQ39" s="10" t="n">
        <f aca="false">MAX(Flows!AQ69*AQ$4*AQ14/100,0)</f>
        <v>3669090.37396754</v>
      </c>
      <c r="AR39" s="10" t="n">
        <f aca="false">MAX(Flows!AR69*AR$4*AR14/100,0)</f>
        <v>0</v>
      </c>
      <c r="AS39" s="10" t="n">
        <f aca="false">MAX(Flows!AS69*AS$4*AS14/100,0)</f>
        <v>9599840.06569605</v>
      </c>
      <c r="AT39" s="10" t="n">
        <f aca="false">MAX(Flows!AT69*AT$4*AT14/100,0)</f>
        <v>2115037.71273055</v>
      </c>
      <c r="AU39" s="10" t="n">
        <f aca="false">MAX(Flows!AU69*AU$4*AU14/100,0)</f>
        <v>17992757.0115376</v>
      </c>
      <c r="AV39" s="10" t="n">
        <f aca="false">MAX(Flows!AV69*AV$4*AV14/100,0)</f>
        <v>20666615.4442903</v>
      </c>
      <c r="AW39" s="10" t="n">
        <f aca="false">MAX(Flows!AW69*AW$4*AW14/100,0)</f>
        <v>0</v>
      </c>
      <c r="AX39" s="10" t="n">
        <f aca="false">MAX(Flows!AX69*AX$4*AX14/100,0)</f>
        <v>5447165.56650657</v>
      </c>
      <c r="AY39" s="10" t="n">
        <f aca="false">MAX(Flows!AY69*AY$4*AY14/100,0)</f>
        <v>0</v>
      </c>
      <c r="AZ39" s="10" t="n">
        <f aca="false">MAX(Flows!AZ69*AZ$4*AZ14/100,0)</f>
        <v>1334746.29170269</v>
      </c>
      <c r="BA39" s="10" t="n">
        <f aca="false">MAX(Flows!BA69*BA$4*BA14/100,0)</f>
        <v>0</v>
      </c>
      <c r="BB39" s="10" t="n">
        <f aca="false">MAX(Flows!BB69*BB$4*BB14/100,0)</f>
        <v>344768.029256744</v>
      </c>
      <c r="BC39" s="10" t="n">
        <f aca="false">MAX(Flows!BC69*BC$4*BC14/100,0)</f>
        <v>7536471.31537421</v>
      </c>
      <c r="BD39" s="10" t="n">
        <f aca="false">MAX(Flows!BD69*BD$4*BD14/100,0)</f>
        <v>7152060.99743063</v>
      </c>
      <c r="BE39" s="10" t="n">
        <f aca="false">MAX(Flows!BE69*BE$4*BE14/100,0)</f>
        <v>2621228.23114291</v>
      </c>
      <c r="BF39" s="10" t="n">
        <f aca="false">MAX(Flows!BF69*BF$4*BF14/100,0)</f>
        <v>57524486.5982496</v>
      </c>
      <c r="BG39" s="10" t="n">
        <f aca="false">MAX(Flows!BG69*BG$4*BG14/100,0)</f>
        <v>6175769.04275767</v>
      </c>
      <c r="BH39" s="10" t="n">
        <f aca="false">MAX(Flows!BH69*BH$4*BH14/100,0)</f>
        <v>1627780.7340047</v>
      </c>
      <c r="BI39" s="10" t="n">
        <f aca="false">MAX(Flows!BI69*BI$4*BI14/100,0)</f>
        <v>18943686.7930377</v>
      </c>
      <c r="BJ39" s="10" t="n">
        <f aca="false">MAX(Flows!BJ69*BJ$4*BJ14/100,0)</f>
        <v>18943686.7930377</v>
      </c>
      <c r="BK39" s="10" t="n">
        <f aca="false">MAX(Flows!BK69*BK$4*BK14/100,0)</f>
        <v>18943686.7930377</v>
      </c>
      <c r="BL39" s="10" t="n">
        <f aca="false">MAX(Flows!BL69*BL$4*BL14/100,0)</f>
        <v>3182473.93598809</v>
      </c>
      <c r="BM39" s="10" t="n">
        <f aca="false">MAX(Flows!BM69*BM$4*BM14/100,0)</f>
        <v>3182473.93598808</v>
      </c>
      <c r="BN39" s="10" t="n">
        <f aca="false">MAX(Flows!BN69*BN$4*BN14/100,0)</f>
        <v>0</v>
      </c>
      <c r="BO39" s="10" t="n">
        <f aca="false">MAX(Flows!BO69*BO$4*BO14/100,0)</f>
        <v>0</v>
      </c>
      <c r="BP39" s="10" t="n">
        <f aca="false">MAX(Flows!BP69*BP$4*BP14/100,0)</f>
        <v>0</v>
      </c>
      <c r="BQ39" s="10" t="n">
        <f aca="false">MAX(Flows!BQ69*BQ$4*BQ14/100,0)</f>
        <v>0</v>
      </c>
      <c r="BR39" s="10" t="n">
        <f aca="false">MAX(Flows!BR69*BR$4*BR14/100,0)</f>
        <v>0</v>
      </c>
      <c r="BS39" s="10" t="n">
        <f aca="false">MAX(Flows!BS69*BS$4*BS14/100,0)</f>
        <v>0</v>
      </c>
      <c r="BT39" s="10" t="n">
        <f aca="false">MAX(Flows!BT69*BT$4*BT14/100,0)</f>
        <v>0</v>
      </c>
      <c r="BU39" s="10" t="n">
        <f aca="false">MAX(Flows!BU69*BU$4*BU14/100,0)</f>
        <v>0</v>
      </c>
      <c r="BV39" s="10" t="n">
        <f aca="false">MAX(Flows!BV69*BV$4*BV14/100,0)</f>
        <v>0</v>
      </c>
      <c r="BW39" s="10" t="n">
        <f aca="false">MAX(Flows!BW69*BW$4*BW14/100,0)</f>
        <v>0</v>
      </c>
      <c r="BX39" s="10" t="n">
        <f aca="false">MAX(Flows!BX69*BX$4*BX14/100,0)</f>
        <v>6364947.87197617</v>
      </c>
      <c r="BY39" s="10" t="n">
        <f aca="false">MAX(Flows!BY69*BY$4*BY14/100,0)</f>
        <v>6364947.87197616</v>
      </c>
      <c r="BZ39" s="10" t="n">
        <f aca="false">MAX(Flows!BZ69*BZ$4*BZ14/100,0)</f>
        <v>20023662.1912943</v>
      </c>
      <c r="CA39" s="10" t="n">
        <f aca="false">MAX(Flows!CA69*CA$4*CA14/100,0)</f>
        <v>20023662.1912943</v>
      </c>
      <c r="CB39" s="10" t="n">
        <f aca="false">MAX(Flows!CB69*CB$4*CB14/100,0)</f>
        <v>31824739.3598807</v>
      </c>
      <c r="CC39" s="10" t="n">
        <f aca="false">MAX(Flows!CC69*CC$4*CC14/100,0)</f>
        <v>947184.339651886</v>
      </c>
      <c r="CD39" s="10" t="n">
        <f aca="false">MAX(Flows!CD69*CD$4*CD14/100,0)</f>
        <v>0</v>
      </c>
      <c r="CE39" s="10" t="n">
        <f aca="false">MAX(Flows!CE69*CE$4*CE14/100,0)</f>
        <v>947184.339651884</v>
      </c>
      <c r="CF39" s="10" t="n">
        <f aca="false">MAX(Flows!CF69*CF$4*CF14/100,0)</f>
        <v>3261518.71919006</v>
      </c>
      <c r="CG39" s="10" t="n">
        <f aca="false">MAX(Flows!CG69*CG$4*CG14/100,0)</f>
        <v>0</v>
      </c>
      <c r="CH39" s="10" t="n">
        <f aca="false">MAX(Flows!CH69*CH$4*CH14/100,0)</f>
        <v>0</v>
      </c>
      <c r="CI39" s="10" t="n">
        <f aca="false">MAX(Flows!CI69*CI$4*CI14/100,0)</f>
        <v>15912369.6799404</v>
      </c>
      <c r="CJ39" s="10" t="n">
        <f aca="false">MAX(Flows!CJ69*CJ$4*CJ14/100,0)</f>
        <v>1591236.96799404</v>
      </c>
      <c r="CK39" s="10" t="n">
        <f aca="false">MAX(Flows!CK69*CK$4*CK14/100,0)</f>
        <v>1591236.96799404</v>
      </c>
      <c r="CL39" s="7" t="s">
        <v>320</v>
      </c>
      <c r="CM39" s="10" t="n">
        <f aca="false" t="array" ref="CM39:CM39">SUM(IF($C$150:$CK$150=CM$30,$C39:$CK39,0),IF($C$150:$CK$150=CM$30,-$C99:$CK99,0))</f>
        <v>169042954.961881</v>
      </c>
      <c r="CN39" s="10" t="n">
        <f aca="false" t="array" ref="CN39:CN39">SUM(IF($C$150:$CK$150=CN$30,$C39:$CK39,0),IF($C$150:$CK$150=CN$30,-$C99:$CK99,0))</f>
        <v>90844667.8851939</v>
      </c>
      <c r="CO39" s="10" t="n">
        <f aca="false" t="array" ref="CO39:CO39">SUM(IF($C$150:$CK$150=CO$30,$C39:$CK39,0),IF($C$150:$CK$150=CO$30,-$C99:$CK99,0))</f>
        <v>217816213.771707</v>
      </c>
      <c r="CP39" s="10" t="n">
        <f aca="false" t="array" ref="CP39:CP39">SUM(IF($C$150:$CK$150=CP$30,$C39:$CK39,0),IF($C$150:$CK$150=CP$30,-$C99:$CK99,0))</f>
        <v>89098966.9216794</v>
      </c>
      <c r="CQ39" s="10" t="n">
        <f aca="false" t="array" ref="CQ39:CQ39">SUM(IF($C$150:$CK$150=CQ$30,$C39:$CK39,0),IF($C$150:$CK$150=CQ$30,-$C99:$CK99,0))</f>
        <v>135471056.813303</v>
      </c>
      <c r="CR39" s="10" t="n">
        <f aca="false" t="array" ref="CR39:CR39">SUM(IF($C$150:$CK$150=CR$30,$C39:$CK39,0),IF($C$150:$CK$150=CR$30,-$C99:$CK99,0))</f>
        <v>-18463948662588500</v>
      </c>
      <c r="CS39" s="10" t="n">
        <f aca="false" t="array" ref="CS39:CS39">SUM(IF($C$150:$CK$150=CS$30,$C39:$CK39,0),IF($C$150:$CK$150=CS$30,-$C99:$CK99,0))</f>
        <v>23898032.9862739</v>
      </c>
      <c r="CT39" s="10" t="n">
        <f aca="false" t="array" ref="CT39:CT39">SUM(IF($C$150:$CK$150=CT$30,$C39:$CK39,0),IF($C$150:$CK$150=CT$30,-$C99:$CK99,0))</f>
        <v>6443992.65517814</v>
      </c>
      <c r="CU39" s="10" t="n">
        <f aca="false" t="array" ref="CU39:CU39">SUM(IF($C$150:$CK$150=CU$30,$C39:$CK39,0),IF($C$150:$CK$150=CU$30,-$C99:$CK99,0))</f>
        <v>56424867.5775516</v>
      </c>
      <c r="CV39" s="10" t="n">
        <f aca="false" t="array" ref="CV39:CV39">SUM(IF($C$150:$CK$150=CV$30,$C39:$CK39,0),IF($C$150:$CK$150=CV$30,-$C99:$CK99,0))</f>
        <v>455348.099496295</v>
      </c>
      <c r="CX39" s="0" t="str">
        <f aca="false">INDEX($C$1:$CK$1,MATCH(LARGE($C39:$CK39,1),$C39:$CK39,0))</f>
        <v>Jax (lb)</v>
      </c>
      <c r="CY39" s="0" t="str">
        <f aca="false">INDEX($C$1:$CK$1,MATCH(LARGE($C39:$CK39,2),$C39:$CK39,0))</f>
        <v>Salt (lb)</v>
      </c>
      <c r="CZ39" s="0" t="str">
        <f aca="false">INDEX($C$1:$CK$1,MATCH(LARGE($C39:$CK39,3),$C39:$CK39,0))</f>
        <v>Honey (lb)</v>
      </c>
      <c r="DA39" s="0" t="str">
        <f aca="false">INDEX($C$1:$CK$1,MATCH(LARGE($C39:$CK39,4),$C39:$CK39,0))</f>
        <v>Jingla (lb)</v>
      </c>
      <c r="DB39" s="0" t="str">
        <f aca="false">INDEX($C$1:$CK$1,MATCH(LARGE($C39:$CK39,5),$C39:$CK39,0))</f>
        <v>Nunives (lb)</v>
      </c>
      <c r="DD39" s="0" t="str">
        <f aca="false">IF(LARGE($CM39:$CV39,1)&gt;0,INDEX($CM$30:$CV$30,MATCH(LARGE($CM39:$CV39,1),$CM39:$CV39,0)),"N/A")</f>
        <v>Food Prod</v>
      </c>
      <c r="DE39" s="0" t="str">
        <f aca="false">IF(LARGE($CM39:$CV39,2)&gt;0,INDEX($CM$30:$CV$30,MATCH(LARGE($CM39:$CV39,2),$CM39:$CV39,0)),"N/A")</f>
        <v>Produce</v>
      </c>
      <c r="DF39" s="0" t="str">
        <f aca="false">IF(LARGE($CM39:$CV39,3)&gt;0,INDEX($CM$30:$CV$30,MATCH(LARGE($CM39:$CV39,3),$CM39:$CV39,0)),"N/A")</f>
        <v>Tools</v>
      </c>
      <c r="DG39" s="0" t="str">
        <f aca="false">IF(LARGE($CM39:$CV39,4)&gt;0,INDEX($CM$30:$CV$30,MATCH(LARGE($CM39:$CV39,4),$CM39:$CV39,0)),"N/A")</f>
        <v>Animal</v>
      </c>
      <c r="DH39" s="0" t="str">
        <f aca="false">IF(LARGE($CM39:$CV39,5)&gt;0,INDEX($CM$30:$CV$30,MATCH(LARGE($CM39:$CV39,5),$CM39:$CV39,0)),"N/A")</f>
        <v>Textile</v>
      </c>
    </row>
    <row r="40" customFormat="false" ht="12.8" hidden="false" customHeight="false" outlineLevel="0" collapsed="false">
      <c r="A40" s="7" t="s">
        <v>144</v>
      </c>
      <c r="B40" s="7" t="s">
        <v>39</v>
      </c>
      <c r="C40" s="10" t="n">
        <f aca="false">MAX(Flows!C70*C$4*C15/100,0)</f>
        <v>0</v>
      </c>
      <c r="D40" s="10" t="n">
        <f aca="false">MAX(Flows!D70*D$4*D15/100,0)</f>
        <v>0</v>
      </c>
      <c r="E40" s="10" t="n">
        <f aca="false">MAX(Flows!E70*E$4*E15/100,0)</f>
        <v>0</v>
      </c>
      <c r="F40" s="10" t="n">
        <f aca="false">MAX(Flows!F70*F$4*F15/100,0)</f>
        <v>0</v>
      </c>
      <c r="G40" s="10" t="n">
        <f aca="false">MAX(Flows!G70*G$4*G15/100,0)</f>
        <v>0</v>
      </c>
      <c r="H40" s="10" t="n">
        <f aca="false">MAX(Flows!H70*H$4*H15/100,0)</f>
        <v>0</v>
      </c>
      <c r="I40" s="10" t="n">
        <f aca="false">MAX(Flows!I70*I$4*I15/100,0)</f>
        <v>26251236.4297171</v>
      </c>
      <c r="J40" s="10" t="n">
        <f aca="false">MAX(Flows!J70*J$4*J15/100,0)</f>
        <v>0</v>
      </c>
      <c r="K40" s="10" t="n">
        <f aca="false">MAX(Flows!K70*K$4*K15/100,0)</f>
        <v>0</v>
      </c>
      <c r="L40" s="10" t="n">
        <f aca="false">MAX(Flows!L70*L$4*L15/100,0)</f>
        <v>0</v>
      </c>
      <c r="M40" s="10" t="n">
        <f aca="false">MAX(Flows!M70*M$4*M15/100,0)</f>
        <v>0</v>
      </c>
      <c r="N40" s="10" t="n">
        <f aca="false">MAX(Flows!N70*N$4*N15/100,0)</f>
        <v>0</v>
      </c>
      <c r="O40" s="10" t="n">
        <f aca="false">MAX(Flows!O70*O$4*O15/100,0)</f>
        <v>0</v>
      </c>
      <c r="P40" s="10" t="n">
        <f aca="false">MAX(Flows!P70*P$4*P15/100,0)</f>
        <v>0</v>
      </c>
      <c r="Q40" s="10" t="n">
        <f aca="false">MAX(Flows!Q70*Q$4*Q15/100,0)</f>
        <v>0</v>
      </c>
      <c r="R40" s="10" t="n">
        <f aca="false">MAX(Flows!R70*R$4*R15/100,0)</f>
        <v>0</v>
      </c>
      <c r="S40" s="10" t="n">
        <f aca="false">MAX(Flows!S70*S$4*S15/100,0)</f>
        <v>0</v>
      </c>
      <c r="T40" s="10" t="n">
        <f aca="false">MAX(Flows!T70*T$4*T15/100,0)</f>
        <v>0</v>
      </c>
      <c r="U40" s="10" t="n">
        <f aca="false">MAX(Flows!U70*U$4*U15/100,0)</f>
        <v>0</v>
      </c>
      <c r="V40" s="10" t="n">
        <f aca="false">MAX(Flows!V70*V$4*V15/100,0)</f>
        <v>0</v>
      </c>
      <c r="W40" s="10" t="n">
        <f aca="false">MAX(Flows!W70*W$4*W15/100,0)</f>
        <v>0</v>
      </c>
      <c r="X40" s="10" t="n">
        <f aca="false">MAX(Flows!X70*X$4*X15/100,0)</f>
        <v>0</v>
      </c>
      <c r="Y40" s="10" t="n">
        <f aca="false">MAX(Flows!Y70*Y$4*Y15/100,0)</f>
        <v>0</v>
      </c>
      <c r="Z40" s="10" t="n">
        <f aca="false">MAX(Flows!Z70*Z$4*Z15/100,0)</f>
        <v>0</v>
      </c>
      <c r="AA40" s="10" t="n">
        <f aca="false">MAX(Flows!AA70*AA$4*AA15/100,0)</f>
        <v>0</v>
      </c>
      <c r="AB40" s="10" t="n">
        <f aca="false">MAX(Flows!AB70*AB$4*AB15/100,0)</f>
        <v>0</v>
      </c>
      <c r="AC40" s="10" t="n">
        <f aca="false">MAX(Flows!AC70*AC$4*AC15/100,0)</f>
        <v>620580.240574287</v>
      </c>
      <c r="AD40" s="10" t="n">
        <f aca="false">MAX(Flows!AD70*AD$4*AD15/100,0)</f>
        <v>0</v>
      </c>
      <c r="AE40" s="10" t="n">
        <f aca="false">MAX(Flows!AE70*AE$4*AE15/100,0)</f>
        <v>0</v>
      </c>
      <c r="AF40" s="10" t="n">
        <f aca="false">MAX(Flows!AF70*AF$4*AF15/100,0)</f>
        <v>0</v>
      </c>
      <c r="AG40" s="10" t="n">
        <f aca="false">MAX(Flows!AG70*AG$4*AG15/100,0)</f>
        <v>0</v>
      </c>
      <c r="AH40" s="10" t="n">
        <f aca="false">MAX(Flows!AH70*AH$4*AH15/100,0)</f>
        <v>6459861.16382087</v>
      </c>
      <c r="AI40" s="10" t="n">
        <f aca="false">MAX(Flows!AI70*AI$4*AI15/100,0)</f>
        <v>0</v>
      </c>
      <c r="AJ40" s="10" t="n">
        <f aca="false">MAX(Flows!AJ70*AJ$4*AJ15/100,0)</f>
        <v>0</v>
      </c>
      <c r="AK40" s="10" t="n">
        <f aca="false">MAX(Flows!AK70*AK$4*AK15/100,0)</f>
        <v>0</v>
      </c>
      <c r="AL40" s="10" t="n">
        <f aca="false">MAX(Flows!AL70*AL$4*AL15/100,0)</f>
        <v>0</v>
      </c>
      <c r="AM40" s="10" t="n">
        <f aca="false">MAX(Flows!AM70*AM$4*AM15/100,0)</f>
        <v>0</v>
      </c>
      <c r="AN40" s="10" t="n">
        <f aca="false">MAX(Flows!AN70*AN$4*AN15/100,0)</f>
        <v>0</v>
      </c>
      <c r="AO40" s="10" t="n">
        <f aca="false">MAX(Flows!AO70*AO$4*AO15/100,0)</f>
        <v>0</v>
      </c>
      <c r="AP40" s="10" t="n">
        <f aca="false">MAX(Flows!AP70*AP$4*AP15/100,0)</f>
        <v>0</v>
      </c>
      <c r="AQ40" s="10" t="n">
        <f aca="false">MAX(Flows!AQ70*AQ$4*AQ15/100,0)</f>
        <v>19069472.7462449</v>
      </c>
      <c r="AR40" s="10" t="n">
        <f aca="false">MAX(Flows!AR70*AR$4*AR15/100,0)</f>
        <v>0</v>
      </c>
      <c r="AS40" s="10" t="n">
        <f aca="false">MAX(Flows!AS70*AS$4*AS15/100,0)</f>
        <v>0</v>
      </c>
      <c r="AT40" s="10" t="n">
        <f aca="false">MAX(Flows!AT70*AT$4*AT15/100,0)</f>
        <v>0</v>
      </c>
      <c r="AU40" s="10" t="n">
        <f aca="false">MAX(Flows!AU70*AU$4*AU15/100,0)</f>
        <v>0</v>
      </c>
      <c r="AV40" s="10" t="n">
        <f aca="false">MAX(Flows!AV70*AV$4*AV15/100,0)</f>
        <v>8549076.89137307</v>
      </c>
      <c r="AW40" s="10" t="n">
        <f aca="false">MAX(Flows!AW70*AW$4*AW15/100,0)</f>
        <v>12025197.3916796</v>
      </c>
      <c r="AX40" s="10" t="n">
        <f aca="false">MAX(Flows!AX70*AX$4*AX15/100,0)</f>
        <v>0</v>
      </c>
      <c r="AY40" s="10" t="n">
        <f aca="false">MAX(Flows!AY70*AY$4*AY15/100,0)</f>
        <v>8309051.06642148</v>
      </c>
      <c r="AZ40" s="10" t="n">
        <f aca="false">MAX(Flows!AZ70*AZ$4*AZ15/100,0)</f>
        <v>6800986.4502391</v>
      </c>
      <c r="BA40" s="10" t="n">
        <f aca="false">MAX(Flows!BA70*BA$4*BA15/100,0)</f>
        <v>0</v>
      </c>
      <c r="BB40" s="10" t="n">
        <f aca="false">MAX(Flows!BB70*BB$4*BB15/100,0)</f>
        <v>7935798.7402054</v>
      </c>
      <c r="BC40" s="10" t="n">
        <f aca="false">MAX(Flows!BC70*BC$4*BC15/100,0)</f>
        <v>0</v>
      </c>
      <c r="BD40" s="10" t="n">
        <f aca="false">MAX(Flows!BD70*BD$4*BD15/100,0)</f>
        <v>0</v>
      </c>
      <c r="BE40" s="10" t="n">
        <f aca="false">MAX(Flows!BE70*BE$4*BE15/100,0)</f>
        <v>0</v>
      </c>
      <c r="BF40" s="10" t="n">
        <f aca="false">MAX(Flows!BF70*BF$4*BF15/100,0)</f>
        <v>0</v>
      </c>
      <c r="BG40" s="10" t="n">
        <f aca="false">MAX(Flows!BG70*BG$4*BG15/100,0)</f>
        <v>0</v>
      </c>
      <c r="BH40" s="10" t="n">
        <f aca="false">MAX(Flows!BH70*BH$4*BH15/100,0)</f>
        <v>0</v>
      </c>
      <c r="BI40" s="10" t="n">
        <f aca="false">MAX(Flows!BI70*BI$4*BI15/100,0)</f>
        <v>0</v>
      </c>
      <c r="BJ40" s="10" t="n">
        <f aca="false">MAX(Flows!BJ70*BJ$4*BJ15/100,0)</f>
        <v>0</v>
      </c>
      <c r="BK40" s="10" t="n">
        <f aca="false">MAX(Flows!BK70*BK$4*BK15/100,0)</f>
        <v>0</v>
      </c>
      <c r="BL40" s="10" t="n">
        <f aca="false">MAX(Flows!BL70*BL$4*BL15/100,0)</f>
        <v>0</v>
      </c>
      <c r="BM40" s="10" t="n">
        <f aca="false">MAX(Flows!BM70*BM$4*BM15/100,0)</f>
        <v>0</v>
      </c>
      <c r="BN40" s="10" t="n">
        <f aca="false">MAX(Flows!BN70*BN$4*BN15/100,0)</f>
        <v>0</v>
      </c>
      <c r="BO40" s="10" t="n">
        <f aca="false">MAX(Flows!BO70*BO$4*BO15/100,0)</f>
        <v>3299891.74410427</v>
      </c>
      <c r="BP40" s="10" t="n">
        <f aca="false">MAX(Flows!BP70*BP$4*BP15/100,0)</f>
        <v>13199567.9003459</v>
      </c>
      <c r="BQ40" s="10" t="n">
        <f aca="false">MAX(Flows!BQ70*BQ$4*BQ15/100,0)</f>
        <v>0</v>
      </c>
      <c r="BR40" s="10" t="n">
        <f aca="false">MAX(Flows!BR70*BR$4*BR15/100,0)</f>
        <v>3299891.27814593</v>
      </c>
      <c r="BS40" s="10" t="n">
        <f aca="false">MAX(Flows!BS70*BS$4*BS15/100,0)</f>
        <v>3299890.57920842</v>
      </c>
      <c r="BT40" s="10" t="n">
        <f aca="false">MAX(Flows!BT70*BT$4*BT15/100,0)</f>
        <v>0</v>
      </c>
      <c r="BU40" s="10" t="n">
        <f aca="false">MAX(Flows!BU70*BU$4*BU15/100,0)</f>
        <v>0</v>
      </c>
      <c r="BV40" s="10" t="n">
        <f aca="false">MAX(Flows!BV70*BV$4*BV15/100,0)</f>
        <v>0</v>
      </c>
      <c r="BW40" s="10" t="n">
        <f aca="false">MAX(Flows!BW70*BW$4*BW15/100,0)</f>
        <v>0</v>
      </c>
      <c r="BX40" s="10" t="n">
        <f aca="false">MAX(Flows!BX70*BX$4*BX15/100,0)</f>
        <v>0</v>
      </c>
      <c r="BY40" s="10" t="n">
        <f aca="false">MAX(Flows!BY70*BY$4*BY15/100,0)</f>
        <v>0</v>
      </c>
      <c r="BZ40" s="10" t="n">
        <f aca="false">MAX(Flows!BZ70*BZ$4*BZ15/100,0)</f>
        <v>0</v>
      </c>
      <c r="CA40" s="10" t="n">
        <f aca="false">MAX(Flows!CA70*CA$4*CA15/100,0)</f>
        <v>0</v>
      </c>
      <c r="CB40" s="10" t="n">
        <f aca="false">MAX(Flows!CB70*CB$4*CB15/100,0)</f>
        <v>0</v>
      </c>
      <c r="CC40" s="10" t="n">
        <f aca="false">MAX(Flows!CC70*CC$4*CC15/100,0)</f>
        <v>0</v>
      </c>
      <c r="CD40" s="10" t="n">
        <f aca="false">MAX(Flows!CD70*CD$4*CD15/100,0)</f>
        <v>0</v>
      </c>
      <c r="CE40" s="10" t="n">
        <f aca="false">MAX(Flows!CE70*CE$4*CE15/100,0)</f>
        <v>0</v>
      </c>
      <c r="CF40" s="10" t="n">
        <f aca="false">MAX(Flows!CF70*CF$4*CF15/100,0)</f>
        <v>0</v>
      </c>
      <c r="CG40" s="10" t="n">
        <f aca="false">MAX(Flows!CG70*CG$4*CG15/100,0)</f>
        <v>3299845.38124917</v>
      </c>
      <c r="CH40" s="10" t="n">
        <f aca="false">MAX(Flows!CH70*CH$4*CH15/100,0)</f>
        <v>3299845.38124917</v>
      </c>
      <c r="CI40" s="10" t="n">
        <f aca="false">MAX(Flows!CI70*CI$4*CI15/100,0)</f>
        <v>0</v>
      </c>
      <c r="CJ40" s="10" t="n">
        <f aca="false">MAX(Flows!CJ70*CJ$4*CJ15/100,0)</f>
        <v>0</v>
      </c>
      <c r="CK40" s="10" t="n">
        <f aca="false">MAX(Flows!CK70*CK$4*CK15/100,0)</f>
        <v>0</v>
      </c>
      <c r="CL40" s="7" t="s">
        <v>320</v>
      </c>
      <c r="CM40" s="10" t="n">
        <f aca="false" t="array" ref="CM40:CM40">SUM(IF($C$150:$CK$150=CM$30,$C40:$CK40,0),IF($C$150:$CK$150=CM$30,-$C100:$CK100,0))</f>
        <v>-706730237.764381</v>
      </c>
      <c r="CN40" s="10" t="n">
        <f aca="false" t="array" ref="CN40:CN40">SUM(IF($C$150:$CK$150=CN$30,$C40:$CK40,0),IF($C$150:$CK$150=CN$30,-$C100:$CK100,0))</f>
        <v>-552550477.513149</v>
      </c>
      <c r="CO40" s="10" t="n">
        <f aca="false" t="array" ref="CO40:CO40">SUM(IF($C$150:$CK$150=CO$30,$C40:$CK40,0),IF($C$150:$CK$150=CO$30,-$C100:$CK100,0))</f>
        <v>-1658648278.27502</v>
      </c>
      <c r="CP40" s="10" t="n">
        <f aca="false" t="array" ref="CP40:CP40">SUM(IF($C$150:$CK$150=CP$30,$C40:$CK40,0),IF($C$150:$CK$150=CP$30,-$C100:$CK100,0))</f>
        <v>-490838031.915228</v>
      </c>
      <c r="CQ40" s="10" t="n">
        <f aca="false" t="array" ref="CQ40:CQ40">SUM(IF($C$150:$CK$150=CQ$30,$C40:$CK40,0),IF($C$150:$CK$150=CQ$30,-$C100:$CK100,0))</f>
        <v>-523029967.871758</v>
      </c>
      <c r="CR40" s="10" t="n">
        <f aca="false" t="array" ref="CR40:CR40">SUM(IF($C$150:$CK$150=CR$30,$C40:$CK40,0),IF($C$150:$CK$150=CR$30,-$C100:$CK100,0))</f>
        <v>14633179.9700915</v>
      </c>
      <c r="CS40" s="10" t="n">
        <f aca="false" t="array" ref="CS40:CS40">SUM(IF($C$150:$CK$150=CS$30,$C40:$CK40,0),IF($C$150:$CK$150=CS$30,-$C100:$CK100,0))</f>
        <v>-100599752.901011</v>
      </c>
      <c r="CT40" s="10" t="n">
        <f aca="false" t="array" ref="CT40:CT40">SUM(IF($C$150:$CK$150=CT$30,$C40:$CK40,0),IF($C$150:$CK$150=CT$30,-$C100:$CK100,0))</f>
        <v>-47090162.2957351</v>
      </c>
      <c r="CU40" s="10" t="n">
        <f aca="false" t="array" ref="CU40:CU40">SUM(IF($C$150:$CK$150=CU$30,$C40:$CK40,0),IF($C$150:$CK$150=CU$30,-$C100:$CK100,0))</f>
        <v>21005718.0657498</v>
      </c>
      <c r="CV40" s="10" t="n">
        <f aca="false" t="array" ref="CV40:CV40">SUM(IF($C$150:$CK$150=CV$30,$C40:$CK40,0),IF($C$150:$CK$150=CV$30,-$C100:$CK100,0))</f>
        <v>-605262.648839422</v>
      </c>
      <c r="CX40" s="0" t="str">
        <f aca="false">INDEX($C$1:$CK$1,MATCH(LARGE($C40:$CK40,1),$C40:$CK40,0))</f>
        <v>Honey (lb)</v>
      </c>
      <c r="CY40" s="0" t="str">
        <f aca="false">INDEX($C$1:$CK$1,MATCH(LARGE($C40:$CK40,2),$C40:$CK40,0))</f>
        <v>Shortsword (ea)</v>
      </c>
      <c r="CZ40" s="0" t="str">
        <f aca="false">INDEX($C$1:$CK$1,MATCH(LARGE($C40:$CK40,3),$C40:$CK40,0))</f>
        <v>Iron (lb)</v>
      </c>
      <c r="DA40" s="0" t="str">
        <f aca="false">INDEX($C$1:$CK$1,MATCH(LARGE($C40:$CK40,4),$C40:$CK40,0))</f>
        <v>Thread (Kyd)</v>
      </c>
      <c r="DB40" s="0" t="str">
        <f aca="false">INDEX($C$1:$CK$1,MATCH(LARGE($C40:$CK40,5),$C40:$CK40,0))</f>
        <v>Battleaxe (ea)</v>
      </c>
      <c r="DD40" s="0" t="str">
        <f aca="false">IF(LARGE($CM40:$CV40,1)&gt;0,INDEX($CM$30:$CV$30,MATCH(LARGE($CM40:$CV40,1),$CM40:$CV40,0)),"N/A")</f>
        <v>Honey</v>
      </c>
      <c r="DE40" s="0" t="str">
        <f aca="false">IF(LARGE($CM40:$CV40,2)&gt;0,INDEX($CM$30:$CV$30,MATCH(LARGE($CM40:$CV40,2),$CM40:$CV40,0)),"N/A")</f>
        <v>Mineral</v>
      </c>
      <c r="DF40" s="0" t="str">
        <f aca="false">IF(LARGE($CM40:$CV40,3)&gt;0,INDEX($CM$30:$CV$30,MATCH(LARGE($CM40:$CV40,3),$CM40:$CV40,0)),"N/A")</f>
        <v>N/A</v>
      </c>
      <c r="DG40" s="0" t="str">
        <f aca="false">IF(LARGE($CM40:$CV40,4)&gt;0,INDEX($CM$30:$CV$30,MATCH(LARGE($CM40:$CV40,4),$CM40:$CV40,0)),"N/A")</f>
        <v>N/A</v>
      </c>
      <c r="DH40" s="0" t="str">
        <f aca="false">IF(LARGE($CM40:$CV40,5)&gt;0,INDEX($CM$30:$CV$30,MATCH(LARGE($CM40:$CV40,5),$CM40:$CV40,0)),"N/A")</f>
        <v>N/A</v>
      </c>
    </row>
    <row r="41" customFormat="false" ht="12.8" hidden="false" customHeight="false" outlineLevel="0" collapsed="false">
      <c r="A41" s="7" t="s">
        <v>145</v>
      </c>
      <c r="B41" s="7" t="s">
        <v>39</v>
      </c>
      <c r="C41" s="10" t="n">
        <f aca="false">MAX(Flows!C71*C$4*C16/100,0)</f>
        <v>0</v>
      </c>
      <c r="D41" s="10" t="n">
        <f aca="false">MAX(Flows!D71*D$4*D16/100,0)</f>
        <v>0</v>
      </c>
      <c r="E41" s="10" t="n">
        <f aca="false">MAX(Flows!E71*E$4*E16/100,0)</f>
        <v>0</v>
      </c>
      <c r="F41" s="10" t="n">
        <f aca="false">MAX(Flows!F71*F$4*F16/100,0)</f>
        <v>0</v>
      </c>
      <c r="G41" s="10" t="n">
        <f aca="false">MAX(Flows!G71*G$4*G16/100,0)</f>
        <v>0</v>
      </c>
      <c r="H41" s="10" t="n">
        <f aca="false">MAX(Flows!H71*H$4*H16/100,0)</f>
        <v>0</v>
      </c>
      <c r="I41" s="10" t="n">
        <f aca="false">MAX(Flows!I71*I$4*I16/100,0)</f>
        <v>50233790.4818016</v>
      </c>
      <c r="J41" s="10" t="n">
        <f aca="false">MAX(Flows!J71*J$4*J16/100,0)</f>
        <v>1324099.58919472</v>
      </c>
      <c r="K41" s="10" t="n">
        <f aca="false">MAX(Flows!K71*K$4*K16/100,0)</f>
        <v>0</v>
      </c>
      <c r="L41" s="10" t="n">
        <f aca="false">MAX(Flows!L71*L$4*L16/100,0)</f>
        <v>0</v>
      </c>
      <c r="M41" s="10" t="n">
        <f aca="false">MAX(Flows!M71*M$4*M16/100,0)</f>
        <v>0</v>
      </c>
      <c r="N41" s="10" t="n">
        <f aca="false">MAX(Flows!N71*N$4*N16/100,0)</f>
        <v>0</v>
      </c>
      <c r="O41" s="10" t="n">
        <f aca="false">MAX(Flows!O71*O$4*O16/100,0)</f>
        <v>0</v>
      </c>
      <c r="P41" s="10" t="n">
        <f aca="false">MAX(Flows!P71*P$4*P16/100,0)</f>
        <v>0</v>
      </c>
      <c r="Q41" s="10" t="n">
        <f aca="false">MAX(Flows!Q71*Q$4*Q16/100,0)</f>
        <v>0</v>
      </c>
      <c r="R41" s="10" t="n">
        <f aca="false">MAX(Flows!R71*R$4*R16/100,0)</f>
        <v>0</v>
      </c>
      <c r="S41" s="10" t="n">
        <f aca="false">MAX(Flows!S71*S$4*S16/100,0)</f>
        <v>0</v>
      </c>
      <c r="T41" s="10" t="n">
        <f aca="false">MAX(Flows!T71*T$4*T16/100,0)</f>
        <v>0</v>
      </c>
      <c r="U41" s="10" t="n">
        <f aca="false">MAX(Flows!U71*U$4*U16/100,0)</f>
        <v>0</v>
      </c>
      <c r="V41" s="10" t="n">
        <f aca="false">MAX(Flows!V71*V$4*V16/100,0)</f>
        <v>0</v>
      </c>
      <c r="W41" s="10" t="n">
        <f aca="false">MAX(Flows!W71*W$4*W16/100,0)</f>
        <v>0</v>
      </c>
      <c r="X41" s="10" t="n">
        <f aca="false">MAX(Flows!X71*X$4*X16/100,0)</f>
        <v>9716243.81241326</v>
      </c>
      <c r="Y41" s="10" t="n">
        <f aca="false">MAX(Flows!Y71*Y$4*Y16/100,0)</f>
        <v>0</v>
      </c>
      <c r="Z41" s="10" t="n">
        <f aca="false">MAX(Flows!Z71*Z$4*Z16/100,0)</f>
        <v>703964.150642652</v>
      </c>
      <c r="AA41" s="10" t="n">
        <f aca="false">MAX(Flows!AA71*AA$4*AA16/100,0)</f>
        <v>0</v>
      </c>
      <c r="AB41" s="10" t="n">
        <f aca="false">MAX(Flows!AB71*AB$4*AB16/100,0)</f>
        <v>0</v>
      </c>
      <c r="AC41" s="10" t="n">
        <f aca="false">MAX(Flows!AC71*AC$4*AC16/100,0)</f>
        <v>0</v>
      </c>
      <c r="AD41" s="10" t="n">
        <f aca="false">MAX(Flows!AD71*AD$4*AD16/100,0)</f>
        <v>0</v>
      </c>
      <c r="AE41" s="10" t="n">
        <f aca="false">MAX(Flows!AE71*AE$4*AE16/100,0)</f>
        <v>0</v>
      </c>
      <c r="AF41" s="10" t="n">
        <f aca="false">MAX(Flows!AF71*AF$4*AF16/100,0)</f>
        <v>0</v>
      </c>
      <c r="AG41" s="10" t="n">
        <f aca="false">MAX(Flows!AG71*AG$4*AG16/100,0)</f>
        <v>13602510.6395524</v>
      </c>
      <c r="AH41" s="10" t="n">
        <f aca="false">MAX(Flows!AH71*AH$4*AH16/100,0)</f>
        <v>0</v>
      </c>
      <c r="AI41" s="10" t="n">
        <f aca="false">MAX(Flows!AI71*AI$4*AI16/100,0)</f>
        <v>22413743.5923921</v>
      </c>
      <c r="AJ41" s="10" t="n">
        <f aca="false">MAX(Flows!AJ71*AJ$4*AJ16/100,0)</f>
        <v>0</v>
      </c>
      <c r="AK41" s="10" t="n">
        <f aca="false">MAX(Flows!AK71*AK$4*AK16/100,0)</f>
        <v>0</v>
      </c>
      <c r="AL41" s="10" t="n">
        <f aca="false">MAX(Flows!AL71*AL$4*AL16/100,0)</f>
        <v>0</v>
      </c>
      <c r="AM41" s="10" t="n">
        <f aca="false">MAX(Flows!AM71*AM$4*AM16/100,0)</f>
        <v>0</v>
      </c>
      <c r="AN41" s="10" t="n">
        <f aca="false">MAX(Flows!AN71*AN$4*AN16/100,0)</f>
        <v>0</v>
      </c>
      <c r="AO41" s="10" t="n">
        <f aca="false">MAX(Flows!AO71*AO$4*AO16/100,0)</f>
        <v>0</v>
      </c>
      <c r="AP41" s="10" t="n">
        <f aca="false">MAX(Flows!AP71*AP$4*AP16/100,0)</f>
        <v>0</v>
      </c>
      <c r="AQ41" s="10" t="n">
        <f aca="false">MAX(Flows!AQ71*AQ$4*AQ16/100,0)</f>
        <v>8927757.69879376</v>
      </c>
      <c r="AR41" s="10" t="n">
        <f aca="false">MAX(Flows!AR71*AR$4*AR16/100,0)</f>
        <v>564048.499111177</v>
      </c>
      <c r="AS41" s="10" t="n">
        <f aca="false">MAX(Flows!AS71*AS$4*AS16/100,0)</f>
        <v>0</v>
      </c>
      <c r="AT41" s="10" t="n">
        <f aca="false">MAX(Flows!AT71*AT$4*AT16/100,0)</f>
        <v>0</v>
      </c>
      <c r="AU41" s="10" t="n">
        <f aca="false">MAX(Flows!AU71*AU$4*AU16/100,0)</f>
        <v>17618442.8036162</v>
      </c>
      <c r="AV41" s="10" t="n">
        <f aca="false">MAX(Flows!AV71*AV$4*AV16/100,0)</f>
        <v>0</v>
      </c>
      <c r="AW41" s="10" t="n">
        <f aca="false">MAX(Flows!AW71*AW$4*AW16/100,0)</f>
        <v>0</v>
      </c>
      <c r="AX41" s="10" t="n">
        <f aca="false">MAX(Flows!AX71*AX$4*AX16/100,0)</f>
        <v>359227.760703526</v>
      </c>
      <c r="AY41" s="10" t="n">
        <f aca="false">MAX(Flows!AY71*AY$4*AY16/100,0)</f>
        <v>0</v>
      </c>
      <c r="AZ41" s="10" t="n">
        <f aca="false">MAX(Flows!AZ71*AZ$4*AZ16/100,0)</f>
        <v>0</v>
      </c>
      <c r="BA41" s="10" t="n">
        <f aca="false">MAX(Flows!BA71*BA$4*BA16/100,0)</f>
        <v>0</v>
      </c>
      <c r="BB41" s="10" t="n">
        <f aca="false">MAX(Flows!BB71*BB$4*BB16/100,0)</f>
        <v>0</v>
      </c>
      <c r="BC41" s="10" t="n">
        <f aca="false">MAX(Flows!BC71*BC$4*BC16/100,0)</f>
        <v>5197129.6531202</v>
      </c>
      <c r="BD41" s="10" t="n">
        <f aca="false">MAX(Flows!BD71*BD$4*BD16/100,0)</f>
        <v>0</v>
      </c>
      <c r="BE41" s="10" t="n">
        <f aca="false">MAX(Flows!BE71*BE$4*BE16/100,0)</f>
        <v>0</v>
      </c>
      <c r="BF41" s="10" t="n">
        <f aca="false">MAX(Flows!BF71*BF$4*BF16/100,0)</f>
        <v>0</v>
      </c>
      <c r="BG41" s="10" t="n">
        <f aca="false">MAX(Flows!BG71*BG$4*BG16/100,0)</f>
        <v>0</v>
      </c>
      <c r="BH41" s="10" t="n">
        <f aca="false">MAX(Flows!BH71*BH$4*BH16/100,0)</f>
        <v>0</v>
      </c>
      <c r="BI41" s="10" t="n">
        <f aca="false">MAX(Flows!BI71*BI$4*BI16/100,0)</f>
        <v>0</v>
      </c>
      <c r="BJ41" s="10" t="n">
        <f aca="false">MAX(Flows!BJ71*BJ$4*BJ16/100,0)</f>
        <v>0</v>
      </c>
      <c r="BK41" s="10" t="n">
        <f aca="false">MAX(Flows!BK71*BK$4*BK16/100,0)</f>
        <v>0</v>
      </c>
      <c r="BL41" s="10" t="n">
        <f aca="false">MAX(Flows!BL71*BL$4*BL16/100,0)</f>
        <v>0</v>
      </c>
      <c r="BM41" s="10" t="n">
        <f aca="false">MAX(Flows!BM71*BM$4*BM16/100,0)</f>
        <v>0</v>
      </c>
      <c r="BN41" s="10" t="n">
        <f aca="false">MAX(Flows!BN71*BN$4*BN16/100,0)</f>
        <v>0</v>
      </c>
      <c r="BO41" s="10" t="n">
        <f aca="false">MAX(Flows!BO71*BO$4*BO16/100,0)</f>
        <v>0</v>
      </c>
      <c r="BP41" s="10" t="n">
        <f aca="false">MAX(Flows!BP71*BP$4*BP16/100,0)</f>
        <v>0</v>
      </c>
      <c r="BQ41" s="10" t="n">
        <f aca="false">MAX(Flows!BQ71*BQ$4*BQ16/100,0)</f>
        <v>0</v>
      </c>
      <c r="BR41" s="10" t="n">
        <f aca="false">MAX(Flows!BR71*BR$4*BR16/100,0)</f>
        <v>0</v>
      </c>
      <c r="BS41" s="10" t="n">
        <f aca="false">MAX(Flows!BS71*BS$4*BS16/100,0)</f>
        <v>0</v>
      </c>
      <c r="BT41" s="10" t="n">
        <f aca="false">MAX(Flows!BT71*BT$4*BT16/100,0)</f>
        <v>0</v>
      </c>
      <c r="BU41" s="10" t="n">
        <f aca="false">MAX(Flows!BU71*BU$4*BU16/100,0)</f>
        <v>0</v>
      </c>
      <c r="BV41" s="10" t="n">
        <f aca="false">MAX(Flows!BV71*BV$4*BV16/100,0)</f>
        <v>0</v>
      </c>
      <c r="BW41" s="10" t="n">
        <f aca="false">MAX(Flows!BW71*BW$4*BW16/100,0)</f>
        <v>0</v>
      </c>
      <c r="BX41" s="10" t="n">
        <f aca="false">MAX(Flows!BX71*BX$4*BX16/100,0)</f>
        <v>0</v>
      </c>
      <c r="BY41" s="10" t="n">
        <f aca="false">MAX(Flows!BY71*BY$4*BY16/100,0)</f>
        <v>0</v>
      </c>
      <c r="BZ41" s="10" t="n">
        <f aca="false">MAX(Flows!BZ71*BZ$4*BZ16/100,0)</f>
        <v>10584797.1380026</v>
      </c>
      <c r="CA41" s="10" t="n">
        <f aca="false">MAX(Flows!CA71*CA$4*CA16/100,0)</f>
        <v>10584797.1380026</v>
      </c>
      <c r="CB41" s="10" t="n">
        <f aca="false">MAX(Flows!CB71*CB$4*CB16/100,0)</f>
        <v>0</v>
      </c>
      <c r="CC41" s="10" t="n">
        <f aca="false">MAX(Flows!CC71*CC$4*CC16/100,0)</f>
        <v>0</v>
      </c>
      <c r="CD41" s="10" t="n">
        <f aca="false">MAX(Flows!CD71*CD$4*CD16/100,0)</f>
        <v>0</v>
      </c>
      <c r="CE41" s="10" t="n">
        <f aca="false">MAX(Flows!CE71*CE$4*CE16/100,0)</f>
        <v>0</v>
      </c>
      <c r="CF41" s="10" t="n">
        <f aca="false">MAX(Flows!CF71*CF$4*CF16/100,0)</f>
        <v>0</v>
      </c>
      <c r="CG41" s="10" t="n">
        <f aca="false">MAX(Flows!CG71*CG$4*CG16/100,0)</f>
        <v>0</v>
      </c>
      <c r="CH41" s="10" t="n">
        <f aca="false">MAX(Flows!CH71*CH$4*CH16/100,0)</f>
        <v>0</v>
      </c>
      <c r="CI41" s="10" t="n">
        <f aca="false">MAX(Flows!CI71*CI$4*CI16/100,0)</f>
        <v>0</v>
      </c>
      <c r="CJ41" s="10" t="n">
        <f aca="false">MAX(Flows!CJ71*CJ$4*CJ16/100,0)</f>
        <v>0</v>
      </c>
      <c r="CK41" s="10" t="n">
        <f aca="false">MAX(Flows!CK71*CK$4*CK16/100,0)</f>
        <v>0</v>
      </c>
      <c r="CL41" s="7" t="s">
        <v>320</v>
      </c>
      <c r="CM41" s="10" t="n">
        <f aca="false" t="array" ref="CM41:CM41">SUM(IF($C$150:$CK$150=CM$30,$C41:$CK41,0),IF($C$150:$CK$150=CM$30,-$C101:$CK101,0))</f>
        <v>-75218023.624345</v>
      </c>
      <c r="CN41" s="10" t="n">
        <f aca="false" t="array" ref="CN41:CN41">SUM(IF($C$150:$CK$150=CN$30,$C41:$CK41,0),IF($C$150:$CK$150=CN$30,-$C101:$CK101,0))</f>
        <v>-94884692.1472271</v>
      </c>
      <c r="CO41" s="10" t="n">
        <f aca="false" t="array" ref="CO41:CO41">SUM(IF($C$150:$CK$150=CO$30,$C41:$CK41,0),IF($C$150:$CK$150=CO$30,-$C101:$CK101,0))</f>
        <v>-126411175.990437</v>
      </c>
      <c r="CP41" s="10" t="n">
        <f aca="false" t="array" ref="CP41:CP41">SUM(IF($C$150:$CK$150=CP$30,$C41:$CK41,0),IF($C$150:$CK$150=CP$30,-$C101:$CK101,0))</f>
        <v>-212702120.065527</v>
      </c>
      <c r="CQ41" s="10" t="n">
        <f aca="false" t="array" ref="CQ41:CQ41">SUM(IF($C$150:$CK$150=CQ$30,$C41:$CK41,0),IF($C$150:$CK$150=CQ$30,-$C101:$CK101,0))</f>
        <v>-79255440.2639269</v>
      </c>
      <c r="CR41" s="10" t="n">
        <f aca="false" t="array" ref="CR41:CR41">SUM(IF($C$150:$CK$150=CR$30,$C41:$CK41,0),IF($C$150:$CK$150=CR$30,-$C101:$CK101,0))</f>
        <v>-15987935942375000</v>
      </c>
      <c r="CS41" s="10" t="n">
        <f aca="false" t="array" ref="CS41:CS41">SUM(IF($C$150:$CK$150=CS$30,$C41:$CK41,0),IF($C$150:$CK$150=CS$30,-$C101:$CK101,0))</f>
        <v>15396665.1685454</v>
      </c>
      <c r="CT41" s="10" t="n">
        <f aca="false" t="array" ref="CT41:CT41">SUM(IF($C$150:$CK$150=CT$30,$C41:$CK41,0),IF($C$150:$CK$150=CT$30,-$C101:$CK101,0))</f>
        <v>-4486709.39005268</v>
      </c>
      <c r="CU41" s="10" t="n">
        <f aca="false" t="array" ref="CU41:CU41">SUM(IF($C$150:$CK$150=CU$30,$C41:$CK41,0),IF($C$150:$CK$150=CU$30,-$C101:$CK101,0))</f>
        <v>51557890.0709963</v>
      </c>
      <c r="CV41" s="10" t="n">
        <f aca="false" t="array" ref="CV41:CV41">SUM(IF($C$150:$CK$150=CV$30,$C41:$CK41,0),IF($C$150:$CK$150=CV$30,-$C101:$CK101,0))</f>
        <v>-1749450.24554951</v>
      </c>
      <c r="CX41" s="0" t="str">
        <f aca="false">INDEX($C$1:$CK$1,MATCH(LARGE($C41:$CK41,1),$C41:$CK41,0))</f>
        <v>Honey (lb)</v>
      </c>
      <c r="CY41" s="0" t="str">
        <f aca="false">INDEX($C$1:$CK$1,MATCH(LARGE($C41:$CK41,2),$C41:$CK41,0))</f>
        <v>Auger (ea)</v>
      </c>
      <c r="CZ41" s="0" t="str">
        <f aca="false">INDEX($C$1:$CK$1,MATCH(LARGE($C41:$CK41,3),$C41:$CK41,0))</f>
        <v>Spear (ea)</v>
      </c>
      <c r="DA41" s="0" t="str">
        <f aca="false">INDEX($C$1:$CK$1,MATCH(LARGE($C41:$CK41,4),$C41:$CK41,0))</f>
        <v>Hoe (ea)</v>
      </c>
      <c r="DB41" s="0" t="str">
        <f aca="false">INDEX($C$1:$CK$1,MATCH(LARGE($C41:$CK41,5),$C41:$CK41,0))</f>
        <v>Whale Oil (gal)</v>
      </c>
      <c r="DD41" s="0" t="str">
        <f aca="false">IF(LARGE($CM41:$CV41,1)&gt;0,INDEX($CM$30:$CV$30,MATCH(LARGE($CM41:$CV41,1),$CM41:$CV41,0)),"N/A")</f>
        <v>Honey</v>
      </c>
      <c r="DE41" s="0" t="str">
        <f aca="false">IF(LARGE($CM41:$CV41,2)&gt;0,INDEX($CM$30:$CV$30,MATCH(LARGE($CM41:$CV41,2),$CM41:$CV41,0)),"N/A")</f>
        <v>Wood</v>
      </c>
      <c r="DF41" s="0" t="str">
        <f aca="false">IF(LARGE($CM41:$CV41,3)&gt;0,INDEX($CM$30:$CV$30,MATCH(LARGE($CM41:$CV41,3),$CM41:$CV41,0)),"N/A")</f>
        <v>N/A</v>
      </c>
      <c r="DG41" s="0" t="str">
        <f aca="false">IF(LARGE($CM41:$CV41,4)&gt;0,INDEX($CM$30:$CV$30,MATCH(LARGE($CM41:$CV41,4),$CM41:$CV41,0)),"N/A")</f>
        <v>N/A</v>
      </c>
      <c r="DH41" s="0" t="str">
        <f aca="false">IF(LARGE($CM41:$CV41,5)&gt;0,INDEX($CM$30:$CV$30,MATCH(LARGE($CM41:$CV41,5),$CM41:$CV41,0)),"N/A")</f>
        <v>N/A</v>
      </c>
    </row>
    <row r="42" customFormat="false" ht="12.8" hidden="false" customHeight="false" outlineLevel="0" collapsed="false">
      <c r="A42" s="7" t="s">
        <v>147</v>
      </c>
      <c r="B42" s="7" t="s">
        <v>39</v>
      </c>
      <c r="C42" s="10" t="n">
        <f aca="false">MAX(Flows!C72*C$4*C17/100,0)</f>
        <v>0</v>
      </c>
      <c r="D42" s="10" t="n">
        <f aca="false">MAX(Flows!D72*D$4*D17/100,0)</f>
        <v>0</v>
      </c>
      <c r="E42" s="10" t="n">
        <f aca="false">MAX(Flows!E72*E$4*E17/100,0)</f>
        <v>0</v>
      </c>
      <c r="F42" s="10" t="n">
        <f aca="false">MAX(Flows!F72*F$4*F17/100,0)</f>
        <v>0</v>
      </c>
      <c r="G42" s="10" t="n">
        <f aca="false">MAX(Flows!G72*G$4*G17/100,0)</f>
        <v>0</v>
      </c>
      <c r="H42" s="10" t="n">
        <f aca="false">MAX(Flows!H72*H$4*H17/100,0)</f>
        <v>0</v>
      </c>
      <c r="I42" s="10" t="n">
        <f aca="false">MAX(Flows!I72*I$4*I17/100,0)</f>
        <v>35456133.868514</v>
      </c>
      <c r="J42" s="10" t="n">
        <f aca="false">MAX(Flows!J72*J$4*J17/100,0)</f>
        <v>66264558.7976147</v>
      </c>
      <c r="K42" s="10" t="n">
        <f aca="false">MAX(Flows!K72*K$4*K17/100,0)</f>
        <v>0</v>
      </c>
      <c r="L42" s="10" t="n">
        <f aca="false">MAX(Flows!L72*L$4*L17/100,0)</f>
        <v>0</v>
      </c>
      <c r="M42" s="10" t="n">
        <f aca="false">MAX(Flows!M72*M$4*M17/100,0)</f>
        <v>0</v>
      </c>
      <c r="N42" s="10" t="n">
        <f aca="false">MAX(Flows!N72*N$4*N17/100,0)</f>
        <v>0</v>
      </c>
      <c r="O42" s="10" t="n">
        <f aca="false">MAX(Flows!O72*O$4*O17/100,0)</f>
        <v>0</v>
      </c>
      <c r="P42" s="10" t="n">
        <f aca="false">MAX(Flows!P72*P$4*P17/100,0)</f>
        <v>0</v>
      </c>
      <c r="Q42" s="10" t="n">
        <f aca="false">MAX(Flows!Q72*Q$4*Q17/100,0)</f>
        <v>0</v>
      </c>
      <c r="R42" s="10" t="n">
        <f aca="false">MAX(Flows!R72*R$4*R17/100,0)</f>
        <v>0</v>
      </c>
      <c r="S42" s="10" t="n">
        <f aca="false">MAX(Flows!S72*S$4*S17/100,0)</f>
        <v>0</v>
      </c>
      <c r="T42" s="10" t="n">
        <f aca="false">MAX(Flows!T72*T$4*T17/100,0)</f>
        <v>0</v>
      </c>
      <c r="U42" s="10" t="n">
        <f aca="false">MAX(Flows!U72*U$4*U17/100,0)</f>
        <v>0</v>
      </c>
      <c r="V42" s="10" t="n">
        <f aca="false">MAX(Flows!V72*V$4*V17/100,0)</f>
        <v>0</v>
      </c>
      <c r="W42" s="10" t="n">
        <f aca="false">MAX(Flows!W72*W$4*W17/100,0)</f>
        <v>76454882.7027163</v>
      </c>
      <c r="X42" s="10" t="n">
        <f aca="false">MAX(Flows!X72*X$4*X17/100,0)</f>
        <v>0</v>
      </c>
      <c r="Y42" s="10" t="n">
        <f aca="false">MAX(Flows!Y72*Y$4*Y17/100,0)</f>
        <v>0</v>
      </c>
      <c r="Z42" s="10" t="n">
        <f aca="false">MAX(Flows!Z72*Z$4*Z17/100,0)</f>
        <v>1125634.77611869</v>
      </c>
      <c r="AA42" s="10" t="n">
        <f aca="false">MAX(Flows!AA72*AA$4*AA17/100,0)</f>
        <v>0</v>
      </c>
      <c r="AB42" s="10" t="n">
        <f aca="false">MAX(Flows!AB72*AB$4*AB17/100,0)</f>
        <v>0</v>
      </c>
      <c r="AC42" s="10" t="n">
        <f aca="false">MAX(Flows!AC72*AC$4*AC17/100,0)</f>
        <v>128563.736081579</v>
      </c>
      <c r="AD42" s="10" t="n">
        <f aca="false">MAX(Flows!AD72*AD$4*AD17/100,0)</f>
        <v>0</v>
      </c>
      <c r="AE42" s="10" t="n">
        <f aca="false">MAX(Flows!AE72*AE$4*AE17/100,0)</f>
        <v>0</v>
      </c>
      <c r="AF42" s="10" t="n">
        <f aca="false">MAX(Flows!AF72*AF$4*AF17/100,0)</f>
        <v>0</v>
      </c>
      <c r="AG42" s="10" t="n">
        <f aca="false">MAX(Flows!AG72*AG$4*AG17/100,0)</f>
        <v>0</v>
      </c>
      <c r="AH42" s="10" t="n">
        <f aca="false">MAX(Flows!AH72*AH$4*AH17/100,0)</f>
        <v>0</v>
      </c>
      <c r="AI42" s="10" t="n">
        <f aca="false">MAX(Flows!AI72*AI$4*AI17/100,0)</f>
        <v>0</v>
      </c>
      <c r="AJ42" s="10" t="n">
        <f aca="false">MAX(Flows!AJ72*AJ$4*AJ17/100,0)</f>
        <v>0</v>
      </c>
      <c r="AK42" s="10" t="n">
        <f aca="false">MAX(Flows!AK72*AK$4*AK17/100,0)</f>
        <v>0</v>
      </c>
      <c r="AL42" s="10" t="n">
        <f aca="false">MAX(Flows!AL72*AL$4*AL17/100,0)</f>
        <v>0</v>
      </c>
      <c r="AM42" s="10" t="n">
        <f aca="false">MAX(Flows!AM72*AM$4*AM17/100,0)</f>
        <v>0</v>
      </c>
      <c r="AN42" s="10" t="n">
        <f aca="false">MAX(Flows!AN72*AN$4*AN17/100,0)</f>
        <v>0</v>
      </c>
      <c r="AO42" s="10" t="n">
        <f aca="false">MAX(Flows!AO72*AO$4*AO17/100,0)</f>
        <v>0</v>
      </c>
      <c r="AP42" s="10" t="n">
        <f aca="false">MAX(Flows!AP72*AP$4*AP17/100,0)</f>
        <v>2544951.47564126</v>
      </c>
      <c r="AQ42" s="10" t="n">
        <f aca="false">MAX(Flows!AQ72*AQ$4*AQ17/100,0)</f>
        <v>0</v>
      </c>
      <c r="AR42" s="10" t="n">
        <f aca="false">MAX(Flows!AR72*AR$4*AR17/100,0)</f>
        <v>0</v>
      </c>
      <c r="AS42" s="10" t="n">
        <f aca="false">MAX(Flows!AS72*AS$4*AS17/100,0)</f>
        <v>0</v>
      </c>
      <c r="AT42" s="10" t="n">
        <f aca="false">MAX(Flows!AT72*AT$4*AT17/100,0)</f>
        <v>294051.205637186</v>
      </c>
      <c r="AU42" s="10" t="n">
        <f aca="false">MAX(Flows!AU72*AU$4*AU17/100,0)</f>
        <v>0</v>
      </c>
      <c r="AV42" s="10" t="n">
        <f aca="false">MAX(Flows!AV72*AV$4*AV17/100,0)</f>
        <v>11051565.2803643</v>
      </c>
      <c r="AW42" s="10" t="n">
        <f aca="false">MAX(Flows!AW72*AW$4*AW17/100,0)</f>
        <v>2193228.84391494</v>
      </c>
      <c r="AX42" s="10" t="n">
        <f aca="false">MAX(Flows!AX72*AX$4*AX17/100,0)</f>
        <v>0</v>
      </c>
      <c r="AY42" s="10" t="n">
        <f aca="false">MAX(Flows!AY72*AY$4*AY17/100,0)</f>
        <v>0</v>
      </c>
      <c r="AZ42" s="10" t="n">
        <f aca="false">MAX(Flows!AZ72*AZ$4*AZ17/100,0)</f>
        <v>0</v>
      </c>
      <c r="BA42" s="10" t="n">
        <f aca="false">MAX(Flows!BA72*BA$4*BA17/100,0)</f>
        <v>0</v>
      </c>
      <c r="BB42" s="10" t="n">
        <f aca="false">MAX(Flows!BB72*BB$4*BB17/100,0)</f>
        <v>0</v>
      </c>
      <c r="BC42" s="10" t="n">
        <f aca="false">MAX(Flows!BC72*BC$4*BC17/100,0)</f>
        <v>0</v>
      </c>
      <c r="BD42" s="10" t="n">
        <f aca="false">MAX(Flows!BD72*BD$4*BD17/100,0)</f>
        <v>0</v>
      </c>
      <c r="BE42" s="10" t="n">
        <f aca="false">MAX(Flows!BE72*BE$4*BE17/100,0)</f>
        <v>0</v>
      </c>
      <c r="BF42" s="10" t="n">
        <f aca="false">MAX(Flows!BF72*BF$4*BF17/100,0)</f>
        <v>0</v>
      </c>
      <c r="BG42" s="10" t="n">
        <f aca="false">MAX(Flows!BG72*BG$4*BG17/100,0)</f>
        <v>0</v>
      </c>
      <c r="BH42" s="10" t="n">
        <f aca="false">MAX(Flows!BH72*BH$4*BH17/100,0)</f>
        <v>0</v>
      </c>
      <c r="BI42" s="10" t="n">
        <f aca="false">MAX(Flows!BI72*BI$4*BI17/100,0)</f>
        <v>0</v>
      </c>
      <c r="BJ42" s="10" t="n">
        <f aca="false">MAX(Flows!BJ72*BJ$4*BJ17/100,0)</f>
        <v>0</v>
      </c>
      <c r="BK42" s="10" t="n">
        <f aca="false">MAX(Flows!BK72*BK$4*BK17/100,0)</f>
        <v>0</v>
      </c>
      <c r="BL42" s="10" t="n">
        <f aca="false">MAX(Flows!BL72*BL$4*BL17/100,0)</f>
        <v>0</v>
      </c>
      <c r="BM42" s="10" t="n">
        <f aca="false">MAX(Flows!BM72*BM$4*BM17/100,0)</f>
        <v>0</v>
      </c>
      <c r="BN42" s="10" t="n">
        <f aca="false">MAX(Flows!BN72*BN$4*BN17/100,0)</f>
        <v>0</v>
      </c>
      <c r="BO42" s="10" t="n">
        <f aca="false">MAX(Flows!BO72*BO$4*BO17/100,0)</f>
        <v>0</v>
      </c>
      <c r="BP42" s="10" t="n">
        <f aca="false">MAX(Flows!BP72*BP$4*BP17/100,0)</f>
        <v>0</v>
      </c>
      <c r="BQ42" s="10" t="n">
        <f aca="false">MAX(Flows!BQ72*BQ$4*BQ17/100,0)</f>
        <v>0</v>
      </c>
      <c r="BR42" s="10" t="n">
        <f aca="false">MAX(Flows!BR72*BR$4*BR17/100,0)</f>
        <v>0</v>
      </c>
      <c r="BS42" s="10" t="n">
        <f aca="false">MAX(Flows!BS72*BS$4*BS17/100,0)</f>
        <v>0</v>
      </c>
      <c r="BT42" s="10" t="n">
        <f aca="false">MAX(Flows!BT72*BT$4*BT17/100,0)</f>
        <v>0</v>
      </c>
      <c r="BU42" s="10" t="n">
        <f aca="false">MAX(Flows!BU72*BU$4*BU17/100,0)</f>
        <v>0</v>
      </c>
      <c r="BV42" s="10" t="n">
        <f aca="false">MAX(Flows!BV72*BV$4*BV17/100,0)</f>
        <v>0</v>
      </c>
      <c r="BW42" s="10" t="n">
        <f aca="false">MAX(Flows!BW72*BW$4*BW17/100,0)</f>
        <v>0</v>
      </c>
      <c r="BX42" s="10" t="n">
        <f aca="false">MAX(Flows!BX72*BX$4*BX17/100,0)</f>
        <v>0</v>
      </c>
      <c r="BY42" s="10" t="n">
        <f aca="false">MAX(Flows!BY72*BY$4*BY17/100,0)</f>
        <v>0</v>
      </c>
      <c r="BZ42" s="10" t="n">
        <f aca="false">MAX(Flows!BZ72*BZ$4*BZ17/100,0)</f>
        <v>0</v>
      </c>
      <c r="CA42" s="10" t="n">
        <f aca="false">MAX(Flows!CA72*CA$4*CA17/100,0)</f>
        <v>0</v>
      </c>
      <c r="CB42" s="10" t="n">
        <f aca="false">MAX(Flows!CB72*CB$4*CB17/100,0)</f>
        <v>0</v>
      </c>
      <c r="CC42" s="10" t="n">
        <f aca="false">MAX(Flows!CC72*CC$4*CC17/100,0)</f>
        <v>0</v>
      </c>
      <c r="CD42" s="10" t="n">
        <f aca="false">MAX(Flows!CD72*CD$4*CD17/100,0)</f>
        <v>0</v>
      </c>
      <c r="CE42" s="10" t="n">
        <f aca="false">MAX(Flows!CE72*CE$4*CE17/100,0)</f>
        <v>0</v>
      </c>
      <c r="CF42" s="10" t="n">
        <f aca="false">MAX(Flows!CF72*CF$4*CF17/100,0)</f>
        <v>0</v>
      </c>
      <c r="CG42" s="10" t="n">
        <f aca="false">MAX(Flows!CG72*CG$4*CG17/100,0)</f>
        <v>0</v>
      </c>
      <c r="CH42" s="10" t="n">
        <f aca="false">MAX(Flows!CH72*CH$4*CH17/100,0)</f>
        <v>0</v>
      </c>
      <c r="CI42" s="10" t="n">
        <f aca="false">MAX(Flows!CI72*CI$4*CI17/100,0)</f>
        <v>0</v>
      </c>
      <c r="CJ42" s="10" t="n">
        <f aca="false">MAX(Flows!CJ72*CJ$4*CJ17/100,0)</f>
        <v>0</v>
      </c>
      <c r="CK42" s="10" t="n">
        <f aca="false">MAX(Flows!CK72*CK$4*CK17/100,0)</f>
        <v>0</v>
      </c>
      <c r="CL42" s="7" t="s">
        <v>320</v>
      </c>
      <c r="CM42" s="10" t="n">
        <f aca="false" t="array" ref="CM42:CM42">SUM(IF($C$150:$CK$150=CM$30,$C42:$CK42,0),IF($C$150:$CK$150=CM$30,-$C102:$CK102,0))</f>
        <v>-628328125.961053</v>
      </c>
      <c r="CN42" s="10" t="n">
        <f aca="false" t="array" ref="CN42:CN42">SUM(IF($C$150:$CK$150=CN$30,$C42:$CK42,0),IF($C$150:$CK$150=CN$30,-$C102:$CK102,0))</f>
        <v>-257498533.301264</v>
      </c>
      <c r="CO42" s="10" t="n">
        <f aca="false" t="array" ref="CO42:CO42">SUM(IF($C$150:$CK$150=CO$30,$C42:$CK42,0),IF($C$150:$CK$150=CO$30,-$C102:$CK102,0))</f>
        <v>-480470050.775048</v>
      </c>
      <c r="CP42" s="10" t="n">
        <f aca="false" t="array" ref="CP42:CP42">SUM(IF($C$150:$CK$150=CP$30,$C42:$CK42,0),IF($C$150:$CK$150=CP$30,-$C102:$CK102,0))</f>
        <v>-471103273.637679</v>
      </c>
      <c r="CQ42" s="10" t="n">
        <f aca="false" t="array" ref="CQ42:CQ42">SUM(IF($C$150:$CK$150=CQ$30,$C42:$CK42,0),IF($C$150:$CK$150=CQ$30,-$C102:$CK102,0))</f>
        <v>-295857876.418224</v>
      </c>
      <c r="CR42" s="10" t="n">
        <f aca="false" t="array" ref="CR42:CR42">SUM(IF($C$150:$CK$150=CR$30,$C42:$CK42,0),IF($C$150:$CK$150=CR$30,-$C102:$CK102,0))</f>
        <v>-7546734631162670</v>
      </c>
      <c r="CS42" s="10" t="n">
        <f aca="false" t="array" ref="CS42:CS42">SUM(IF($C$150:$CK$150=CS$30,$C42:$CK42,0),IF($C$150:$CK$150=CS$30,-$C102:$CK102,0))</f>
        <v>-47457168.4426977</v>
      </c>
      <c r="CT42" s="10" t="n">
        <f aca="false" t="array" ref="CT42:CT42">SUM(IF($C$150:$CK$150=CT$30,$C42:$CK42,0),IF($C$150:$CK$150=CT$30,-$C102:$CK102,0))</f>
        <v>-20686817.2371331</v>
      </c>
      <c r="CU42" s="10" t="n">
        <f aca="false" t="array" ref="CU42:CU42">SUM(IF($C$150:$CK$150=CU$30,$C42:$CK42,0),IF($C$150:$CK$150=CU$30,-$C102:$CK102,0))</f>
        <v>101720692.666129</v>
      </c>
      <c r="CV42" s="10" t="n">
        <f aca="false" t="array" ref="CV42:CV42">SUM(IF($C$150:$CK$150=CV$30,$C42:$CK42,0),IF($C$150:$CK$150=CV$30,-$C102:$CK102,0))</f>
        <v>-2110615.60726686</v>
      </c>
      <c r="CX42" s="0" t="str">
        <f aca="false">INDEX($C$1:$CK$1,MATCH(LARGE($C42:$CK42,1),$C42:$CK42,0))</f>
        <v>Sauce (lb)</v>
      </c>
      <c r="CY42" s="0" t="str">
        <f aca="false">INDEX($C$1:$CK$1,MATCH(LARGE($C42:$CK42,2),$C42:$CK42,0))</f>
        <v>Wax (lb)</v>
      </c>
      <c r="CZ42" s="0" t="str">
        <f aca="false">INDEX($C$1:$CK$1,MATCH(LARGE($C42:$CK42,3),$C42:$CK42,0))</f>
        <v>Honey (lb)</v>
      </c>
      <c r="DA42" s="0" t="str">
        <f aca="false">INDEX($C$1:$CK$1,MATCH(LARGE($C42:$CK42,4),$C42:$CK42,0))</f>
        <v>Battleaxe (ea)</v>
      </c>
      <c r="DB42" s="0" t="str">
        <f aca="false">INDEX($C$1:$CK$1,MATCH(LARGE($C42:$CK42,5),$C42:$CK42,0))</f>
        <v>Platemail (ea)</v>
      </c>
      <c r="DD42" s="0" t="str">
        <f aca="false">IF(LARGE($CM42:$CV42,1)&gt;0,INDEX($CM$30:$CV$30,MATCH(LARGE($CM42:$CV42,1),$CM42:$CV42,0)),"N/A")</f>
        <v>Honey</v>
      </c>
      <c r="DE42" s="0" t="str">
        <f aca="false">IF(LARGE($CM42:$CV42,2)&gt;0,INDEX($CM$30:$CV$30,MATCH(LARGE($CM42:$CV42,2),$CM42:$CV42,0)),"N/A")</f>
        <v>N/A</v>
      </c>
      <c r="DF42" s="0" t="str">
        <f aca="false">IF(LARGE($CM42:$CV42,3)&gt;0,INDEX($CM$30:$CV$30,MATCH(LARGE($CM42:$CV42,3),$CM42:$CV42,0)),"N/A")</f>
        <v>N/A</v>
      </c>
      <c r="DG42" s="0" t="str">
        <f aca="false">IF(LARGE($CM42:$CV42,4)&gt;0,INDEX($CM$30:$CV$30,MATCH(LARGE($CM42:$CV42,4),$CM42:$CV42,0)),"N/A")</f>
        <v>N/A</v>
      </c>
      <c r="DH42" s="0" t="str">
        <f aca="false">IF(LARGE($CM42:$CV42,5)&gt;0,INDEX($CM$30:$CV$30,MATCH(LARGE($CM42:$CV42,5),$CM42:$CV42,0)),"N/A")</f>
        <v>N/A</v>
      </c>
    </row>
    <row r="43" customFormat="false" ht="12.8" hidden="false" customHeight="false" outlineLevel="0" collapsed="false">
      <c r="A43" s="7" t="s">
        <v>148</v>
      </c>
      <c r="B43" s="7" t="s">
        <v>39</v>
      </c>
      <c r="C43" s="10" t="n">
        <f aca="false">MAX(Flows!C73*C$4*C18/100,0)</f>
        <v>6418950.31753034</v>
      </c>
      <c r="D43" s="10" t="n">
        <f aca="false">MAX(Flows!D73*D$4*D18/100,0)</f>
        <v>7120800.02717979</v>
      </c>
      <c r="E43" s="10" t="n">
        <f aca="false">MAX(Flows!E73*E$4*E18/100,0)</f>
        <v>6237932.55262264</v>
      </c>
      <c r="F43" s="10" t="n">
        <f aca="false">MAX(Flows!F73*F$4*F18/100,0)</f>
        <v>0</v>
      </c>
      <c r="G43" s="10" t="n">
        <f aca="false">MAX(Flows!G73*G$4*G18/100,0)</f>
        <v>7269941.09089427</v>
      </c>
      <c r="H43" s="10" t="n">
        <f aca="false">MAX(Flows!H73*H$4*H18/100,0)</f>
        <v>0</v>
      </c>
      <c r="I43" s="10" t="n">
        <f aca="false">MAX(Flows!I73*I$4*I18/100,0)</f>
        <v>29199754.0715326</v>
      </c>
      <c r="J43" s="10" t="n">
        <f aca="false">MAX(Flows!J73*J$4*J18/100,0)</f>
        <v>82942462.7677245</v>
      </c>
      <c r="K43" s="10" t="n">
        <f aca="false">MAX(Flows!K73*K$4*K18/100,0)</f>
        <v>0</v>
      </c>
      <c r="L43" s="10" t="n">
        <f aca="false">MAX(Flows!L73*L$4*L18/100,0)</f>
        <v>0</v>
      </c>
      <c r="M43" s="10" t="n">
        <f aca="false">MAX(Flows!M73*M$4*M18/100,0)</f>
        <v>0</v>
      </c>
      <c r="N43" s="10" t="n">
        <f aca="false">MAX(Flows!N73*N$4*N18/100,0)</f>
        <v>0</v>
      </c>
      <c r="O43" s="10" t="n">
        <f aca="false">MAX(Flows!O73*O$4*O18/100,0)</f>
        <v>0</v>
      </c>
      <c r="P43" s="10" t="n">
        <f aca="false">MAX(Flows!P73*P$4*P18/100,0)</f>
        <v>0</v>
      </c>
      <c r="Q43" s="10" t="n">
        <f aca="false">MAX(Flows!Q73*Q$4*Q18/100,0)</f>
        <v>0</v>
      </c>
      <c r="R43" s="10" t="n">
        <f aca="false">MAX(Flows!R73*R$4*R18/100,0)</f>
        <v>6765600.22142714</v>
      </c>
      <c r="S43" s="10" t="n">
        <f aca="false">MAX(Flows!S73*S$4*S18/100,0)</f>
        <v>0</v>
      </c>
      <c r="T43" s="10" t="n">
        <f aca="false">MAX(Flows!T73*T$4*T18/100,0)</f>
        <v>0</v>
      </c>
      <c r="U43" s="10" t="n">
        <f aca="false">MAX(Flows!U73*U$4*U18/100,0)</f>
        <v>0</v>
      </c>
      <c r="V43" s="10" t="n">
        <f aca="false">MAX(Flows!V73*V$4*V18/100,0)</f>
        <v>0</v>
      </c>
      <c r="W43" s="10" t="n">
        <f aca="false">MAX(Flows!W73*W$4*W18/100,0)</f>
        <v>45257133.1166382</v>
      </c>
      <c r="X43" s="10" t="n">
        <f aca="false">MAX(Flows!X73*X$4*X18/100,0)</f>
        <v>106838038.262009</v>
      </c>
      <c r="Y43" s="10" t="n">
        <f aca="false">MAX(Flows!Y73*Y$4*Y18/100,0)</f>
        <v>0</v>
      </c>
      <c r="Z43" s="10" t="n">
        <f aca="false">MAX(Flows!Z73*Z$4*Z18/100,0)</f>
        <v>0</v>
      </c>
      <c r="AA43" s="10" t="n">
        <f aca="false">MAX(Flows!AA73*AA$4*AA18/100,0)</f>
        <v>0</v>
      </c>
      <c r="AB43" s="10" t="n">
        <f aca="false">MAX(Flows!AB73*AB$4*AB18/100,0)</f>
        <v>0</v>
      </c>
      <c r="AC43" s="10" t="n">
        <f aca="false">MAX(Flows!AC73*AC$4*AC18/100,0)</f>
        <v>282777.385505048</v>
      </c>
      <c r="AD43" s="10" t="n">
        <f aca="false">MAX(Flows!AD73*AD$4*AD18/100,0)</f>
        <v>0</v>
      </c>
      <c r="AE43" s="10" t="n">
        <f aca="false">MAX(Flows!AE73*AE$4*AE18/100,0)</f>
        <v>0</v>
      </c>
      <c r="AF43" s="10" t="n">
        <f aca="false">MAX(Flows!AF73*AF$4*AF18/100,0)</f>
        <v>0</v>
      </c>
      <c r="AG43" s="10" t="n">
        <f aca="false">MAX(Flows!AG73*AG$4*AG18/100,0)</f>
        <v>0</v>
      </c>
      <c r="AH43" s="10" t="n">
        <f aca="false">MAX(Flows!AH73*AH$4*AH18/100,0)</f>
        <v>0</v>
      </c>
      <c r="AI43" s="10" t="n">
        <f aca="false">MAX(Flows!AI73*AI$4*AI18/100,0)</f>
        <v>0</v>
      </c>
      <c r="AJ43" s="10" t="n">
        <f aca="false">MAX(Flows!AJ73*AJ$4*AJ18/100,0)</f>
        <v>1889333.18269478</v>
      </c>
      <c r="AK43" s="10" t="n">
        <f aca="false">MAX(Flows!AK73*AK$4*AK18/100,0)</f>
        <v>16653391.0587032</v>
      </c>
      <c r="AL43" s="10" t="n">
        <f aca="false">MAX(Flows!AL73*AL$4*AL18/100,0)</f>
        <v>430486.958434644</v>
      </c>
      <c r="AM43" s="10" t="n">
        <f aca="false">MAX(Flows!AM73*AM$4*AM18/100,0)</f>
        <v>1775839.33217593</v>
      </c>
      <c r="AN43" s="10" t="n">
        <f aca="false">MAX(Flows!AN73*AN$4*AN18/100,0)</f>
        <v>0</v>
      </c>
      <c r="AO43" s="10" t="n">
        <f aca="false">MAX(Flows!AO73*AO$4*AO18/100,0)</f>
        <v>144367.90711057</v>
      </c>
      <c r="AP43" s="10" t="n">
        <f aca="false">MAX(Flows!AP73*AP$4*AP18/100,0)</f>
        <v>0</v>
      </c>
      <c r="AQ43" s="10" t="n">
        <f aca="false">MAX(Flows!AQ73*AQ$4*AQ18/100,0)</f>
        <v>11032616.8804767</v>
      </c>
      <c r="AR43" s="10" t="n">
        <f aca="false">MAX(Flows!AR73*AR$4*AR18/100,0)</f>
        <v>0</v>
      </c>
      <c r="AS43" s="10" t="n">
        <f aca="false">MAX(Flows!AS73*AS$4*AS18/100,0)</f>
        <v>10127393.9781128</v>
      </c>
      <c r="AT43" s="10" t="n">
        <f aca="false">MAX(Flows!AT73*AT$4*AT18/100,0)</f>
        <v>0</v>
      </c>
      <c r="AU43" s="10" t="n">
        <f aca="false">MAX(Flows!AU73*AU$4*AU18/100,0)</f>
        <v>15669049.6533622</v>
      </c>
      <c r="AV43" s="10" t="n">
        <f aca="false">MAX(Flows!AV73*AV$4*AV18/100,0)</f>
        <v>0</v>
      </c>
      <c r="AW43" s="10" t="n">
        <f aca="false">MAX(Flows!AW73*AW$4*AW18/100,0)</f>
        <v>5250040.71325256</v>
      </c>
      <c r="AX43" s="10" t="n">
        <f aca="false">MAX(Flows!AX73*AX$4*AX18/100,0)</f>
        <v>2194622.89545024</v>
      </c>
      <c r="AY43" s="10" t="n">
        <f aca="false">MAX(Flows!AY73*AY$4*AY18/100,0)</f>
        <v>0</v>
      </c>
      <c r="AZ43" s="10" t="n">
        <f aca="false">MAX(Flows!AZ73*AZ$4*AZ18/100,0)</f>
        <v>0</v>
      </c>
      <c r="BA43" s="10" t="n">
        <f aca="false">MAX(Flows!BA73*BA$4*BA18/100,0)</f>
        <v>0</v>
      </c>
      <c r="BB43" s="10" t="n">
        <f aca="false">MAX(Flows!BB73*BB$4*BB18/100,0)</f>
        <v>0</v>
      </c>
      <c r="BC43" s="10" t="n">
        <f aca="false">MAX(Flows!BC73*BC$4*BC18/100,0)</f>
        <v>0</v>
      </c>
      <c r="BD43" s="10" t="n">
        <f aca="false">MAX(Flows!BD73*BD$4*BD18/100,0)</f>
        <v>0</v>
      </c>
      <c r="BE43" s="10" t="n">
        <f aca="false">MAX(Flows!BE73*BE$4*BE18/100,0)</f>
        <v>0</v>
      </c>
      <c r="BF43" s="10" t="n">
        <f aca="false">MAX(Flows!BF73*BF$4*BF18/100,0)</f>
        <v>6030925.59549605</v>
      </c>
      <c r="BG43" s="10" t="n">
        <f aca="false">MAX(Flows!BG73*BG$4*BG18/100,0)</f>
        <v>0</v>
      </c>
      <c r="BH43" s="10" t="n">
        <f aca="false">MAX(Flows!BH73*BH$4*BH18/100,0)</f>
        <v>0</v>
      </c>
      <c r="BI43" s="10" t="n">
        <f aca="false">MAX(Flows!BI73*BI$4*BI18/100,0)</f>
        <v>6843674.9993733</v>
      </c>
      <c r="BJ43" s="10" t="n">
        <f aca="false">MAX(Flows!BJ73*BJ$4*BJ18/100,0)</f>
        <v>6843674.99937331</v>
      </c>
      <c r="BK43" s="10" t="n">
        <f aca="false">MAX(Flows!BK73*BK$4*BK18/100,0)</f>
        <v>6843674.9993733</v>
      </c>
      <c r="BL43" s="10" t="n">
        <f aca="false">MAX(Flows!BL73*BL$4*BL18/100,0)</f>
        <v>0</v>
      </c>
      <c r="BM43" s="10" t="n">
        <f aca="false">MAX(Flows!BM73*BM$4*BM18/100,0)</f>
        <v>0</v>
      </c>
      <c r="BN43" s="10" t="n">
        <f aca="false">MAX(Flows!BN73*BN$4*BN18/100,0)</f>
        <v>0</v>
      </c>
      <c r="BO43" s="10" t="n">
        <f aca="false">MAX(Flows!BO73*BO$4*BO18/100,0)</f>
        <v>0</v>
      </c>
      <c r="BP43" s="10" t="n">
        <f aca="false">MAX(Flows!BP73*BP$4*BP18/100,0)</f>
        <v>0</v>
      </c>
      <c r="BQ43" s="10" t="n">
        <f aca="false">MAX(Flows!BQ73*BQ$4*BQ18/100,0)</f>
        <v>0</v>
      </c>
      <c r="BR43" s="10" t="n">
        <f aca="false">MAX(Flows!BR73*BR$4*BR18/100,0)</f>
        <v>0</v>
      </c>
      <c r="BS43" s="10" t="n">
        <f aca="false">MAX(Flows!BS73*BS$4*BS18/100,0)</f>
        <v>0</v>
      </c>
      <c r="BT43" s="10" t="n">
        <f aca="false">MAX(Flows!BT73*BT$4*BT18/100,0)</f>
        <v>0</v>
      </c>
      <c r="BU43" s="10" t="n">
        <f aca="false">MAX(Flows!BU73*BU$4*BU18/100,0)</f>
        <v>0</v>
      </c>
      <c r="BV43" s="10" t="n">
        <f aca="false">MAX(Flows!BV73*BV$4*BV18/100,0)</f>
        <v>0</v>
      </c>
      <c r="BW43" s="10" t="n">
        <f aca="false">MAX(Flows!BW73*BW$4*BW18/100,0)</f>
        <v>0</v>
      </c>
      <c r="BX43" s="10" t="n">
        <f aca="false">MAX(Flows!BX73*BX$4*BX18/100,0)</f>
        <v>0</v>
      </c>
      <c r="BY43" s="10" t="n">
        <f aca="false">MAX(Flows!BY73*BY$4*BY18/100,0)</f>
        <v>0</v>
      </c>
      <c r="BZ43" s="10" t="n">
        <f aca="false">MAX(Flows!BZ73*BZ$4*BZ18/100,0)</f>
        <v>4008380.07830059</v>
      </c>
      <c r="CA43" s="10" t="n">
        <f aca="false">MAX(Flows!CA73*CA$4*CA18/100,0)</f>
        <v>4008380.0783006</v>
      </c>
      <c r="CB43" s="10" t="n">
        <f aca="false">MAX(Flows!CB73*CB$4*CB18/100,0)</f>
        <v>0</v>
      </c>
      <c r="CC43" s="10" t="n">
        <f aca="false">MAX(Flows!CC73*CC$4*CC18/100,0)</f>
        <v>342183.749968665</v>
      </c>
      <c r="CD43" s="10" t="n">
        <f aca="false">MAX(Flows!CD73*CD$4*CD18/100,0)</f>
        <v>0</v>
      </c>
      <c r="CE43" s="10" t="n">
        <f aca="false">MAX(Flows!CE73*CE$4*CE18/100,0)</f>
        <v>342183.749968664</v>
      </c>
      <c r="CF43" s="10" t="n">
        <f aca="false">MAX(Flows!CF73*CF$4*CF18/100,0)</f>
        <v>808389.419407181</v>
      </c>
      <c r="CG43" s="10" t="n">
        <f aca="false">MAX(Flows!CG73*CG$4*CG18/100,0)</f>
        <v>0</v>
      </c>
      <c r="CH43" s="10" t="n">
        <f aca="false">MAX(Flows!CH73*CH$4*CH18/100,0)</f>
        <v>0</v>
      </c>
      <c r="CI43" s="10" t="n">
        <f aca="false">MAX(Flows!CI73*CI$4*CI18/100,0)</f>
        <v>0</v>
      </c>
      <c r="CJ43" s="10" t="n">
        <f aca="false">MAX(Flows!CJ73*CJ$4*CJ18/100,0)</f>
        <v>0</v>
      </c>
      <c r="CK43" s="10" t="n">
        <f aca="false">MAX(Flows!CK73*CK$4*CK18/100,0)</f>
        <v>0</v>
      </c>
      <c r="CL43" s="7" t="s">
        <v>320</v>
      </c>
      <c r="CM43" s="10" t="n">
        <f aca="false" t="array" ref="CM43:CM43">SUM(IF($C$150:$CK$150=CM$30,$C43:$CK43,0),IF($C$150:$CK$150=CM$30,-$C103:$CK103,0))</f>
        <v>125129827.701517</v>
      </c>
      <c r="CN43" s="10" t="n">
        <f aca="false" t="array" ref="CN43:CN43">SUM(IF($C$150:$CK$150=CN$30,$C43:$CK43,0),IF($C$150:$CK$150=CN$30,-$C103:$CK103,0))</f>
        <v>-84584760.571588</v>
      </c>
      <c r="CO43" s="10" t="n">
        <f aca="false" t="array" ref="CO43:CO43">SUM(IF($C$150:$CK$150=CO$30,$C43:$CK43,0),IF($C$150:$CK$150=CO$30,-$C103:$CK103,0))</f>
        <v>-34341622.9706661</v>
      </c>
      <c r="CP43" s="10" t="n">
        <f aca="false" t="array" ref="CP43:CP43">SUM(IF($C$150:$CK$150=CP$30,$C43:$CK43,0),IF($C$150:$CK$150=CP$30,-$C103:$CK103,0))</f>
        <v>-84580396.8931339</v>
      </c>
      <c r="CQ43" s="10" t="n">
        <f aca="false" t="array" ref="CQ43:CQ43">SUM(IF($C$150:$CK$150=CQ$30,$C43:$CK43,0),IF($C$150:$CK$150=CQ$30,-$C103:$CK103,0))</f>
        <v>-57741840.8226767</v>
      </c>
      <c r="CR43" s="10" t="n">
        <f aca="false" t="array" ref="CR43:CR43">SUM(IF($C$150:$CK$150=CR$30,$C43:$CK43,0),IF($C$150:$CK$150=CR$30,-$C103:$CK103,0))</f>
        <v>-8721521358146080</v>
      </c>
      <c r="CS43" s="10" t="n">
        <f aca="false" t="array" ref="CS43:CS43">SUM(IF($C$150:$CK$150=CS$30,$C43:$CK43,0),IF($C$150:$CK$150=CS$30,-$C103:$CK103,0))</f>
        <v>-2380257.62159364</v>
      </c>
      <c r="CT43" s="10" t="n">
        <f aca="false" t="array" ref="CT43:CT43">SUM(IF($C$150:$CK$150=CT$30,$C43:$CK43,0),IF($C$150:$CK$150=CT$30,-$C103:$CK103,0))</f>
        <v>-2068177.82827265</v>
      </c>
      <c r="CU43" s="10" t="n">
        <f aca="false" t="array" ref="CU43:CU43">SUM(IF($C$150:$CK$150=CU$30,$C43:$CK43,0),IF($C$150:$CK$150=CU$30,-$C103:$CK103,0))</f>
        <v>112142216.839257</v>
      </c>
      <c r="CV43" s="10" t="n">
        <f aca="false" t="array" ref="CV43:CV43">SUM(IF($C$150:$CK$150=CV$30,$C43:$CK43,0),IF($C$150:$CK$150=CV$30,-$C103:$CK103,0))</f>
        <v>-1213828.60036835</v>
      </c>
      <c r="CX43" s="0" t="str">
        <f aca="false">INDEX($C$1:$CK$1,MATCH(LARGE($C43:$CK43,1),$C43:$CK43,0))</f>
        <v>Chipak (lb)</v>
      </c>
      <c r="CY43" s="0" t="str">
        <f aca="false">INDEX($C$1:$CK$1,MATCH(LARGE($C43:$CK43,2),$C43:$CK43,0))</f>
        <v>Wax (lb)</v>
      </c>
      <c r="CZ43" s="0" t="str">
        <f aca="false">INDEX($C$1:$CK$1,MATCH(LARGE($C43:$CK43,3),$C43:$CK43,0))</f>
        <v>Sauce (lb)</v>
      </c>
      <c r="DA43" s="0" t="str">
        <f aca="false">INDEX($C$1:$CK$1,MATCH(LARGE($C43:$CK43,4),$C43:$CK43,0))</f>
        <v>Honey (lb)</v>
      </c>
      <c r="DB43" s="0" t="str">
        <f aca="false">INDEX($C$1:$CK$1,MATCH(LARGE($C43:$CK43,5),$C43:$CK43,0))</f>
        <v>Chisels (ea)</v>
      </c>
      <c r="DD43" s="0" t="str">
        <f aca="false">IF(LARGE($CM43:$CV43,1)&gt;0,INDEX($CM$30:$CV$30,MATCH(LARGE($CM43:$CV43,1),$CM43:$CV43,0)),"N/A")</f>
        <v>Produce</v>
      </c>
      <c r="DE43" s="0" t="str">
        <f aca="false">IF(LARGE($CM43:$CV43,2)&gt;0,INDEX($CM$30:$CV$30,MATCH(LARGE($CM43:$CV43,2),$CM43:$CV43,0)),"N/A")</f>
        <v>Honey</v>
      </c>
      <c r="DF43" s="0" t="str">
        <f aca="false">IF(LARGE($CM43:$CV43,3)&gt;0,INDEX($CM$30:$CV$30,MATCH(LARGE($CM43:$CV43,3),$CM43:$CV43,0)),"N/A")</f>
        <v>N/A</v>
      </c>
      <c r="DG43" s="0" t="str">
        <f aca="false">IF(LARGE($CM43:$CV43,4)&gt;0,INDEX($CM$30:$CV$30,MATCH(LARGE($CM43:$CV43,4),$CM43:$CV43,0)),"N/A")</f>
        <v>N/A</v>
      </c>
      <c r="DH43" s="0" t="str">
        <f aca="false">IF(LARGE($CM43:$CV43,5)&gt;0,INDEX($CM$30:$CV$30,MATCH(LARGE($CM43:$CV43,5),$CM43:$CV43,0)),"N/A")</f>
        <v>N/A</v>
      </c>
    </row>
    <row r="44" customFormat="false" ht="12.8" hidden="false" customHeight="false" outlineLevel="0" collapsed="false">
      <c r="A44" s="7" t="s">
        <v>150</v>
      </c>
      <c r="B44" s="7" t="s">
        <v>39</v>
      </c>
      <c r="C44" s="10" t="n">
        <f aca="false">MAX(Flows!C74*C$4*C19/100,0)</f>
        <v>0</v>
      </c>
      <c r="D44" s="10" t="n">
        <f aca="false">MAX(Flows!D74*D$4*D19/100,0)</f>
        <v>0</v>
      </c>
      <c r="E44" s="10" t="n">
        <f aca="false">MAX(Flows!E74*E$4*E19/100,0)</f>
        <v>0</v>
      </c>
      <c r="F44" s="10" t="n">
        <f aca="false">MAX(Flows!F74*F$4*F19/100,0)</f>
        <v>0</v>
      </c>
      <c r="G44" s="10" t="n">
        <f aca="false">MAX(Flows!G74*G$4*G19/100,0)</f>
        <v>0</v>
      </c>
      <c r="H44" s="10" t="n">
        <f aca="false">MAX(Flows!H74*H$4*H19/100,0)</f>
        <v>0</v>
      </c>
      <c r="I44" s="10" t="n">
        <f aca="false">MAX(Flows!I74*I$4*I19/100,0)</f>
        <v>56407332.511902</v>
      </c>
      <c r="J44" s="10" t="n">
        <f aca="false">MAX(Flows!J74*J$4*J19/100,0)</f>
        <v>17475736.8192188</v>
      </c>
      <c r="K44" s="10" t="n">
        <f aca="false">MAX(Flows!K74*K$4*K19/100,0)</f>
        <v>0</v>
      </c>
      <c r="L44" s="10" t="n">
        <f aca="false">MAX(Flows!L74*L$4*L19/100,0)</f>
        <v>0</v>
      </c>
      <c r="M44" s="10" t="n">
        <f aca="false">MAX(Flows!M74*M$4*M19/100,0)</f>
        <v>0</v>
      </c>
      <c r="N44" s="10" t="n">
        <f aca="false">MAX(Flows!N74*N$4*N19/100,0)</f>
        <v>0</v>
      </c>
      <c r="O44" s="10" t="n">
        <f aca="false">MAX(Flows!O74*O$4*O19/100,0)</f>
        <v>0</v>
      </c>
      <c r="P44" s="10" t="n">
        <f aca="false">MAX(Flows!P74*P$4*P19/100,0)</f>
        <v>0</v>
      </c>
      <c r="Q44" s="10" t="n">
        <f aca="false">MAX(Flows!Q74*Q$4*Q19/100,0)</f>
        <v>0</v>
      </c>
      <c r="R44" s="10" t="n">
        <f aca="false">MAX(Flows!R74*R$4*R19/100,0)</f>
        <v>0</v>
      </c>
      <c r="S44" s="10" t="n">
        <f aca="false">MAX(Flows!S74*S$4*S19/100,0)</f>
        <v>0</v>
      </c>
      <c r="T44" s="10" t="n">
        <f aca="false">MAX(Flows!T74*T$4*T19/100,0)</f>
        <v>0</v>
      </c>
      <c r="U44" s="10" t="n">
        <f aca="false">MAX(Flows!U74*U$4*U19/100,0)</f>
        <v>0</v>
      </c>
      <c r="V44" s="10" t="n">
        <f aca="false">MAX(Flows!V74*V$4*V19/100,0)</f>
        <v>0</v>
      </c>
      <c r="W44" s="10" t="n">
        <f aca="false">MAX(Flows!W74*W$4*W19/100,0)</f>
        <v>0</v>
      </c>
      <c r="X44" s="10" t="n">
        <f aca="false">MAX(Flows!X74*X$4*X19/100,0)</f>
        <v>0</v>
      </c>
      <c r="Y44" s="10" t="n">
        <f aca="false">MAX(Flows!Y74*Y$4*Y19/100,0)</f>
        <v>0</v>
      </c>
      <c r="Z44" s="10" t="n">
        <f aca="false">MAX(Flows!Z74*Z$4*Z19/100,0)</f>
        <v>535034.79139907</v>
      </c>
      <c r="AA44" s="10" t="n">
        <f aca="false">MAX(Flows!AA74*AA$4*AA19/100,0)</f>
        <v>74533.3071759167</v>
      </c>
      <c r="AB44" s="10" t="n">
        <f aca="false">MAX(Flows!AB74*AB$4*AB19/100,0)</f>
        <v>0</v>
      </c>
      <c r="AC44" s="10" t="n">
        <f aca="false">MAX(Flows!AC74*AC$4*AC19/100,0)</f>
        <v>0</v>
      </c>
      <c r="AD44" s="10" t="n">
        <f aca="false">MAX(Flows!AD74*AD$4*AD19/100,0)</f>
        <v>0</v>
      </c>
      <c r="AE44" s="10" t="n">
        <f aca="false">MAX(Flows!AE74*AE$4*AE19/100,0)</f>
        <v>0</v>
      </c>
      <c r="AF44" s="10" t="n">
        <f aca="false">MAX(Flows!AF74*AF$4*AF19/100,0)</f>
        <v>1843506.21214849</v>
      </c>
      <c r="AG44" s="10" t="n">
        <f aca="false">MAX(Flows!AG74*AG$4*AG19/100,0)</f>
        <v>0</v>
      </c>
      <c r="AH44" s="10" t="n">
        <f aca="false">MAX(Flows!AH74*AH$4*AH19/100,0)</f>
        <v>0</v>
      </c>
      <c r="AI44" s="10" t="n">
        <f aca="false">MAX(Flows!AI74*AI$4*AI19/100,0)</f>
        <v>0</v>
      </c>
      <c r="AJ44" s="10" t="n">
        <f aca="false">MAX(Flows!AJ74*AJ$4*AJ19/100,0)</f>
        <v>0</v>
      </c>
      <c r="AK44" s="10" t="n">
        <f aca="false">MAX(Flows!AK74*AK$4*AK19/100,0)</f>
        <v>0</v>
      </c>
      <c r="AL44" s="10" t="n">
        <f aca="false">MAX(Flows!AL74*AL$4*AL19/100,0)</f>
        <v>0</v>
      </c>
      <c r="AM44" s="10" t="n">
        <f aca="false">MAX(Flows!AM74*AM$4*AM19/100,0)</f>
        <v>0</v>
      </c>
      <c r="AN44" s="10" t="n">
        <f aca="false">MAX(Flows!AN74*AN$4*AN19/100,0)</f>
        <v>5516872.30278372</v>
      </c>
      <c r="AO44" s="10" t="n">
        <f aca="false">MAX(Flows!AO74*AO$4*AO19/100,0)</f>
        <v>0</v>
      </c>
      <c r="AP44" s="10" t="n">
        <f aca="false">MAX(Flows!AP74*AP$4*AP19/100,0)</f>
        <v>0</v>
      </c>
      <c r="AQ44" s="10" t="n">
        <f aca="false">MAX(Flows!AQ74*AQ$4*AQ19/100,0)</f>
        <v>0</v>
      </c>
      <c r="AR44" s="10" t="n">
        <f aca="false">MAX(Flows!AR74*AR$4*AR19/100,0)</f>
        <v>0</v>
      </c>
      <c r="AS44" s="10" t="n">
        <f aca="false">MAX(Flows!AS74*AS$4*AS19/100,0)</f>
        <v>0</v>
      </c>
      <c r="AT44" s="10" t="n">
        <f aca="false">MAX(Flows!AT74*AT$4*AT19/100,0)</f>
        <v>0</v>
      </c>
      <c r="AU44" s="10" t="n">
        <f aca="false">MAX(Flows!AU74*AU$4*AU19/100,0)</f>
        <v>0</v>
      </c>
      <c r="AV44" s="10" t="n">
        <f aca="false">MAX(Flows!AV74*AV$4*AV19/100,0)</f>
        <v>0</v>
      </c>
      <c r="AW44" s="10" t="n">
        <f aca="false">MAX(Flows!AW74*AW$4*AW19/100,0)</f>
        <v>0</v>
      </c>
      <c r="AX44" s="10" t="n">
        <f aca="false">MAX(Flows!AX74*AX$4*AX19/100,0)</f>
        <v>5508154.0291031</v>
      </c>
      <c r="AY44" s="10" t="n">
        <f aca="false">MAX(Flows!AY74*AY$4*AY19/100,0)</f>
        <v>0</v>
      </c>
      <c r="AZ44" s="10" t="n">
        <f aca="false">MAX(Flows!AZ74*AZ$4*AZ19/100,0)</f>
        <v>0</v>
      </c>
      <c r="BA44" s="10" t="n">
        <f aca="false">MAX(Flows!BA74*BA$4*BA19/100,0)</f>
        <v>0</v>
      </c>
      <c r="BB44" s="10" t="n">
        <f aca="false">MAX(Flows!BB74*BB$4*BB19/100,0)</f>
        <v>0</v>
      </c>
      <c r="BC44" s="10" t="n">
        <f aca="false">MAX(Flows!BC74*BC$4*BC19/100,0)</f>
        <v>0</v>
      </c>
      <c r="BD44" s="10" t="n">
        <f aca="false">MAX(Flows!BD74*BD$4*BD19/100,0)</f>
        <v>0</v>
      </c>
      <c r="BE44" s="10" t="n">
        <f aca="false">MAX(Flows!BE74*BE$4*BE19/100,0)</f>
        <v>0</v>
      </c>
      <c r="BF44" s="10" t="n">
        <f aca="false">MAX(Flows!BF74*BF$4*BF19/100,0)</f>
        <v>0</v>
      </c>
      <c r="BG44" s="10" t="n">
        <f aca="false">MAX(Flows!BG74*BG$4*BG19/100,0)</f>
        <v>0</v>
      </c>
      <c r="BH44" s="10" t="n">
        <f aca="false">MAX(Flows!BH74*BH$4*BH19/100,0)</f>
        <v>0</v>
      </c>
      <c r="BI44" s="10" t="n">
        <f aca="false">MAX(Flows!BI74*BI$4*BI19/100,0)</f>
        <v>0</v>
      </c>
      <c r="BJ44" s="10" t="n">
        <f aca="false">MAX(Flows!BJ74*BJ$4*BJ19/100,0)</f>
        <v>0</v>
      </c>
      <c r="BK44" s="10" t="n">
        <f aca="false">MAX(Flows!BK74*BK$4*BK19/100,0)</f>
        <v>0</v>
      </c>
      <c r="BL44" s="10" t="n">
        <f aca="false">MAX(Flows!BL74*BL$4*BL19/100,0)</f>
        <v>0</v>
      </c>
      <c r="BM44" s="10" t="n">
        <f aca="false">MAX(Flows!BM74*BM$4*BM19/100,0)</f>
        <v>0</v>
      </c>
      <c r="BN44" s="10" t="n">
        <f aca="false">MAX(Flows!BN74*BN$4*BN19/100,0)</f>
        <v>0</v>
      </c>
      <c r="BO44" s="10" t="n">
        <f aca="false">MAX(Flows!BO74*BO$4*BO19/100,0)</f>
        <v>0</v>
      </c>
      <c r="BP44" s="10" t="n">
        <f aca="false">MAX(Flows!BP74*BP$4*BP19/100,0)</f>
        <v>0</v>
      </c>
      <c r="BQ44" s="10" t="n">
        <f aca="false">MAX(Flows!BQ74*BQ$4*BQ19/100,0)</f>
        <v>0</v>
      </c>
      <c r="BR44" s="10" t="n">
        <f aca="false">MAX(Flows!BR74*BR$4*BR19/100,0)</f>
        <v>0</v>
      </c>
      <c r="BS44" s="10" t="n">
        <f aca="false">MAX(Flows!BS74*BS$4*BS19/100,0)</f>
        <v>0</v>
      </c>
      <c r="BT44" s="10" t="n">
        <f aca="false">MAX(Flows!BT74*BT$4*BT19/100,0)</f>
        <v>0</v>
      </c>
      <c r="BU44" s="10" t="n">
        <f aca="false">MAX(Flows!BU74*BU$4*BU19/100,0)</f>
        <v>0</v>
      </c>
      <c r="BV44" s="10" t="n">
        <f aca="false">MAX(Flows!BV74*BV$4*BV19/100,0)</f>
        <v>0</v>
      </c>
      <c r="BW44" s="10" t="n">
        <f aca="false">MAX(Flows!BW74*BW$4*BW19/100,0)</f>
        <v>0</v>
      </c>
      <c r="BX44" s="10" t="n">
        <f aca="false">MAX(Flows!BX74*BX$4*BX19/100,0)</f>
        <v>0</v>
      </c>
      <c r="BY44" s="10" t="n">
        <f aca="false">MAX(Flows!BY74*BY$4*BY19/100,0)</f>
        <v>0</v>
      </c>
      <c r="BZ44" s="10" t="n">
        <f aca="false">MAX(Flows!BZ74*BZ$4*BZ19/100,0)</f>
        <v>0</v>
      </c>
      <c r="CA44" s="10" t="n">
        <f aca="false">MAX(Flows!CA74*CA$4*CA19/100,0)</f>
        <v>0</v>
      </c>
      <c r="CB44" s="10" t="n">
        <f aca="false">MAX(Flows!CB74*CB$4*CB19/100,0)</f>
        <v>0</v>
      </c>
      <c r="CC44" s="10" t="n">
        <f aca="false">MAX(Flows!CC74*CC$4*CC19/100,0)</f>
        <v>0</v>
      </c>
      <c r="CD44" s="10" t="n">
        <f aca="false">MAX(Flows!CD74*CD$4*CD19/100,0)</f>
        <v>0</v>
      </c>
      <c r="CE44" s="10" t="n">
        <f aca="false">MAX(Flows!CE74*CE$4*CE19/100,0)</f>
        <v>0</v>
      </c>
      <c r="CF44" s="10" t="n">
        <f aca="false">MAX(Flows!CF74*CF$4*CF19/100,0)</f>
        <v>0</v>
      </c>
      <c r="CG44" s="10" t="n">
        <f aca="false">MAX(Flows!CG74*CG$4*CG19/100,0)</f>
        <v>0</v>
      </c>
      <c r="CH44" s="10" t="n">
        <f aca="false">MAX(Flows!CH74*CH$4*CH19/100,0)</f>
        <v>0</v>
      </c>
      <c r="CI44" s="10" t="n">
        <f aca="false">MAX(Flows!CI74*CI$4*CI19/100,0)</f>
        <v>0</v>
      </c>
      <c r="CJ44" s="10" t="n">
        <f aca="false">MAX(Flows!CJ74*CJ$4*CJ19/100,0)</f>
        <v>0</v>
      </c>
      <c r="CK44" s="10" t="n">
        <f aca="false">MAX(Flows!CK74*CK$4*CK19/100,0)</f>
        <v>0</v>
      </c>
      <c r="CL44" s="7" t="s">
        <v>320</v>
      </c>
      <c r="CM44" s="10" t="n">
        <f aca="false" t="array" ref="CM44:CM44">SUM(IF($C$150:$CK$150=CM$30,$C44:$CK44,0),IF($C$150:$CK$150=CM$30,-$C104:$CK104,0))</f>
        <v>-529984470.651658</v>
      </c>
      <c r="CN44" s="10" t="n">
        <f aca="false" t="array" ref="CN44:CN44">SUM(IF($C$150:$CK$150=CN$30,$C44:$CK44,0),IF($C$150:$CK$150=CN$30,-$C104:$CK104,0))</f>
        <v>-262303072.218747</v>
      </c>
      <c r="CO44" s="10" t="n">
        <f aca="false" t="array" ref="CO44:CO44">SUM(IF($C$150:$CK$150=CO$30,$C44:$CK44,0),IF($C$150:$CK$150=CO$30,-$C104:$CK104,0))</f>
        <v>-419819968.642296</v>
      </c>
      <c r="CP44" s="10" t="n">
        <f aca="false" t="array" ref="CP44:CP44">SUM(IF($C$150:$CK$150=CP$30,$C44:$CK44,0),IF($C$150:$CK$150=CP$30,-$C104:$CK104,0))</f>
        <v>-410964571.492823</v>
      </c>
      <c r="CQ44" s="10" t="n">
        <f aca="false" t="array" ref="CQ44:CQ44">SUM(IF($C$150:$CK$150=CQ$30,$C44:$CK44,0),IF($C$150:$CK$150=CQ$30,-$C104:$CK104,0))</f>
        <v>-275641467.786834</v>
      </c>
      <c r="CR44" s="10" t="n">
        <f aca="false" t="array" ref="CR44:CR44">SUM(IF($C$150:$CK$150=CR$30,$C44:$CK44,0),IF($C$150:$CK$150=CR$30,-$C104:$CK104,0))</f>
        <v>-22603705232932400</v>
      </c>
      <c r="CS44" s="10" t="n">
        <f aca="false" t="array" ref="CS44:CS44">SUM(IF($C$150:$CK$150=CS$30,$C44:$CK44,0),IF($C$150:$CK$150=CS$30,-$C104:$CK104,0))</f>
        <v>-32841829.5495269</v>
      </c>
      <c r="CT44" s="10" t="n">
        <f aca="false" t="array" ref="CT44:CT44">SUM(IF($C$150:$CK$150=CT$30,$C44:$CK44,0),IF($C$150:$CK$150=CT$30,-$C104:$CK104,0))</f>
        <v>-13374530.9732428</v>
      </c>
      <c r="CU44" s="10" t="n">
        <f aca="false" t="array" ref="CU44:CU44">SUM(IF($C$150:$CK$150=CU$30,$C44:$CK44,0),IF($C$150:$CK$150=CU$30,-$C104:$CK104,0))</f>
        <v>73883069.3311208</v>
      </c>
      <c r="CV44" s="10" t="n">
        <f aca="false" t="array" ref="CV44:CV44">SUM(IF($C$150:$CK$150=CV$30,$C44:$CK44,0),IF($C$150:$CK$150=CV$30,-$C104:$CK104,0))</f>
        <v>-678350.513150812</v>
      </c>
      <c r="CX44" s="0" t="str">
        <f aca="false">INDEX($C$1:$CK$1,MATCH(LARGE($C44:$CK44,1),$C44:$CK44,0))</f>
        <v>Honey (lb)</v>
      </c>
      <c r="CY44" s="0" t="str">
        <f aca="false">INDEX($C$1:$CK$1,MATCH(LARGE($C44:$CK44,2),$C44:$CK44,0))</f>
        <v>Wax (lb)</v>
      </c>
      <c r="CZ44" s="0" t="str">
        <f aca="false">INDEX($C$1:$CK$1,MATCH(LARGE($C44:$CK44,3),$C44:$CK44,0))</f>
        <v>Axe (ea)</v>
      </c>
      <c r="DA44" s="0" t="str">
        <f aca="false">INDEX($C$1:$CK$1,MATCH(LARGE($C44:$CK44,4),$C44:$CK44,0))</f>
        <v>Sweater (ea)</v>
      </c>
      <c r="DB44" s="0" t="str">
        <f aca="false">INDEX($C$1:$CK$1,MATCH(LARGE($C44:$CK44,5),$C44:$CK44,0))</f>
        <v>Zhou Shoes (ea)</v>
      </c>
      <c r="DD44" s="0" t="str">
        <f aca="false">IF(LARGE($CM44:$CV44,1)&gt;0,INDEX($CM$30:$CV$30,MATCH(LARGE($CM44:$CV44,1),$CM44:$CV44,0)),"N/A")</f>
        <v>Honey</v>
      </c>
      <c r="DE44" s="0" t="str">
        <f aca="false">IF(LARGE($CM44:$CV44,2)&gt;0,INDEX($CM$30:$CV$30,MATCH(LARGE($CM44:$CV44,2),$CM44:$CV44,0)),"N/A")</f>
        <v>N/A</v>
      </c>
      <c r="DF44" s="0" t="str">
        <f aca="false">IF(LARGE($CM44:$CV44,3)&gt;0,INDEX($CM$30:$CV$30,MATCH(LARGE($CM44:$CV44,3),$CM44:$CV44,0)),"N/A")</f>
        <v>N/A</v>
      </c>
      <c r="DG44" s="0" t="str">
        <f aca="false">IF(LARGE($CM44:$CV44,4)&gt;0,INDEX($CM$30:$CV$30,MATCH(LARGE($CM44:$CV44,4),$CM44:$CV44,0)),"N/A")</f>
        <v>N/A</v>
      </c>
      <c r="DH44" s="0" t="str">
        <f aca="false">IF(LARGE($CM44:$CV44,5)&gt;0,INDEX($CM$30:$CV$30,MATCH(LARGE($CM44:$CV44,5),$CM44:$CV44,0)),"N/A")</f>
        <v>N/A</v>
      </c>
    </row>
    <row r="45" customFormat="false" ht="12.8" hidden="false" customHeight="false" outlineLevel="0" collapsed="false">
      <c r="A45" s="7" t="s">
        <v>151</v>
      </c>
      <c r="B45" s="7" t="s">
        <v>39</v>
      </c>
      <c r="C45" s="10" t="n">
        <f aca="false">MAX(Flows!C75*C$4*C20/100,0)</f>
        <v>42282475.9551184</v>
      </c>
      <c r="D45" s="10" t="n">
        <f aca="false">MAX(Flows!D75*D$4*D20/100,0)</f>
        <v>47165202.3313955</v>
      </c>
      <c r="E45" s="10" t="n">
        <f aca="false">MAX(Flows!E75*E$4*E20/100,0)</f>
        <v>39246401.5875827</v>
      </c>
      <c r="F45" s="10" t="n">
        <f aca="false">MAX(Flows!F75*F$4*F20/100,0)</f>
        <v>0</v>
      </c>
      <c r="G45" s="10" t="n">
        <f aca="false">MAX(Flows!G75*G$4*G20/100,0)</f>
        <v>48091164.6711048</v>
      </c>
      <c r="H45" s="10" t="n">
        <f aca="false">MAX(Flows!H75*H$4*H20/100,0)</f>
        <v>62184159.3741986</v>
      </c>
      <c r="I45" s="10" t="n">
        <f aca="false">MAX(Flows!I75*I$4*I20/100,0)</f>
        <v>0</v>
      </c>
      <c r="J45" s="10" t="n">
        <f aca="false">MAX(Flows!J75*J$4*J20/100,0)</f>
        <v>7472244.53464848</v>
      </c>
      <c r="K45" s="10" t="n">
        <f aca="false">MAX(Flows!K75*K$4*K20/100,0)</f>
        <v>0</v>
      </c>
      <c r="L45" s="10" t="n">
        <f aca="false">MAX(Flows!L75*L$4*L20/100,0)</f>
        <v>0</v>
      </c>
      <c r="M45" s="10" t="n">
        <f aca="false">MAX(Flows!M75*M$4*M20/100,0)</f>
        <v>0</v>
      </c>
      <c r="N45" s="10" t="n">
        <f aca="false">MAX(Flows!N75*N$4*N20/100,0)</f>
        <v>50094482.2150585</v>
      </c>
      <c r="O45" s="10" t="n">
        <f aca="false">MAX(Flows!O75*O$4*O20/100,0)</f>
        <v>0</v>
      </c>
      <c r="P45" s="10" t="n">
        <f aca="false">MAX(Flows!P75*P$4*P20/100,0)</f>
        <v>0</v>
      </c>
      <c r="Q45" s="10" t="n">
        <f aca="false">MAX(Flows!Q75*Q$4*Q20/100,0)</f>
        <v>38081854.172776</v>
      </c>
      <c r="R45" s="10" t="n">
        <f aca="false">MAX(Flows!R75*R$4*R20/100,0)</f>
        <v>43862340.2560601</v>
      </c>
      <c r="S45" s="10" t="n">
        <f aca="false">MAX(Flows!S75*S$4*S20/100,0)</f>
        <v>0</v>
      </c>
      <c r="T45" s="10" t="n">
        <f aca="false">MAX(Flows!T75*T$4*T20/100,0)</f>
        <v>0</v>
      </c>
      <c r="U45" s="10" t="n">
        <f aca="false">MAX(Flows!U75*U$4*U20/100,0)</f>
        <v>0</v>
      </c>
      <c r="V45" s="10" t="n">
        <f aca="false">MAX(Flows!V75*V$4*V20/100,0)</f>
        <v>10086096.26789</v>
      </c>
      <c r="W45" s="10" t="n">
        <f aca="false">MAX(Flows!W75*W$4*W20/100,0)</f>
        <v>107628930.917161</v>
      </c>
      <c r="X45" s="10" t="n">
        <f aca="false">MAX(Flows!X75*X$4*X20/100,0)</f>
        <v>78219516.0560319</v>
      </c>
      <c r="Y45" s="10" t="n">
        <f aca="false">MAX(Flows!Y75*Y$4*Y20/100,0)</f>
        <v>0</v>
      </c>
      <c r="Z45" s="10" t="n">
        <f aca="false">MAX(Flows!Z75*Z$4*Z20/100,0)</f>
        <v>679431.599337584</v>
      </c>
      <c r="AA45" s="10" t="n">
        <f aca="false">MAX(Flows!AA75*AA$4*AA20/100,0)</f>
        <v>0</v>
      </c>
      <c r="AB45" s="10" t="n">
        <f aca="false">MAX(Flows!AB75*AB$4*AB20/100,0)</f>
        <v>139024.870675815</v>
      </c>
      <c r="AC45" s="10" t="n">
        <f aca="false">MAX(Flows!AC75*AC$4*AC20/100,0)</f>
        <v>0</v>
      </c>
      <c r="AD45" s="10" t="n">
        <f aca="false">MAX(Flows!AD75*AD$4*AD20/100,0)</f>
        <v>69512.4353379072</v>
      </c>
      <c r="AE45" s="10" t="n">
        <f aca="false">MAX(Flows!AE75*AE$4*AE20/100,0)</f>
        <v>2483430.22005783</v>
      </c>
      <c r="AF45" s="10" t="n">
        <f aca="false">MAX(Flows!AF75*AF$4*AF20/100,0)</f>
        <v>662516.776451796</v>
      </c>
      <c r="AG45" s="10" t="n">
        <f aca="false">MAX(Flows!AG75*AG$4*AG20/100,0)</f>
        <v>12603559.1424822</v>
      </c>
      <c r="AH45" s="10" t="n">
        <f aca="false">MAX(Flows!AH75*AH$4*AH20/100,0)</f>
        <v>13538850.9236204</v>
      </c>
      <c r="AI45" s="10" t="n">
        <f aca="false">MAX(Flows!AI75*AI$4*AI20/100,0)</f>
        <v>0</v>
      </c>
      <c r="AJ45" s="10" t="n">
        <f aca="false">MAX(Flows!AJ75*AJ$4*AJ20/100,0)</f>
        <v>12620828.0149369</v>
      </c>
      <c r="AK45" s="10" t="n">
        <f aca="false">MAX(Flows!AK75*AK$4*AK20/100,0)</f>
        <v>10752573.9698146</v>
      </c>
      <c r="AL45" s="10" t="n">
        <f aca="false">MAX(Flows!AL75*AL$4*AL20/100,0)</f>
        <v>1986858.42337111</v>
      </c>
      <c r="AM45" s="10" t="n">
        <f aca="false">MAX(Flows!AM75*AM$4*AM20/100,0)</f>
        <v>2099513.7941382</v>
      </c>
      <c r="AN45" s="10" t="n">
        <f aca="false">MAX(Flows!AN75*AN$4*AN20/100,0)</f>
        <v>18423676.0640142</v>
      </c>
      <c r="AO45" s="10" t="n">
        <f aca="false">MAX(Flows!AO75*AO$4*AO20/100,0)</f>
        <v>7374917.36508068</v>
      </c>
      <c r="AP45" s="10" t="n">
        <f aca="false">MAX(Flows!AP75*AP$4*AP20/100,0)</f>
        <v>19248997.9708155</v>
      </c>
      <c r="AQ45" s="10" t="n">
        <f aca="false">MAX(Flows!AQ75*AQ$4*AQ20/100,0)</f>
        <v>16244750.769066</v>
      </c>
      <c r="AR45" s="10" t="n">
        <f aca="false">MAX(Flows!AR75*AR$4*AR20/100,0)</f>
        <v>0</v>
      </c>
      <c r="AS45" s="10" t="n">
        <f aca="false">MAX(Flows!AS75*AS$4*AS20/100,0)</f>
        <v>10938020.8884411</v>
      </c>
      <c r="AT45" s="10" t="n">
        <f aca="false">MAX(Flows!AT75*AT$4*AT20/100,0)</f>
        <v>0</v>
      </c>
      <c r="AU45" s="10" t="n">
        <f aca="false">MAX(Flows!AU75*AU$4*AU20/100,0)</f>
        <v>0</v>
      </c>
      <c r="AV45" s="10" t="n">
        <f aca="false">MAX(Flows!AV75*AV$4*AV20/100,0)</f>
        <v>2044929.33709081</v>
      </c>
      <c r="AW45" s="10" t="n">
        <f aca="false">MAX(Flows!AW75*AW$4*AW20/100,0)</f>
        <v>0</v>
      </c>
      <c r="AX45" s="10" t="n">
        <f aca="false">MAX(Flows!AX75*AX$4*AX20/100,0)</f>
        <v>6294631.93472045</v>
      </c>
      <c r="AY45" s="10" t="n">
        <f aca="false">MAX(Flows!AY75*AY$4*AY20/100,0)</f>
        <v>0</v>
      </c>
      <c r="AZ45" s="10" t="n">
        <f aca="false">MAX(Flows!AZ75*AZ$4*AZ20/100,0)</f>
        <v>579105.443532541</v>
      </c>
      <c r="BA45" s="10" t="n">
        <f aca="false">MAX(Flows!BA75*BA$4*BA20/100,0)</f>
        <v>0</v>
      </c>
      <c r="BB45" s="10" t="n">
        <f aca="false">MAX(Flows!BB75*BB$4*BB20/100,0)</f>
        <v>9072404.71475699</v>
      </c>
      <c r="BC45" s="10" t="n">
        <f aca="false">MAX(Flows!BC75*BC$4*BC20/100,0)</f>
        <v>3171623.51305001</v>
      </c>
      <c r="BD45" s="10" t="n">
        <f aca="false">MAX(Flows!BD75*BD$4*BD20/100,0)</f>
        <v>19815979.8978338</v>
      </c>
      <c r="BE45" s="10" t="n">
        <f aca="false">MAX(Flows!BE75*BE$4*BE20/100,0)</f>
        <v>4017972.79726937</v>
      </c>
      <c r="BF45" s="10" t="n">
        <f aca="false">MAX(Flows!BF75*BF$4*BF20/100,0)</f>
        <v>0</v>
      </c>
      <c r="BG45" s="10" t="n">
        <f aca="false">MAX(Flows!BG75*BG$4*BG20/100,0)</f>
        <v>2810019.02258264</v>
      </c>
      <c r="BH45" s="10" t="n">
        <f aca="false">MAX(Flows!BH75*BH$4*BH20/100,0)</f>
        <v>6773701.99597006</v>
      </c>
      <c r="BI45" s="10" t="n">
        <f aca="false">MAX(Flows!BI75*BI$4*BI20/100,0)</f>
        <v>32380534.6714886</v>
      </c>
      <c r="BJ45" s="10" t="n">
        <f aca="false">MAX(Flows!BJ75*BJ$4*BJ20/100,0)</f>
        <v>32380534.6714886</v>
      </c>
      <c r="BK45" s="10" t="n">
        <f aca="false">MAX(Flows!BK75*BK$4*BK20/100,0)</f>
        <v>32380534.6714886</v>
      </c>
      <c r="BL45" s="10" t="n">
        <f aca="false">MAX(Flows!BL75*BL$4*BL20/100,0)</f>
        <v>3808185.4172776</v>
      </c>
      <c r="BM45" s="10" t="n">
        <f aca="false">MAX(Flows!BM75*BM$4*BM20/100,0)</f>
        <v>3808185.4172776</v>
      </c>
      <c r="BN45" s="10" t="n">
        <f aca="false">MAX(Flows!BN75*BN$4*BN20/100,0)</f>
        <v>0</v>
      </c>
      <c r="BO45" s="10" t="n">
        <f aca="false">MAX(Flows!BO75*BO$4*BO20/100,0)</f>
        <v>0</v>
      </c>
      <c r="BP45" s="10" t="n">
        <f aca="false">MAX(Flows!BP75*BP$4*BP20/100,0)</f>
        <v>0</v>
      </c>
      <c r="BQ45" s="10" t="n">
        <f aca="false">MAX(Flows!BQ75*BQ$4*BQ20/100,0)</f>
        <v>0</v>
      </c>
      <c r="BR45" s="10" t="n">
        <f aca="false">MAX(Flows!BR75*BR$4*BR20/100,0)</f>
        <v>0</v>
      </c>
      <c r="BS45" s="10" t="n">
        <f aca="false">MAX(Flows!BS75*BS$4*BS20/100,0)</f>
        <v>0</v>
      </c>
      <c r="BT45" s="10" t="n">
        <f aca="false">MAX(Flows!BT75*BT$4*BT20/100,0)</f>
        <v>0</v>
      </c>
      <c r="BU45" s="10" t="n">
        <f aca="false">MAX(Flows!BU75*BU$4*BU20/100,0)</f>
        <v>0</v>
      </c>
      <c r="BV45" s="10" t="n">
        <f aca="false">MAX(Flows!BV75*BV$4*BV20/100,0)</f>
        <v>0</v>
      </c>
      <c r="BW45" s="10" t="n">
        <f aca="false">MAX(Flows!BW75*BW$4*BW20/100,0)</f>
        <v>0</v>
      </c>
      <c r="BX45" s="10" t="n">
        <f aca="false">MAX(Flows!BX75*BX$4*BX20/100,0)</f>
        <v>7616370.83455521</v>
      </c>
      <c r="BY45" s="10" t="n">
        <f aca="false">MAX(Flows!BY75*BY$4*BY20/100,0)</f>
        <v>7616370.8345552</v>
      </c>
      <c r="BZ45" s="10" t="n">
        <f aca="false">MAX(Flows!BZ75*BZ$4*BZ20/100,0)</f>
        <v>32402499.666308</v>
      </c>
      <c r="CA45" s="10" t="n">
        <f aca="false">MAX(Flows!CA75*CA$4*CA20/100,0)</f>
        <v>32402499.666308</v>
      </c>
      <c r="CB45" s="10" t="n">
        <f aca="false">MAX(Flows!CB75*CB$4*CB20/100,0)</f>
        <v>38081854.172776</v>
      </c>
      <c r="CC45" s="10" t="n">
        <f aca="false">MAX(Flows!CC75*CC$4*CC20/100,0)</f>
        <v>1619026.73357443</v>
      </c>
      <c r="CD45" s="10" t="n">
        <f aca="false">MAX(Flows!CD75*CD$4*CD20/100,0)</f>
        <v>0</v>
      </c>
      <c r="CE45" s="10" t="n">
        <f aca="false">MAX(Flows!CE75*CE$4*CE20/100,0)</f>
        <v>1619026.73357443</v>
      </c>
      <c r="CF45" s="10" t="n">
        <f aca="false">MAX(Flows!CF75*CF$4*CF20/100,0)</f>
        <v>5162609.53722697</v>
      </c>
      <c r="CG45" s="10" t="n">
        <f aca="false">MAX(Flows!CG75*CG$4*CG20/100,0)</f>
        <v>0</v>
      </c>
      <c r="CH45" s="10" t="n">
        <f aca="false">MAX(Flows!CH75*CH$4*CH20/100,0)</f>
        <v>0</v>
      </c>
      <c r="CI45" s="10" t="n">
        <f aca="false">MAX(Flows!CI75*CI$4*CI20/100,0)</f>
        <v>19040927.086388</v>
      </c>
      <c r="CJ45" s="10" t="n">
        <f aca="false">MAX(Flows!CJ75*CJ$4*CJ20/100,0)</f>
        <v>1904092.7086388</v>
      </c>
      <c r="CK45" s="10" t="n">
        <f aca="false">MAX(Flows!CK75*CK$4*CK20/100,0)</f>
        <v>1904092.7086388</v>
      </c>
      <c r="CL45" s="7" t="s">
        <v>320</v>
      </c>
      <c r="CM45" s="10" t="n">
        <f aca="false" t="array" ref="CM45:CM45">SUM(IF($C$150:$CK$150=CM$30,$C45:$CK45,0),IF($C$150:$CK$150=CM$30,-$C105:$CK105,0))</f>
        <v>262816766.861173</v>
      </c>
      <c r="CN45" s="10" t="n">
        <f aca="false" t="array" ref="CN45:CN45">SUM(IF($C$150:$CK$150=CN$30,$C45:$CK45,0),IF($C$150:$CK$150=CN$30,-$C105:$CK105,0))</f>
        <v>148679458.79863</v>
      </c>
      <c r="CO45" s="10" t="n">
        <f aca="false" t="array" ref="CO45:CO45">SUM(IF($C$150:$CK$150=CO$30,$C45:$CK45,0),IF($C$150:$CK$150=CO$30,-$C105:$CK105,0))</f>
        <v>312404086.41327</v>
      </c>
      <c r="CP45" s="10" t="n">
        <f aca="false" t="array" ref="CP45:CP45">SUM(IF($C$150:$CK$150=CP$30,$C45:$CK45,0),IF($C$150:$CK$150=CP$30,-$C105:$CK105,0))</f>
        <v>117099885.581104</v>
      </c>
      <c r="CQ45" s="10" t="n">
        <f aca="false" t="array" ref="CQ45:CQ45">SUM(IF($C$150:$CK$150=CQ$30,$C45:$CK45,0),IF($C$150:$CK$150=CQ$30,-$C105:$CK105,0))</f>
        <v>140732998.178461</v>
      </c>
      <c r="CR45" s="10" t="n">
        <f aca="false" t="array" ref="CR45:CR45">SUM(IF($C$150:$CK$150=CR$30,$C45:$CK45,0),IF($C$150:$CK$150=CR$30,-$C105:$CK105,0))</f>
        <v>-13217163805095700</v>
      </c>
      <c r="CS45" s="10" t="n">
        <f aca="false" t="array" ref="CS45:CS45">SUM(IF($C$150:$CK$150=CS$30,$C45:$CK45,0),IF($C$150:$CK$150=CS$30,-$C105:$CK105,0))</f>
        <v>-3150332.21981867</v>
      </c>
      <c r="CT45" s="10" t="n">
        <f aca="false" t="array" ref="CT45:CT45">SUM(IF($C$150:$CK$150=CT$30,$C45:$CK45,0),IF($C$150:$CK$150=CT$30,-$C105:$CK105,0))</f>
        <v>8970794.95450457</v>
      </c>
      <c r="CU45" s="10" t="n">
        <f aca="false" t="array" ref="CU45:CU45">SUM(IF($C$150:$CK$150=CU$30,$C45:$CK45,0),IF($C$150:$CK$150=CU$30,-$C105:$CK105,0))</f>
        <v>3825181.03271945</v>
      </c>
      <c r="CV45" s="10" t="n">
        <f aca="false" t="array" ref="CV45:CV45">SUM(IF($C$150:$CK$150=CV$30,$C45:$CK45,0),IF($C$150:$CK$150=CV$30,-$C105:$CK105,0))</f>
        <v>208537.306013722</v>
      </c>
      <c r="CX45" s="0" t="str">
        <f aca="false">INDEX($C$1:$CK$1,MATCH(LARGE($C45:$CK45,1),$C45:$CK45,0))</f>
        <v>Sauce (lb)</v>
      </c>
      <c r="CY45" s="0" t="str">
        <f aca="false">INDEX($C$1:$CK$1,MATCH(LARGE($C45:$CK45,2),$C45:$CK45,0))</f>
        <v>Chipak (lb)</v>
      </c>
      <c r="CZ45" s="0" t="str">
        <f aca="false">INDEX($C$1:$CK$1,MATCH(LARGE($C45:$CK45,3),$C45:$CK45,0))</f>
        <v>Jax (lb)</v>
      </c>
      <c r="DA45" s="0" t="str">
        <f aca="false">INDEX($C$1:$CK$1,MATCH(LARGE($C45:$CK45,4),$C45:$CK45,0))</f>
        <v>Jingla (lb)</v>
      </c>
      <c r="DB45" s="0" t="str">
        <f aca="false">INDEX($C$1:$CK$1,MATCH(LARGE($C45:$CK45,5),$C45:$CK45,0))</f>
        <v>Nunives (lb)</v>
      </c>
      <c r="DD45" s="0" t="str">
        <f aca="false">IF(LARGE($CM45:$CV45,1)&gt;0,INDEX($CM$30:$CV$30,MATCH(LARGE($CM45:$CV45,1),$CM45:$CV45,0)),"N/A")</f>
        <v>Food Prod</v>
      </c>
      <c r="DE45" s="0" t="str">
        <f aca="false">IF(LARGE($CM45:$CV45,2)&gt;0,INDEX($CM$30:$CV$30,MATCH(LARGE($CM45:$CV45,2),$CM45:$CV45,0)),"N/A")</f>
        <v>Produce</v>
      </c>
      <c r="DF45" s="0" t="str">
        <f aca="false">IF(LARGE($CM45:$CV45,3)&gt;0,INDEX($CM$30:$CV$30,MATCH(LARGE($CM45:$CV45,3),$CM45:$CV45,0)),"N/A")</f>
        <v>Animal</v>
      </c>
      <c r="DG45" s="0" t="str">
        <f aca="false">IF(LARGE($CM45:$CV45,4)&gt;0,INDEX($CM$30:$CV$30,MATCH(LARGE($CM45:$CV45,4),$CM45:$CV45,0)),"N/A")</f>
        <v>Tools</v>
      </c>
      <c r="DH45" s="0" t="str">
        <f aca="false">IF(LARGE($CM45:$CV45,5)&gt;0,INDEX($CM$30:$CV$30,MATCH(LARGE($CM45:$CV45,5),$CM45:$CV45,0)),"N/A")</f>
        <v>Textile</v>
      </c>
    </row>
    <row r="46" s="18" customFormat="true" ht="12.8" hidden="false" customHeight="false" outlineLevel="0" collapsed="false">
      <c r="A46" s="22" t="s">
        <v>152</v>
      </c>
      <c r="B46" s="22" t="s">
        <v>39</v>
      </c>
      <c r="C46" s="26" t="n">
        <f aca="false">MAX(Flows!C76*C$4*C21/100,0)</f>
        <v>0</v>
      </c>
      <c r="D46" s="26" t="n">
        <f aca="false">MAX(Flows!D76*D$4*D21/100,0)</f>
        <v>899565.567452075</v>
      </c>
      <c r="E46" s="26" t="n">
        <f aca="false">MAX(Flows!E76*E$4*E21/100,0)</f>
        <v>0</v>
      </c>
      <c r="F46" s="26" t="n">
        <f aca="false">MAX(Flows!F76*F$4*F21/100,0)</f>
        <v>0</v>
      </c>
      <c r="G46" s="26" t="n">
        <f aca="false">MAX(Flows!G76*G$4*G21/100,0)</f>
        <v>2716550.21777621</v>
      </c>
      <c r="H46" s="26" t="n">
        <f aca="false">MAX(Flows!H76*H$4*H21/100,0)</f>
        <v>30693371.5100704</v>
      </c>
      <c r="I46" s="26" t="n">
        <f aca="false">MAX(Flows!I76*I$4*I21/100,0)</f>
        <v>0</v>
      </c>
      <c r="J46" s="26" t="n">
        <f aca="false">MAX(Flows!J76*J$4*J21/100,0)</f>
        <v>79217481.8079458</v>
      </c>
      <c r="K46" s="26" t="n">
        <f aca="false">MAX(Flows!K76*K$4*K21/100,0)</f>
        <v>0</v>
      </c>
      <c r="L46" s="26" t="n">
        <f aca="false">MAX(Flows!L76*L$4*L21/100,0)</f>
        <v>0</v>
      </c>
      <c r="M46" s="26" t="n">
        <f aca="false">MAX(Flows!M76*M$4*M21/100,0)</f>
        <v>0</v>
      </c>
      <c r="N46" s="26" t="n">
        <f aca="false">MAX(Flows!N76*N$4*N21/100,0)</f>
        <v>6774400.14598607</v>
      </c>
      <c r="O46" s="26" t="n">
        <f aca="false">MAX(Flows!O76*O$4*O21/100,0)</f>
        <v>0</v>
      </c>
      <c r="P46" s="26" t="n">
        <f aca="false">MAX(Flows!P76*P$4*P21/100,0)</f>
        <v>0</v>
      </c>
      <c r="Q46" s="26" t="n">
        <f aca="false">MAX(Flows!Q76*Q$4*Q21/100,0)</f>
        <v>37537520.8783285</v>
      </c>
      <c r="R46" s="26" t="n">
        <f aca="false">MAX(Flows!R76*R$4*R21/100,0)</f>
        <v>0</v>
      </c>
      <c r="S46" s="26" t="n">
        <f aca="false">MAX(Flows!S76*S$4*S21/100,0)</f>
        <v>0</v>
      </c>
      <c r="T46" s="26" t="n">
        <f aca="false">MAX(Flows!T76*T$4*T21/100,0)</f>
        <v>0</v>
      </c>
      <c r="U46" s="26" t="n">
        <f aca="false">MAX(Flows!U76*U$4*U21/100,0)</f>
        <v>0</v>
      </c>
      <c r="V46" s="26" t="n">
        <f aca="false">MAX(Flows!V76*V$4*V21/100,0)</f>
        <v>0</v>
      </c>
      <c r="W46" s="26" t="n">
        <f aca="false">MAX(Flows!W76*W$4*W21/100,0)</f>
        <v>53678330.7625461</v>
      </c>
      <c r="X46" s="26" t="n">
        <f aca="false">MAX(Flows!X76*X$4*X21/100,0)</f>
        <v>0</v>
      </c>
      <c r="Y46" s="26" t="n">
        <f aca="false">MAX(Flows!Y76*Y$4*Y21/100,0)</f>
        <v>0</v>
      </c>
      <c r="Z46" s="26" t="n">
        <f aca="false">MAX(Flows!Z76*Z$4*Z21/100,0)</f>
        <v>1084778.08864076</v>
      </c>
      <c r="AA46" s="26" t="n">
        <f aca="false">MAX(Flows!AA76*AA$4*AA21/100,0)</f>
        <v>93672.8869713627</v>
      </c>
      <c r="AB46" s="26" t="n">
        <f aca="false">MAX(Flows!AB76*AB$4*AB21/100,0)</f>
        <v>412447.933417193</v>
      </c>
      <c r="AC46" s="26" t="n">
        <f aca="false">MAX(Flows!AC76*AC$4*AC21/100,0)</f>
        <v>182799.704761654</v>
      </c>
      <c r="AD46" s="26" t="n">
        <f aca="false">MAX(Flows!AD76*AD$4*AD21/100,0)</f>
        <v>206223.966708597</v>
      </c>
      <c r="AE46" s="26" t="n">
        <f aca="false">MAX(Flows!AE76*AE$4*AE21/100,0)</f>
        <v>4849239.9774738</v>
      </c>
      <c r="AF46" s="26" t="n">
        <f aca="false">MAX(Flows!AF76*AF$4*AF21/100,0)</f>
        <v>1832973.96961511</v>
      </c>
      <c r="AG46" s="26" t="n">
        <f aca="false">MAX(Flows!AG76*AG$4*AG21/100,0)</f>
        <v>2500524.43415727</v>
      </c>
      <c r="AH46" s="26" t="n">
        <f aca="false">MAX(Flows!AH76*AH$4*AH21/100,0)</f>
        <v>18674425.5093591</v>
      </c>
      <c r="AI46" s="26" t="n">
        <f aca="false">MAX(Flows!AI76*AI$4*AI21/100,0)</f>
        <v>9945876.47836731</v>
      </c>
      <c r="AJ46" s="26" t="n">
        <f aca="false">MAX(Flows!AJ76*AJ$4*AJ21/100,0)</f>
        <v>3717603.99538231</v>
      </c>
      <c r="AK46" s="26" t="n">
        <f aca="false">MAX(Flows!AK76*AK$4*AK21/100,0)</f>
        <v>6056197.06769934</v>
      </c>
      <c r="AL46" s="26" t="n">
        <f aca="false">MAX(Flows!AL76*AL$4*AL21/100,0)</f>
        <v>12032063.9716945</v>
      </c>
      <c r="AM46" s="26" t="n">
        <f aca="false">MAX(Flows!AM76*AM$4*AM21/100,0)</f>
        <v>12448359.2356986</v>
      </c>
      <c r="AN46" s="26" t="n">
        <f aca="false">MAX(Flows!AN76*AN$4*AN21/100,0)</f>
        <v>14282687.0373716</v>
      </c>
      <c r="AO46" s="26" t="n">
        <f aca="false">MAX(Flows!AO76*AO$4*AO21/100,0)</f>
        <v>8629612.1219158</v>
      </c>
      <c r="AP46" s="26" t="n">
        <f aca="false">MAX(Flows!AP76*AP$4*AP21/100,0)</f>
        <v>11548122.3158095</v>
      </c>
      <c r="AQ46" s="26" t="n">
        <f aca="false">MAX(Flows!AQ76*AQ$4*AQ21/100,0)</f>
        <v>0</v>
      </c>
      <c r="AR46" s="26" t="n">
        <f aca="false">MAX(Flows!AR76*AR$4*AR21/100,0)</f>
        <v>8461324.6304631</v>
      </c>
      <c r="AS46" s="26" t="n">
        <f aca="false">MAX(Flows!AS76*AS$4*AS21/100,0)</f>
        <v>5393176.68276119</v>
      </c>
      <c r="AT46" s="26" t="n">
        <f aca="false">MAX(Flows!AT76*AT$4*AT21/100,0)</f>
        <v>12140730.2588828</v>
      </c>
      <c r="AU46" s="26" t="n">
        <f aca="false">MAX(Flows!AU76*AU$4*AU21/100,0)</f>
        <v>20253946.2589114</v>
      </c>
      <c r="AV46" s="26" t="n">
        <f aca="false">MAX(Flows!AV76*AV$4*AV21/100,0)</f>
        <v>15282223.1215176</v>
      </c>
      <c r="AW46" s="26" t="n">
        <f aca="false">MAX(Flows!AW76*AW$4*AW21/100,0)</f>
        <v>4369595.23600227</v>
      </c>
      <c r="AX46" s="26" t="n">
        <f aca="false">MAX(Flows!AX76*AX$4*AX21/100,0)</f>
        <v>8458669.74787351</v>
      </c>
      <c r="AY46" s="26" t="n">
        <f aca="false">MAX(Flows!AY76*AY$4*AY21/100,0)</f>
        <v>7802654.84477705</v>
      </c>
      <c r="AZ46" s="26" t="n">
        <f aca="false">MAX(Flows!AZ76*AZ$4*AZ21/100,0)</f>
        <v>9900322.80219858</v>
      </c>
      <c r="BA46" s="26" t="n">
        <f aca="false">MAX(Flows!BA76*BA$4*BA21/100,0)</f>
        <v>0</v>
      </c>
      <c r="BB46" s="26" t="n">
        <f aca="false">MAX(Flows!BB76*BB$4*BB21/100,0)</f>
        <v>16729139.3680082</v>
      </c>
      <c r="BC46" s="26" t="n">
        <f aca="false">MAX(Flows!BC76*BC$4*BC21/100,0)</f>
        <v>4099752.94097428</v>
      </c>
      <c r="BD46" s="26" t="n">
        <f aca="false">MAX(Flows!BD76*BD$4*BD21/100,0)</f>
        <v>6705278.13544369</v>
      </c>
      <c r="BE46" s="26" t="n">
        <f aca="false">MAX(Flows!BE76*BE$4*BE21/100,0)</f>
        <v>2685123.20963624</v>
      </c>
      <c r="BF46" s="26" t="n">
        <f aca="false">MAX(Flows!BF76*BF$4*BF21/100,0)</f>
        <v>41467112.5754142</v>
      </c>
      <c r="BG46" s="26" t="n">
        <f aca="false">MAX(Flows!BG76*BG$4*BG21/100,0)</f>
        <v>0</v>
      </c>
      <c r="BH46" s="26" t="n">
        <f aca="false">MAX(Flows!BH76*BH$4*BH21/100,0)</f>
        <v>2080103.57555823</v>
      </c>
      <c r="BI46" s="26" t="n">
        <f aca="false">MAX(Flows!BI76*BI$4*BI21/100,0)</f>
        <v>20359959.0516297</v>
      </c>
      <c r="BJ46" s="26" t="n">
        <f aca="false">MAX(Flows!BJ76*BJ$4*BJ21/100,0)</f>
        <v>20359959.0516297</v>
      </c>
      <c r="BK46" s="26" t="n">
        <f aca="false">MAX(Flows!BK76*BK$4*BK21/100,0)</f>
        <v>20359959.0516297</v>
      </c>
      <c r="BL46" s="26" t="n">
        <f aca="false">MAX(Flows!BL76*BL$4*BL21/100,0)</f>
        <v>3753752.08783285</v>
      </c>
      <c r="BM46" s="26" t="n">
        <f aca="false">MAX(Flows!BM76*BM$4*BM21/100,0)</f>
        <v>3753752.08783285</v>
      </c>
      <c r="BN46" s="26" t="n">
        <f aca="false">MAX(Flows!BN76*BN$4*BN21/100,0)</f>
        <v>0</v>
      </c>
      <c r="BO46" s="26" t="n">
        <f aca="false">MAX(Flows!BO76*BO$4*BO21/100,0)</f>
        <v>4492942.95060458</v>
      </c>
      <c r="BP46" s="26" t="n">
        <f aca="false">MAX(Flows!BP76*BP$4*BP21/100,0)</f>
        <v>17971772.1469683</v>
      </c>
      <c r="BQ46" s="26" t="n">
        <f aca="false">MAX(Flows!BQ76*BQ$4*BQ21/100,0)</f>
        <v>0</v>
      </c>
      <c r="BR46" s="26" t="n">
        <f aca="false">MAX(Flows!BR76*BR$4*BR21/100,0)</f>
        <v>4492942.77684019</v>
      </c>
      <c r="BS46" s="26" t="n">
        <f aca="false">MAX(Flows!BS76*BS$4*BS21/100,0)</f>
        <v>4492942.51619361</v>
      </c>
      <c r="BT46" s="26" t="n">
        <f aca="false">MAX(Flows!BT76*BT$4*BT21/100,0)</f>
        <v>0</v>
      </c>
      <c r="BU46" s="26" t="n">
        <f aca="false">MAX(Flows!BU76*BU$4*BU21/100,0)</f>
        <v>0</v>
      </c>
      <c r="BV46" s="26" t="n">
        <f aca="false">MAX(Flows!BV76*BV$4*BV21/100,0)</f>
        <v>0</v>
      </c>
      <c r="BW46" s="26" t="n">
        <f aca="false">MAX(Flows!BW76*BW$4*BW21/100,0)</f>
        <v>0</v>
      </c>
      <c r="BX46" s="26" t="n">
        <f aca="false">MAX(Flows!BX76*BX$4*BX21/100,0)</f>
        <v>7507504.1756657</v>
      </c>
      <c r="BY46" s="26" t="n">
        <f aca="false">MAX(Flows!BY76*BY$4*BY21/100,0)</f>
        <v>7507504.1756657</v>
      </c>
      <c r="BZ46" s="26" t="n">
        <f aca="false">MAX(Flows!BZ76*BZ$4*BZ21/100,0)</f>
        <v>20281874.8868767</v>
      </c>
      <c r="CA46" s="26" t="n">
        <f aca="false">MAX(Flows!CA76*CA$4*CA21/100,0)</f>
        <v>20281874.8868767</v>
      </c>
      <c r="CB46" s="26" t="n">
        <f aca="false">MAX(Flows!CB76*CB$4*CB21/100,0)</f>
        <v>37537520.8783285</v>
      </c>
      <c r="CC46" s="26" t="n">
        <f aca="false">MAX(Flows!CC76*CC$4*CC21/100,0)</f>
        <v>1017997.95258148</v>
      </c>
      <c r="CD46" s="26" t="n">
        <f aca="false">MAX(Flows!CD76*CD$4*CD21/100,0)</f>
        <v>0</v>
      </c>
      <c r="CE46" s="26" t="n">
        <f aca="false">MAX(Flows!CE76*CE$4*CE21/100,0)</f>
        <v>1017997.95258149</v>
      </c>
      <c r="CF46" s="26" t="n">
        <f aca="false">MAX(Flows!CF76*CF$4*CF21/100,0)</f>
        <v>5691055.80181127</v>
      </c>
      <c r="CG46" s="26" t="n">
        <f aca="false">MAX(Flows!CG76*CG$4*CG21/100,0)</f>
        <v>4492925.66104779</v>
      </c>
      <c r="CH46" s="26" t="n">
        <f aca="false">MAX(Flows!CH76*CH$4*CH21/100,0)</f>
        <v>4492925.66104779</v>
      </c>
      <c r="CI46" s="26" t="n">
        <f aca="false">MAX(Flows!CI76*CI$4*CI21/100,0)</f>
        <v>18768760.4391643</v>
      </c>
      <c r="CJ46" s="26" t="n">
        <f aca="false">MAX(Flows!CJ76*CJ$4*CJ21/100,0)</f>
        <v>1876876.04391643</v>
      </c>
      <c r="CK46" s="26" t="n">
        <f aca="false">MAX(Flows!CK76*CK$4*CK21/100,0)</f>
        <v>1876876.04391643</v>
      </c>
      <c r="CL46" s="22" t="s">
        <v>320</v>
      </c>
      <c r="CM46" s="26" t="n">
        <f aca="false" t="array" ref="CM46:CM46">SUM(IF($C$150:$CK$150=CM$30,$C46:$CK46,0),IF($C$150:$CK$150=CM$30,-$C106:$CK106,0))</f>
        <v>-26661465.5445108</v>
      </c>
      <c r="CN46" s="26" t="n">
        <f aca="false" t="array" ref="CN46:CN46">SUM(IF($C$150:$CK$150=CN$30,$C46:$CK46,0),IF($C$150:$CK$150=CN$30,-$C106:$CK106,0))</f>
        <v>93114196.4116671</v>
      </c>
      <c r="CO46" s="26" t="n">
        <f aca="false" t="array" ref="CO46:CO46">SUM(IF($C$150:$CK$150=CO$30,$C46:$CK46,0),IF($C$150:$CK$150=CO$30,-$C106:$CK106,0))</f>
        <v>96286542.6185531</v>
      </c>
      <c r="CP46" s="26" t="n">
        <f aca="false" t="array" ref="CP46:CP46">SUM(IF($C$150:$CK$150=CP$30,$C46:$CK46,0),IF($C$150:$CK$150=CP$30,-$C106:$CK106,0))</f>
        <v>106458916.146316</v>
      </c>
      <c r="CQ46" s="26" t="n">
        <f aca="false" t="array" ref="CQ46:CQ46">SUM(IF($C$150:$CK$150=CQ$30,$C46:$CK46,0),IF($C$150:$CK$150=CQ$30,-$C106:$CK106,0))</f>
        <v>146735790.720343</v>
      </c>
      <c r="CR46" s="26" t="n">
        <f aca="false" t="array" ref="CR46:CR46">SUM(IF($C$150:$CK$150=CR$30,$C46:$CK46,0),IF($C$150:$CK$150=CR$30,-$C106:$CK106,0))</f>
        <v>82086363.9928781</v>
      </c>
      <c r="CS46" s="26" t="n">
        <f aca="false" t="array" ref="CS46:CS46">SUM(IF($C$150:$CK$150=CS$30,$C46:$CK46,0),IF($C$150:$CK$150=CS$30,-$C106:$CK106,0))</f>
        <v>37326879.5812392</v>
      </c>
      <c r="CT46" s="26" t="n">
        <f aca="false" t="array" ref="CT46:CT46">SUM(IF($C$150:$CK$150=CT$30,$C46:$CK46,0),IF($C$150:$CK$150=CT$30,-$C106:$CK106,0))</f>
        <v>9444807.88964412</v>
      </c>
      <c r="CU46" s="26" t="n">
        <f aca="false" t="array" ref="CU46:CU46">SUM(IF($C$150:$CK$150=CU$30,$C46:$CK46,0),IF($C$150:$CK$150=CU$30,-$C106:$CK106,0))</f>
        <v>50704298.4275053</v>
      </c>
      <c r="CV46" s="26" t="n">
        <f aca="false" t="array" ref="CV46:CV46">SUM(IF($C$150:$CK$150=CV$30,$C46:$CK46,0),IF($C$150:$CK$150=CV$30,-$C106:$CK106,0))</f>
        <v>618671.90012579</v>
      </c>
      <c r="CX46" s="18" t="str">
        <f aca="false">INDEX($C$1:$CK$1,MATCH(LARGE($C46:$CK46,1),$C46:$CK46,0))</f>
        <v>Wax (lb)</v>
      </c>
      <c r="CY46" s="18" t="str">
        <f aca="false">INDEX($C$1:$CK$1,MATCH(LARGE($C46:$CK46,2),$C46:$CK46,0))</f>
        <v>Sauce (lb)</v>
      </c>
      <c r="CZ46" s="18" t="str">
        <f aca="false">INDEX($C$1:$CK$1,MATCH(LARGE($C46:$CK46,3),$C46:$CK46,0))</f>
        <v>Salt (lb)</v>
      </c>
      <c r="DA46" s="18" t="str">
        <f aca="false">INDEX($C$1:$CK$1,MATCH(LARGE($C46:$CK46,4),$C46:$CK46,0))</f>
        <v>Veg Oil (lb)</v>
      </c>
      <c r="DB46" s="18" t="s">
        <v>399</v>
      </c>
      <c r="DD46" s="18" t="str">
        <f aca="false">IF(LARGE($CM46:$CV46,1)&gt;0,INDEX($CM$30:$CV$30,MATCH(LARGE($CM46:$CV46,1),$CM46:$CV46,0)),"N/A")</f>
        <v>Tools</v>
      </c>
      <c r="DE46" s="18" t="str">
        <f aca="false">IF(LARGE($CM46:$CV46,2)&gt;0,INDEX($CM$30:$CV$30,MATCH(LARGE($CM46:$CV46,2),$CM46:$CV46,0)),"N/A")</f>
        <v>Textile</v>
      </c>
      <c r="DF46" s="18" t="str">
        <f aca="false">IF(LARGE($CM46:$CV46,3)&gt;0,INDEX($CM$30:$CV$30,MATCH(LARGE($CM46:$CV46,3),$CM46:$CV46,0)),"N/A")</f>
        <v>Food Prod</v>
      </c>
      <c r="DG46" s="18" t="str">
        <f aca="false">IF(LARGE($CM46:$CV46,4)&gt;0,INDEX($CM$30:$CV$30,MATCH(LARGE($CM46:$CV46,4),$CM46:$CV46,0)),"N/A")</f>
        <v>Animal</v>
      </c>
      <c r="DH46" s="18" t="str">
        <f aca="false">IF(LARGE($CM46:$CV46,5)&gt;0,INDEX($CM$30:$CV$30,MATCH(LARGE($CM46:$CV46,5),$CM46:$CV46,0)),"N/A")</f>
        <v>Mineral</v>
      </c>
    </row>
    <row r="47" customFormat="false" ht="12.8" hidden="false" customHeight="false" outlineLevel="0" collapsed="false">
      <c r="A47" s="7" t="s">
        <v>153</v>
      </c>
      <c r="B47" s="7" t="s">
        <v>39</v>
      </c>
      <c r="C47" s="10" t="n">
        <f aca="false">MAX(Flows!C77*C$4*C22/100,0)</f>
        <v>0</v>
      </c>
      <c r="D47" s="10" t="n">
        <f aca="false">MAX(Flows!D77*D$4*D22/100,0)</f>
        <v>0</v>
      </c>
      <c r="E47" s="10" t="n">
        <f aca="false">MAX(Flows!E77*E$4*E22/100,0)</f>
        <v>0</v>
      </c>
      <c r="F47" s="10" t="n">
        <f aca="false">MAX(Flows!F77*F$4*F22/100,0)</f>
        <v>0</v>
      </c>
      <c r="G47" s="10" t="n">
        <f aca="false">MAX(Flows!G77*G$4*G22/100,0)</f>
        <v>0</v>
      </c>
      <c r="H47" s="10" t="n">
        <f aca="false">MAX(Flows!H77*H$4*H22/100,0)</f>
        <v>0</v>
      </c>
      <c r="I47" s="10" t="n">
        <f aca="false">MAX(Flows!I77*I$4*I22/100,0)</f>
        <v>43784632.2709247</v>
      </c>
      <c r="J47" s="10" t="n">
        <f aca="false">MAX(Flows!J77*J$4*J22/100,0)</f>
        <v>76689088.6107689</v>
      </c>
      <c r="K47" s="10" t="n">
        <f aca="false">MAX(Flows!K77*K$4*K22/100,0)</f>
        <v>0</v>
      </c>
      <c r="L47" s="10" t="n">
        <f aca="false">MAX(Flows!L77*L$4*L22/100,0)</f>
        <v>0</v>
      </c>
      <c r="M47" s="10" t="n">
        <f aca="false">MAX(Flows!M77*M$4*M22/100,0)</f>
        <v>0</v>
      </c>
      <c r="N47" s="10" t="n">
        <f aca="false">MAX(Flows!N77*N$4*N22/100,0)</f>
        <v>0</v>
      </c>
      <c r="O47" s="10" t="n">
        <f aca="false">MAX(Flows!O77*O$4*O22/100,0)</f>
        <v>0</v>
      </c>
      <c r="P47" s="10" t="n">
        <f aca="false">MAX(Flows!P77*P$4*P22/100,0)</f>
        <v>0</v>
      </c>
      <c r="Q47" s="10" t="n">
        <f aca="false">MAX(Flows!Q77*Q$4*Q22/100,0)</f>
        <v>0</v>
      </c>
      <c r="R47" s="10" t="n">
        <f aca="false">MAX(Flows!R77*R$4*R22/100,0)</f>
        <v>0</v>
      </c>
      <c r="S47" s="10" t="n">
        <f aca="false">MAX(Flows!S77*S$4*S22/100,0)</f>
        <v>0</v>
      </c>
      <c r="T47" s="10" t="n">
        <f aca="false">MAX(Flows!T77*T$4*T22/100,0)</f>
        <v>0</v>
      </c>
      <c r="U47" s="10" t="n">
        <f aca="false">MAX(Flows!U77*U$4*U22/100,0)</f>
        <v>0</v>
      </c>
      <c r="V47" s="10" t="n">
        <f aca="false">MAX(Flows!V77*V$4*V22/100,0)</f>
        <v>91932013.3777446</v>
      </c>
      <c r="W47" s="10" t="n">
        <f aca="false">MAX(Flows!W77*W$4*W22/100,0)</f>
        <v>21833800.7578787</v>
      </c>
      <c r="X47" s="10" t="n">
        <f aca="false">MAX(Flows!X77*X$4*X22/100,0)</f>
        <v>4788984.54972037</v>
      </c>
      <c r="Y47" s="10" t="n">
        <f aca="false">MAX(Flows!Y77*Y$4*Y22/100,0)</f>
        <v>0</v>
      </c>
      <c r="Z47" s="10" t="n">
        <f aca="false">MAX(Flows!Z77*Z$4*Z22/100,0)</f>
        <v>0</v>
      </c>
      <c r="AA47" s="10" t="n">
        <f aca="false">MAX(Flows!AA77*AA$4*AA22/100,0)</f>
        <v>86475.519035433</v>
      </c>
      <c r="AB47" s="10" t="n">
        <f aca="false">MAX(Flows!AB77*AB$4*AB22/100,0)</f>
        <v>357826.189394548</v>
      </c>
      <c r="AC47" s="10" t="n">
        <f aca="false">MAX(Flows!AC77*AC$4*AC22/100,0)</f>
        <v>0</v>
      </c>
      <c r="AD47" s="10" t="n">
        <f aca="false">MAX(Flows!AD77*AD$4*AD22/100,0)</f>
        <v>178913.094697274</v>
      </c>
      <c r="AE47" s="10" t="n">
        <f aca="false">MAX(Flows!AE77*AE$4*AE22/100,0)</f>
        <v>0</v>
      </c>
      <c r="AF47" s="10" t="n">
        <f aca="false">MAX(Flows!AF77*AF$4*AF22/100,0)</f>
        <v>0</v>
      </c>
      <c r="AG47" s="10" t="n">
        <f aca="false">MAX(Flows!AG77*AG$4*AG22/100,0)</f>
        <v>5666237.48670448</v>
      </c>
      <c r="AH47" s="10" t="n">
        <f aca="false">MAX(Flows!AH77*AH$4*AH22/100,0)</f>
        <v>0</v>
      </c>
      <c r="AI47" s="10" t="n">
        <f aca="false">MAX(Flows!AI77*AI$4*AI22/100,0)</f>
        <v>0</v>
      </c>
      <c r="AJ47" s="10" t="n">
        <f aca="false">MAX(Flows!AJ77*AJ$4*AJ22/100,0)</f>
        <v>8660415.38871056</v>
      </c>
      <c r="AK47" s="10" t="n">
        <f aca="false">MAX(Flows!AK77*AK$4*AK22/100,0)</f>
        <v>0</v>
      </c>
      <c r="AL47" s="10" t="n">
        <f aca="false">MAX(Flows!AL77*AL$4*AL22/100,0)</f>
        <v>0</v>
      </c>
      <c r="AM47" s="10" t="n">
        <f aca="false">MAX(Flows!AM77*AM$4*AM22/100,0)</f>
        <v>18780530.0362643</v>
      </c>
      <c r="AN47" s="10" t="n">
        <f aca="false">MAX(Flows!AN77*AN$4*AN22/100,0)</f>
        <v>0</v>
      </c>
      <c r="AO47" s="10" t="n">
        <f aca="false">MAX(Flows!AO77*AO$4*AO22/100,0)</f>
        <v>0</v>
      </c>
      <c r="AP47" s="10" t="n">
        <f aca="false">MAX(Flows!AP77*AP$4*AP22/100,0)</f>
        <v>12785853.6733456</v>
      </c>
      <c r="AQ47" s="10" t="n">
        <f aca="false">MAX(Flows!AQ77*AQ$4*AQ22/100,0)</f>
        <v>0</v>
      </c>
      <c r="AR47" s="10" t="n">
        <f aca="false">MAX(Flows!AR77*AR$4*AR22/100,0)</f>
        <v>10791694.1863896</v>
      </c>
      <c r="AS47" s="10" t="n">
        <f aca="false">MAX(Flows!AS77*AS$4*AS22/100,0)</f>
        <v>9542133.053108</v>
      </c>
      <c r="AT47" s="10" t="n">
        <f aca="false">MAX(Flows!AT77*AT$4*AT22/100,0)</f>
        <v>0</v>
      </c>
      <c r="AU47" s="10" t="n">
        <f aca="false">MAX(Flows!AU77*AU$4*AU22/100,0)</f>
        <v>7736623.4259861</v>
      </c>
      <c r="AV47" s="10" t="n">
        <f aca="false">MAX(Flows!AV77*AV$4*AV22/100,0)</f>
        <v>2292937.59378818</v>
      </c>
      <c r="AW47" s="10" t="n">
        <f aca="false">MAX(Flows!AW77*AW$4*AW22/100,0)</f>
        <v>0</v>
      </c>
      <c r="AX47" s="10" t="n">
        <f aca="false">MAX(Flows!AX77*AX$4*AX22/100,0)</f>
        <v>0</v>
      </c>
      <c r="AY47" s="10" t="n">
        <f aca="false">MAX(Flows!AY77*AY$4*AY22/100,0)</f>
        <v>0</v>
      </c>
      <c r="AZ47" s="10" t="n">
        <f aca="false">MAX(Flows!AZ77*AZ$4*AZ22/100,0)</f>
        <v>185493.178765685</v>
      </c>
      <c r="BA47" s="10" t="n">
        <f aca="false">MAX(Flows!BA77*BA$4*BA22/100,0)</f>
        <v>0</v>
      </c>
      <c r="BB47" s="10" t="n">
        <f aca="false">MAX(Flows!BB77*BB$4*BB22/100,0)</f>
        <v>12379732.5504145</v>
      </c>
      <c r="BC47" s="10" t="n">
        <f aca="false">MAX(Flows!BC77*BC$4*BC22/100,0)</f>
        <v>0</v>
      </c>
      <c r="BD47" s="10" t="n">
        <f aca="false">MAX(Flows!BD77*BD$4*BD22/100,0)</f>
        <v>0</v>
      </c>
      <c r="BE47" s="10" t="n">
        <f aca="false">MAX(Flows!BE77*BE$4*BE22/100,0)</f>
        <v>1196733.476802</v>
      </c>
      <c r="BF47" s="10" t="n">
        <f aca="false">MAX(Flows!BF77*BF$4*BF22/100,0)</f>
        <v>83688870.3378233</v>
      </c>
      <c r="BG47" s="10" t="n">
        <f aca="false">MAX(Flows!BG77*BG$4*BG22/100,0)</f>
        <v>0</v>
      </c>
      <c r="BH47" s="10" t="n">
        <f aca="false">MAX(Flows!BH77*BH$4*BH22/100,0)</f>
        <v>0</v>
      </c>
      <c r="BI47" s="10" t="n">
        <f aca="false">MAX(Flows!BI77*BI$4*BI22/100,0)</f>
        <v>0</v>
      </c>
      <c r="BJ47" s="10" t="n">
        <f aca="false">MAX(Flows!BJ77*BJ$4*BJ22/100,0)</f>
        <v>0</v>
      </c>
      <c r="BK47" s="10" t="n">
        <f aca="false">MAX(Flows!BK77*BK$4*BK22/100,0)</f>
        <v>0</v>
      </c>
      <c r="BL47" s="10" t="n">
        <f aca="false">MAX(Flows!BL77*BL$4*BL22/100,0)</f>
        <v>0</v>
      </c>
      <c r="BM47" s="10" t="n">
        <f aca="false">MAX(Flows!BM77*BM$4*BM22/100,0)</f>
        <v>0</v>
      </c>
      <c r="BN47" s="10" t="n">
        <f aca="false">MAX(Flows!BN77*BN$4*BN22/100,0)</f>
        <v>0</v>
      </c>
      <c r="BO47" s="10" t="n">
        <f aca="false">MAX(Flows!BO77*BO$4*BO22/100,0)</f>
        <v>0</v>
      </c>
      <c r="BP47" s="10" t="n">
        <f aca="false">MAX(Flows!BP77*BP$4*BP22/100,0)</f>
        <v>0</v>
      </c>
      <c r="BQ47" s="10" t="n">
        <f aca="false">MAX(Flows!BQ77*BQ$4*BQ22/100,0)</f>
        <v>0</v>
      </c>
      <c r="BR47" s="10" t="n">
        <f aca="false">MAX(Flows!BR77*BR$4*BR22/100,0)</f>
        <v>0</v>
      </c>
      <c r="BS47" s="10" t="n">
        <f aca="false">MAX(Flows!BS77*BS$4*BS22/100,0)</f>
        <v>0</v>
      </c>
      <c r="BT47" s="10" t="n">
        <f aca="false">MAX(Flows!BT77*BT$4*BT22/100,0)</f>
        <v>0</v>
      </c>
      <c r="BU47" s="10" t="n">
        <f aca="false">MAX(Flows!BU77*BU$4*BU22/100,0)</f>
        <v>0</v>
      </c>
      <c r="BV47" s="10" t="n">
        <f aca="false">MAX(Flows!BV77*BV$4*BV22/100,0)</f>
        <v>0</v>
      </c>
      <c r="BW47" s="10" t="n">
        <f aca="false">MAX(Flows!BW77*BW$4*BW22/100,0)</f>
        <v>0</v>
      </c>
      <c r="BX47" s="10" t="n">
        <f aca="false">MAX(Flows!BX77*BX$4*BX22/100,0)</f>
        <v>0</v>
      </c>
      <c r="BY47" s="10" t="n">
        <f aca="false">MAX(Flows!BY77*BY$4*BY22/100,0)</f>
        <v>0</v>
      </c>
      <c r="BZ47" s="10" t="n">
        <f aca="false">MAX(Flows!BZ77*BZ$4*BZ22/100,0)</f>
        <v>0</v>
      </c>
      <c r="CA47" s="10" t="n">
        <f aca="false">MAX(Flows!CA77*CA$4*CA22/100,0)</f>
        <v>0</v>
      </c>
      <c r="CB47" s="10" t="n">
        <f aca="false">MAX(Flows!CB77*CB$4*CB22/100,0)</f>
        <v>0</v>
      </c>
      <c r="CC47" s="10" t="n">
        <f aca="false">MAX(Flows!CC77*CC$4*CC22/100,0)</f>
        <v>0</v>
      </c>
      <c r="CD47" s="10" t="n">
        <f aca="false">MAX(Flows!CD77*CD$4*CD22/100,0)</f>
        <v>0</v>
      </c>
      <c r="CE47" s="10" t="n">
        <f aca="false">MAX(Flows!CE77*CE$4*CE22/100,0)</f>
        <v>0</v>
      </c>
      <c r="CF47" s="10" t="n">
        <f aca="false">MAX(Flows!CF77*CF$4*CF22/100,0)</f>
        <v>0</v>
      </c>
      <c r="CG47" s="10" t="n">
        <f aca="false">MAX(Flows!CG77*CG$4*CG22/100,0)</f>
        <v>0</v>
      </c>
      <c r="CH47" s="10" t="n">
        <f aca="false">MAX(Flows!CH77*CH$4*CH22/100,0)</f>
        <v>0</v>
      </c>
      <c r="CI47" s="10" t="n">
        <f aca="false">MAX(Flows!CI77*CI$4*CI22/100,0)</f>
        <v>0</v>
      </c>
      <c r="CJ47" s="10" t="n">
        <f aca="false">MAX(Flows!CJ77*CJ$4*CJ22/100,0)</f>
        <v>0</v>
      </c>
      <c r="CK47" s="10" t="n">
        <f aca="false">MAX(Flows!CK77*CK$4*CK22/100,0)</f>
        <v>0</v>
      </c>
      <c r="CL47" s="7" t="s">
        <v>320</v>
      </c>
      <c r="CM47" s="10" t="n">
        <f aca="false" t="array" ref="CM47:CM47">SUM(IF($C$150:$CK$150=CM$30,$C47:$CK47,0),IF($C$150:$CK$150=CM$30,-$C107:$CK107,0))</f>
        <v>-150698807.464765</v>
      </c>
      <c r="CN47" s="10" t="n">
        <f aca="false" t="array" ref="CN47:CN47">SUM(IF($C$150:$CK$150=CN$30,$C47:$CK47,0),IF($C$150:$CK$150=CN$30,-$C107:$CK107,0))</f>
        <v>-154118432.992227</v>
      </c>
      <c r="CO47" s="10" t="n">
        <f aca="false" t="array" ref="CO47:CO47">SUM(IF($C$150:$CK$150=CO$30,$C47:$CK47,0),IF($C$150:$CK$150=CO$30,-$C107:$CK107,0))</f>
        <v>-16046851.3366123</v>
      </c>
      <c r="CP47" s="10" t="n">
        <f aca="false" t="array" ref="CP47:CP47">SUM(IF($C$150:$CK$150=CP$30,$C47:$CK47,0),IF($C$150:$CK$150=CP$30,-$C107:$CK107,0))</f>
        <v>-92604787.9332488</v>
      </c>
      <c r="CQ47" s="10" t="n">
        <f aca="false" t="array" ref="CQ47:CQ47">SUM(IF($C$150:$CK$150=CQ$30,$C47:$CK47,0),IF($C$150:$CK$150=CQ$30,-$C107:$CK107,0))</f>
        <v>8167463.90101776</v>
      </c>
      <c r="CR47" s="10" t="n">
        <f aca="false" t="array" ref="CR47:CR47">SUM(IF($C$150:$CK$150=CR$30,$C47:$CK47,0),IF($C$150:$CK$150=CR$30,-$C107:$CK107,0))</f>
        <v>-18908919485741900</v>
      </c>
      <c r="CS47" s="10" t="n">
        <f aca="false" t="array" ref="CS47:CS47">SUM(IF($C$150:$CK$150=CS$30,$C47:$CK47,0),IF($C$150:$CK$150=CS$30,-$C107:$CK107,0))</f>
        <v>-14212175.9262827</v>
      </c>
      <c r="CT47" s="10" t="n">
        <f aca="false" t="array" ref="CT47:CT47">SUM(IF($C$150:$CK$150=CT$30,$C47:$CK47,0),IF($C$150:$CK$150=CT$30,-$C107:$CK107,0))</f>
        <v>-6982606.58682248</v>
      </c>
      <c r="CU47" s="10" t="n">
        <f aca="false" t="array" ref="CU47:CU47">SUM(IF($C$150:$CK$150=CU$30,$C47:$CK47,0),IF($C$150:$CK$150=CU$30,-$C107:$CK107,0))</f>
        <v>120473720.881694</v>
      </c>
      <c r="CV47" s="10" t="n">
        <f aca="false" t="array" ref="CV47:CV47">SUM(IF($C$150:$CK$150=CV$30,$C47:$CK47,0),IF($C$150:$CK$150=CV$30,-$C107:$CK107,0))</f>
        <v>536739.284091822</v>
      </c>
      <c r="CX47" s="0" t="str">
        <f aca="false">INDEX($C$1:$CK$1,MATCH(LARGE($C47:$CK47,1),$C47:$CK47,0))</f>
        <v>Cider (gal)</v>
      </c>
      <c r="CY47" s="0" t="str">
        <f aca="false">INDEX($C$1:$CK$1,MATCH(LARGE($C47:$CK47,2),$C47:$CK47,0))</f>
        <v>Salt (lb)</v>
      </c>
      <c r="CZ47" s="0" t="str">
        <f aca="false">INDEX($C$1:$CK$1,MATCH(LARGE($C47:$CK47,3),$C47:$CK47,0))</f>
        <v>Wax (lb)</v>
      </c>
      <c r="DA47" s="0" t="str">
        <f aca="false">INDEX($C$1:$CK$1,MATCH(LARGE($C47:$CK47,4),$C47:$CK47,0))</f>
        <v>Honey (lb)</v>
      </c>
      <c r="DB47" s="0" t="str">
        <f aca="false">INDEX($C$1:$CK$1,MATCH(LARGE($C47:$CK47,5),$C47:$CK47,0))</f>
        <v>Sauce (lb)</v>
      </c>
      <c r="DD47" s="0" t="str">
        <f aca="false">IF(LARGE($CM47:$CV47,1)&gt;0,INDEX($CM$30:$CV$30,MATCH(LARGE($CM47:$CV47,1),$CM47:$CV47,0)),"N/A")</f>
        <v>Honey</v>
      </c>
      <c r="DE47" s="0" t="str">
        <f aca="false">IF(LARGE($CM47:$CV47,2)&gt;0,INDEX($CM$30:$CV$30,MATCH(LARGE($CM47:$CV47,2),$CM47:$CV47,0)),"N/A")</f>
        <v>Tools</v>
      </c>
      <c r="DF47" s="0" t="str">
        <f aca="false">IF(LARGE($CM47:$CV47,3)&gt;0,INDEX($CM$30:$CV$30,MATCH(LARGE($CM47:$CV47,3),$CM47:$CV47,0)),"N/A")</f>
        <v>Service</v>
      </c>
      <c r="DG47" s="0" t="str">
        <f aca="false">IF(LARGE($CM47:$CV47,4)&gt;0,INDEX($CM$30:$CV$30,MATCH(LARGE($CM47:$CV47,4),$CM47:$CV47,0)),"N/A")</f>
        <v>N/A</v>
      </c>
      <c r="DH47" s="0" t="str">
        <f aca="false">IF(LARGE($CM47:$CV47,5)&gt;0,INDEX($CM$30:$CV$30,MATCH(LARGE($CM47:$CV47,5),$CM47:$CV47,0)),"N/A")</f>
        <v>N/A</v>
      </c>
    </row>
    <row r="48" customFormat="false" ht="12.8" hidden="false" customHeight="false" outlineLevel="0" collapsed="false">
      <c r="A48" s="7" t="s">
        <v>155</v>
      </c>
      <c r="B48" s="7" t="s">
        <v>39</v>
      </c>
      <c r="C48" s="10" t="n">
        <f aca="false">MAX(Flows!C78*C$4*C23/100,0)</f>
        <v>0</v>
      </c>
      <c r="D48" s="10" t="n">
        <f aca="false">MAX(Flows!D78*D$4*D23/100,0)</f>
        <v>0</v>
      </c>
      <c r="E48" s="10" t="n">
        <f aca="false">MAX(Flows!E78*E$4*E23/100,0)</f>
        <v>0</v>
      </c>
      <c r="F48" s="10" t="n">
        <f aca="false">MAX(Flows!F78*F$4*F23/100,0)</f>
        <v>0</v>
      </c>
      <c r="G48" s="10" t="n">
        <f aca="false">MAX(Flows!G78*G$4*G23/100,0)</f>
        <v>0</v>
      </c>
      <c r="H48" s="10" t="n">
        <f aca="false">MAX(Flows!H78*H$4*H23/100,0)</f>
        <v>0</v>
      </c>
      <c r="I48" s="10" t="n">
        <f aca="false">MAX(Flows!I78*I$4*I23/100,0)</f>
        <v>56271760.4819528</v>
      </c>
      <c r="J48" s="10" t="n">
        <f aca="false">MAX(Flows!J78*J$4*J23/100,0)</f>
        <v>104382798.557027</v>
      </c>
      <c r="K48" s="10" t="n">
        <f aca="false">MAX(Flows!K78*K$4*K23/100,0)</f>
        <v>0</v>
      </c>
      <c r="L48" s="10" t="n">
        <f aca="false">MAX(Flows!L78*L$4*L23/100,0)</f>
        <v>0</v>
      </c>
      <c r="M48" s="10" t="n">
        <f aca="false">MAX(Flows!M78*M$4*M23/100,0)</f>
        <v>0</v>
      </c>
      <c r="N48" s="10" t="n">
        <f aca="false">MAX(Flows!N78*N$4*N23/100,0)</f>
        <v>0</v>
      </c>
      <c r="O48" s="10" t="n">
        <f aca="false">MAX(Flows!O78*O$4*O23/100,0)</f>
        <v>0</v>
      </c>
      <c r="P48" s="10" t="n">
        <f aca="false">MAX(Flows!P78*P$4*P23/100,0)</f>
        <v>0</v>
      </c>
      <c r="Q48" s="10" t="n">
        <f aca="false">MAX(Flows!Q78*Q$4*Q23/100,0)</f>
        <v>0</v>
      </c>
      <c r="R48" s="10" t="n">
        <f aca="false">MAX(Flows!R78*R$4*R23/100,0)</f>
        <v>0</v>
      </c>
      <c r="S48" s="10" t="n">
        <f aca="false">MAX(Flows!S78*S$4*S23/100,0)</f>
        <v>0</v>
      </c>
      <c r="T48" s="10" t="n">
        <f aca="false">MAX(Flows!T78*T$4*T23/100,0)</f>
        <v>0</v>
      </c>
      <c r="U48" s="10" t="n">
        <f aca="false">MAX(Flows!U78*U$4*U23/100,0)</f>
        <v>0</v>
      </c>
      <c r="V48" s="10" t="n">
        <f aca="false">MAX(Flows!V78*V$4*V23/100,0)</f>
        <v>0</v>
      </c>
      <c r="W48" s="10" t="n">
        <f aca="false">MAX(Flows!W78*W$4*W23/100,0)</f>
        <v>0</v>
      </c>
      <c r="X48" s="10" t="n">
        <f aca="false">MAX(Flows!X78*X$4*X23/100,0)</f>
        <v>0</v>
      </c>
      <c r="Y48" s="10" t="n">
        <f aca="false">MAX(Flows!Y78*Y$4*Y23/100,0)</f>
        <v>0</v>
      </c>
      <c r="Z48" s="10" t="n">
        <f aca="false">MAX(Flows!Z78*Z$4*Z23/100,0)</f>
        <v>0</v>
      </c>
      <c r="AA48" s="10" t="n">
        <f aca="false">MAX(Flows!AA78*AA$4*AA23/100,0)</f>
        <v>0</v>
      </c>
      <c r="AB48" s="10" t="n">
        <f aca="false">MAX(Flows!AB78*AB$4*AB23/100,0)</f>
        <v>0</v>
      </c>
      <c r="AC48" s="10" t="n">
        <f aca="false">MAX(Flows!AC78*AC$4*AC23/100,0)</f>
        <v>815565.454589133</v>
      </c>
      <c r="AD48" s="10" t="n">
        <f aca="false">MAX(Flows!AD78*AD$4*AD23/100,0)</f>
        <v>0</v>
      </c>
      <c r="AE48" s="10" t="n">
        <f aca="false">MAX(Flows!AE78*AE$4*AE23/100,0)</f>
        <v>0</v>
      </c>
      <c r="AF48" s="10" t="n">
        <f aca="false">MAX(Flows!AF78*AF$4*AF23/100,0)</f>
        <v>0</v>
      </c>
      <c r="AG48" s="10" t="n">
        <f aca="false">MAX(Flows!AG78*AG$4*AG23/100,0)</f>
        <v>0</v>
      </c>
      <c r="AH48" s="10" t="n">
        <f aca="false">MAX(Flows!AH78*AH$4*AH23/100,0)</f>
        <v>0</v>
      </c>
      <c r="AI48" s="10" t="n">
        <f aca="false">MAX(Flows!AI78*AI$4*AI23/100,0)</f>
        <v>0</v>
      </c>
      <c r="AJ48" s="10" t="n">
        <f aca="false">MAX(Flows!AJ78*AJ$4*AJ23/100,0)</f>
        <v>0</v>
      </c>
      <c r="AK48" s="10" t="n">
        <f aca="false">MAX(Flows!AK78*AK$4*AK23/100,0)</f>
        <v>0</v>
      </c>
      <c r="AL48" s="10" t="n">
        <f aca="false">MAX(Flows!AL78*AL$4*AL23/100,0)</f>
        <v>0</v>
      </c>
      <c r="AM48" s="10" t="n">
        <f aca="false">MAX(Flows!AM78*AM$4*AM23/100,0)</f>
        <v>0</v>
      </c>
      <c r="AN48" s="10" t="n">
        <f aca="false">MAX(Flows!AN78*AN$4*AN23/100,0)</f>
        <v>0</v>
      </c>
      <c r="AO48" s="10" t="n">
        <f aca="false">MAX(Flows!AO78*AO$4*AO23/100,0)</f>
        <v>0</v>
      </c>
      <c r="AP48" s="10" t="n">
        <f aca="false">MAX(Flows!AP78*AP$4*AP23/100,0)</f>
        <v>0</v>
      </c>
      <c r="AQ48" s="10" t="n">
        <f aca="false">MAX(Flows!AQ78*AQ$4*AQ23/100,0)</f>
        <v>0</v>
      </c>
      <c r="AR48" s="10" t="n">
        <f aca="false">MAX(Flows!AR78*AR$4*AR23/100,0)</f>
        <v>0</v>
      </c>
      <c r="AS48" s="10" t="n">
        <f aca="false">MAX(Flows!AS78*AS$4*AS23/100,0)</f>
        <v>0</v>
      </c>
      <c r="AT48" s="10" t="n">
        <f aca="false">MAX(Flows!AT78*AT$4*AT23/100,0)</f>
        <v>0</v>
      </c>
      <c r="AU48" s="10" t="n">
        <f aca="false">MAX(Flows!AU78*AU$4*AU23/100,0)</f>
        <v>0</v>
      </c>
      <c r="AV48" s="10" t="n">
        <f aca="false">MAX(Flows!AV78*AV$4*AV23/100,0)</f>
        <v>0</v>
      </c>
      <c r="AW48" s="10" t="n">
        <f aca="false">MAX(Flows!AW78*AW$4*AW23/100,0)</f>
        <v>14931778.584081</v>
      </c>
      <c r="AX48" s="10" t="n">
        <f aca="false">MAX(Flows!AX78*AX$4*AX23/100,0)</f>
        <v>0</v>
      </c>
      <c r="AY48" s="10" t="n">
        <f aca="false">MAX(Flows!AY78*AY$4*AY23/100,0)</f>
        <v>352593.1821221</v>
      </c>
      <c r="AZ48" s="10" t="n">
        <f aca="false">MAX(Flows!AZ78*AZ$4*AZ23/100,0)</f>
        <v>0</v>
      </c>
      <c r="BA48" s="10" t="n">
        <f aca="false">MAX(Flows!BA78*BA$4*BA23/100,0)</f>
        <v>0</v>
      </c>
      <c r="BB48" s="10" t="n">
        <f aca="false">MAX(Flows!BB78*BB$4*BB23/100,0)</f>
        <v>0</v>
      </c>
      <c r="BC48" s="10" t="n">
        <f aca="false">MAX(Flows!BC78*BC$4*BC23/100,0)</f>
        <v>0</v>
      </c>
      <c r="BD48" s="10" t="n">
        <f aca="false">MAX(Flows!BD78*BD$4*BD23/100,0)</f>
        <v>0</v>
      </c>
      <c r="BE48" s="10" t="n">
        <f aca="false">MAX(Flows!BE78*BE$4*BE23/100,0)</f>
        <v>0</v>
      </c>
      <c r="BF48" s="10" t="n">
        <f aca="false">MAX(Flows!BF78*BF$4*BF23/100,0)</f>
        <v>0</v>
      </c>
      <c r="BG48" s="10" t="n">
        <f aca="false">MAX(Flows!BG78*BG$4*BG23/100,0)</f>
        <v>0</v>
      </c>
      <c r="BH48" s="10" t="n">
        <f aca="false">MAX(Flows!BH78*BH$4*BH23/100,0)</f>
        <v>0</v>
      </c>
      <c r="BI48" s="10" t="n">
        <f aca="false">MAX(Flows!BI78*BI$4*BI23/100,0)</f>
        <v>0</v>
      </c>
      <c r="BJ48" s="10" t="n">
        <f aca="false">MAX(Flows!BJ78*BJ$4*BJ23/100,0)</f>
        <v>0</v>
      </c>
      <c r="BK48" s="10" t="n">
        <f aca="false">MAX(Flows!BK78*BK$4*BK23/100,0)</f>
        <v>0</v>
      </c>
      <c r="BL48" s="10" t="n">
        <f aca="false">MAX(Flows!BL78*BL$4*BL23/100,0)</f>
        <v>0</v>
      </c>
      <c r="BM48" s="10" t="n">
        <f aca="false">MAX(Flows!BM78*BM$4*BM23/100,0)</f>
        <v>0</v>
      </c>
      <c r="BN48" s="10" t="n">
        <f aca="false">MAX(Flows!BN78*BN$4*BN23/100,0)</f>
        <v>0</v>
      </c>
      <c r="BO48" s="10" t="n">
        <f aca="false">MAX(Flows!BO78*BO$4*BO23/100,0)</f>
        <v>287990.745251398</v>
      </c>
      <c r="BP48" s="10" t="n">
        <f aca="false">MAX(Flows!BP78*BP$4*BP23/100,0)</f>
        <v>1151964.58424471</v>
      </c>
      <c r="BQ48" s="10" t="n">
        <f aca="false">MAX(Flows!BQ78*BQ$4*BQ23/100,0)</f>
        <v>0</v>
      </c>
      <c r="BR48" s="10" t="n">
        <f aca="false">MAX(Flows!BR78*BR$4*BR23/100,0)</f>
        <v>287989.936701398</v>
      </c>
      <c r="BS48" s="10" t="n">
        <f aca="false">MAX(Flows!BS78*BS$4*BS23/100,0)</f>
        <v>287988.723876404</v>
      </c>
      <c r="BT48" s="10" t="n">
        <f aca="false">MAX(Flows!BT78*BT$4*BT23/100,0)</f>
        <v>0</v>
      </c>
      <c r="BU48" s="10" t="n">
        <f aca="false">MAX(Flows!BU78*BU$4*BU23/100,0)</f>
        <v>0</v>
      </c>
      <c r="BV48" s="10" t="n">
        <f aca="false">MAX(Flows!BV78*BV$4*BV23/100,0)</f>
        <v>0</v>
      </c>
      <c r="BW48" s="10" t="n">
        <f aca="false">MAX(Flows!BW78*BW$4*BW23/100,0)</f>
        <v>0</v>
      </c>
      <c r="BX48" s="10" t="n">
        <f aca="false">MAX(Flows!BX78*BX$4*BX23/100,0)</f>
        <v>0</v>
      </c>
      <c r="BY48" s="10" t="n">
        <f aca="false">MAX(Flows!BY78*BY$4*BY23/100,0)</f>
        <v>0</v>
      </c>
      <c r="BZ48" s="10" t="n">
        <f aca="false">MAX(Flows!BZ78*BZ$4*BZ23/100,0)</f>
        <v>0</v>
      </c>
      <c r="CA48" s="10" t="n">
        <f aca="false">MAX(Flows!CA78*CA$4*CA23/100,0)</f>
        <v>0</v>
      </c>
      <c r="CB48" s="10" t="n">
        <f aca="false">MAX(Flows!CB78*CB$4*CB23/100,0)</f>
        <v>0</v>
      </c>
      <c r="CC48" s="10" t="n">
        <f aca="false">MAX(Flows!CC78*CC$4*CC23/100,0)</f>
        <v>0</v>
      </c>
      <c r="CD48" s="10" t="n">
        <f aca="false">MAX(Flows!CD78*CD$4*CD23/100,0)</f>
        <v>0</v>
      </c>
      <c r="CE48" s="10" t="n">
        <f aca="false">MAX(Flows!CE78*CE$4*CE23/100,0)</f>
        <v>0</v>
      </c>
      <c r="CF48" s="10" t="n">
        <f aca="false">MAX(Flows!CF78*CF$4*CF23/100,0)</f>
        <v>0</v>
      </c>
      <c r="CG48" s="10" t="n">
        <f aca="false">MAX(Flows!CG78*CG$4*CG23/100,0)</f>
        <v>287910.29452673</v>
      </c>
      <c r="CH48" s="10" t="n">
        <f aca="false">MAX(Flows!CH78*CH$4*CH23/100,0)</f>
        <v>287910.294526731</v>
      </c>
      <c r="CI48" s="10" t="n">
        <f aca="false">MAX(Flows!CI78*CI$4*CI23/100,0)</f>
        <v>0</v>
      </c>
      <c r="CJ48" s="10" t="n">
        <f aca="false">MAX(Flows!CJ78*CJ$4*CJ23/100,0)</f>
        <v>0</v>
      </c>
      <c r="CK48" s="10" t="n">
        <f aca="false">MAX(Flows!CK78*CK$4*CK23/100,0)</f>
        <v>0</v>
      </c>
      <c r="CL48" s="7" t="s">
        <v>320</v>
      </c>
      <c r="CM48" s="10" t="n">
        <f aca="false" t="array" ref="CM48:CM48">SUM(IF($C$150:$CK$150=CM$30,$C48:$CK48,0),IF($C$150:$CK$150=CM$30,-$C108:$CK108,0))</f>
        <v>-2218432978.09751</v>
      </c>
      <c r="CN48" s="10" t="n">
        <f aca="false" t="array" ref="CN48:CN48">SUM(IF($C$150:$CK$150=CN$30,$C48:$CK48,0),IF($C$150:$CK$150=CN$30,-$C108:$CK108,0))</f>
        <v>-1555780654.28761</v>
      </c>
      <c r="CO48" s="10" t="n">
        <f aca="false" t="array" ref="CO48:CO48">SUM(IF($C$150:$CK$150=CO$30,$C48:$CK48,0),IF($C$150:$CK$150=CO$30,-$C108:$CK108,0))</f>
        <v>-5809562364.59306</v>
      </c>
      <c r="CP48" s="10" t="n">
        <f aca="false" t="array" ref="CP48:CP48">SUM(IF($C$150:$CK$150=CP$30,$C48:$CK48,0),IF($C$150:$CK$150=CP$30,-$C108:$CK108,0))</f>
        <v>-1881873678.98286</v>
      </c>
      <c r="CQ48" s="10" t="n">
        <f aca="false" t="array" ref="CQ48:CQ48">SUM(IF($C$150:$CK$150=CQ$30,$C48:$CK48,0),IF($C$150:$CK$150=CQ$30,-$C108:$CK108,0))</f>
        <v>-2919729204.70317</v>
      </c>
      <c r="CR48" s="10" t="n">
        <f aca="false" t="array" ref="CR48:CR48">SUM(IF($C$150:$CK$150=CR$30,$C48:$CK48,0),IF($C$150:$CK$150=CR$30,-$C108:$CK108,0))</f>
        <v>-420777151.923118</v>
      </c>
      <c r="CS48" s="10" t="n">
        <f aca="false" t="array" ref="CS48:CS48">SUM(IF($C$150:$CK$150=CS$30,$C48:$CK48,0),IF($C$150:$CK$150=CS$30,-$C108:$CK108,0))</f>
        <v>-383862665.104582</v>
      </c>
      <c r="CT48" s="10" t="n">
        <f aca="false" t="array" ref="CT48:CT48">SUM(IF($C$150:$CK$150=CT$30,$C48:$CK48,0),IF($C$150:$CK$150=CT$30,-$C108:$CK108,0))</f>
        <v>-112103728.079748</v>
      </c>
      <c r="CU48" s="10" t="n">
        <f aca="false" t="array" ref="CU48:CU48">SUM(IF($C$150:$CK$150=CU$30,$C48:$CK48,0),IF($C$150:$CK$150=CU$30,-$C108:$CK108,0))</f>
        <v>160654559.03898</v>
      </c>
      <c r="CV48" s="10" t="n">
        <f aca="false" t="array" ref="CV48:CV48">SUM(IF($C$150:$CK$150=CV$30,$C48:$CK48,0),IF($C$150:$CK$150=CV$30,-$C108:$CK108,0))</f>
        <v>-4420436.44207752</v>
      </c>
      <c r="CX48" s="0" t="str">
        <f aca="false">INDEX($C$1:$CK$1,MATCH(LARGE($C48:$CK48,1),$C48:$CK48,0))</f>
        <v>Wax (lb)</v>
      </c>
      <c r="CY48" s="0" t="str">
        <f aca="false">INDEX($C$1:$CK$1,MATCH(LARGE($C48:$CK48,2),$C48:$CK48,0))</f>
        <v>Honey (lb)</v>
      </c>
      <c r="CZ48" s="0" t="str">
        <f aca="false">INDEX($C$1:$CK$1,MATCH(LARGE($C48:$CK48,3),$C48:$CK48,0))</f>
        <v>Thread (Kyd)</v>
      </c>
      <c r="DA48" s="0" t="str">
        <f aca="false">INDEX($C$1:$CK$1,MATCH(LARGE($C48:$CK48,4),$C48:$CK48,0))</f>
        <v>Iron (lb)</v>
      </c>
      <c r="DB48" s="0" t="str">
        <f aca="false">INDEX($C$1:$CK$1,MATCH(LARGE($C48:$CK48,5),$C48:$CK48,0))</f>
        <v>Bricks (Kbrck)</v>
      </c>
      <c r="DD48" s="0" t="str">
        <f aca="false">IF(LARGE($CM48:$CV48,1)&gt;0,INDEX($CM$30:$CV$30,MATCH(LARGE($CM48:$CV48,1),$CM48:$CV48,0)),"N/A")</f>
        <v>Honey</v>
      </c>
      <c r="DE48" s="0" t="str">
        <f aca="false">IF(LARGE($CM48:$CV48,2)&gt;0,INDEX($CM$30:$CV$30,MATCH(LARGE($CM48:$CV48,2),$CM48:$CV48,0)),"N/A")</f>
        <v>N/A</v>
      </c>
      <c r="DF48" s="0" t="str">
        <f aca="false">IF(LARGE($CM48:$CV48,3)&gt;0,INDEX($CM$30:$CV$30,MATCH(LARGE($CM48:$CV48,3),$CM48:$CV48,0)),"N/A")</f>
        <v>N/A</v>
      </c>
      <c r="DG48" s="0" t="str">
        <f aca="false">IF(LARGE($CM48:$CV48,4)&gt;0,INDEX($CM$30:$CV$30,MATCH(LARGE($CM48:$CV48,4),$CM48:$CV48,0)),"N/A")</f>
        <v>N/A</v>
      </c>
      <c r="DH48" s="0" t="str">
        <f aca="false">IF(LARGE($CM48:$CV48,5)&gt;0,INDEX($CM$30:$CV$30,MATCH(LARGE($CM48:$CV48,5),$CM48:$CV48,0)),"N/A")</f>
        <v>N/A</v>
      </c>
    </row>
    <row r="49" customFormat="false" ht="12.8" hidden="false" customHeight="false" outlineLevel="0" collapsed="false">
      <c r="A49" s="7" t="s">
        <v>156</v>
      </c>
      <c r="B49" s="7" t="s">
        <v>39</v>
      </c>
      <c r="C49" s="10" t="n">
        <f aca="false">MAX(Flows!C79*C$4*C24/100,0)</f>
        <v>28187611.2352044</v>
      </c>
      <c r="D49" s="10" t="n">
        <f aca="false">MAX(Flows!D79*D$4*D24/100,0)</f>
        <v>42412273.189339</v>
      </c>
      <c r="E49" s="10" t="n">
        <f aca="false">MAX(Flows!E79*E$4*E24/100,0)</f>
        <v>23322042.9227273</v>
      </c>
      <c r="F49" s="10" t="n">
        <f aca="false">MAX(Flows!F79*F$4*F24/100,0)</f>
        <v>0</v>
      </c>
      <c r="G49" s="10" t="n">
        <f aca="false">MAX(Flows!G79*G$4*G24/100,0)</f>
        <v>44769593.0917183</v>
      </c>
      <c r="H49" s="10" t="n">
        <f aca="false">MAX(Flows!H79*H$4*H24/100,0)</f>
        <v>20384299.3055704</v>
      </c>
      <c r="I49" s="10" t="n">
        <f aca="false">MAX(Flows!I79*I$4*I24/100,0)</f>
        <v>47876837.5846688</v>
      </c>
      <c r="J49" s="10" t="n">
        <f aca="false">MAX(Flows!J79*J$4*J24/100,0)</f>
        <v>0</v>
      </c>
      <c r="K49" s="10" t="n">
        <f aca="false">MAX(Flows!K79*K$4*K24/100,0)</f>
        <v>0</v>
      </c>
      <c r="L49" s="10" t="n">
        <f aca="false">MAX(Flows!L79*L$4*L24/100,0)</f>
        <v>0</v>
      </c>
      <c r="M49" s="10" t="n">
        <f aca="false">MAX(Flows!M79*M$4*M24/100,0)</f>
        <v>0</v>
      </c>
      <c r="N49" s="10" t="n">
        <f aca="false">MAX(Flows!N79*N$4*N24/100,0)</f>
        <v>26060263.6967398</v>
      </c>
      <c r="O49" s="10" t="n">
        <f aca="false">MAX(Flows!O79*O$4*O24/100,0)</f>
        <v>0</v>
      </c>
      <c r="P49" s="10" t="n">
        <f aca="false">MAX(Flows!P79*P$4*P24/100,0)</f>
        <v>0</v>
      </c>
      <c r="Q49" s="10" t="n">
        <f aca="false">MAX(Flows!Q79*Q$4*Q24/100,0)</f>
        <v>54692659.2340898</v>
      </c>
      <c r="R49" s="10" t="n">
        <f aca="false">MAX(Flows!R79*R$4*R24/100,0)</f>
        <v>35919918.4161721</v>
      </c>
      <c r="S49" s="10" t="n">
        <f aca="false">MAX(Flows!S79*S$4*S24/100,0)</f>
        <v>0</v>
      </c>
      <c r="T49" s="10" t="n">
        <f aca="false">MAX(Flows!T79*T$4*T24/100,0)</f>
        <v>0</v>
      </c>
      <c r="U49" s="10" t="n">
        <f aca="false">MAX(Flows!U79*U$4*U24/100,0)</f>
        <v>0</v>
      </c>
      <c r="V49" s="10" t="n">
        <f aca="false">MAX(Flows!V79*V$4*V24/100,0)</f>
        <v>99104025.739941</v>
      </c>
      <c r="W49" s="10" t="n">
        <f aca="false">MAX(Flows!W79*W$4*W24/100,0)</f>
        <v>68772635.6531554</v>
      </c>
      <c r="X49" s="10" t="n">
        <f aca="false">MAX(Flows!X79*X$4*X24/100,0)</f>
        <v>108322714.464806</v>
      </c>
      <c r="Y49" s="10" t="n">
        <f aca="false">MAX(Flows!Y79*Y$4*Y24/100,0)</f>
        <v>0</v>
      </c>
      <c r="Z49" s="10" t="n">
        <f aca="false">MAX(Flows!Z79*Z$4*Z24/100,0)</f>
        <v>0</v>
      </c>
      <c r="AA49" s="10" t="n">
        <f aca="false">MAX(Flows!AA79*AA$4*AA24/100,0)</f>
        <v>106901.409893137</v>
      </c>
      <c r="AB49" s="10" t="n">
        <f aca="false">MAX(Flows!AB79*AB$4*AB24/100,0)</f>
        <v>525769.082866721</v>
      </c>
      <c r="AC49" s="10" t="n">
        <f aca="false">MAX(Flows!AC79*AC$4*AC24/100,0)</f>
        <v>0</v>
      </c>
      <c r="AD49" s="10" t="n">
        <f aca="false">MAX(Flows!AD79*AD$4*AD24/100,0)</f>
        <v>262884.541433361</v>
      </c>
      <c r="AE49" s="10" t="n">
        <f aca="false">MAX(Flows!AE79*AE$4*AE24/100,0)</f>
        <v>946582.646433173</v>
      </c>
      <c r="AF49" s="10" t="n">
        <f aca="false">MAX(Flows!AF79*AF$4*AF24/100,0)</f>
        <v>3849746.81155592</v>
      </c>
      <c r="AG49" s="10" t="n">
        <f aca="false">MAX(Flows!AG79*AG$4*AG24/100,0)</f>
        <v>7122605.42681968</v>
      </c>
      <c r="AH49" s="10" t="n">
        <f aca="false">MAX(Flows!AH79*AH$4*AH24/100,0)</f>
        <v>4706175.4120765</v>
      </c>
      <c r="AI49" s="10" t="n">
        <f aca="false">MAX(Flows!AI79*AI$4*AI24/100,0)</f>
        <v>14836609.5461818</v>
      </c>
      <c r="AJ49" s="10" t="n">
        <f aca="false">MAX(Flows!AJ79*AJ$4*AJ24/100,0)</f>
        <v>9205628.71624062</v>
      </c>
      <c r="AK49" s="10" t="n">
        <f aca="false">MAX(Flows!AK79*AK$4*AK24/100,0)</f>
        <v>9210149.09361805</v>
      </c>
      <c r="AL49" s="10" t="n">
        <f aca="false">MAX(Flows!AL79*AL$4*AL24/100,0)</f>
        <v>14778455.0095898</v>
      </c>
      <c r="AM49" s="10" t="n">
        <f aca="false">MAX(Flows!AM79*AM$4*AM24/100,0)</f>
        <v>11037992.5195169</v>
      </c>
      <c r="AN49" s="10" t="n">
        <f aca="false">MAX(Flows!AN79*AN$4*AN24/100,0)</f>
        <v>10804963.3838076</v>
      </c>
      <c r="AO49" s="10" t="n">
        <f aca="false">MAX(Flows!AO79*AO$4*AO24/100,0)</f>
        <v>14354614.5354527</v>
      </c>
      <c r="AP49" s="10" t="n">
        <f aca="false">MAX(Flows!AP79*AP$4*AP24/100,0)</f>
        <v>5799007.38508419</v>
      </c>
      <c r="AQ49" s="10" t="n">
        <f aca="false">MAX(Flows!AQ79*AQ$4*AQ24/100,0)</f>
        <v>8007362.19973179</v>
      </c>
      <c r="AR49" s="10" t="n">
        <f aca="false">MAX(Flows!AR79*AR$4*AR24/100,0)</f>
        <v>8142159.62125355</v>
      </c>
      <c r="AS49" s="10" t="n">
        <f aca="false">MAX(Flows!AS79*AS$4*AS24/100,0)</f>
        <v>9379010.41439787</v>
      </c>
      <c r="AT49" s="10" t="n">
        <f aca="false">MAX(Flows!AT79*AT$4*AT24/100,0)</f>
        <v>17571257.6830049</v>
      </c>
      <c r="AU49" s="10" t="n">
        <f aca="false">MAX(Flows!AU79*AU$4*AU24/100,0)</f>
        <v>0</v>
      </c>
      <c r="AV49" s="10" t="n">
        <f aca="false">MAX(Flows!AV79*AV$4*AV24/100,0)</f>
        <v>13823419.1758942</v>
      </c>
      <c r="AW49" s="10" t="n">
        <f aca="false">MAX(Flows!AW79*AW$4*AW24/100,0)</f>
        <v>0</v>
      </c>
      <c r="AX49" s="10" t="n">
        <f aca="false">MAX(Flows!AX79*AX$4*AX24/100,0)</f>
        <v>0</v>
      </c>
      <c r="AY49" s="10" t="n">
        <f aca="false">MAX(Flows!AY79*AY$4*AY24/100,0)</f>
        <v>0</v>
      </c>
      <c r="AZ49" s="10" t="n">
        <f aca="false">MAX(Flows!AZ79*AZ$4*AZ24/100,0)</f>
        <v>2794735.0839456</v>
      </c>
      <c r="BA49" s="10" t="n">
        <f aca="false">MAX(Flows!BA79*BA$4*BA24/100,0)</f>
        <v>0</v>
      </c>
      <c r="BB49" s="10" t="n">
        <f aca="false">MAX(Flows!BB79*BB$4*BB24/100,0)</f>
        <v>7653118.63407233</v>
      </c>
      <c r="BC49" s="10" t="n">
        <f aca="false">MAX(Flows!BC79*BC$4*BC24/100,0)</f>
        <v>7052253.9342406</v>
      </c>
      <c r="BD49" s="10" t="n">
        <f aca="false">MAX(Flows!BD79*BD$4*BD24/100,0)</f>
        <v>16494840.1490065</v>
      </c>
      <c r="BE49" s="10" t="n">
        <f aca="false">MAX(Flows!BE79*BE$4*BE24/100,0)</f>
        <v>5141841.35471748</v>
      </c>
      <c r="BF49" s="10" t="n">
        <f aca="false">MAX(Flows!BF79*BF$4*BF24/100,0)</f>
        <v>59196379.2288851</v>
      </c>
      <c r="BG49" s="10" t="n">
        <f aca="false">MAX(Flows!BG79*BG$4*BG24/100,0)</f>
        <v>0</v>
      </c>
      <c r="BH49" s="10" t="n">
        <f aca="false">MAX(Flows!BH79*BH$4*BH24/100,0)</f>
        <v>1017149.51128355</v>
      </c>
      <c r="BI49" s="10" t="n">
        <f aca="false">MAX(Flows!BI79*BI$4*BI24/100,0)</f>
        <v>35224819.74704</v>
      </c>
      <c r="BJ49" s="10" t="n">
        <f aca="false">MAX(Flows!BJ79*BJ$4*BJ24/100,0)</f>
        <v>35224819.74704</v>
      </c>
      <c r="BK49" s="10" t="n">
        <f aca="false">MAX(Flows!BK79*BK$4*BK24/100,0)</f>
        <v>35224819.74704</v>
      </c>
      <c r="BL49" s="10" t="n">
        <f aca="false">MAX(Flows!BL79*BL$4*BL24/100,0)</f>
        <v>5469265.92340897</v>
      </c>
      <c r="BM49" s="10" t="n">
        <f aca="false">MAX(Flows!BM79*BM$4*BM24/100,0)</f>
        <v>5469265.92340898</v>
      </c>
      <c r="BN49" s="10" t="n">
        <f aca="false">MAX(Flows!BN79*BN$4*BN24/100,0)</f>
        <v>0</v>
      </c>
      <c r="BO49" s="10" t="n">
        <f aca="false">MAX(Flows!BO79*BO$4*BO24/100,0)</f>
        <v>0</v>
      </c>
      <c r="BP49" s="10" t="n">
        <f aca="false">MAX(Flows!BP79*BP$4*BP24/100,0)</f>
        <v>0</v>
      </c>
      <c r="BQ49" s="10" t="n">
        <f aca="false">MAX(Flows!BQ79*BQ$4*BQ24/100,0)</f>
        <v>0</v>
      </c>
      <c r="BR49" s="10" t="n">
        <f aca="false">MAX(Flows!BR79*BR$4*BR24/100,0)</f>
        <v>0</v>
      </c>
      <c r="BS49" s="10" t="n">
        <f aca="false">MAX(Flows!BS79*BS$4*BS24/100,0)</f>
        <v>0</v>
      </c>
      <c r="BT49" s="10" t="n">
        <f aca="false">MAX(Flows!BT79*BT$4*BT24/100,0)</f>
        <v>0</v>
      </c>
      <c r="BU49" s="10" t="n">
        <f aca="false">MAX(Flows!BU79*BU$4*BU24/100,0)</f>
        <v>0</v>
      </c>
      <c r="BV49" s="10" t="n">
        <f aca="false">MAX(Flows!BV79*BV$4*BV24/100,0)</f>
        <v>0</v>
      </c>
      <c r="BW49" s="10" t="n">
        <f aca="false">MAX(Flows!BW79*BW$4*BW24/100,0)</f>
        <v>0</v>
      </c>
      <c r="BX49" s="10" t="n">
        <f aca="false">MAX(Flows!BX79*BX$4*BX24/100,0)</f>
        <v>10938531.846818</v>
      </c>
      <c r="BY49" s="10" t="n">
        <f aca="false">MAX(Flows!BY79*BY$4*BY24/100,0)</f>
        <v>10938531.8468179</v>
      </c>
      <c r="BZ49" s="10" t="n">
        <f aca="false">MAX(Flows!BZ79*BZ$4*BZ24/100,0)</f>
        <v>35955712.4591689</v>
      </c>
      <c r="CA49" s="10" t="n">
        <f aca="false">MAX(Flows!CA79*CA$4*CA24/100,0)</f>
        <v>35955712.4591689</v>
      </c>
      <c r="CB49" s="10" t="n">
        <f aca="false">MAX(Flows!CB79*CB$4*CB24/100,0)</f>
        <v>54692659.2340898</v>
      </c>
      <c r="CC49" s="10" t="n">
        <f aca="false">MAX(Flows!CC79*CC$4*CC24/100,0)</f>
        <v>1761240.987352</v>
      </c>
      <c r="CD49" s="10" t="n">
        <f aca="false">MAX(Flows!CD79*CD$4*CD24/100,0)</f>
        <v>0</v>
      </c>
      <c r="CE49" s="10" t="n">
        <f aca="false">MAX(Flows!CE79*CE$4*CE24/100,0)</f>
        <v>1761240.987352</v>
      </c>
      <c r="CF49" s="10" t="n">
        <f aca="false">MAX(Flows!CF79*CF$4*CF24/100,0)</f>
        <v>3522481.974704</v>
      </c>
      <c r="CG49" s="10" t="n">
        <f aca="false">MAX(Flows!CG79*CG$4*CG24/100,0)</f>
        <v>0</v>
      </c>
      <c r="CH49" s="10" t="n">
        <f aca="false">MAX(Flows!CH79*CH$4*CH24/100,0)</f>
        <v>0</v>
      </c>
      <c r="CI49" s="10" t="n">
        <f aca="false">MAX(Flows!CI79*CI$4*CI24/100,0)</f>
        <v>27346329.6170449</v>
      </c>
      <c r="CJ49" s="10" t="n">
        <f aca="false">MAX(Flows!CJ79*CJ$4*CJ24/100,0)</f>
        <v>2734632.96170449</v>
      </c>
      <c r="CK49" s="10" t="n">
        <f aca="false">MAX(Flows!CK79*CK$4*CK24/100,0)</f>
        <v>2734632.96170449</v>
      </c>
      <c r="CL49" s="7" t="s">
        <v>320</v>
      </c>
      <c r="CM49" s="10" t="n">
        <f aca="false" t="array" ref="CM49:CM49">SUM(IF($C$150:$CK$150=CM$30,$C49:$CK49,0),IF($C$150:$CK$150=CM$30,-$C109:$CK109,0))</f>
        <v>244886887.36533</v>
      </c>
      <c r="CN49" s="10" t="n">
        <f aca="false" t="array" ref="CN49:CN49">SUM(IF($C$150:$CK$150=CN$30,$C49:$CK49,0),IF($C$150:$CK$150=CN$30,-$C109:$CK109,0))</f>
        <v>150348643.627485</v>
      </c>
      <c r="CO49" s="10" t="n">
        <f aca="false" t="array" ref="CO49:CO49">SUM(IF($C$150:$CK$150=CO$30,$C49:$CK49,0),IF($C$150:$CK$150=CO$30,-$C109:$CK109,0))</f>
        <v>376594329.259692</v>
      </c>
      <c r="CP49" s="10" t="n">
        <f aca="false" t="array" ref="CP49:CP49">SUM(IF($C$150:$CK$150=CP$30,$C49:$CK49,0),IF($C$150:$CK$150=CP$30,-$C109:$CK109,0))</f>
        <v>68072807.1219944</v>
      </c>
      <c r="CQ49" s="10" t="n">
        <f aca="false" t="array" ref="CQ49:CQ49">SUM(IF($C$150:$CK$150=CQ$30,$C49:$CK49,0),IF($C$150:$CK$150=CQ$30,-$C109:$CK109,0))</f>
        <v>172404228.868266</v>
      </c>
      <c r="CR49" s="10" t="n">
        <f aca="false" t="array" ref="CR49:CR49">SUM(IF($C$150:$CK$150=CR$30,$C49:$CK49,0),IF($C$150:$CK$150=CR$30,-$C109:$CK109,0))</f>
        <v>-20416411522439200</v>
      </c>
      <c r="CS49" s="10" t="n">
        <f aca="false" t="array" ref="CS49:CS49">SUM(IF($C$150:$CK$150=CS$30,$C49:$CK49,0),IF($C$150:$CK$150=CS$30,-$C109:$CK109,0))</f>
        <v>17948970.4610807</v>
      </c>
      <c r="CT49" s="10" t="n">
        <f aca="false" t="array" ref="CT49:CT49">SUM(IF($C$150:$CK$150=CT$30,$C49:$CK49,0),IF($C$150:$CK$150=CT$30,-$C109:$CK109,0))</f>
        <v>8991747.89811297</v>
      </c>
      <c r="CU49" s="10" t="n">
        <f aca="false" t="array" ref="CU49:CU49">SUM(IF($C$150:$CK$150=CU$30,$C49:$CK49,0),IF($C$150:$CK$150=CU$30,-$C109:$CK109,0))</f>
        <v>-30321976.7763289</v>
      </c>
      <c r="CV49" s="10" t="n">
        <f aca="false" t="array" ref="CV49:CV49">SUM(IF($C$150:$CK$150=CV$30,$C49:$CK49,0),IF($C$150:$CK$150=CV$30,-$C109:$CK109,0))</f>
        <v>788653.624300081</v>
      </c>
      <c r="CX49" s="0" t="str">
        <f aca="false">INDEX($C$1:$CK$1,MATCH(LARGE($C49:$CK49,1),$C49:$CK49,0))</f>
        <v>Chipak (lb)</v>
      </c>
      <c r="CY49" s="0" t="str">
        <f aca="false">INDEX($C$1:$CK$1,MATCH(LARGE($C49:$CK49,2),$C49:$CK49,0))</f>
        <v>Cider (gal)</v>
      </c>
      <c r="CZ49" s="0" t="str">
        <f aca="false">INDEX($C$1:$CK$1,MATCH(LARGE($C49:$CK49,3),$C49:$CK49,0))</f>
        <v>Sauce (lb)</v>
      </c>
      <c r="DA49" s="0" t="str">
        <f aca="false">INDEX($C$1:$CK$1,MATCH(LARGE($C49:$CK49,4),$C49:$CK49,0))</f>
        <v>Salt (lb)</v>
      </c>
      <c r="DB49" s="0" t="str">
        <f aca="false">INDEX($C$1:$CK$1,MATCH(LARGE($C49:$CK49,5),$C49:$CK49,0))</f>
        <v>Veg Oil (lb)</v>
      </c>
      <c r="DD49" s="0" t="str">
        <f aca="false">IF(LARGE($CM49:$CV49,1)&gt;0,INDEX($CM$30:$CV$30,MATCH(LARGE($CM49:$CV49,1),$CM49:$CV49,0)),"N/A")</f>
        <v>Food Prod</v>
      </c>
      <c r="DE49" s="0" t="str">
        <f aca="false">IF(LARGE($CM49:$CV49,2)&gt;0,INDEX($CM$30:$CV$30,MATCH(LARGE($CM49:$CV49,2),$CM49:$CV49,0)),"N/A")</f>
        <v>Produce</v>
      </c>
      <c r="DF49" s="0" t="str">
        <f aca="false">IF(LARGE($CM49:$CV49,3)&gt;0,INDEX($CM$30:$CV$30,MATCH(LARGE($CM49:$CV49,3),$CM49:$CV49,0)),"N/A")</f>
        <v>Tools</v>
      </c>
      <c r="DG49" s="0" t="str">
        <f aca="false">IF(LARGE($CM49:$CV49,4)&gt;0,INDEX($CM$30:$CV$30,MATCH(LARGE($CM49:$CV49,4),$CM49:$CV49,0)),"N/A")</f>
        <v>Animal</v>
      </c>
      <c r="DH49" s="0" t="str">
        <f aca="false">IF(LARGE($CM49:$CV49,5)&gt;0,INDEX($CM$30:$CV$30,MATCH(LARGE($CM49:$CV49,5),$CM49:$CV49,0)),"N/A")</f>
        <v>Textile</v>
      </c>
    </row>
    <row r="50" customFormat="false" ht="12.8" hidden="false" customHeight="false" outlineLevel="0" collapsed="false">
      <c r="A50" s="7" t="s">
        <v>157</v>
      </c>
      <c r="B50" s="7" t="s">
        <v>39</v>
      </c>
      <c r="C50" s="10" t="n">
        <f aca="false">MAX(Flows!C80*C$4*C25/100,0)</f>
        <v>0</v>
      </c>
      <c r="D50" s="10" t="n">
        <f aca="false">MAX(Flows!D80*D$4*D25/100,0)</f>
        <v>0</v>
      </c>
      <c r="E50" s="10" t="n">
        <f aca="false">MAX(Flows!E80*E$4*E25/100,0)</f>
        <v>0</v>
      </c>
      <c r="F50" s="10" t="n">
        <f aca="false">MAX(Flows!F80*F$4*F25/100,0)</f>
        <v>0</v>
      </c>
      <c r="G50" s="10" t="n">
        <f aca="false">MAX(Flows!G80*G$4*G25/100,0)</f>
        <v>0</v>
      </c>
      <c r="H50" s="10" t="n">
        <f aca="false">MAX(Flows!H80*H$4*H25/100,0)</f>
        <v>0</v>
      </c>
      <c r="I50" s="10" t="n">
        <f aca="false">MAX(Flows!I80*I$4*I25/100,0)</f>
        <v>29965270.590049</v>
      </c>
      <c r="J50" s="10" t="n">
        <f aca="false">MAX(Flows!J80*J$4*J25/100,0)</f>
        <v>15676095.9711065</v>
      </c>
      <c r="K50" s="10" t="n">
        <f aca="false">MAX(Flows!K80*K$4*K25/100,0)</f>
        <v>0</v>
      </c>
      <c r="L50" s="10" t="n">
        <f aca="false">MAX(Flows!L80*L$4*L25/100,0)</f>
        <v>0</v>
      </c>
      <c r="M50" s="10" t="n">
        <f aca="false">MAX(Flows!M80*M$4*M25/100,0)</f>
        <v>0</v>
      </c>
      <c r="N50" s="10" t="n">
        <f aca="false">MAX(Flows!N80*N$4*N25/100,0)</f>
        <v>0</v>
      </c>
      <c r="O50" s="10" t="n">
        <f aca="false">MAX(Flows!O80*O$4*O25/100,0)</f>
        <v>0</v>
      </c>
      <c r="P50" s="10" t="n">
        <f aca="false">MAX(Flows!P80*P$4*P25/100,0)</f>
        <v>0</v>
      </c>
      <c r="Q50" s="10" t="n">
        <f aca="false">MAX(Flows!Q80*Q$4*Q25/100,0)</f>
        <v>0</v>
      </c>
      <c r="R50" s="10" t="n">
        <f aca="false">MAX(Flows!R80*R$4*R25/100,0)</f>
        <v>0</v>
      </c>
      <c r="S50" s="10" t="n">
        <f aca="false">MAX(Flows!S80*S$4*S25/100,0)</f>
        <v>0</v>
      </c>
      <c r="T50" s="10" t="n">
        <f aca="false">MAX(Flows!T80*T$4*T25/100,0)</f>
        <v>0</v>
      </c>
      <c r="U50" s="10" t="n">
        <f aca="false">MAX(Flows!U80*U$4*U25/100,0)</f>
        <v>0</v>
      </c>
      <c r="V50" s="10" t="n">
        <f aca="false">MAX(Flows!V80*V$4*V25/100,0)</f>
        <v>38044975.3461272</v>
      </c>
      <c r="W50" s="10" t="n">
        <f aca="false">MAX(Flows!W80*W$4*W25/100,0)</f>
        <v>0</v>
      </c>
      <c r="X50" s="10" t="n">
        <f aca="false">MAX(Flows!X80*X$4*X25/100,0)</f>
        <v>0</v>
      </c>
      <c r="Y50" s="10" t="n">
        <f aca="false">MAX(Flows!Y80*Y$4*Y25/100,0)</f>
        <v>0</v>
      </c>
      <c r="Z50" s="10" t="n">
        <f aca="false">MAX(Flows!Z80*Z$4*Z25/100,0)</f>
        <v>0</v>
      </c>
      <c r="AA50" s="10" t="n">
        <f aca="false">MAX(Flows!AA80*AA$4*AA25/100,0)</f>
        <v>0</v>
      </c>
      <c r="AB50" s="10" t="n">
        <f aca="false">MAX(Flows!AB80*AB$4*AB25/100,0)</f>
        <v>0</v>
      </c>
      <c r="AC50" s="10" t="n">
        <f aca="false">MAX(Flows!AC80*AC$4*AC25/100,0)</f>
        <v>702326.337156131</v>
      </c>
      <c r="AD50" s="10" t="n">
        <f aca="false">MAX(Flows!AD80*AD$4*AD25/100,0)</f>
        <v>0</v>
      </c>
      <c r="AE50" s="10" t="n">
        <f aca="false">MAX(Flows!AE80*AE$4*AE25/100,0)</f>
        <v>0</v>
      </c>
      <c r="AF50" s="10" t="n">
        <f aca="false">MAX(Flows!AF80*AF$4*AF25/100,0)</f>
        <v>0</v>
      </c>
      <c r="AG50" s="10" t="n">
        <f aca="false">MAX(Flows!AG80*AG$4*AG25/100,0)</f>
        <v>0</v>
      </c>
      <c r="AH50" s="10" t="n">
        <f aca="false">MAX(Flows!AH80*AH$4*AH25/100,0)</f>
        <v>0</v>
      </c>
      <c r="AI50" s="10" t="n">
        <f aca="false">MAX(Flows!AI80*AI$4*AI25/100,0)</f>
        <v>0</v>
      </c>
      <c r="AJ50" s="10" t="n">
        <f aca="false">MAX(Flows!AJ80*AJ$4*AJ25/100,0)</f>
        <v>3859807.86478495</v>
      </c>
      <c r="AK50" s="10" t="n">
        <f aca="false">MAX(Flows!AK80*AK$4*AK25/100,0)</f>
        <v>8797008.17134245</v>
      </c>
      <c r="AL50" s="10" t="n">
        <f aca="false">MAX(Flows!AL80*AL$4*AL25/100,0)</f>
        <v>0</v>
      </c>
      <c r="AM50" s="10" t="n">
        <f aca="false">MAX(Flows!AM80*AM$4*AM25/100,0)</f>
        <v>0</v>
      </c>
      <c r="AN50" s="10" t="n">
        <f aca="false">MAX(Flows!AN80*AN$4*AN25/100,0)</f>
        <v>1018224.74869419</v>
      </c>
      <c r="AO50" s="10" t="n">
        <f aca="false">MAX(Flows!AO80*AO$4*AO25/100,0)</f>
        <v>0</v>
      </c>
      <c r="AP50" s="10" t="n">
        <f aca="false">MAX(Flows!AP80*AP$4*AP25/100,0)</f>
        <v>0</v>
      </c>
      <c r="AQ50" s="10" t="n">
        <f aca="false">MAX(Flows!AQ80*AQ$4*AQ25/100,0)</f>
        <v>0</v>
      </c>
      <c r="AR50" s="10" t="n">
        <f aca="false">MAX(Flows!AR80*AR$4*AR25/100,0)</f>
        <v>0</v>
      </c>
      <c r="AS50" s="10" t="n">
        <f aca="false">MAX(Flows!AS80*AS$4*AS25/100,0)</f>
        <v>0</v>
      </c>
      <c r="AT50" s="10" t="n">
        <f aca="false">MAX(Flows!AT80*AT$4*AT25/100,0)</f>
        <v>0</v>
      </c>
      <c r="AU50" s="10" t="n">
        <f aca="false">MAX(Flows!AU80*AU$4*AU25/100,0)</f>
        <v>0</v>
      </c>
      <c r="AV50" s="10" t="n">
        <f aca="false">MAX(Flows!AV80*AV$4*AV25/100,0)</f>
        <v>0</v>
      </c>
      <c r="AW50" s="10" t="n">
        <f aca="false">MAX(Flows!AW80*AW$4*AW25/100,0)</f>
        <v>13404826.1248085</v>
      </c>
      <c r="AX50" s="10" t="n">
        <f aca="false">MAX(Flows!AX80*AX$4*AX25/100,0)</f>
        <v>0</v>
      </c>
      <c r="AY50" s="10" t="n">
        <f aca="false">MAX(Flows!AY80*AY$4*AY25/100,0)</f>
        <v>4878442.28028343</v>
      </c>
      <c r="AZ50" s="10" t="n">
        <f aca="false">MAX(Flows!AZ80*AZ$4*AZ25/100,0)</f>
        <v>1409046.4987425</v>
      </c>
      <c r="BA50" s="10" t="n">
        <f aca="false">MAX(Flows!BA80*BA$4*BA25/100,0)</f>
        <v>0</v>
      </c>
      <c r="BB50" s="10" t="n">
        <f aca="false">MAX(Flows!BB80*BB$4*BB25/100,0)</f>
        <v>0</v>
      </c>
      <c r="BC50" s="10" t="n">
        <f aca="false">MAX(Flows!BC80*BC$4*BC25/100,0)</f>
        <v>0</v>
      </c>
      <c r="BD50" s="10" t="n">
        <f aca="false">MAX(Flows!BD80*BD$4*BD25/100,0)</f>
        <v>0</v>
      </c>
      <c r="BE50" s="10" t="n">
        <f aca="false">MAX(Flows!BE80*BE$4*BE25/100,0)</f>
        <v>0</v>
      </c>
      <c r="BF50" s="10" t="n">
        <f aca="false">MAX(Flows!BF80*BF$4*BF25/100,0)</f>
        <v>0</v>
      </c>
      <c r="BG50" s="10" t="n">
        <f aca="false">MAX(Flows!BG80*BG$4*BG25/100,0)</f>
        <v>0</v>
      </c>
      <c r="BH50" s="10" t="n">
        <f aca="false">MAX(Flows!BH80*BH$4*BH25/100,0)</f>
        <v>0</v>
      </c>
      <c r="BI50" s="10" t="n">
        <f aca="false">MAX(Flows!BI80*BI$4*BI25/100,0)</f>
        <v>0</v>
      </c>
      <c r="BJ50" s="10" t="n">
        <f aca="false">MAX(Flows!BJ80*BJ$4*BJ25/100,0)</f>
        <v>0</v>
      </c>
      <c r="BK50" s="10" t="n">
        <f aca="false">MAX(Flows!BK80*BK$4*BK25/100,0)</f>
        <v>0</v>
      </c>
      <c r="BL50" s="10" t="n">
        <f aca="false">MAX(Flows!BL80*BL$4*BL25/100,0)</f>
        <v>0</v>
      </c>
      <c r="BM50" s="10" t="n">
        <f aca="false">MAX(Flows!BM80*BM$4*BM25/100,0)</f>
        <v>0</v>
      </c>
      <c r="BN50" s="10" t="n">
        <f aca="false">MAX(Flows!BN80*BN$4*BN25/100,0)</f>
        <v>0</v>
      </c>
      <c r="BO50" s="10" t="n">
        <f aca="false">MAX(Flows!BO80*BO$4*BO25/100,0)</f>
        <v>2842605.16317443</v>
      </c>
      <c r="BP50" s="10" t="n">
        <f aca="false">MAX(Flows!BP80*BP$4*BP25/100,0)</f>
        <v>11370421.5948349</v>
      </c>
      <c r="BQ50" s="10" t="n">
        <f aca="false">MAX(Flows!BQ80*BQ$4*BQ25/100,0)</f>
        <v>0</v>
      </c>
      <c r="BR50" s="10" t="n">
        <f aca="false">MAX(Flows!BR80*BR$4*BR25/100,0)</f>
        <v>2842604.68803318</v>
      </c>
      <c r="BS50" s="10" t="n">
        <f aca="false">MAX(Flows!BS80*BS$4*BS25/100,0)</f>
        <v>2842603.97532131</v>
      </c>
      <c r="BT50" s="10" t="n">
        <f aca="false">MAX(Flows!BT80*BT$4*BT25/100,0)</f>
        <v>0</v>
      </c>
      <c r="BU50" s="10" t="n">
        <f aca="false">MAX(Flows!BU80*BU$4*BU25/100,0)</f>
        <v>0</v>
      </c>
      <c r="BV50" s="10" t="n">
        <f aca="false">MAX(Flows!BV80*BV$4*BV25/100,0)</f>
        <v>0</v>
      </c>
      <c r="BW50" s="10" t="n">
        <f aca="false">MAX(Flows!BW80*BW$4*BW25/100,0)</f>
        <v>0</v>
      </c>
      <c r="BX50" s="10" t="n">
        <f aca="false">MAX(Flows!BX80*BX$4*BX25/100,0)</f>
        <v>0</v>
      </c>
      <c r="BY50" s="10" t="n">
        <f aca="false">MAX(Flows!BY80*BY$4*BY25/100,0)</f>
        <v>0</v>
      </c>
      <c r="BZ50" s="10" t="n">
        <f aca="false">MAX(Flows!BZ80*BZ$4*BZ25/100,0)</f>
        <v>0</v>
      </c>
      <c r="CA50" s="10" t="n">
        <f aca="false">MAX(Flows!CA80*CA$4*CA25/100,0)</f>
        <v>0</v>
      </c>
      <c r="CB50" s="10" t="n">
        <f aca="false">MAX(Flows!CB80*CB$4*CB25/100,0)</f>
        <v>0</v>
      </c>
      <c r="CC50" s="10" t="n">
        <f aca="false">MAX(Flows!CC80*CC$4*CC25/100,0)</f>
        <v>0</v>
      </c>
      <c r="CD50" s="10" t="n">
        <f aca="false">MAX(Flows!CD80*CD$4*CD25/100,0)</f>
        <v>0</v>
      </c>
      <c r="CE50" s="10" t="n">
        <f aca="false">MAX(Flows!CE80*CE$4*CE25/100,0)</f>
        <v>0</v>
      </c>
      <c r="CF50" s="10" t="n">
        <f aca="false">MAX(Flows!CF80*CF$4*CF25/100,0)</f>
        <v>0</v>
      </c>
      <c r="CG50" s="10" t="n">
        <f aca="false">MAX(Flows!CG80*CG$4*CG25/100,0)</f>
        <v>2842557.88662037</v>
      </c>
      <c r="CH50" s="10" t="n">
        <f aca="false">MAX(Flows!CH80*CH$4*CH25/100,0)</f>
        <v>2842557.88662037</v>
      </c>
      <c r="CI50" s="10" t="n">
        <f aca="false">MAX(Flows!CI80*CI$4*CI25/100,0)</f>
        <v>0</v>
      </c>
      <c r="CJ50" s="10" t="n">
        <f aca="false">MAX(Flows!CJ80*CJ$4*CJ25/100,0)</f>
        <v>0</v>
      </c>
      <c r="CK50" s="10" t="n">
        <f aca="false">MAX(Flows!CK80*CK$4*CK25/100,0)</f>
        <v>0</v>
      </c>
      <c r="CL50" s="7" t="s">
        <v>320</v>
      </c>
      <c r="CM50" s="10" t="n">
        <f aca="false" t="array" ref="CM50:CM50">SUM(IF($C$150:$CK$150=CM$30,$C50:$CK50,0),IF($C$150:$CK$150=CM$30,-$C110:$CK110,0))</f>
        <v>-844236516.546384</v>
      </c>
      <c r="CN50" s="10" t="n">
        <f aca="false" t="array" ref="CN50:CN50">SUM(IF($C$150:$CK$150=CN$30,$C50:$CK50,0),IF($C$150:$CK$150=CN$30,-$C110:$CK110,0))</f>
        <v>-604780425.585585</v>
      </c>
      <c r="CO50" s="10" t="n">
        <f aca="false" t="array" ref="CO50:CO50">SUM(IF($C$150:$CK$150=CO$30,$C50:$CK50,0),IF($C$150:$CK$150=CO$30,-$C110:$CK110,0))</f>
        <v>-1005483169.65519</v>
      </c>
      <c r="CP50" s="10" t="n">
        <f aca="false" t="array" ref="CP50:CP50">SUM(IF($C$150:$CK$150=CP$30,$C50:$CK50,0),IF($C$150:$CK$150=CP$30,-$C110:$CK110,0))</f>
        <v>-680146762.724802</v>
      </c>
      <c r="CQ50" s="10" t="n">
        <f aca="false" t="array" ref="CQ50:CQ50">SUM(IF($C$150:$CK$150=CQ$30,$C50:$CK50,0),IF($C$150:$CK$150=CQ$30,-$C110:$CK110,0))</f>
        <v>-656459006.095818</v>
      </c>
      <c r="CR50" s="10" t="n">
        <f aca="false" t="array" ref="CR50:CR50">SUM(IF($C$150:$CK$150=CR$30,$C50:$CK50,0),IF($C$150:$CK$150=CR$30,-$C110:$CK110,0))</f>
        <v>-104560681.777505</v>
      </c>
      <c r="CS50" s="10" t="n">
        <f aca="false" t="array" ref="CS50:CS50">SUM(IF($C$150:$CK$150=CS$30,$C50:$CK50,0),IF($C$150:$CK$150=CS$30,-$C110:$CK110,0))</f>
        <v>-106468029.996335</v>
      </c>
      <c r="CT50" s="10" t="n">
        <f aca="false" t="array" ref="CT50:CT50">SUM(IF($C$150:$CK$150=CT$30,$C50:$CK50,0),IF($C$150:$CK$150=CT$30,-$C110:$CK110,0))</f>
        <v>-47627770.4213545</v>
      </c>
      <c r="CU50" s="10" t="n">
        <f aca="false" t="array" ref="CU50:CU50">SUM(IF($C$150:$CK$150=CU$30,$C50:$CK50,0),IF($C$150:$CK$150=CU$30,-$C110:$CK110,0))</f>
        <v>45641366.5611555</v>
      </c>
      <c r="CV50" s="10" t="n">
        <f aca="false" t="array" ref="CV50:CV50">SUM(IF($C$150:$CK$150=CV$30,$C50:$CK50,0),IF($C$150:$CK$150=CV$30,-$C110:$CK110,0))</f>
        <v>-1760173.93547165</v>
      </c>
      <c r="CX50" s="0" t="str">
        <f aca="false">INDEX($C$1:$CK$1,MATCH(LARGE($C50:$CK50,1),$C50:$CK50,0))</f>
        <v>Cider (gal)</v>
      </c>
      <c r="CY50" s="0" t="str">
        <f aca="false">INDEX($C$1:$CK$1,MATCH(LARGE($C50:$CK50,2),$C50:$CK50,0))</f>
        <v>Honey (lb)</v>
      </c>
      <c r="CZ50" s="0" t="str">
        <f aca="false">INDEX($C$1:$CK$1,MATCH(LARGE($C50:$CK50,3),$C50:$CK50,0))</f>
        <v>Wax (lb)</v>
      </c>
      <c r="DA50" s="0" t="str">
        <f aca="false">INDEX($C$1:$CK$1,MATCH(LARGE($C50:$CK50,4),$C50:$CK50,0))</f>
        <v>Thread (Kyd)</v>
      </c>
      <c r="DB50" s="0" t="str">
        <f aca="false">INDEX($C$1:$CK$1,MATCH(LARGE($C50:$CK50,5),$C50:$CK50,0))</f>
        <v>Iron (lb)</v>
      </c>
      <c r="DD50" s="0" t="str">
        <f aca="false">IF(LARGE($CM50:$CV50,1)&gt;0,INDEX($CM$30:$CV$30,MATCH(LARGE($CM50:$CV50,1),$CM50:$CV50,0)),"N/A")</f>
        <v>Honey</v>
      </c>
      <c r="DE50" s="0" t="str">
        <f aca="false">IF(LARGE($CM50:$CV50,2)&gt;0,INDEX($CM$30:$CV$30,MATCH(LARGE($CM50:$CV50,2),$CM50:$CV50,0)),"N/A")</f>
        <v>N/A</v>
      </c>
      <c r="DF50" s="0" t="str">
        <f aca="false">IF(LARGE($CM50:$CV50,3)&gt;0,INDEX($CM$30:$CV$30,MATCH(LARGE($CM50:$CV50,3),$CM50:$CV50,0)),"N/A")</f>
        <v>N/A</v>
      </c>
      <c r="DG50" s="0" t="str">
        <f aca="false">IF(LARGE($CM50:$CV50,4)&gt;0,INDEX($CM$30:$CV$30,MATCH(LARGE($CM50:$CV50,4),$CM50:$CV50,0)),"N/A")</f>
        <v>N/A</v>
      </c>
      <c r="DH50" s="0" t="str">
        <f aca="false">IF(LARGE($CM50:$CV50,5)&gt;0,INDEX($CM$30:$CV$30,MATCH(LARGE($CM50:$CV50,5),$CM50:$CV50,0)),"N/A")</f>
        <v>N/A</v>
      </c>
    </row>
    <row r="51" customFormat="false" ht="12.8" hidden="false" customHeight="false" outlineLevel="0" collapsed="false">
      <c r="A51" s="7" t="s">
        <v>158</v>
      </c>
      <c r="B51" s="7" t="s">
        <v>39</v>
      </c>
      <c r="C51" s="10" t="n">
        <f aca="false">MAX(Flows!C81*C$4*C26/100,0)</f>
        <v>27338350.6139877</v>
      </c>
      <c r="D51" s="10" t="n">
        <f aca="false">MAX(Flows!D81*D$4*D26/100,0)</f>
        <v>24478842.3265438</v>
      </c>
      <c r="E51" s="10" t="n">
        <f aca="false">MAX(Flows!E81*E$4*E26/100,0)</f>
        <v>28315325.5275879</v>
      </c>
      <c r="F51" s="10" t="n">
        <f aca="false">MAX(Flows!F81*F$4*F26/100,0)</f>
        <v>0</v>
      </c>
      <c r="G51" s="10" t="n">
        <f aca="false">MAX(Flows!G81*G$4*G26/100,0)</f>
        <v>23870800.328537</v>
      </c>
      <c r="H51" s="10" t="n">
        <f aca="false">MAX(Flows!H81*H$4*H26/100,0)</f>
        <v>0</v>
      </c>
      <c r="I51" s="10" t="n">
        <f aca="false">MAX(Flows!I81*I$4*I26/100,0)</f>
        <v>95292313.1540222</v>
      </c>
      <c r="J51" s="10" t="n">
        <f aca="false">MAX(Flows!J81*J$4*J26/100,0)</f>
        <v>0</v>
      </c>
      <c r="K51" s="10" t="n">
        <f aca="false">MAX(Flows!K81*K$4*K26/100,0)</f>
        <v>0</v>
      </c>
      <c r="L51" s="10" t="n">
        <f aca="false">MAX(Flows!L81*L$4*L26/100,0)</f>
        <v>0</v>
      </c>
      <c r="M51" s="10" t="n">
        <f aca="false">MAX(Flows!M81*M$4*M26/100,0)</f>
        <v>0</v>
      </c>
      <c r="N51" s="10" t="n">
        <f aca="false">MAX(Flows!N81*N$4*N26/100,0)</f>
        <v>18709930.5085543</v>
      </c>
      <c r="O51" s="10" t="n">
        <f aca="false">MAX(Flows!O81*O$4*O26/100,0)</f>
        <v>0</v>
      </c>
      <c r="P51" s="10" t="n">
        <f aca="false">MAX(Flows!P81*P$4*P26/100,0)</f>
        <v>0</v>
      </c>
      <c r="Q51" s="10" t="n">
        <f aca="false">MAX(Flows!Q81*Q$4*Q26/100,0)</f>
        <v>0</v>
      </c>
      <c r="R51" s="10" t="n">
        <f aca="false">MAX(Flows!R81*R$4*R26/100,0)</f>
        <v>26090236.7699952</v>
      </c>
      <c r="S51" s="10" t="n">
        <f aca="false">MAX(Flows!S81*S$4*S26/100,0)</f>
        <v>0</v>
      </c>
      <c r="T51" s="10" t="n">
        <f aca="false">MAX(Flows!T81*T$4*T26/100,0)</f>
        <v>0</v>
      </c>
      <c r="U51" s="10" t="n">
        <f aca="false">MAX(Flows!U81*U$4*U26/100,0)</f>
        <v>0</v>
      </c>
      <c r="V51" s="10" t="n">
        <f aca="false">MAX(Flows!V81*V$4*V26/100,0)</f>
        <v>23039856.5920327</v>
      </c>
      <c r="W51" s="10" t="n">
        <f aca="false">MAX(Flows!W81*W$4*W26/100,0)</f>
        <v>0</v>
      </c>
      <c r="X51" s="10" t="n">
        <f aca="false">MAX(Flows!X81*X$4*X26/100,0)</f>
        <v>23992332.5293289</v>
      </c>
      <c r="Y51" s="10" t="n">
        <f aca="false">MAX(Flows!Y81*Y$4*Y26/100,0)</f>
        <v>0</v>
      </c>
      <c r="Z51" s="10" t="n">
        <f aca="false">MAX(Flows!Z81*Z$4*Z26/100,0)</f>
        <v>0</v>
      </c>
      <c r="AA51" s="10" t="n">
        <f aca="false">MAX(Flows!AA81*AA$4*AA26/100,0)</f>
        <v>132941.019447646</v>
      </c>
      <c r="AB51" s="10" t="n">
        <f aca="false">MAX(Flows!AB81*AB$4*AB26/100,0)</f>
        <v>0</v>
      </c>
      <c r="AC51" s="10" t="n">
        <f aca="false">MAX(Flows!AC81*AC$4*AC26/100,0)</f>
        <v>238429.851362148</v>
      </c>
      <c r="AD51" s="10" t="n">
        <f aca="false">MAX(Flows!AD81*AD$4*AD26/100,0)</f>
        <v>0</v>
      </c>
      <c r="AE51" s="10" t="n">
        <f aca="false">MAX(Flows!AE81*AE$4*AE26/100,0)</f>
        <v>0</v>
      </c>
      <c r="AF51" s="10" t="n">
        <f aca="false">MAX(Flows!AF81*AF$4*AF26/100,0)</f>
        <v>0</v>
      </c>
      <c r="AG51" s="10" t="n">
        <f aca="false">MAX(Flows!AG81*AG$4*AG26/100,0)</f>
        <v>0</v>
      </c>
      <c r="AH51" s="10" t="n">
        <f aca="false">MAX(Flows!AH81*AH$4*AH26/100,0)</f>
        <v>9923391.10113795</v>
      </c>
      <c r="AI51" s="10" t="n">
        <f aca="false">MAX(Flows!AI81*AI$4*AI26/100,0)</f>
        <v>0</v>
      </c>
      <c r="AJ51" s="10" t="n">
        <f aca="false">MAX(Flows!AJ81*AJ$4*AJ26/100,0)</f>
        <v>0</v>
      </c>
      <c r="AK51" s="10" t="n">
        <f aca="false">MAX(Flows!AK81*AK$4*AK26/100,0)</f>
        <v>10767560.6320503</v>
      </c>
      <c r="AL51" s="10" t="n">
        <f aca="false">MAX(Flows!AL81*AL$4*AL26/100,0)</f>
        <v>0</v>
      </c>
      <c r="AM51" s="10" t="n">
        <f aca="false">MAX(Flows!AM81*AM$4*AM26/100,0)</f>
        <v>0</v>
      </c>
      <c r="AN51" s="10" t="n">
        <f aca="false">MAX(Flows!AN81*AN$4*AN26/100,0)</f>
        <v>0</v>
      </c>
      <c r="AO51" s="10" t="n">
        <f aca="false">MAX(Flows!AO81*AO$4*AO26/100,0)</f>
        <v>0</v>
      </c>
      <c r="AP51" s="10" t="n">
        <f aca="false">MAX(Flows!AP81*AP$4*AP26/100,0)</f>
        <v>0</v>
      </c>
      <c r="AQ51" s="10" t="n">
        <f aca="false">MAX(Flows!AQ81*AQ$4*AQ26/100,0)</f>
        <v>0</v>
      </c>
      <c r="AR51" s="10" t="n">
        <f aca="false">MAX(Flows!AR81*AR$4*AR26/100,0)</f>
        <v>0</v>
      </c>
      <c r="AS51" s="10" t="n">
        <f aca="false">MAX(Flows!AS81*AS$4*AS26/100,0)</f>
        <v>18597774.0779735</v>
      </c>
      <c r="AT51" s="10" t="n">
        <f aca="false">MAX(Flows!AT81*AT$4*AT26/100,0)</f>
        <v>8649352.20142837</v>
      </c>
      <c r="AU51" s="10" t="n">
        <f aca="false">MAX(Flows!AU81*AU$4*AU26/100,0)</f>
        <v>12147973.4289848</v>
      </c>
      <c r="AV51" s="10" t="n">
        <f aca="false">MAX(Flows!AV81*AV$4*AV26/100,0)</f>
        <v>0</v>
      </c>
      <c r="AW51" s="10" t="n">
        <f aca="false">MAX(Flows!AW81*AW$4*AW26/100,0)</f>
        <v>4012384.79795803</v>
      </c>
      <c r="AX51" s="10" t="n">
        <f aca="false">MAX(Flows!AX81*AX$4*AX26/100,0)</f>
        <v>0</v>
      </c>
      <c r="AY51" s="10" t="n">
        <f aca="false">MAX(Flows!AY81*AY$4*AY26/100,0)</f>
        <v>2879333.40270332</v>
      </c>
      <c r="AZ51" s="10" t="n">
        <f aca="false">MAX(Flows!AZ81*AZ$4*AZ26/100,0)</f>
        <v>0</v>
      </c>
      <c r="BA51" s="10" t="n">
        <f aca="false">MAX(Flows!BA81*BA$4*BA26/100,0)</f>
        <v>0</v>
      </c>
      <c r="BB51" s="10" t="n">
        <f aca="false">MAX(Flows!BB81*BB$4*BB26/100,0)</f>
        <v>11156046.1400613</v>
      </c>
      <c r="BC51" s="10" t="n">
        <f aca="false">MAX(Flows!BC81*BC$4*BC26/100,0)</f>
        <v>3655884.12760223</v>
      </c>
      <c r="BD51" s="10" t="n">
        <f aca="false">MAX(Flows!BD81*BD$4*BD26/100,0)</f>
        <v>327066.109864136</v>
      </c>
      <c r="BE51" s="10" t="n">
        <f aca="false">MAX(Flows!BE81*BE$4*BE26/100,0)</f>
        <v>2054131.72514857</v>
      </c>
      <c r="BF51" s="10" t="n">
        <f aca="false">MAX(Flows!BF81*BF$4*BF26/100,0)</f>
        <v>85029194.7315963</v>
      </c>
      <c r="BG51" s="10" t="n">
        <f aca="false">MAX(Flows!BG81*BG$4*BG26/100,0)</f>
        <v>19399673.9098392</v>
      </c>
      <c r="BH51" s="10" t="n">
        <f aca="false">MAX(Flows!BH81*BH$4*BH26/100,0)</f>
        <v>23425280.9012462</v>
      </c>
      <c r="BI51" s="10" t="n">
        <f aca="false">MAX(Flows!BI81*BI$4*BI26/100,0)</f>
        <v>15826609.1393885</v>
      </c>
      <c r="BJ51" s="10" t="n">
        <f aca="false">MAX(Flows!BJ81*BJ$4*BJ26/100,0)</f>
        <v>15826609.1393885</v>
      </c>
      <c r="BK51" s="10" t="n">
        <f aca="false">MAX(Flows!BK81*BK$4*BK26/100,0)</f>
        <v>15826609.1393885</v>
      </c>
      <c r="BL51" s="10" t="n">
        <f aca="false">MAX(Flows!BL81*BL$4*BL26/100,0)</f>
        <v>0</v>
      </c>
      <c r="BM51" s="10" t="n">
        <f aca="false">MAX(Flows!BM81*BM$4*BM26/100,0)</f>
        <v>0</v>
      </c>
      <c r="BN51" s="10" t="n">
        <f aca="false">MAX(Flows!BN81*BN$4*BN26/100,0)</f>
        <v>0</v>
      </c>
      <c r="BO51" s="10" t="n">
        <f aca="false">MAX(Flows!BO81*BO$4*BO26/100,0)</f>
        <v>0</v>
      </c>
      <c r="BP51" s="10" t="n">
        <f aca="false">MAX(Flows!BP81*BP$4*BP26/100,0)</f>
        <v>0</v>
      </c>
      <c r="BQ51" s="10" t="n">
        <f aca="false">MAX(Flows!BQ81*BQ$4*BQ26/100,0)</f>
        <v>0</v>
      </c>
      <c r="BR51" s="10" t="n">
        <f aca="false">MAX(Flows!BR81*BR$4*BR26/100,0)</f>
        <v>0</v>
      </c>
      <c r="BS51" s="10" t="n">
        <f aca="false">MAX(Flows!BS81*BS$4*BS26/100,0)</f>
        <v>0</v>
      </c>
      <c r="BT51" s="10" t="n">
        <f aca="false">MAX(Flows!BT81*BT$4*BT26/100,0)</f>
        <v>0</v>
      </c>
      <c r="BU51" s="10" t="n">
        <f aca="false">MAX(Flows!BU81*BU$4*BU26/100,0)</f>
        <v>0</v>
      </c>
      <c r="BV51" s="10" t="n">
        <f aca="false">MAX(Flows!BV81*BV$4*BV26/100,0)</f>
        <v>0</v>
      </c>
      <c r="BW51" s="10" t="n">
        <f aca="false">MAX(Flows!BW81*BW$4*BW26/100,0)</f>
        <v>0</v>
      </c>
      <c r="BX51" s="10" t="n">
        <f aca="false">MAX(Flows!BX81*BX$4*BX26/100,0)</f>
        <v>0</v>
      </c>
      <c r="BY51" s="10" t="n">
        <f aca="false">MAX(Flows!BY81*BY$4*BY26/100,0)</f>
        <v>0</v>
      </c>
      <c r="BZ51" s="10" t="n">
        <f aca="false">MAX(Flows!BZ81*BZ$4*BZ26/100,0)</f>
        <v>12955945.519153</v>
      </c>
      <c r="CA51" s="10" t="n">
        <f aca="false">MAX(Flows!CA81*CA$4*CA26/100,0)</f>
        <v>12955945.519153</v>
      </c>
      <c r="CB51" s="10" t="n">
        <f aca="false">MAX(Flows!CB81*CB$4*CB26/100,0)</f>
        <v>0</v>
      </c>
      <c r="CC51" s="10" t="n">
        <f aca="false">MAX(Flows!CC81*CC$4*CC26/100,0)</f>
        <v>791330.456969429</v>
      </c>
      <c r="CD51" s="10" t="n">
        <f aca="false">MAX(Flows!CD81*CD$4*CD26/100,0)</f>
        <v>0</v>
      </c>
      <c r="CE51" s="10" t="n">
        <f aca="false">MAX(Flows!CE81*CE$4*CE26/100,0)</f>
        <v>791330.456969426</v>
      </c>
      <c r="CF51" s="10" t="n">
        <f aca="false">MAX(Flows!CF81*CF$4*CF26/100,0)</f>
        <v>4511859.40501112</v>
      </c>
      <c r="CG51" s="10" t="n">
        <f aca="false">MAX(Flows!CG81*CG$4*CG26/100,0)</f>
        <v>0</v>
      </c>
      <c r="CH51" s="10" t="n">
        <f aca="false">MAX(Flows!CH81*CH$4*CH26/100,0)</f>
        <v>0</v>
      </c>
      <c r="CI51" s="10" t="n">
        <f aca="false">MAX(Flows!CI81*CI$4*CI26/100,0)</f>
        <v>0</v>
      </c>
      <c r="CJ51" s="10" t="n">
        <f aca="false">MAX(Flows!CJ81*CJ$4*CJ26/100,0)</f>
        <v>0</v>
      </c>
      <c r="CK51" s="10" t="n">
        <f aca="false">MAX(Flows!CK81*CK$4*CK26/100,0)</f>
        <v>0</v>
      </c>
      <c r="CL51" s="7" t="s">
        <v>320</v>
      </c>
      <c r="CM51" s="10" t="n">
        <f aca="false" t="array" ref="CM51:CM51">SUM(IF($C$150:$CK$150=CM$30,$C51:$CK51,0),IF($C$150:$CK$150=CM$30,-$C111:$CK111,0))</f>
        <v>119367231.220552</v>
      </c>
      <c r="CN51" s="10" t="n">
        <f aca="false" t="array" ref="CN51:CN51">SUM(IF($C$150:$CK$150=CN$30,$C51:$CK51,0),IF($C$150:$CK$150=CN$30,-$C111:$CK111,0))</f>
        <v>97973843.6327593</v>
      </c>
      <c r="CO51" s="10" t="n">
        <f aca="false" t="array" ref="CO51:CO51">SUM(IF($C$150:$CK$150=CO$30,$C51:$CK51,0),IF($C$150:$CK$150=CO$30,-$C111:$CK111,0))</f>
        <v>44586309.1138345</v>
      </c>
      <c r="CP51" s="10" t="n">
        <f aca="false" t="array" ref="CP51:CP51">SUM(IF($C$150:$CK$150=CP$30,$C51:$CK51,0),IF($C$150:$CK$150=CP$30,-$C111:$CK111,0))</f>
        <v>6532815.5144911</v>
      </c>
      <c r="CQ51" s="10" t="n">
        <f aca="false" t="array" ref="CQ51:CQ51">SUM(IF($C$150:$CK$150=CQ$30,$C51:$CK51,0),IF($C$150:$CK$150=CQ$30,-$C111:$CK111,0))</f>
        <v>-70534082.1385399</v>
      </c>
      <c r="CR51" s="10" t="n">
        <f aca="false" t="array" ref="CR51:CR51">SUM(IF($C$150:$CK$150=CR$30,$C51:$CK51,0),IF($C$150:$CK$150=CR$30,-$C111:$CK111,0))</f>
        <v>-14929273923134600</v>
      </c>
      <c r="CS51" s="10" t="n">
        <f aca="false" t="array" ref="CS51:CS51">SUM(IF($C$150:$CK$150=CS$30,$C51:$CK51,0),IF($C$150:$CK$150=CS$30,-$C111:$CK111,0))</f>
        <v>18208267.305636</v>
      </c>
      <c r="CT51" s="10" t="n">
        <f aca="false" t="array" ref="CT51:CT51">SUM(IF($C$150:$CK$150=CT$30,$C51:$CK51,0),IF($C$150:$CK$150=CT$30,-$C111:$CK111,0))</f>
        <v>3688866.51249712</v>
      </c>
      <c r="CU51" s="10" t="n">
        <f aca="false" t="array" ref="CU51:CU51">SUM(IF($C$150:$CK$150=CU$30,$C51:$CK51,0),IF($C$150:$CK$150=CU$30,-$C111:$CK111,0))</f>
        <v>83019619.8972435</v>
      </c>
      <c r="CV51" s="10" t="n">
        <f aca="false" t="array" ref="CV51:CV51">SUM(IF($C$150:$CK$150=CV$30,$C51:$CK51,0),IF($C$150:$CK$150=CV$30,-$C111:$CK111,0))</f>
        <v>-108305.844426808</v>
      </c>
      <c r="CX51" s="0" t="str">
        <f aca="false">INDEX($C$1:$CK$1,MATCH(LARGE($C51:$CK51,1),$C51:$CK51,0))</f>
        <v>Honey (lb)</v>
      </c>
      <c r="CY51" s="0" t="str">
        <f aca="false">INDEX($C$1:$CK$1,MATCH(LARGE($C51:$CK51,2),$C51:$CK51,0))</f>
        <v>Salt (lb)</v>
      </c>
      <c r="CZ51" s="0" t="str">
        <f aca="false">INDEX($C$1:$CK$1,MATCH(LARGE($C51:$CK51,3),$C51:$CK51,0))</f>
        <v>Nye (lb)</v>
      </c>
      <c r="DA51" s="0" t="str">
        <f aca="false">INDEX($C$1:$CK$1,MATCH(LARGE($C51:$CK51,4),$C51:$CK51,0))</f>
        <v>Sugar (oz)</v>
      </c>
      <c r="DB51" s="0" t="str">
        <f aca="false">INDEX($C$1:$CK$1,MATCH(LARGE($C51:$CK51,5),$C51:$CK51,0))</f>
        <v>Cheese (lb)</v>
      </c>
      <c r="DD51" s="0" t="str">
        <f aca="false">IF(LARGE($CM51:$CV51,1)&gt;0,INDEX($CM$30:$CV$30,MATCH(LARGE($CM51:$CV51,1),$CM51:$CV51,0)),"N/A")</f>
        <v>Produce</v>
      </c>
      <c r="DE51" s="0" t="str">
        <f aca="false">IF(LARGE($CM51:$CV51,2)&gt;0,INDEX($CM$30:$CV$30,MATCH(LARGE($CM51:$CV51,2),$CM51:$CV51,0)),"N/A")</f>
        <v>Animal</v>
      </c>
      <c r="DF51" s="0" t="str">
        <f aca="false">IF(LARGE($CM51:$CV51,3)&gt;0,INDEX($CM$30:$CV$30,MATCH(LARGE($CM51:$CV51,3),$CM51:$CV51,0)),"N/A")</f>
        <v>Honey</v>
      </c>
      <c r="DG51" s="0" t="str">
        <f aca="false">IF(LARGE($CM51:$CV51,4)&gt;0,INDEX($CM$30:$CV$30,MATCH(LARGE($CM51:$CV51,4),$CM51:$CV51,0)),"N/A")</f>
        <v>Food Prod</v>
      </c>
      <c r="DH51" s="0" t="str">
        <f aca="false">IF(LARGE($CM51:$CV51,5)&gt;0,INDEX($CM$30:$CV$30,MATCH(LARGE($CM51:$CV51,5),$CM51:$CV51,0)),"N/A")</f>
        <v>Wood</v>
      </c>
    </row>
    <row r="52" customFormat="false" ht="12.8" hidden="false" customHeight="false" outlineLevel="0" collapsed="false">
      <c r="A52" s="7" t="s">
        <v>159</v>
      </c>
      <c r="B52" s="7" t="s">
        <v>39</v>
      </c>
      <c r="C52" s="10" t="n">
        <f aca="false">MAX(Flows!C82*C$4*C27/100,0)</f>
        <v>0</v>
      </c>
      <c r="D52" s="10" t="n">
        <f aca="false">MAX(Flows!D82*D$4*D27/100,0)</f>
        <v>0</v>
      </c>
      <c r="E52" s="10" t="n">
        <f aca="false">MAX(Flows!E82*E$4*E27/100,0)</f>
        <v>0</v>
      </c>
      <c r="F52" s="10" t="n">
        <f aca="false">MAX(Flows!F82*F$4*F27/100,0)</f>
        <v>0</v>
      </c>
      <c r="G52" s="10" t="n">
        <f aca="false">MAX(Flows!G82*G$4*G27/100,0)</f>
        <v>0</v>
      </c>
      <c r="H52" s="10" t="n">
        <f aca="false">MAX(Flows!H82*H$4*H27/100,0)</f>
        <v>0</v>
      </c>
      <c r="I52" s="10" t="n">
        <f aca="false">MAX(Flows!I82*I$4*I27/100,0)</f>
        <v>47468839.8836578</v>
      </c>
      <c r="J52" s="10" t="n">
        <f aca="false">MAX(Flows!J82*J$4*J27/100,0)</f>
        <v>36102481.6916647</v>
      </c>
      <c r="K52" s="10" t="n">
        <f aca="false">MAX(Flows!K82*K$4*K27/100,0)</f>
        <v>0</v>
      </c>
      <c r="L52" s="10" t="n">
        <f aca="false">MAX(Flows!L82*L$4*L27/100,0)</f>
        <v>0</v>
      </c>
      <c r="M52" s="10" t="n">
        <f aca="false">MAX(Flows!M82*M$4*M27/100,0)</f>
        <v>0</v>
      </c>
      <c r="N52" s="10" t="n">
        <f aca="false">MAX(Flows!N82*N$4*N27/100,0)</f>
        <v>0</v>
      </c>
      <c r="O52" s="10" t="n">
        <f aca="false">MAX(Flows!O82*O$4*O27/100,0)</f>
        <v>0</v>
      </c>
      <c r="P52" s="10" t="n">
        <f aca="false">MAX(Flows!P82*P$4*P27/100,0)</f>
        <v>0</v>
      </c>
      <c r="Q52" s="10" t="n">
        <f aca="false">MAX(Flows!Q82*Q$4*Q27/100,0)</f>
        <v>0</v>
      </c>
      <c r="R52" s="10" t="n">
        <f aca="false">MAX(Flows!R82*R$4*R27/100,0)</f>
        <v>0</v>
      </c>
      <c r="S52" s="10" t="n">
        <f aca="false">MAX(Flows!S82*S$4*S27/100,0)</f>
        <v>0</v>
      </c>
      <c r="T52" s="10" t="n">
        <f aca="false">MAX(Flows!T82*T$4*T27/100,0)</f>
        <v>0</v>
      </c>
      <c r="U52" s="10" t="n">
        <f aca="false">MAX(Flows!U82*U$4*U27/100,0)</f>
        <v>0</v>
      </c>
      <c r="V52" s="10" t="n">
        <f aca="false">MAX(Flows!V82*V$4*V27/100,0)</f>
        <v>0</v>
      </c>
      <c r="W52" s="10" t="n">
        <f aca="false">MAX(Flows!W82*W$4*W27/100,0)</f>
        <v>0</v>
      </c>
      <c r="X52" s="10" t="n">
        <f aca="false">MAX(Flows!X82*X$4*X27/100,0)</f>
        <v>11506324.5953543</v>
      </c>
      <c r="Y52" s="10" t="n">
        <f aca="false">MAX(Flows!Y82*Y$4*Y27/100,0)</f>
        <v>0</v>
      </c>
      <c r="Z52" s="10" t="n">
        <f aca="false">MAX(Flows!Z82*Z$4*Z27/100,0)</f>
        <v>796225.397971092</v>
      </c>
      <c r="AA52" s="10" t="n">
        <f aca="false">MAX(Flows!AA82*AA$4*AA27/100,0)</f>
        <v>0</v>
      </c>
      <c r="AB52" s="10" t="n">
        <f aca="false">MAX(Flows!AB82*AB$4*AB27/100,0)</f>
        <v>0</v>
      </c>
      <c r="AC52" s="10" t="n">
        <f aca="false">MAX(Flows!AC82*AC$4*AC27/100,0)</f>
        <v>382498.042981739</v>
      </c>
      <c r="AD52" s="10" t="n">
        <f aca="false">MAX(Flows!AD82*AD$4*AD27/100,0)</f>
        <v>0</v>
      </c>
      <c r="AE52" s="10" t="n">
        <f aca="false">MAX(Flows!AE82*AE$4*AE27/100,0)</f>
        <v>1214246.96386742</v>
      </c>
      <c r="AF52" s="10" t="n">
        <f aca="false">MAX(Flows!AF82*AF$4*AF27/100,0)</f>
        <v>0</v>
      </c>
      <c r="AG52" s="10" t="n">
        <f aca="false">MAX(Flows!AG82*AG$4*AG27/100,0)</f>
        <v>0</v>
      </c>
      <c r="AH52" s="10" t="n">
        <f aca="false">MAX(Flows!AH82*AH$4*AH27/100,0)</f>
        <v>0</v>
      </c>
      <c r="AI52" s="10" t="n">
        <f aca="false">MAX(Flows!AI82*AI$4*AI27/100,0)</f>
        <v>10393630.1839994</v>
      </c>
      <c r="AJ52" s="10" t="n">
        <f aca="false">MAX(Flows!AJ82*AJ$4*AJ27/100,0)</f>
        <v>0</v>
      </c>
      <c r="AK52" s="10" t="n">
        <f aca="false">MAX(Flows!AK82*AK$4*AK27/100,0)</f>
        <v>0</v>
      </c>
      <c r="AL52" s="10" t="n">
        <f aca="false">MAX(Flows!AL82*AL$4*AL27/100,0)</f>
        <v>0</v>
      </c>
      <c r="AM52" s="10" t="n">
        <f aca="false">MAX(Flows!AM82*AM$4*AM27/100,0)</f>
        <v>11487673.1451798</v>
      </c>
      <c r="AN52" s="10" t="n">
        <f aca="false">MAX(Flows!AN82*AN$4*AN27/100,0)</f>
        <v>0</v>
      </c>
      <c r="AO52" s="10" t="n">
        <f aca="false">MAX(Flows!AO82*AO$4*AO27/100,0)</f>
        <v>0</v>
      </c>
      <c r="AP52" s="10" t="n">
        <f aca="false">MAX(Flows!AP82*AP$4*AP27/100,0)</f>
        <v>0</v>
      </c>
      <c r="AQ52" s="10" t="n">
        <f aca="false">MAX(Flows!AQ82*AQ$4*AQ27/100,0)</f>
        <v>0</v>
      </c>
      <c r="AR52" s="10" t="n">
        <f aca="false">MAX(Flows!AR82*AR$4*AR27/100,0)</f>
        <v>0</v>
      </c>
      <c r="AS52" s="10" t="n">
        <f aca="false">MAX(Flows!AS82*AS$4*AS27/100,0)</f>
        <v>0</v>
      </c>
      <c r="AT52" s="10" t="n">
        <f aca="false">MAX(Flows!AT82*AT$4*AT27/100,0)</f>
        <v>0</v>
      </c>
      <c r="AU52" s="10" t="n">
        <f aca="false">MAX(Flows!AU82*AU$4*AU27/100,0)</f>
        <v>0</v>
      </c>
      <c r="AV52" s="10" t="n">
        <f aca="false">MAX(Flows!AV82*AV$4*AV27/100,0)</f>
        <v>0</v>
      </c>
      <c r="AW52" s="10" t="n">
        <f aca="false">MAX(Flows!AW82*AW$4*AW27/100,0)</f>
        <v>6414591.85663129</v>
      </c>
      <c r="AX52" s="10" t="n">
        <f aca="false">MAX(Flows!AX82*AX$4*AX27/100,0)</f>
        <v>0</v>
      </c>
      <c r="AY52" s="10" t="n">
        <f aca="false">MAX(Flows!AY82*AY$4*AY27/100,0)</f>
        <v>0</v>
      </c>
      <c r="AZ52" s="10" t="n">
        <f aca="false">MAX(Flows!AZ82*AZ$4*AZ27/100,0)</f>
        <v>0</v>
      </c>
      <c r="BA52" s="10" t="n">
        <f aca="false">MAX(Flows!BA82*BA$4*BA27/100,0)</f>
        <v>0</v>
      </c>
      <c r="BB52" s="10" t="n">
        <f aca="false">MAX(Flows!BB82*BB$4*BB27/100,0)</f>
        <v>0</v>
      </c>
      <c r="BC52" s="10" t="n">
        <f aca="false">MAX(Flows!BC82*BC$4*BC27/100,0)</f>
        <v>0</v>
      </c>
      <c r="BD52" s="10" t="n">
        <f aca="false">MAX(Flows!BD82*BD$4*BD27/100,0)</f>
        <v>0</v>
      </c>
      <c r="BE52" s="10" t="n">
        <f aca="false">MAX(Flows!BE82*BE$4*BE27/100,0)</f>
        <v>0</v>
      </c>
      <c r="BF52" s="10" t="n">
        <f aca="false">MAX(Flows!BF82*BF$4*BF27/100,0)</f>
        <v>6458341.22233456</v>
      </c>
      <c r="BG52" s="10" t="n">
        <f aca="false">MAX(Flows!BG82*BG$4*BG27/100,0)</f>
        <v>11010739.0963722</v>
      </c>
      <c r="BH52" s="10" t="n">
        <f aca="false">MAX(Flows!BH82*BH$4*BH27/100,0)</f>
        <v>9511530.98838725</v>
      </c>
      <c r="BI52" s="10" t="n">
        <f aca="false">MAX(Flows!BI82*BI$4*BI27/100,0)</f>
        <v>0</v>
      </c>
      <c r="BJ52" s="10" t="n">
        <f aca="false">MAX(Flows!BJ82*BJ$4*BJ27/100,0)</f>
        <v>0</v>
      </c>
      <c r="BK52" s="10" t="n">
        <f aca="false">MAX(Flows!BK82*BK$4*BK27/100,0)</f>
        <v>0</v>
      </c>
      <c r="BL52" s="10" t="n">
        <f aca="false">MAX(Flows!BL82*BL$4*BL27/100,0)</f>
        <v>0</v>
      </c>
      <c r="BM52" s="10" t="n">
        <f aca="false">MAX(Flows!BM82*BM$4*BM27/100,0)</f>
        <v>0</v>
      </c>
      <c r="BN52" s="10" t="n">
        <f aca="false">MAX(Flows!BN82*BN$4*BN27/100,0)</f>
        <v>0</v>
      </c>
      <c r="BO52" s="10" t="n">
        <f aca="false">MAX(Flows!BO82*BO$4*BO27/100,0)</f>
        <v>0</v>
      </c>
      <c r="BP52" s="10" t="n">
        <f aca="false">MAX(Flows!BP82*BP$4*BP27/100,0)</f>
        <v>0</v>
      </c>
      <c r="BQ52" s="10" t="n">
        <f aca="false">MAX(Flows!BQ82*BQ$4*BQ27/100,0)</f>
        <v>0</v>
      </c>
      <c r="BR52" s="10" t="n">
        <f aca="false">MAX(Flows!BR82*BR$4*BR27/100,0)</f>
        <v>0</v>
      </c>
      <c r="BS52" s="10" t="n">
        <f aca="false">MAX(Flows!BS82*BS$4*BS27/100,0)</f>
        <v>0</v>
      </c>
      <c r="BT52" s="10" t="n">
        <f aca="false">MAX(Flows!BT82*BT$4*BT27/100,0)</f>
        <v>0</v>
      </c>
      <c r="BU52" s="10" t="n">
        <f aca="false">MAX(Flows!BU82*BU$4*BU27/100,0)</f>
        <v>0</v>
      </c>
      <c r="BV52" s="10" t="n">
        <f aca="false">MAX(Flows!BV82*BV$4*BV27/100,0)</f>
        <v>0</v>
      </c>
      <c r="BW52" s="10" t="n">
        <f aca="false">MAX(Flows!BW82*BW$4*BW27/100,0)</f>
        <v>0</v>
      </c>
      <c r="BX52" s="10" t="n">
        <f aca="false">MAX(Flows!BX82*BX$4*BX27/100,0)</f>
        <v>0</v>
      </c>
      <c r="BY52" s="10" t="n">
        <f aca="false">MAX(Flows!BY82*BY$4*BY27/100,0)</f>
        <v>0</v>
      </c>
      <c r="BZ52" s="10" t="n">
        <f aca="false">MAX(Flows!BZ82*BZ$4*BZ27/100,0)</f>
        <v>0</v>
      </c>
      <c r="CA52" s="10" t="n">
        <f aca="false">MAX(Flows!CA82*CA$4*CA27/100,0)</f>
        <v>0</v>
      </c>
      <c r="CB52" s="10" t="n">
        <f aca="false">MAX(Flows!CB82*CB$4*CB27/100,0)</f>
        <v>0</v>
      </c>
      <c r="CC52" s="10" t="n">
        <f aca="false">MAX(Flows!CC82*CC$4*CC27/100,0)</f>
        <v>0</v>
      </c>
      <c r="CD52" s="10" t="n">
        <f aca="false">MAX(Flows!CD82*CD$4*CD27/100,0)</f>
        <v>0</v>
      </c>
      <c r="CE52" s="10" t="n">
        <f aca="false">MAX(Flows!CE82*CE$4*CE27/100,0)</f>
        <v>0</v>
      </c>
      <c r="CF52" s="10" t="n">
        <f aca="false">MAX(Flows!CF82*CF$4*CF27/100,0)</f>
        <v>0</v>
      </c>
      <c r="CG52" s="10" t="n">
        <f aca="false">MAX(Flows!CG82*CG$4*CG27/100,0)</f>
        <v>0</v>
      </c>
      <c r="CH52" s="10" t="n">
        <f aca="false">MAX(Flows!CH82*CH$4*CH27/100,0)</f>
        <v>0</v>
      </c>
      <c r="CI52" s="10" t="n">
        <f aca="false">MAX(Flows!CI82*CI$4*CI27/100,0)</f>
        <v>0</v>
      </c>
      <c r="CJ52" s="10" t="n">
        <f aca="false">MAX(Flows!CJ82*CJ$4*CJ27/100,0)</f>
        <v>0</v>
      </c>
      <c r="CK52" s="10" t="n">
        <f aca="false">MAX(Flows!CK82*CK$4*CK27/100,0)</f>
        <v>0</v>
      </c>
      <c r="CL52" s="7" t="s">
        <v>320</v>
      </c>
      <c r="CM52" s="10" t="n">
        <f aca="false" t="array" ref="CM52:CM52">SUM(IF($C$150:$CK$150=CM$30,$C52:$CK52,0),IF($C$150:$CK$150=CM$30,-$C112:$CK112,0))</f>
        <v>-201575119.300391</v>
      </c>
      <c r="CN52" s="10" t="n">
        <f aca="false" t="array" ref="CN52:CN52">SUM(IF($C$150:$CK$150=CN$30,$C52:$CK52,0),IF($C$150:$CK$150=CN$30,-$C112:$CK112,0))</f>
        <v>-1224672642.76337</v>
      </c>
      <c r="CO52" s="10" t="n">
        <f aca="false" t="array" ref="CO52:CO52">SUM(IF($C$150:$CK$150=CO$30,$C52:$CK52,0),IF($C$150:$CK$150=CO$30,-$C112:$CK112,0))</f>
        <v>-1831572274.71422</v>
      </c>
      <c r="CP52" s="10" t="n">
        <f aca="false" t="array" ref="CP52:CP52">SUM(IF($C$150:$CK$150=CP$30,$C52:$CK52,0),IF($C$150:$CK$150=CP$30,-$C112:$CK112,0))</f>
        <v>-414248507.012569</v>
      </c>
      <c r="CQ52" s="10" t="n">
        <f aca="false" t="array" ref="CQ52:CQ52">SUM(IF($C$150:$CK$150=CQ$30,$C52:$CK52,0),IF($C$150:$CK$150=CQ$30,-$C112:$CK112,0))</f>
        <v>-1021501825.59994</v>
      </c>
      <c r="CR52" s="10" t="n">
        <f aca="false" t="array" ref="CR52:CR52">SUM(IF($C$150:$CK$150=CR$30,$C52:$CK52,0),IF($C$150:$CK$150=CR$30,-$C112:$CK112,0))</f>
        <v>-8928559916310600</v>
      </c>
      <c r="CS52" s="10" t="n">
        <f aca="false" t="array" ref="CS52:CS52">SUM(IF($C$150:$CK$150=CS$30,$C52:$CK52,0),IF($C$150:$CK$150=CS$30,-$C112:$CK112,0))</f>
        <v>-337916346.486024</v>
      </c>
      <c r="CT52" s="10" t="n">
        <f aca="false" t="array" ref="CT52:CT52">SUM(IF($C$150:$CK$150=CT$30,$C52:$CK52,0),IF($C$150:$CK$150=CT$30,-$C112:$CK112,0))</f>
        <v>-91244049.3882059</v>
      </c>
      <c r="CU52" s="10" t="n">
        <f aca="false" t="array" ref="CU52:CU52">SUM(IF($C$150:$CK$150=CU$30,$C52:$CK52,0),IF($C$150:$CK$150=CU$30,-$C112:$CK112,0))</f>
        <v>83571321.5753225</v>
      </c>
      <c r="CV52" s="10" t="n">
        <f aca="false" t="array" ref="CV52:CV52">SUM(IF($C$150:$CK$150=CV$30,$C52:$CK52,0),IF($C$150:$CK$150=CV$30,-$C112:$CK112,0))</f>
        <v>-1315126.98423408</v>
      </c>
      <c r="CX52" s="0" t="str">
        <f aca="false">INDEX($C$1:$CK$1,MATCH(LARGE($C52:$CK52,1),$C52:$CK52,0))</f>
        <v>Honey (lb)</v>
      </c>
      <c r="CY52" s="0" t="str">
        <f aca="false">INDEX($C$1:$CK$1,MATCH(LARGE($C52:$CK52,2),$C52:$CK52,0))</f>
        <v>Wax (lb)</v>
      </c>
      <c r="CZ52" s="0" t="str">
        <f aca="false">INDEX($C$1:$CK$1,MATCH(LARGE($C52:$CK52,3),$C52:$CK52,0))</f>
        <v>Chipak (lb)</v>
      </c>
      <c r="DA52" s="0" t="str">
        <f aca="false">INDEX($C$1:$CK$1,MATCH(LARGE($C52:$CK52,4),$C52:$CK52,0))</f>
        <v>Sickle (ea)</v>
      </c>
      <c r="DB52" s="0" t="str">
        <f aca="false">INDEX($C$1:$CK$1,MATCH(LARGE($C52:$CK52,5),$C52:$CK52,0))</f>
        <v>Cured Meat (lb)</v>
      </c>
      <c r="DD52" s="0" t="str">
        <f aca="false">IF(LARGE($CM52:$CV52,1)&gt;0,INDEX($CM$30:$CV$30,MATCH(LARGE($CM52:$CV52,1),$CM52:$CV52,0)),"N/A")</f>
        <v>Honey</v>
      </c>
      <c r="DE52" s="0" t="str">
        <f aca="false">IF(LARGE($CM52:$CV52,2)&gt;0,INDEX($CM$30:$CV$30,MATCH(LARGE($CM52:$CV52,2),$CM52:$CV52,0)),"N/A")</f>
        <v>N/A</v>
      </c>
      <c r="DF52" s="0" t="str">
        <f aca="false">IF(LARGE($CM52:$CV52,3)&gt;0,INDEX($CM$30:$CV$30,MATCH(LARGE($CM52:$CV52,3),$CM52:$CV52,0)),"N/A")</f>
        <v>N/A</v>
      </c>
      <c r="DG52" s="0" t="str">
        <f aca="false">IF(LARGE($CM52:$CV52,4)&gt;0,INDEX($CM$30:$CV$30,MATCH(LARGE($CM52:$CV52,4),$CM52:$CV52,0)),"N/A")</f>
        <v>N/A</v>
      </c>
      <c r="DH52" s="0" t="str">
        <f aca="false">IF(LARGE($CM52:$CV52,5)&gt;0,INDEX($CM$30:$CV$30,MATCH(LARGE($CM52:$CV52,5),$CM52:$CV52,0)),"N/A")</f>
        <v>N/A</v>
      </c>
    </row>
    <row r="53" customFormat="false" ht="12.8" hidden="false" customHeight="false" outlineLevel="0" collapsed="false">
      <c r="A53" s="7" t="s">
        <v>160</v>
      </c>
      <c r="B53" s="7" t="s">
        <v>39</v>
      </c>
      <c r="C53" s="10" t="n">
        <f aca="false">MAX(Flows!C83*C$4*C28/100,0)</f>
        <v>0</v>
      </c>
      <c r="D53" s="10" t="n">
        <f aca="false">MAX(Flows!D83*D$4*D28/100,0)</f>
        <v>0</v>
      </c>
      <c r="E53" s="10" t="n">
        <f aca="false">MAX(Flows!E83*E$4*E28/100,0)</f>
        <v>0</v>
      </c>
      <c r="F53" s="10" t="n">
        <f aca="false">MAX(Flows!F83*F$4*F28/100,0)</f>
        <v>0</v>
      </c>
      <c r="G53" s="10" t="n">
        <f aca="false">MAX(Flows!G83*G$4*G28/100,0)</f>
        <v>0</v>
      </c>
      <c r="H53" s="10" t="n">
        <f aca="false">MAX(Flows!H83*H$4*H28/100,0)</f>
        <v>3187343.5242765</v>
      </c>
      <c r="I53" s="10" t="n">
        <f aca="false">MAX(Flows!I83*I$4*I28/100,0)</f>
        <v>105573401.288555</v>
      </c>
      <c r="J53" s="10" t="n">
        <f aca="false">MAX(Flows!J83*J$4*J28/100,0)</f>
        <v>0</v>
      </c>
      <c r="K53" s="10" t="n">
        <f aca="false">MAX(Flows!K83*K$4*K28/100,0)</f>
        <v>0</v>
      </c>
      <c r="L53" s="10" t="n">
        <f aca="false">MAX(Flows!L83*L$4*L28/100,0)</f>
        <v>0</v>
      </c>
      <c r="M53" s="10" t="n">
        <f aca="false">MAX(Flows!M83*M$4*M28/100,0)</f>
        <v>0</v>
      </c>
      <c r="N53" s="10" t="n">
        <f aca="false">MAX(Flows!N83*N$4*N28/100,0)</f>
        <v>760739.024830908</v>
      </c>
      <c r="O53" s="10" t="n">
        <f aca="false">MAX(Flows!O83*O$4*O28/100,0)</f>
        <v>0</v>
      </c>
      <c r="P53" s="10" t="n">
        <f aca="false">MAX(Flows!P83*P$4*P28/100,0)</f>
        <v>0</v>
      </c>
      <c r="Q53" s="10" t="n">
        <f aca="false">MAX(Flows!Q83*Q$4*Q28/100,0)</f>
        <v>0</v>
      </c>
      <c r="R53" s="10" t="n">
        <f aca="false">MAX(Flows!R83*R$4*R28/100,0)</f>
        <v>0</v>
      </c>
      <c r="S53" s="10" t="n">
        <f aca="false">MAX(Flows!S83*S$4*S28/100,0)</f>
        <v>0</v>
      </c>
      <c r="T53" s="10" t="n">
        <f aca="false">MAX(Flows!T83*T$4*T28/100,0)</f>
        <v>0</v>
      </c>
      <c r="U53" s="10" t="n">
        <f aca="false">MAX(Flows!U83*U$4*U28/100,0)</f>
        <v>0</v>
      </c>
      <c r="V53" s="10" t="n">
        <f aca="false">MAX(Flows!V83*V$4*V28/100,0)</f>
        <v>0</v>
      </c>
      <c r="W53" s="10" t="n">
        <f aca="false">MAX(Flows!W83*W$4*W28/100,0)</f>
        <v>0</v>
      </c>
      <c r="X53" s="10" t="n">
        <f aca="false">MAX(Flows!X83*X$4*X28/100,0)</f>
        <v>76247856.7701825</v>
      </c>
      <c r="Y53" s="10" t="n">
        <f aca="false">MAX(Flows!Y83*Y$4*Y28/100,0)</f>
        <v>0</v>
      </c>
      <c r="Z53" s="10" t="n">
        <f aca="false">MAX(Flows!Z83*Z$4*Z28/100,0)</f>
        <v>445868.557830486</v>
      </c>
      <c r="AA53" s="10" t="n">
        <f aca="false">MAX(Flows!AA83*AA$4*AA28/100,0)</f>
        <v>0</v>
      </c>
      <c r="AB53" s="10" t="n">
        <f aca="false">MAX(Flows!AB83*AB$4*AB28/100,0)</f>
        <v>0</v>
      </c>
      <c r="AC53" s="10" t="n">
        <f aca="false">MAX(Flows!AC83*AC$4*AC28/100,0)</f>
        <v>215480.512281854</v>
      </c>
      <c r="AD53" s="10" t="n">
        <f aca="false">MAX(Flows!AD83*AD$4*AD28/100,0)</f>
        <v>0</v>
      </c>
      <c r="AE53" s="10" t="n">
        <f aca="false">MAX(Flows!AE83*AE$4*AE28/100,0)</f>
        <v>0</v>
      </c>
      <c r="AF53" s="10" t="n">
        <f aca="false">MAX(Flows!AF83*AF$4*AF28/100,0)</f>
        <v>0</v>
      </c>
      <c r="AG53" s="10" t="n">
        <f aca="false">MAX(Flows!AG83*AG$4*AG28/100,0)</f>
        <v>0</v>
      </c>
      <c r="AH53" s="10" t="n">
        <f aca="false">MAX(Flows!AH83*AH$4*AH28/100,0)</f>
        <v>0</v>
      </c>
      <c r="AI53" s="10" t="n">
        <f aca="false">MAX(Flows!AI83*AI$4*AI28/100,0)</f>
        <v>0</v>
      </c>
      <c r="AJ53" s="10" t="n">
        <f aca="false">MAX(Flows!AJ83*AJ$4*AJ28/100,0)</f>
        <v>0</v>
      </c>
      <c r="AK53" s="10" t="n">
        <f aca="false">MAX(Flows!AK83*AK$4*AK28/100,0)</f>
        <v>0</v>
      </c>
      <c r="AL53" s="10" t="n">
        <f aca="false">MAX(Flows!AL83*AL$4*AL28/100,0)</f>
        <v>0</v>
      </c>
      <c r="AM53" s="10" t="n">
        <f aca="false">MAX(Flows!AM83*AM$4*AM28/100,0)</f>
        <v>0</v>
      </c>
      <c r="AN53" s="10" t="n">
        <f aca="false">MAX(Flows!AN83*AN$4*AN28/100,0)</f>
        <v>0</v>
      </c>
      <c r="AO53" s="10" t="n">
        <f aca="false">MAX(Flows!AO83*AO$4*AO28/100,0)</f>
        <v>0</v>
      </c>
      <c r="AP53" s="10" t="n">
        <f aca="false">MAX(Flows!AP83*AP$4*AP28/100,0)</f>
        <v>0</v>
      </c>
      <c r="AQ53" s="10" t="n">
        <f aca="false">MAX(Flows!AQ83*AQ$4*AQ28/100,0)</f>
        <v>0</v>
      </c>
      <c r="AR53" s="10" t="n">
        <f aca="false">MAX(Flows!AR83*AR$4*AR28/100,0)</f>
        <v>11277129.866034</v>
      </c>
      <c r="AS53" s="10" t="n">
        <f aca="false">MAX(Flows!AS83*AS$4*AS28/100,0)</f>
        <v>0</v>
      </c>
      <c r="AT53" s="10" t="n">
        <f aca="false">MAX(Flows!AT83*AT$4*AT28/100,0)</f>
        <v>0</v>
      </c>
      <c r="AU53" s="10" t="n">
        <f aca="false">MAX(Flows!AU83*AU$4*AU28/100,0)</f>
        <v>0</v>
      </c>
      <c r="AV53" s="10" t="n">
        <f aca="false">MAX(Flows!AV83*AV$4*AV28/100,0)</f>
        <v>0</v>
      </c>
      <c r="AW53" s="10" t="n">
        <f aca="false">MAX(Flows!AW83*AW$4*AW28/100,0)</f>
        <v>3431008.0980933</v>
      </c>
      <c r="AX53" s="10" t="n">
        <f aca="false">MAX(Flows!AX83*AX$4*AX28/100,0)</f>
        <v>0</v>
      </c>
      <c r="AY53" s="10" t="n">
        <f aca="false">MAX(Flows!AY83*AY$4*AY28/100,0)</f>
        <v>0</v>
      </c>
      <c r="AZ53" s="10" t="n">
        <f aca="false">MAX(Flows!AZ83*AZ$4*AZ28/100,0)</f>
        <v>0</v>
      </c>
      <c r="BA53" s="10" t="n">
        <f aca="false">MAX(Flows!BA83*BA$4*BA28/100,0)</f>
        <v>0</v>
      </c>
      <c r="BB53" s="10" t="n">
        <f aca="false">MAX(Flows!BB83*BB$4*BB28/100,0)</f>
        <v>0</v>
      </c>
      <c r="BC53" s="10" t="n">
        <f aca="false">MAX(Flows!BC83*BC$4*BC28/100,0)</f>
        <v>0</v>
      </c>
      <c r="BD53" s="10" t="n">
        <f aca="false">MAX(Flows!BD83*BD$4*BD28/100,0)</f>
        <v>0</v>
      </c>
      <c r="BE53" s="10" t="n">
        <f aca="false">MAX(Flows!BE83*BE$4*BE28/100,0)</f>
        <v>0</v>
      </c>
      <c r="BF53" s="10" t="n">
        <f aca="false">MAX(Flows!BF83*BF$4*BF28/100,0)</f>
        <v>112286531.339884</v>
      </c>
      <c r="BG53" s="10" t="n">
        <f aca="false">MAX(Flows!BG83*BG$4*BG28/100,0)</f>
        <v>12168685.9597599</v>
      </c>
      <c r="BH53" s="10" t="n">
        <f aca="false">MAX(Flows!BH83*BH$4*BH28/100,0)</f>
        <v>10991319.2107583</v>
      </c>
      <c r="BI53" s="10" t="n">
        <f aca="false">MAX(Flows!BI83*BI$4*BI28/100,0)</f>
        <v>0</v>
      </c>
      <c r="BJ53" s="10" t="n">
        <f aca="false">MAX(Flows!BJ83*BJ$4*BJ28/100,0)</f>
        <v>0</v>
      </c>
      <c r="BK53" s="10" t="n">
        <f aca="false">MAX(Flows!BK83*BK$4*BK28/100,0)</f>
        <v>0</v>
      </c>
      <c r="BL53" s="10" t="n">
        <f aca="false">MAX(Flows!BL83*BL$4*BL28/100,0)</f>
        <v>0</v>
      </c>
      <c r="BM53" s="10" t="n">
        <f aca="false">MAX(Flows!BM83*BM$4*BM28/100,0)</f>
        <v>0</v>
      </c>
      <c r="BN53" s="10" t="n">
        <f aca="false">MAX(Flows!BN83*BN$4*BN28/100,0)</f>
        <v>0</v>
      </c>
      <c r="BO53" s="10" t="n">
        <f aca="false">MAX(Flows!BO83*BO$4*BO28/100,0)</f>
        <v>0</v>
      </c>
      <c r="BP53" s="10" t="n">
        <f aca="false">MAX(Flows!BP83*BP$4*BP28/100,0)</f>
        <v>0</v>
      </c>
      <c r="BQ53" s="10" t="n">
        <f aca="false">MAX(Flows!BQ83*BQ$4*BQ28/100,0)</f>
        <v>0</v>
      </c>
      <c r="BR53" s="10" t="n">
        <f aca="false">MAX(Flows!BR83*BR$4*BR28/100,0)</f>
        <v>0</v>
      </c>
      <c r="BS53" s="10" t="n">
        <f aca="false">MAX(Flows!BS83*BS$4*BS28/100,0)</f>
        <v>0</v>
      </c>
      <c r="BT53" s="10" t="n">
        <f aca="false">MAX(Flows!BT83*BT$4*BT28/100,0)</f>
        <v>0</v>
      </c>
      <c r="BU53" s="10" t="n">
        <f aca="false">MAX(Flows!BU83*BU$4*BU28/100,0)</f>
        <v>0</v>
      </c>
      <c r="BV53" s="10" t="n">
        <f aca="false">MAX(Flows!BV83*BV$4*BV28/100,0)</f>
        <v>0</v>
      </c>
      <c r="BW53" s="10" t="n">
        <f aca="false">MAX(Flows!BW83*BW$4*BW28/100,0)</f>
        <v>0</v>
      </c>
      <c r="BX53" s="10" t="n">
        <f aca="false">MAX(Flows!BX83*BX$4*BX28/100,0)</f>
        <v>0</v>
      </c>
      <c r="BY53" s="10" t="n">
        <f aca="false">MAX(Flows!BY83*BY$4*BY28/100,0)</f>
        <v>0</v>
      </c>
      <c r="BZ53" s="10" t="n">
        <f aca="false">MAX(Flows!BZ83*BZ$4*BZ28/100,0)</f>
        <v>0</v>
      </c>
      <c r="CA53" s="10" t="n">
        <f aca="false">MAX(Flows!CA83*CA$4*CA28/100,0)</f>
        <v>0</v>
      </c>
      <c r="CB53" s="10" t="n">
        <f aca="false">MAX(Flows!CB83*CB$4*CB28/100,0)</f>
        <v>0</v>
      </c>
      <c r="CC53" s="10" t="n">
        <f aca="false">MAX(Flows!CC83*CC$4*CC28/100,0)</f>
        <v>0</v>
      </c>
      <c r="CD53" s="10" t="n">
        <f aca="false">MAX(Flows!CD83*CD$4*CD28/100,0)</f>
        <v>0</v>
      </c>
      <c r="CE53" s="10" t="n">
        <f aca="false">MAX(Flows!CE83*CE$4*CE28/100,0)</f>
        <v>0</v>
      </c>
      <c r="CF53" s="10" t="n">
        <f aca="false">MAX(Flows!CF83*CF$4*CF28/100,0)</f>
        <v>0</v>
      </c>
      <c r="CG53" s="10" t="n">
        <f aca="false">MAX(Flows!CG83*CG$4*CG28/100,0)</f>
        <v>0</v>
      </c>
      <c r="CH53" s="10" t="n">
        <f aca="false">MAX(Flows!CH83*CH$4*CH28/100,0)</f>
        <v>0</v>
      </c>
      <c r="CI53" s="10" t="n">
        <f aca="false">MAX(Flows!CI83*CI$4*CI28/100,0)</f>
        <v>0</v>
      </c>
      <c r="CJ53" s="10" t="n">
        <f aca="false">MAX(Flows!CJ83*CJ$4*CJ28/100,0)</f>
        <v>0</v>
      </c>
      <c r="CK53" s="10" t="n">
        <f aca="false">MAX(Flows!CK83*CK$4*CK28/100,0)</f>
        <v>0</v>
      </c>
      <c r="CL53" s="7" t="s">
        <v>39</v>
      </c>
      <c r="CM53" s="10" t="n">
        <f aca="false" t="array" ref="CM53:CM53">SUM(IF($C$150:$CK$150=CM$30,$C53:$CK53,0),IF($C$150:$CK$150=CM$30,-$C113:$CK113,0))</f>
        <v>55571943.6515476</v>
      </c>
      <c r="CN53" s="10" t="n">
        <f aca="false" t="array" ref="CN53:CN53">SUM(IF($C$150:$CK$150=CN$30,$C53:$CK53,0),IF($C$150:$CK$150=CN$30,-$C113:$CK113,0))</f>
        <v>-753064982.563939</v>
      </c>
      <c r="CO53" s="10" t="n">
        <f aca="false" t="array" ref="CO53:CO53">SUM(IF($C$150:$CK$150=CO$30,$C53:$CK53,0),IF($C$150:$CK$150=CO$30,-$C113:$CK113,0))</f>
        <v>-1127211880.58303</v>
      </c>
      <c r="CP53" s="10" t="n">
        <f aca="false" t="array" ref="CP53:CP53">SUM(IF($C$150:$CK$150=CP$30,$C53:$CK53,0),IF($C$150:$CK$150=CP$30,-$C113:$CK113,0))</f>
        <v>-260328009.258333</v>
      </c>
      <c r="CQ53" s="10" t="n">
        <f aca="false" t="array" ref="CQ53:CQ53">SUM(IF($C$150:$CK$150=CQ$30,$C53:$CK53,0),IF($C$150:$CK$150=CQ$30,-$C113:$CK113,0))</f>
        <v>-915765431.198494</v>
      </c>
      <c r="CR53" s="10" t="n">
        <f aca="false" t="array" ref="CR53:CR53">SUM(IF($C$150:$CK$150=CR$30,$C53:$CK53,0),IF($C$150:$CK$150=CR$30,-$C113:$CK113,0))</f>
        <v>-9373202612611210</v>
      </c>
      <c r="CS53" s="10" t="n">
        <f aca="false" t="array" ref="CS53:CS53">SUM(IF($C$150:$CK$150=CS$30,$C53:$CK53,0),IF($C$150:$CK$150=CS$30,-$C113:$CK113,0))</f>
        <v>-155251859.038383</v>
      </c>
      <c r="CT53" s="10" t="n">
        <f aca="false" t="array" ref="CT53:CT53">SUM(IF($C$150:$CK$150=CT$30,$C53:$CK53,0),IF($C$150:$CK$150=CT$30,-$C113:$CK113,0))</f>
        <v>-51476780.4434529</v>
      </c>
      <c r="CU53" s="10" t="n">
        <f aca="false" t="array" ref="CU53:CU53">SUM(IF($C$150:$CK$150=CU$30,$C53:$CK53,0),IF($C$150:$CK$150=CU$30,-$C113:$CK113,0))</f>
        <v>41292254.121869</v>
      </c>
      <c r="CV53" s="10" t="n">
        <f aca="false" t="array" ref="CV53:CV53">SUM(IF($C$150:$CK$150=CV$30,$C53:$CK53,0),IF($C$150:$CK$150=CV$30,-$C113:$CK113,0))</f>
        <v>-761260.515346981</v>
      </c>
      <c r="CX53" s="0" t="str">
        <f aca="false">INDEX($C$1:$CK$1,MATCH(LARGE($C53:$CK53,1),$C53:$CK53,0))</f>
        <v>Salt (lb)</v>
      </c>
      <c r="CY53" s="0" t="str">
        <f aca="false">INDEX($C$1:$CK$1,MATCH(LARGE($C53:$CK53,2),$C53:$CK53,0))</f>
        <v>Honey (lb)</v>
      </c>
      <c r="CZ53" s="0" t="str">
        <f aca="false">INDEX($C$1:$CK$1,MATCH(LARGE($C53:$CK53,3),$C53:$CK53,0))</f>
        <v>Chipak (lb)</v>
      </c>
      <c r="DA53" s="0" t="str">
        <f aca="false">INDEX($C$1:$CK$1,MATCH(LARGE($C53:$CK53,4),$C53:$CK53,0))</f>
        <v>Cured Meat (lb)</v>
      </c>
      <c r="DB53" s="0" t="str">
        <f aca="false">INDEX($C$1:$CK$1,MATCH(LARGE($C53:$CK53,5),$C53:$CK53,0))</f>
        <v>Longsword (ea)</v>
      </c>
      <c r="DD53" s="0" t="str">
        <f aca="false">IF(LARGE($CM53:$CV53,1)&gt;0,INDEX($CM$30:$CV$30,MATCH(LARGE($CM53:$CV53,1),$CM53:$CV53,0)),"N/A")</f>
        <v>Produce</v>
      </c>
      <c r="DE53" s="0" t="str">
        <f aca="false">IF(LARGE($CM53:$CV53,2)&gt;0,INDEX($CM$30:$CV$30,MATCH(LARGE($CM53:$CV53,2),$CM53:$CV53,0)),"N/A")</f>
        <v>Honey</v>
      </c>
      <c r="DF53" s="0" t="str">
        <f aca="false">IF(LARGE($CM53:$CV53,3)&gt;0,INDEX($CM$30:$CV$30,MATCH(LARGE($CM53:$CV53,3),$CM53:$CV53,0)),"N/A")</f>
        <v>N/A</v>
      </c>
      <c r="DG53" s="0" t="str">
        <f aca="false">IF(LARGE($CM53:$CV53,4)&gt;0,INDEX($CM$30:$CV$30,MATCH(LARGE($CM53:$CV53,4),$CM53:$CV53,0)),"N/A")</f>
        <v>N/A</v>
      </c>
      <c r="DH53" s="0" t="str">
        <f aca="false">IF(LARGE($CM53:$CV53,5)&gt;0,INDEX($CM$30:$CV$30,MATCH(LARGE($CM53:$CV53,5),$CM53:$CV53,0)),"N/A")</f>
        <v>N/A</v>
      </c>
    </row>
    <row r="54" customFormat="false" ht="12.8" hidden="false" customHeight="false" outlineLevel="0" collapsed="false">
      <c r="B54" s="7" t="s">
        <v>39</v>
      </c>
      <c r="CL54" s="7" t="s">
        <v>39</v>
      </c>
    </row>
    <row r="55" customFormat="false" ht="12.8" hidden="false" customHeight="false" outlineLevel="0" collapsed="false">
      <c r="B55" s="7" t="s">
        <v>39</v>
      </c>
      <c r="CL55" s="7" t="s">
        <v>39</v>
      </c>
    </row>
    <row r="56" customFormat="false" ht="12.8" hidden="false" customHeight="false" outlineLevel="0" collapsed="false">
      <c r="B56" s="7" t="s">
        <v>39</v>
      </c>
      <c r="CL56" s="7" t="s">
        <v>39</v>
      </c>
    </row>
    <row r="57" customFormat="false" ht="12.8" hidden="false" customHeight="false" outlineLevel="0" collapsed="false">
      <c r="B57" s="7" t="s">
        <v>39</v>
      </c>
      <c r="CL57" s="7" t="s">
        <v>39</v>
      </c>
    </row>
    <row r="58" customFormat="false" ht="12.8" hidden="false" customHeight="false" outlineLevel="0" collapsed="false">
      <c r="B58" s="7" t="s">
        <v>39</v>
      </c>
      <c r="CL58" s="7" t="s">
        <v>39</v>
      </c>
    </row>
    <row r="59" customFormat="false" ht="12.8" hidden="false" customHeight="false" outlineLevel="0" collapsed="false">
      <c r="B59" s="7" t="s">
        <v>39</v>
      </c>
      <c r="CL59" s="7" t="s">
        <v>39</v>
      </c>
    </row>
    <row r="60" customFormat="false" ht="12.8" hidden="false" customHeight="false" outlineLevel="0" collapsed="false">
      <c r="A60" s="7" t="s">
        <v>425</v>
      </c>
      <c r="B60" s="7" t="s">
        <v>39</v>
      </c>
      <c r="C60" s="19" t="n">
        <v>1</v>
      </c>
      <c r="D60" s="19" t="n">
        <v>2</v>
      </c>
      <c r="E60" s="19" t="n">
        <v>3</v>
      </c>
      <c r="F60" s="19" t="n">
        <v>4</v>
      </c>
      <c r="G60" s="19" t="n">
        <v>5</v>
      </c>
      <c r="H60" s="19" t="n">
        <v>6</v>
      </c>
      <c r="I60" s="19" t="n">
        <v>7</v>
      </c>
      <c r="J60" s="19" t="n">
        <v>8</v>
      </c>
      <c r="K60" s="19" t="n">
        <v>9</v>
      </c>
      <c r="L60" s="19" t="n">
        <v>10</v>
      </c>
      <c r="M60" s="19" t="n">
        <v>11</v>
      </c>
      <c r="N60" s="19" t="n">
        <v>12</v>
      </c>
      <c r="O60" s="19" t="n">
        <v>13</v>
      </c>
      <c r="P60" s="19" t="n">
        <v>14</v>
      </c>
      <c r="Q60" s="19" t="n">
        <v>15</v>
      </c>
      <c r="R60" s="19" t="n">
        <v>16</v>
      </c>
      <c r="S60" s="19" t="n">
        <v>17</v>
      </c>
      <c r="T60" s="19" t="n">
        <v>18</v>
      </c>
      <c r="U60" s="19" t="n">
        <v>19</v>
      </c>
      <c r="V60" s="19" t="n">
        <v>20</v>
      </c>
      <c r="W60" s="19" t="n">
        <v>21</v>
      </c>
      <c r="X60" s="19" t="n">
        <v>22</v>
      </c>
      <c r="Y60" s="19" t="n">
        <v>23</v>
      </c>
      <c r="Z60" s="19" t="n">
        <v>24</v>
      </c>
      <c r="AA60" s="19" t="n">
        <v>25</v>
      </c>
      <c r="AB60" s="19" t="n">
        <v>26</v>
      </c>
      <c r="AC60" s="19" t="n">
        <v>27</v>
      </c>
      <c r="AD60" s="19" t="n">
        <v>28</v>
      </c>
      <c r="AE60" s="19" t="n">
        <v>29</v>
      </c>
      <c r="AF60" s="19" t="n">
        <v>30</v>
      </c>
      <c r="AG60" s="19" t="n">
        <v>31</v>
      </c>
      <c r="AH60" s="19" t="n">
        <v>32</v>
      </c>
      <c r="AI60" s="19" t="n">
        <v>33</v>
      </c>
      <c r="AJ60" s="19" t="n">
        <v>34</v>
      </c>
      <c r="AK60" s="19" t="n">
        <v>35</v>
      </c>
      <c r="AL60" s="19" t="n">
        <v>36</v>
      </c>
      <c r="AM60" s="19" t="n">
        <v>37</v>
      </c>
      <c r="AN60" s="19" t="n">
        <v>38</v>
      </c>
      <c r="AO60" s="19" t="n">
        <v>39</v>
      </c>
      <c r="AP60" s="19" t="n">
        <v>40</v>
      </c>
      <c r="AQ60" s="19" t="n">
        <v>41</v>
      </c>
      <c r="AR60" s="19" t="n">
        <v>42</v>
      </c>
      <c r="AS60" s="19" t="n">
        <v>43</v>
      </c>
      <c r="AT60" s="19" t="n">
        <v>44</v>
      </c>
      <c r="AU60" s="19" t="n">
        <v>45</v>
      </c>
      <c r="AV60" s="19" t="n">
        <v>46</v>
      </c>
      <c r="AW60" s="19" t="n">
        <v>47</v>
      </c>
      <c r="AX60" s="19" t="n">
        <v>48</v>
      </c>
      <c r="AY60" s="19" t="n">
        <v>49</v>
      </c>
      <c r="AZ60" s="19" t="n">
        <v>50</v>
      </c>
      <c r="BA60" s="19" t="n">
        <v>51</v>
      </c>
      <c r="BB60" s="19" t="n">
        <v>52</v>
      </c>
      <c r="BC60" s="19" t="n">
        <v>53</v>
      </c>
      <c r="BD60" s="19" t="n">
        <v>54</v>
      </c>
      <c r="BE60" s="19" t="n">
        <v>55</v>
      </c>
      <c r="BF60" s="19" t="n">
        <v>56</v>
      </c>
      <c r="BG60" s="19" t="n">
        <v>57</v>
      </c>
      <c r="BH60" s="19" t="n">
        <v>58</v>
      </c>
      <c r="BI60" s="19" t="n">
        <v>59</v>
      </c>
      <c r="BJ60" s="19" t="n">
        <v>60</v>
      </c>
      <c r="BK60" s="19" t="n">
        <v>61</v>
      </c>
      <c r="BL60" s="19" t="n">
        <v>62</v>
      </c>
      <c r="BM60" s="19" t="n">
        <v>63</v>
      </c>
      <c r="BN60" s="19" t="n">
        <v>64</v>
      </c>
      <c r="BO60" s="19" t="n">
        <v>65</v>
      </c>
      <c r="BP60" s="19" t="n">
        <v>66</v>
      </c>
      <c r="BQ60" s="19" t="n">
        <v>67</v>
      </c>
      <c r="BR60" s="19" t="n">
        <v>68</v>
      </c>
      <c r="BS60" s="19" t="n">
        <v>69</v>
      </c>
      <c r="BT60" s="19" t="n">
        <v>70</v>
      </c>
      <c r="BU60" s="19" t="n">
        <v>71</v>
      </c>
      <c r="BV60" s="19" t="n">
        <v>72</v>
      </c>
      <c r="BW60" s="19" t="n">
        <v>73</v>
      </c>
      <c r="BX60" s="19" t="n">
        <v>74</v>
      </c>
      <c r="BY60" s="19" t="n">
        <v>75</v>
      </c>
      <c r="BZ60" s="19" t="n">
        <v>76</v>
      </c>
      <c r="CA60" s="19" t="n">
        <v>77</v>
      </c>
      <c r="CB60" s="19" t="n">
        <v>78</v>
      </c>
      <c r="CC60" s="19" t="n">
        <v>79</v>
      </c>
      <c r="CD60" s="19" t="n">
        <v>80</v>
      </c>
      <c r="CE60" s="19" t="n">
        <v>81</v>
      </c>
      <c r="CF60" s="19" t="n">
        <v>82</v>
      </c>
      <c r="CG60" s="19" t="n">
        <v>83</v>
      </c>
      <c r="CH60" s="19" t="n">
        <v>84</v>
      </c>
      <c r="CI60" s="19" t="n">
        <v>85</v>
      </c>
      <c r="CJ60" s="19" t="n">
        <v>86</v>
      </c>
      <c r="CK60" s="19" t="n">
        <v>87</v>
      </c>
      <c r="CL60" s="7" t="s">
        <v>39</v>
      </c>
    </row>
    <row r="61" customFormat="false" ht="12.8" hidden="false" customHeight="false" outlineLevel="0" collapsed="false">
      <c r="A61" s="7" t="s">
        <v>131</v>
      </c>
      <c r="B61" s="7" t="s">
        <v>39</v>
      </c>
      <c r="C61" s="10" t="n">
        <f aca="false">IF(Flows!C31*C$3*C$4&lt;0.002,100,MAX($CM$2/(Flows!C31*C$3*C$4),1))</f>
        <v>54878.3278401133</v>
      </c>
      <c r="D61" s="10" t="n">
        <f aca="false">IF(Flows!D31*D$3*D$4&lt;0.002,100,MAX($CM$2/(Flows!D31*D$3*D$4),1))</f>
        <v>13.1389124547376</v>
      </c>
      <c r="E61" s="10" t="n">
        <f aca="false">IF(Flows!E31*E$3*E$4&lt;0.002,100,MAX($CM$2/(Flows!E31*E$3*E$4),1))</f>
        <v>40.2703929330678</v>
      </c>
      <c r="F61" s="10" t="n">
        <f aca="false">IF(Flows!F31*F$3*F$4&lt;0.002,100,MAX($CM$2/(Flows!F31*F$3*F$4),1))</f>
        <v>177.089579445862</v>
      </c>
      <c r="G61" s="10" t="n">
        <f aca="false">IF(Flows!G31*G$3*G$4&lt;0.002,100,MAX($CM$2/(Flows!G31*G$3*G$4),1))</f>
        <v>3597.27448019936</v>
      </c>
      <c r="H61" s="10" t="n">
        <f aca="false">IF(Flows!H31*H$3*H$4&lt;0.002,100,MAX($CM$2/(Flows!H31*H$3*H$4),1))</f>
        <v>24813.6213578806</v>
      </c>
      <c r="I61" s="10" t="n">
        <f aca="false">IF(Flows!I31*I$3*I$4&lt;0.002,100,MAX($CM$2/(Flows!I31*I$3*I$4),1))</f>
        <v>6726.93352531952</v>
      </c>
      <c r="J61" s="10" t="n">
        <f aca="false">IF(Flows!J31*J$3*J$4&lt;0.002,100,MAX($CM$2/(Flows!J31*J$3*J$4),1))</f>
        <v>2627.52919631442</v>
      </c>
      <c r="K61" s="10" t="n">
        <f aca="false">IF(Flows!K31*K$3*K$4&lt;0.002,100,MAX($CM$2/(Flows!K31*K$3*K$4),1))</f>
        <v>32745.4864551364</v>
      </c>
      <c r="L61" s="10" t="n">
        <f aca="false">IF(Flows!L31*L$3*L$4&lt;0.002,100,MAX($CM$2/(Flows!L31*L$3*L$4),1))</f>
        <v>294426.650460352</v>
      </c>
      <c r="M61" s="10" t="n">
        <f aca="false">IF(Flows!M31*M$3*M$4&lt;0.002,100,MAX($CM$2/(Flows!M31*M$3*M$4),1))</f>
        <v>246533.288853005</v>
      </c>
      <c r="N61" s="10" t="n">
        <f aca="false">IF(Flows!N31*N$3*N$4&lt;0.002,100,MAX($CM$2/(Flows!N31*N$3*N$4),1))</f>
        <v>40.4132322709933</v>
      </c>
      <c r="O61" s="10" t="n">
        <f aca="false">IF(Flows!O31*O$3*O$4&lt;0.002,100,MAX($CM$2/(Flows!O31*O$3*O$4),1))</f>
        <v>10.5111299637901</v>
      </c>
      <c r="P61" s="10" t="n">
        <f aca="false">IF(Flows!P31*P$3*P$4&lt;0.002,100,MAX($CM$2/(Flows!P31*P$3*P$4),1))</f>
        <v>6.30667797827405</v>
      </c>
      <c r="Q61" s="10" t="n">
        <f aca="false">IF(Flows!Q31*Q$3*Q$4&lt;0.002,100,MAX($CM$2/(Flows!Q31*Q$3*Q$4),1))</f>
        <v>34099.9464148474</v>
      </c>
      <c r="R61" s="10" t="n">
        <f aca="false">IF(Flows!R31*R$3*R$4&lt;0.002,100,MAX($CM$2/(Flows!R31*R$3*R$4),1))</f>
        <v>64.2112506613424</v>
      </c>
      <c r="S61" s="10" t="n">
        <f aca="false">IF(Flows!S31*S$3*S$4&lt;0.002,100,MAX($CM$2/(Flows!S31*S$3*S$4),1))</f>
        <v>2523.65700394587</v>
      </c>
      <c r="T61" s="10" t="n">
        <f aca="false">IF(Flows!T31*T$3*T$4&lt;0.002,100,MAX($CM$2/(Flows!T31*T$3*T$4),1))</f>
        <v>4515.36669823649</v>
      </c>
      <c r="U61" s="10" t="n">
        <f aca="false">IF(Flows!U31*U$3*U$4&lt;0.002,100,MAX($CM$2/(Flows!U31*U$3*U$4),1))</f>
        <v>16435.5525902003</v>
      </c>
      <c r="V61" s="10" t="n">
        <f aca="false">IF(Flows!V31*V$3*V$4&lt;0.002,100,MAX($CM$2/(Flows!V31*V$3*V$4),1))</f>
        <v>958.528105942161</v>
      </c>
      <c r="W61" s="10" t="n">
        <f aca="false">IF(Flows!W31*W$3*W$4&lt;0.002,100,MAX($CM$2/(Flows!W31*W$3*W$4),1))</f>
        <v>40.5585916755628</v>
      </c>
      <c r="X61" s="10" t="n">
        <f aca="false">IF(Flows!X31*X$3*X$4&lt;0.002,100,MAX($CM$2/(Flows!X31*X$3*X$4),1))</f>
        <v>3.04598819225795</v>
      </c>
      <c r="Y61" s="10" t="n">
        <f aca="false">IF(Flows!Y31*Y$3*Y$4&lt;0.002,100,MAX($CM$2/(Flows!Y31*Y$3*Y$4),1))</f>
        <v>1472.13325230176</v>
      </c>
      <c r="Z61" s="10" t="n">
        <f aca="false">IF(Flows!Z31*Z$3*Z$4&lt;0.002,100,MAX($CM$2/(Flows!Z31*Z$3*Z$4),1))</f>
        <v>67383.7638008793</v>
      </c>
      <c r="AA61" s="10" t="n">
        <f aca="false">IF(Flows!AA31*AA$3*AA$4&lt;0.002,100,MAX($CM$2/(Flows!AA31*AA$3*AA$4),1))</f>
        <v>64976.2968352916</v>
      </c>
      <c r="AB61" s="10" t="n">
        <f aca="false">IF(Flows!AB31*AB$3*AB$4&lt;0.002,100,MAX($CM$2/(Flows!AB31*AB$3*AB$4),1))</f>
        <v>43156.4855208748</v>
      </c>
      <c r="AC61" s="10" t="n">
        <f aca="false">IF(Flows!AC31*AC$3*AC$4&lt;0.002,100,MAX($CM$2/(Flows!AC31*AC$3*AC$4),1))</f>
        <v>395264.134870017</v>
      </c>
      <c r="AD61" s="10" t="n">
        <f aca="false">IF(Flows!AD31*AD$3*AD$4&lt;0.002,100,MAX($CM$2/(Flows!AD31*AD$3*AD$4),1))</f>
        <v>271852.334813437</v>
      </c>
      <c r="AE61" s="10" t="n">
        <f aca="false">IF(Flows!AE31*AE$3*AE$4&lt;0.002,100,MAX($CM$2/(Flows!AE31*AE$3*AE$4),1))</f>
        <v>519706.734400691</v>
      </c>
      <c r="AF61" s="10" t="n">
        <f aca="false">IF(Flows!AF31*AF$3*AF$4&lt;0.002,100,MAX($CM$2/(Flows!AF31*AF$3*AF$4),1))</f>
        <v>683.051846730413</v>
      </c>
      <c r="AG61" s="10" t="n">
        <f aca="false">IF(Flows!AG31*AG$3*AG$4&lt;0.002,100,MAX($CM$2/(Flows!AG31*AG$3*AG$4),1))</f>
        <v>2169.02494060926</v>
      </c>
      <c r="AH61" s="10" t="n">
        <f aca="false">IF(Flows!AH31*AH$3*AH$4&lt;0.002,100,MAX($CM$2/(Flows!AH31*AH$3*AH$4),1))</f>
        <v>393.369820277757</v>
      </c>
      <c r="AI61" s="10" t="n">
        <f aca="false">IF(Flows!AI31*AI$3*AI$4&lt;0.002,100,MAX($CM$2/(Flows!AI31*AI$3*AI$4),1))</f>
        <v>1993.0273848787</v>
      </c>
      <c r="AJ61" s="10" t="n">
        <f aca="false">IF(Flows!AJ31*AJ$3*AJ$4&lt;0.002,100,MAX($CM$2/(Flows!AJ31*AJ$3*AJ$4),1))</f>
        <v>1154.58796089998</v>
      </c>
      <c r="AK61" s="10" t="n">
        <f aca="false">IF(Flows!AK31*AK$3*AK$4&lt;0.002,100,MAX($CM$2/(Flows!AK31*AK$3*AK$4),1))</f>
        <v>657.582242891033</v>
      </c>
      <c r="AL61" s="10" t="n">
        <f aca="false">IF(Flows!AL31*AL$3*AL$4&lt;0.002,100,MAX($CM$2/(Flows!AL31*AL$3*AL$4),1))</f>
        <v>984.500931146914</v>
      </c>
      <c r="AM61" s="10" t="n">
        <f aca="false">IF(Flows!AM31*AM$3*AM$4&lt;0.002,100,MAX($CM$2/(Flows!AM31*AM$3*AM$4),1))</f>
        <v>9040.97279227979</v>
      </c>
      <c r="AN61" s="10" t="n">
        <f aca="false">IF(Flows!AN31*AN$3*AN$4&lt;0.002,100,MAX($CM$2/(Flows!AN31*AN$3*AN$4),1))</f>
        <v>18915.1021239116</v>
      </c>
      <c r="AO61" s="10" t="n">
        <f aca="false">IF(Flows!AO31*AO$3*AO$4&lt;0.002,100,MAX($CM$2/(Flows!AO31*AO$3*AO$4),1))</f>
        <v>182274.511079388</v>
      </c>
      <c r="AP61" s="10" t="n">
        <f aca="false">IF(Flows!AP31*AP$3*AP$4&lt;0.002,100,MAX($CM$2/(Flows!AP31*AP$3*AP$4),1))</f>
        <v>50191.9300948012</v>
      </c>
      <c r="AQ61" s="10" t="n">
        <f aca="false">IF(Flows!AQ31*AQ$3*AQ$4&lt;0.002,100,MAX($CM$2/(Flows!AQ31*AQ$3*AQ$4),1))</f>
        <v>56583.2923469771</v>
      </c>
      <c r="AR61" s="10" t="n">
        <f aca="false">IF(Flows!AR31*AR$3*AR$4&lt;0.002,100,MAX($CM$2/(Flows!AR31*AR$3*AR$4),1))</f>
        <v>37099.1434696038</v>
      </c>
      <c r="AS61" s="10" t="n">
        <f aca="false">IF(Flows!AS31*AS$3*AS$4&lt;0.002,100,MAX($CM$2/(Flows!AS31*AS$3*AS$4),1))</f>
        <v>23628.9774227482</v>
      </c>
      <c r="AT61" s="10" t="n">
        <f aca="false">IF(Flows!AT31*AT$3*AT$4&lt;0.002,100,MAX($CM$2/(Flows!AT31*AT$3*AT$4),1))</f>
        <v>2728.11955429859</v>
      </c>
      <c r="AU61" s="10" t="n">
        <f aca="false">IF(Flows!AU31*AU$3*AU$4&lt;0.002,100,MAX($CM$2/(Flows!AU31*AU$3*AU$4),1))</f>
        <v>737.986055545531</v>
      </c>
      <c r="AV61" s="10" t="n">
        <f aca="false">IF(Flows!AV31*AV$3*AV$4&lt;0.002,100,MAX($CM$2/(Flows!AV31*AV$3*AV$4),1))</f>
        <v>9405.16948311156</v>
      </c>
      <c r="AW61" s="10" t="n">
        <f aca="false">IF(Flows!AW31*AW$3*AW$4&lt;0.002,100,MAX($CM$2/(Flows!AW31*AW$3*AW$4),1))</f>
        <v>112.707472409788</v>
      </c>
      <c r="AX61" s="10" t="n">
        <f aca="false">IF(Flows!AX31*AX$3*AX$4&lt;0.002,100,MAX($CM$2/(Flows!AX31*AX$3*AX$4),1))</f>
        <v>2193.50340545614</v>
      </c>
      <c r="AY61" s="10" t="n">
        <f aca="false">IF(Flows!AY31*AY$3*AY$4&lt;0.002,100,MAX($CM$2/(Flows!AY31*AY$3*AY$4),1))</f>
        <v>2962.77899109605</v>
      </c>
      <c r="AZ61" s="10" t="n">
        <f aca="false">IF(Flows!AZ31*AZ$3*AZ$4&lt;0.002,100,MAX($CM$2/(Flows!AZ31*AZ$3*AZ$4),1))</f>
        <v>686.515253527344</v>
      </c>
      <c r="BA61" s="10" t="n">
        <f aca="false">IF(Flows!BA31*BA$3*BA$4&lt;0.002,100,MAX($CM$2/(Flows!BA31*BA$3*BA$4),1))</f>
        <v>15015.7591734779</v>
      </c>
      <c r="BB61" s="10" t="n">
        <f aca="false">IF(Flows!BB31*BB$3*BB$4&lt;0.002,100,MAX($CM$2/(Flows!BB31*BB$3*BB$4),1))</f>
        <v>4327.4148037463</v>
      </c>
      <c r="BC61" s="10" t="n">
        <f aca="false">IF(Flows!BC31*BC$3*BC$4&lt;0.002,100,MAX($CM$2/(Flows!BC31*BC$3*BC$4),1))</f>
        <v>1433.7331492178</v>
      </c>
      <c r="BD61" s="10" t="n">
        <f aca="false">IF(Flows!BD31*BD$3*BD$4&lt;0.002,100,MAX($CM$2/(Flows!BD31*BD$3*BD$4),1))</f>
        <v>5872.16390850389</v>
      </c>
      <c r="BE61" s="10" t="n">
        <f aca="false">IF(Flows!BE31*BE$3*BE$4&lt;0.002,100,MAX($CM$2/(Flows!BE31*BE$3*BE$4),1))</f>
        <v>37354.8634751107</v>
      </c>
      <c r="BF61" s="10" t="n">
        <f aca="false">IF(Flows!BF31*BF$3*BF$4&lt;0.002,100,MAX($CM$2/(Flows!BF31*BF$3*BF$4),1))</f>
        <v>4030.59432264858</v>
      </c>
      <c r="BG61" s="10" t="n">
        <f aca="false">IF(Flows!BG31*BG$3*BG$4&lt;0.002,100,MAX($CM$2/(Flows!BG31*BG$3*BG$4),1))</f>
        <v>1853.72672749498</v>
      </c>
      <c r="BH61" s="10" t="n">
        <f aca="false">IF(Flows!BH31*BH$3*BH$4&lt;0.002,100,MAX($CM$2/(Flows!BH31*BH$3*BH$4),1))</f>
        <v>926.863363747488</v>
      </c>
      <c r="BI61" s="10" t="n">
        <f aca="false">IF(Flows!BI31*BI$3*BI$4&lt;0.002,100,MAX($CM$2/(Flows!BI31*BI$3*BI$4),1))</f>
        <v>695.147522810616</v>
      </c>
      <c r="BJ61" s="10" t="n">
        <f aca="false">IF(Flows!BJ31*BJ$3*BJ$4&lt;0.002,100,MAX($CM$2/(Flows!BJ31*BJ$3*BJ$4),1))</f>
        <v>4.32241572950422</v>
      </c>
      <c r="BK61" s="10" t="n">
        <f aca="false">IF(Flows!BK31*BK$3*BK$4&lt;0.002,100,MAX($CM$2/(Flows!BK31*BK$3*BK$4),1))</f>
        <v>1390.29504562123</v>
      </c>
      <c r="BL61" s="10" t="n">
        <f aca="false">IF(Flows!BL31*BL$3*BL$4&lt;0.002,100,MAX($CM$2/(Flows!BL31*BL$3*BL$4),1))</f>
        <v>118.616467294077</v>
      </c>
      <c r="BM61" s="10" t="n">
        <f aca="false">IF(Flows!BM31*BM$3*BM$4&lt;0.002,100,MAX($CM$2/(Flows!BM31*BM$3*BM$4),1))</f>
        <v>189.833932348558</v>
      </c>
      <c r="BN61" s="10" t="n">
        <f aca="false">IF(Flows!BN31*BN$3*BN$4&lt;0.002,100,MAX($CM$2/(Flows!BN31*BN$3*BN$4),1))</f>
        <v>4358203.40463622</v>
      </c>
      <c r="BO61" s="10" t="n">
        <f aca="false">IF(Flows!BO31*BO$3*BO$4&lt;0.002,100,MAX($CM$2/(Flows!BO31*BO$3*BO$4),1))</f>
        <v>261.429749763598</v>
      </c>
      <c r="BP61" s="10" t="n">
        <f aca="false">IF(Flows!BP31*BP$3*BP$4&lt;0.002,100,MAX($CM$2/(Flows!BP31*BP$3*BP$4),1))</f>
        <v>320.075600716189</v>
      </c>
      <c r="BQ61" s="10" t="n">
        <f aca="false">IF(Flows!BQ31*BQ$3*BQ$4&lt;0.002,100,MAX($CM$2/(Flows!BQ31*BQ$3*BQ$4),1))</f>
        <v>6704928.31482495</v>
      </c>
      <c r="BR61" s="10" t="n">
        <f aca="false">IF(Flows!BR31*BR$3*BR$4&lt;0.002,100,MAX($CM$2/(Flows!BR31*BR$3*BR$4),1))</f>
        <v>7842.88865242492</v>
      </c>
      <c r="BS61" s="10" t="n">
        <f aca="false">IF(Flows!BS31*BS$3*BS$4&lt;0.002,100,MAX($CM$2/(Flows!BS31*BS$3*BS$4),1))</f>
        <v>78428.8865242492</v>
      </c>
      <c r="BT61" s="10" t="n">
        <f aca="false">IF(Flows!BT31*BT$3*BT$4&lt;0.002,100,MAX($CM$2/(Flows!BT31*BT$3*BT$4),1))</f>
        <v>32.4855769401374</v>
      </c>
      <c r="BU61" s="10" t="n">
        <f aca="false">IF(Flows!BU31*BU$3*BU$4&lt;0.002,100,MAX($CM$2/(Flows!BU31*BU$3*BU$4),1))</f>
        <v>324.855769401374</v>
      </c>
      <c r="BV61" s="10" t="n">
        <f aca="false">IF(Flows!BV31*BV$3*BV$4&lt;0.002,100,MAX($CM$2/(Flows!BV31*BV$3*BV$4),1))</f>
        <v>3248.55769401374</v>
      </c>
      <c r="BW61" s="10" t="n">
        <f aca="false">IF(Flows!BW31*BW$3*BW$4&lt;0.002,100,MAX($CM$2/(Flows!BW31*BW$3*BW$4),1))</f>
        <v>120.811178799204</v>
      </c>
      <c r="BX61" s="10" t="n">
        <f aca="false">IF(Flows!BX31*BX$3*BX$4&lt;0.002,100,MAX($CM$2/(Flows!BX31*BX$3*BX$4),1))</f>
        <v>44.5982174429614</v>
      </c>
      <c r="BY61" s="10" t="n">
        <f aca="false">IF(Flows!BY31*BY$3*BY$4&lt;0.002,100,MAX($CM$2/(Flows!BY31*BY$3*BY$4),1))</f>
        <v>16.4143739023994</v>
      </c>
      <c r="BZ61" s="10" t="n">
        <f aca="false">IF(Flows!BZ31*BZ$3*BZ$4&lt;0.002,100,MAX($CM$2/(Flows!BZ31*BZ$3*BZ$4),1))</f>
        <v>31754.2114892268</v>
      </c>
      <c r="CA61" s="10" t="n">
        <f aca="false">IF(Flows!CA31*CA$3*CA$4&lt;0.002,100,MAX($CM$2/(Flows!CA31*CA$3*CA$4),1))</f>
        <v>12313.2008005839</v>
      </c>
      <c r="CB61" s="10" t="n">
        <f aca="false">IF(Flows!CB31*CB$3*CB$4&lt;0.002,100,MAX($CM$2/(Flows!CB31*CB$3*CB$4),1))</f>
        <v>91.9494549178993</v>
      </c>
      <c r="CC61" s="10" t="n">
        <f aca="false">IF(Flows!CC31*CC$3*CC$4&lt;0.002,100,MAX($CM$2/(Flows!CC31*CC$3*CC$4),1))</f>
        <v>10.1045896710985</v>
      </c>
      <c r="CD61" s="10" t="n">
        <f aca="false">IF(Flows!CD31*CD$3*CD$4&lt;0.002,100,MAX($CM$2/(Flows!CD31*CD$3*CD$4),1))</f>
        <v>480.872600074846</v>
      </c>
      <c r="CE61" s="10" t="n">
        <f aca="false">IF(Flows!CE31*CE$3*CE$4&lt;0.002,100,MAX($CM$2/(Flows!CE31*CE$3*CE$4),1))</f>
        <v>69.6447221518191</v>
      </c>
      <c r="CF61" s="10" t="n">
        <f aca="false">IF(Flows!CF31*CF$3*CF$4&lt;0.002,100,MAX($CM$2/(Flows!CF31*CF$3*CF$4),1))</f>
        <v>1.90121785091596</v>
      </c>
      <c r="CG61" s="10" t="n">
        <f aca="false">IF(Flows!CG31*CG$3*CG$4&lt;0.002,100,MAX($CM$2/(Flows!CG31*CG$3*CG$4),1))</f>
        <v>1220.91966359356</v>
      </c>
      <c r="CH61" s="10" t="n">
        <f aca="false">IF(Flows!CH31*CH$3*CH$4&lt;0.002,100,MAX($CM$2/(Flows!CH31*CH$3*CH$4),1))</f>
        <v>224.044923684849</v>
      </c>
      <c r="CI61" s="10" t="n">
        <f aca="false">IF(Flows!CI31*CI$3*CI$4&lt;0.002,100,MAX($CM$2/(Flows!CI31*CI$3*CI$4),1))</f>
        <v>211.308509379331</v>
      </c>
      <c r="CJ61" s="10" t="n">
        <f aca="false">IF(Flows!CJ31*CJ$3*CJ$4&lt;0.002,100,MAX($CM$2/(Flows!CJ31*CJ$3*CJ$4),1))</f>
        <v>2152.79012208513</v>
      </c>
      <c r="CK61" s="10" t="n">
        <f aca="false">IF(Flows!CK31*CK$3*CK$4&lt;0.002,100,MAX($CM$2/(Flows!CK31*CK$3*CK$4),1))</f>
        <v>857.229325759887</v>
      </c>
      <c r="CL61" s="7" t="s">
        <v>39</v>
      </c>
    </row>
    <row r="62" customFormat="false" ht="12.8" hidden="false" customHeight="false" outlineLevel="0" collapsed="false">
      <c r="A62" s="7" t="s">
        <v>133</v>
      </c>
      <c r="B62" s="7" t="s">
        <v>39</v>
      </c>
      <c r="C62" s="10" t="n">
        <f aca="false">IF(Flows!C32*C$3*C$4&lt;0.002,100,MAX($CM$2/(Flows!C32*C$3*C$4),1))</f>
        <v>36857.8796793944</v>
      </c>
      <c r="D62" s="10" t="n">
        <f aca="false">IF(Flows!D32*D$3*D$4&lt;0.002,100,MAX($CM$2/(Flows!D32*D$3*D$4),1))</f>
        <v>7.31435732279625</v>
      </c>
      <c r="E62" s="10" t="n">
        <f aca="false">IF(Flows!E32*E$3*E$4&lt;0.002,100,MAX($CM$2/(Flows!E32*E$3*E$4),1))</f>
        <v>18.9333446439003</v>
      </c>
      <c r="F62" s="10" t="n">
        <f aca="false">IF(Flows!F32*F$3*F$4&lt;0.002,100,MAX($CM$2/(Flows!F32*F$3*F$4),1))</f>
        <v>34.1649853967519</v>
      </c>
      <c r="G62" s="10" t="n">
        <f aca="false">IF(Flows!G32*G$3*G$4&lt;0.002,100,MAX($CM$2/(Flows!G32*G$3*G$4),1))</f>
        <v>37.1629798035833</v>
      </c>
      <c r="H62" s="10" t="n">
        <f aca="false">IF(Flows!H32*H$3*H$4&lt;0.002,100,MAX($CM$2/(Flows!H32*H$3*H$4),1))</f>
        <v>40112.4648354243</v>
      </c>
      <c r="I62" s="10" t="n">
        <f aca="false">IF(Flows!I32*I$3*I$4&lt;0.002,100,MAX($CM$2/(Flows!I32*I$3*I$4),1))</f>
        <v>1162.24392860201</v>
      </c>
      <c r="J62" s="10" t="n">
        <f aca="false">IF(Flows!J32*J$3*J$4&lt;0.002,100,MAX($CM$2/(Flows!J32*J$3*J$4),1))</f>
        <v>1267.07724742558</v>
      </c>
      <c r="K62" s="10" t="n">
        <f aca="false">IF(Flows!K32*K$3*K$4&lt;0.002,100,MAX($CM$2/(Flows!K32*K$3*K$4),1))</f>
        <v>18850.8925091201</v>
      </c>
      <c r="L62" s="10" t="n">
        <f aca="false">IF(Flows!L32*L$3*L$4&lt;0.002,100,MAX($CM$2/(Flows!L32*L$3*L$4),1))</f>
        <v>118085.222861461</v>
      </c>
      <c r="M62" s="10" t="n">
        <f aca="false">IF(Flows!M32*M$3*M$4&lt;0.002,100,MAX($CM$2/(Flows!M32*M$3*M$4),1))</f>
        <v>88744.0424769606</v>
      </c>
      <c r="N62" s="10" t="n">
        <f aca="false">IF(Flows!N32*N$3*N$4&lt;0.002,100,MAX($CM$2/(Flows!N32*N$3*N$4),1))</f>
        <v>22.0498086741023</v>
      </c>
      <c r="O62" s="10" t="n">
        <f aca="false">IF(Flows!O32*O$3*O$4&lt;0.002,100,MAX($CM$2/(Flows!O32*O$3*O$4),1))</f>
        <v>5.851485858237</v>
      </c>
      <c r="P62" s="10" t="n">
        <f aca="false">IF(Flows!P32*P$3*P$4&lt;0.002,100,MAX($CM$2/(Flows!P32*P$3*P$4),1))</f>
        <v>3.5108915149422</v>
      </c>
      <c r="Q62" s="10" t="n">
        <f aca="false">IF(Flows!Q32*Q$3*Q$4&lt;0.002,100,MAX($CM$2/(Flows!Q32*Q$3*Q$4),1))</f>
        <v>639.386513067679</v>
      </c>
      <c r="R62" s="10" t="n">
        <f aca="false">IF(Flows!R32*R$3*R$4&lt;0.002,100,MAX($CM$2/(Flows!R32*R$3*R$4),1))</f>
        <v>45.982951467365</v>
      </c>
      <c r="S62" s="10" t="n">
        <f aca="false">IF(Flows!S32*S$3*S$4&lt;0.002,100,MAX($CM$2/(Flows!S32*S$3*S$4),1))</f>
        <v>1012.15905309824</v>
      </c>
      <c r="T62" s="10" t="n">
        <f aca="false">IF(Flows!T32*T$3*T$4&lt;0.002,100,MAX($CM$2/(Flows!T32*T$3*T$4),1))</f>
        <v>1810.97085480812</v>
      </c>
      <c r="U62" s="10" t="n">
        <f aca="false">IF(Flows!U32*U$3*U$4&lt;0.002,100,MAX($CM$2/(Flows!U32*U$3*U$4),1))</f>
        <v>5916.26949846404</v>
      </c>
      <c r="V62" s="10" t="n">
        <f aca="false">IF(Flows!V32*V$3*V$4&lt;0.002,100,MAX($CM$2/(Flows!V32*V$3*V$4),1))</f>
        <v>189.64541037408</v>
      </c>
      <c r="W62" s="10" t="n">
        <f aca="false">IF(Flows!W32*W$3*W$4&lt;0.002,100,MAX($CM$2/(Flows!W32*W$3*W$4),1))</f>
        <v>7.86710097147834</v>
      </c>
      <c r="X62" s="10" t="n">
        <f aca="false">IF(Flows!X32*X$3*X$4&lt;0.002,100,MAX($CM$2/(Flows!X32*X$3*X$4),1))</f>
        <v>5.89332177589103</v>
      </c>
      <c r="Y62" s="10" t="n">
        <f aca="false">IF(Flows!Y32*Y$3*Y$4&lt;0.002,100,MAX($CM$2/(Flows!Y32*Y$3*Y$4),1))</f>
        <v>590.426114307306</v>
      </c>
      <c r="Z62" s="10" t="n">
        <f aca="false">IF(Flows!Z32*Z$3*Z$4&lt;0.002,100,MAX($CM$2/(Flows!Z32*Z$3*Z$4),1))</f>
        <v>71343.3549518644</v>
      </c>
      <c r="AA62" s="10" t="n">
        <f aca="false">IF(Flows!AA32*AA$3*AA$4&lt;0.002,100,MAX($CM$2/(Flows!AA32*AA$3*AA$4),1))</f>
        <v>40333.2706413937</v>
      </c>
      <c r="AB62" s="10" t="n">
        <f aca="false">IF(Flows!AB32*AB$3*AB$4&lt;0.002,100,MAX($CM$2/(Flows!AB32*AB$3*AB$4),1))</f>
        <v>20290.2567984446</v>
      </c>
      <c r="AC62" s="10" t="n">
        <f aca="false">IF(Flows!AC32*AC$3*AC$4&lt;0.002,100,MAX($CM$2/(Flows!AC32*AC$3*AC$4),1))</f>
        <v>375261.391441457</v>
      </c>
      <c r="AD62" s="10" t="n">
        <f aca="false">IF(Flows!AD32*AD$3*AD$4&lt;0.002,100,MAX($CM$2/(Flows!AD32*AD$3*AD$4),1))</f>
        <v>127812.856353962</v>
      </c>
      <c r="AE62" s="10" t="n">
        <f aca="false">IF(Flows!AE32*AE$3*AE$4&lt;0.002,100,MAX($CM$2/(Flows!AE32*AE$3*AE$4),1))</f>
        <v>154938.828619209</v>
      </c>
      <c r="AF62" s="10" t="n">
        <f aca="false">IF(Flows!AF32*AF$3*AF$4&lt;0.002,100,MAX($CM$2/(Flows!AF32*AF$3*AF$4),1))</f>
        <v>1455.07893623879</v>
      </c>
      <c r="AG62" s="10" t="n">
        <f aca="false">IF(Flows!AG32*AG$3*AG$4&lt;0.002,100,MAX($CM$2/(Flows!AG32*AG$3*AG$4),1))</f>
        <v>812.357695968183</v>
      </c>
      <c r="AH62" s="10" t="n">
        <f aca="false">IF(Flows!AH32*AH$3*AH$4&lt;0.002,100,MAX($CM$2/(Flows!AH32*AH$3*AH$4),1))</f>
        <v>906.305587650541</v>
      </c>
      <c r="AI62" s="10" t="n">
        <f aca="false">IF(Flows!AI32*AI$3*AI$4&lt;0.002,100,MAX($CM$2/(Flows!AI32*AI$3*AI$4),1))</f>
        <v>1980.47584228839</v>
      </c>
      <c r="AJ62" s="10" t="n">
        <f aca="false">IF(Flows!AJ32*AJ$3*AJ$4&lt;0.002,100,MAX($CM$2/(Flows!AJ32*AJ$3*AJ$4),1))</f>
        <v>5797.13007404136</v>
      </c>
      <c r="AK62" s="10" t="n">
        <f aca="false">IF(Flows!AK32*AK$3*AK$4&lt;0.002,100,MAX($CM$2/(Flows!AK32*AK$3*AK$4),1))</f>
        <v>952.600036650879</v>
      </c>
      <c r="AL62" s="10" t="n">
        <f aca="false">IF(Flows!AL32*AL$3*AL$4&lt;0.002,100,MAX($CM$2/(Flows!AL32*AL$3*AL$4),1))</f>
        <v>18622.1509396168</v>
      </c>
      <c r="AM62" s="10" t="n">
        <f aca="false">IF(Flows!AM32*AM$3*AM$4&lt;0.002,100,MAX($CM$2/(Flows!AM32*AM$3*AM$4),1))</f>
        <v>1997.5498370519</v>
      </c>
      <c r="AN62" s="10" t="n">
        <f aca="false">IF(Flows!AN32*AN$3*AN$4&lt;0.002,100,MAX($CM$2/(Flows!AN32*AN$3*AN$4),1))</f>
        <v>1824.40660868344</v>
      </c>
      <c r="AO62" s="10" t="n">
        <f aca="false">IF(Flows!AO32*AO$3*AO$4&lt;0.002,100,MAX($CM$2/(Flows!AO32*AO$3*AO$4),1))</f>
        <v>171726.083721025</v>
      </c>
      <c r="AP62" s="10" t="n">
        <f aca="false">IF(Flows!AP32*AP$3*AP$4&lt;0.002,100,MAX($CM$2/(Flows!AP32*AP$3*AP$4),1))</f>
        <v>44837.2079476251</v>
      </c>
      <c r="AQ62" s="10" t="n">
        <f aca="false">IF(Flows!AQ32*AQ$3*AQ$4&lt;0.002,100,MAX($CM$2/(Flows!AQ32*AQ$3*AQ$4),1))</f>
        <v>12961.6684988656</v>
      </c>
      <c r="AR62" s="10" t="n">
        <f aca="false">IF(Flows!AR32*AR$3*AR$4&lt;0.002,100,MAX($CM$2/(Flows!AR32*AR$3*AR$4),1))</f>
        <v>33469.8190773715</v>
      </c>
      <c r="AS62" s="10" t="n">
        <f aca="false">IF(Flows!AS32*AS$3*AS$4&lt;0.002,100,MAX($CM$2/(Flows!AS32*AS$3*AS$4),1))</f>
        <v>3700.63723080244</v>
      </c>
      <c r="AT62" s="10" t="n">
        <f aca="false">IF(Flows!AT32*AT$3*AT$4&lt;0.002,100,MAX($CM$2/(Flows!AT32*AT$3*AT$4),1))</f>
        <v>774.252605202563</v>
      </c>
      <c r="AU62" s="10" t="n">
        <f aca="false">IF(Flows!AU32*AU$3*AU$4&lt;0.002,100,MAX($CM$2/(Flows!AU32*AU$3*AU$4),1))</f>
        <v>337901.777657925</v>
      </c>
      <c r="AV62" s="10" t="n">
        <f aca="false">IF(Flows!AV32*AV$3*AV$4&lt;0.002,100,MAX($CM$2/(Flows!AV32*AV$3*AV$4),1))</f>
        <v>7864.25618205403</v>
      </c>
      <c r="AW62" s="10" t="n">
        <f aca="false">IF(Flows!AW32*AW$3*AW$4&lt;0.002,100,MAX($CM$2/(Flows!AW32*AW$3*AW$4),1))</f>
        <v>106.265514374392</v>
      </c>
      <c r="AX62" s="10" t="n">
        <f aca="false">IF(Flows!AX32*AX$3*AX$4&lt;0.002,100,MAX($CM$2/(Flows!AX32*AX$3*AX$4),1))</f>
        <v>4033.00290050052</v>
      </c>
      <c r="AY62" s="10" t="n">
        <f aca="false">IF(Flows!AY32*AY$3*AY$4&lt;0.002,100,MAX($CM$2/(Flows!AY32*AY$3*AY$4),1))</f>
        <v>3374.988815339</v>
      </c>
      <c r="AZ62" s="10" t="n">
        <f aca="false">IF(Flows!AZ32*AZ$3*AZ$4&lt;0.002,100,MAX($CM$2/(Flows!AZ32*AZ$3*AZ$4),1))</f>
        <v>514.48507935551</v>
      </c>
      <c r="BA62" s="10" t="n">
        <f aca="false">IF(Flows!BA32*BA$3*BA$4&lt;0.002,100,MAX($CM$2/(Flows!BA32*BA$3*BA$4),1))</f>
        <v>6022.34636593452</v>
      </c>
      <c r="BB62" s="10" t="n">
        <f aca="false">IF(Flows!BB32*BB$3*BB$4&lt;0.002,100,MAX($CM$2/(Flows!BB32*BB$3*BB$4),1))</f>
        <v>13710.1943791575</v>
      </c>
      <c r="BC62" s="10" t="n">
        <f aca="false">IF(Flows!BC32*BC$3*BC$4&lt;0.002,100,MAX($CM$2/(Flows!BC32*BC$3*BC$4),1))</f>
        <v>3962.91380903526</v>
      </c>
      <c r="BD62" s="10" t="n">
        <f aca="false">IF(Flows!BD32*BD$3*BD$4&lt;0.002,100,MAX($CM$2/(Flows!BD32*BD$3*BD$4),1))</f>
        <v>41382.8563541239</v>
      </c>
      <c r="BE62" s="10" t="n">
        <f aca="false">IF(Flows!BE32*BE$3*BE$4&lt;0.002,100,MAX($CM$2/(Flows!BE32*BE$3*BE$4),1))</f>
        <v>15225.3159801521</v>
      </c>
      <c r="BF62" s="10" t="n">
        <f aca="false">IF(Flows!BF32*BF$3*BF$4&lt;0.002,100,MAX($CM$2/(Flows!BF32*BF$3*BF$4),1))</f>
        <v>1430.64773198267</v>
      </c>
      <c r="BG62" s="10" t="n">
        <f aca="false">IF(Flows!BG32*BG$3*BG$4&lt;0.002,100,MAX($CM$2/(Flows!BG32*BG$3*BG$4),1))</f>
        <v>622.562774138694</v>
      </c>
      <c r="BH62" s="10" t="n">
        <f aca="false">IF(Flows!BH32*BH$3*BH$4&lt;0.002,100,MAX($CM$2/(Flows!BH32*BH$3*BH$4),1))</f>
        <v>2253126.00857048</v>
      </c>
      <c r="BI62" s="10" t="n">
        <f aca="false">IF(Flows!BI32*BI$3*BI$4&lt;0.002,100,MAX($CM$2/(Flows!BI32*BI$3*BI$4),1))</f>
        <v>233.46104030201</v>
      </c>
      <c r="BJ62" s="10" t="n">
        <f aca="false">IF(Flows!BJ32*BJ$3*BJ$4&lt;0.002,100,MAX($CM$2/(Flows!BJ32*BJ$3*BJ$4),1))</f>
        <v>4.92093036502834</v>
      </c>
      <c r="BK62" s="10" t="n">
        <f aca="false">IF(Flows!BK32*BK$3*BK$4&lt;0.002,100,MAX($CM$2/(Flows!BK32*BK$3*BK$4),1))</f>
        <v>466.92208060402</v>
      </c>
      <c r="BL62" s="10" t="n">
        <f aca="false">IF(Flows!BL32*BL$3*BL$4&lt;0.002,100,MAX($CM$2/(Flows!BL32*BL$3*BL$4),1))</f>
        <v>187.420945227935</v>
      </c>
      <c r="BM62" s="10" t="n">
        <f aca="false">IF(Flows!BM32*BM$3*BM$4&lt;0.002,100,MAX($CM$2/(Flows!BM32*BM$3*BM$4),1))</f>
        <v>137.612099565248</v>
      </c>
      <c r="BN62" s="10" t="n">
        <f aca="false">IF(Flows!BN32*BN$3*BN$4&lt;0.002,100,MAX($CM$2/(Flows!BN32*BN$3*BN$4),1))</f>
        <v>1</v>
      </c>
      <c r="BO62" s="10" t="n">
        <f aca="false">IF(Flows!BO32*BO$3*BO$4&lt;0.002,100,MAX($CM$2/(Flows!BO32*BO$3*BO$4),1))</f>
        <v>122.641309983687</v>
      </c>
      <c r="BP62" s="10" t="n">
        <f aca="false">IF(Flows!BP32*BP$3*BP$4&lt;0.002,100,MAX($CM$2/(Flows!BP32*BP$3*BP$4),1))</f>
        <v>296.560333217109</v>
      </c>
      <c r="BQ62" s="10" t="n">
        <f aca="false">IF(Flows!BQ32*BQ$3*BQ$4&lt;0.002,100,MAX($CM$2/(Flows!BQ32*BQ$3*BQ$4),1))</f>
        <v>1</v>
      </c>
      <c r="BR62" s="10" t="n">
        <f aca="false">IF(Flows!BR32*BR$3*BR$4&lt;0.002,100,MAX($CM$2/(Flows!BR32*BR$3*BR$4),1))</f>
        <v>3679.23875939883</v>
      </c>
      <c r="BS62" s="10" t="n">
        <f aca="false">IF(Flows!BS32*BS$3*BS$4&lt;0.002,100,MAX($CM$2/(Flows!BS32*BS$3*BS$4),1))</f>
        <v>36792.3875939883</v>
      </c>
      <c r="BT62" s="10" t="n">
        <f aca="false">IF(Flows!BT32*BT$3*BT$4&lt;0.002,100,MAX($CM$2/(Flows!BT32*BT$3*BT$4),1))</f>
        <v>9.96401828798194</v>
      </c>
      <c r="BU62" s="10" t="n">
        <f aca="false">IF(Flows!BU32*BU$3*BU$4&lt;0.002,100,MAX($CM$2/(Flows!BU32*BU$3*BU$4),1))</f>
        <v>99.6401828798194</v>
      </c>
      <c r="BV62" s="10" t="n">
        <f aca="false">IF(Flows!BV32*BV$3*BV$4&lt;0.002,100,MAX($CM$2/(Flows!BV32*BV$3*BV$4),1))</f>
        <v>996.401828798194</v>
      </c>
      <c r="BW62" s="10" t="n">
        <f aca="false">IF(Flows!BW32*BW$3*BW$4&lt;0.002,100,MAX($CM$2/(Flows!BW32*BW$3*BW$4),1))</f>
        <v>56.800033931701</v>
      </c>
      <c r="BX62" s="10" t="n">
        <f aca="false">IF(Flows!BX32*BX$3*BX$4&lt;0.002,100,MAX($CM$2/(Flows!BX32*BX$3*BX$4),1))</f>
        <v>21.3166228036095</v>
      </c>
      <c r="BY62" s="10" t="n">
        <f aca="false">IF(Flows!BY32*BY$3*BY$4&lt;0.002,100,MAX($CM$2/(Flows!BY32*BY$3*BY$4),1))</f>
        <v>47.5502503266563</v>
      </c>
      <c r="BZ62" s="10" t="n">
        <f aca="false">IF(Flows!BZ32*BZ$3*BZ$4&lt;0.002,100,MAX($CM$2/(Flows!BZ32*BZ$3*BZ$4),1))</f>
        <v>32048.2429869653</v>
      </c>
      <c r="CA62" s="10" t="n">
        <f aca="false">IF(Flows!CA32*CA$3*CA$4&lt;0.002,100,MAX($CM$2/(Flows!CA32*CA$3*CA$4),1))</f>
        <v>19826.0370985202</v>
      </c>
      <c r="CB62" s="10" t="n">
        <f aca="false">IF(Flows!CB32*CB$3*CB$4&lt;0.002,100,MAX($CM$2/(Flows!CB32*CB$3*CB$4),1))</f>
        <v>284.99323240066</v>
      </c>
      <c r="CC62" s="10" t="n">
        <f aca="false">IF(Flows!CC32*CC$3*CC$4&lt;0.002,100,MAX($CM$2/(Flows!CC32*CC$3*CC$4),1))</f>
        <v>3689.21568434517</v>
      </c>
      <c r="CD62" s="10" t="n">
        <f aca="false">IF(Flows!CD32*CD$3*CD$4&lt;0.002,100,MAX($CM$2/(Flows!CD32*CD$3*CD$4),1))</f>
        <v>154.056106142842</v>
      </c>
      <c r="CE62" s="10" t="n">
        <f aca="false">IF(Flows!CE32*CE$3*CE$4&lt;0.002,100,MAX($CM$2/(Flows!CE32*CE$3*CE$4),1))</f>
        <v>46.7459023612399</v>
      </c>
      <c r="CF62" s="10" t="n">
        <f aca="false">IF(Flows!CF32*CF$3*CF$4&lt;0.002,100,MAX($CM$2/(Flows!CF32*CF$3*CF$4),1))</f>
        <v>1</v>
      </c>
      <c r="CG62" s="10" t="n">
        <f aca="false">IF(Flows!CG32*CG$3*CG$4&lt;0.002,100,MAX($CM$2/(Flows!CG32*CG$3*CG$4),1))</f>
        <v>24.2045220541623</v>
      </c>
      <c r="CH62" s="10" t="n">
        <f aca="false">IF(Flows!CH32*CH$3*CH$4&lt;0.002,100,MAX($CM$2/(Flows!CH32*CH$3*CH$4),1))</f>
        <v>56.6023194345669</v>
      </c>
      <c r="CI62" s="10" t="n">
        <f aca="false">IF(Flows!CI32*CI$3*CI$4&lt;0.002,100,MAX($CM$2/(Flows!CI32*CI$3*CI$4),1))</f>
        <v>417.086347489229</v>
      </c>
      <c r="CJ62" s="10" t="n">
        <f aca="false">IF(Flows!CJ32*CJ$3*CJ$4&lt;0.002,100,MAX($CM$2/(Flows!CJ32*CJ$3*CJ$4),1))</f>
        <v>4178.4865006037</v>
      </c>
      <c r="CK62" s="10" t="n">
        <f aca="false">IF(Flows!CK32*CK$3*CK$4&lt;0.002,100,MAX($CM$2/(Flows!CK32*CK$3*CK$4),1))</f>
        <v>679.29194573637</v>
      </c>
      <c r="CL62" s="7" t="s">
        <v>39</v>
      </c>
    </row>
    <row r="63" customFormat="false" ht="12.8" hidden="false" customHeight="false" outlineLevel="0" collapsed="false">
      <c r="A63" s="7" t="s">
        <v>135</v>
      </c>
      <c r="B63" s="7" t="s">
        <v>39</v>
      </c>
      <c r="C63" s="10" t="n">
        <f aca="false">IF(Flows!C33*C$3*C$4&lt;0.002,100,MAX($CM$2/(Flows!C33*C$3*C$4),1))</f>
        <v>21637.6585154583</v>
      </c>
      <c r="D63" s="10" t="n">
        <f aca="false">IF(Flows!D33*D$3*D$4&lt;0.002,100,MAX($CM$2/(Flows!D33*D$3*D$4),1))</f>
        <v>3.52597481435489</v>
      </c>
      <c r="E63" s="10" t="n">
        <f aca="false">IF(Flows!E33*E$3*E$4&lt;0.002,100,MAX($CM$2/(Flows!E33*E$3*E$4),1))</f>
        <v>6.9402988952675</v>
      </c>
      <c r="F63" s="10" t="n">
        <f aca="false">IF(Flows!F33*F$3*F$4&lt;0.002,100,MAX($CM$2/(Flows!F33*F$3*F$4),1))</f>
        <v>22.8558245567299</v>
      </c>
      <c r="G63" s="10" t="n">
        <f aca="false">IF(Flows!G33*G$3*G$4&lt;0.002,100,MAX($CM$2/(Flows!G33*G$3*G$4),1))</f>
        <v>5.52979373326503</v>
      </c>
      <c r="H63" s="10" t="n">
        <f aca="false">IF(Flows!H33*H$3*H$4&lt;0.002,100,MAX($CM$2/(Flows!H33*H$3*H$4),1))</f>
        <v>1636.63607963383</v>
      </c>
      <c r="I63" s="10" t="n">
        <f aca="false">IF(Flows!I33*I$3*I$4&lt;0.002,100,MAX($CM$2/(Flows!I33*I$3*I$4),1))</f>
        <v>5717.21347873842</v>
      </c>
      <c r="J63" s="10" t="n">
        <f aca="false">IF(Flows!J33*J$3*J$4&lt;0.002,100,MAX($CM$2/(Flows!J33*J$3*J$4),1))</f>
        <v>10241.8124654555</v>
      </c>
      <c r="K63" s="10" t="n">
        <f aca="false">IF(Flows!K33*K$3*K$4&lt;0.002,100,MAX($CM$2/(Flows!K33*K$3*K$4),1))</f>
        <v>14588.8874568533</v>
      </c>
      <c r="L63" s="10" t="n">
        <f aca="false">IF(Flows!L33*L$3*L$4&lt;0.002,100,MAX($CM$2/(Flows!L33*L$3*L$4),1))</f>
        <v>97431.9556988212</v>
      </c>
      <c r="M63" s="10" t="n">
        <f aca="false">IF(Flows!M33*M$3*M$4&lt;0.002,100,MAX($CM$2/(Flows!M33*M$3*M$4),1))</f>
        <v>74380.6276010473</v>
      </c>
      <c r="N63" s="10" t="n">
        <f aca="false">IF(Flows!N33*N$3*N$4&lt;0.002,100,MAX($CM$2/(Flows!N33*N$3*N$4),1))</f>
        <v>4.84392722057219</v>
      </c>
      <c r="O63" s="10" t="n">
        <f aca="false">IF(Flows!O33*O$3*O$4&lt;0.002,100,MAX($CM$2/(Flows!O33*O$3*O$4),1))</f>
        <v>2.82077985148391</v>
      </c>
      <c r="P63" s="10" t="n">
        <f aca="false">IF(Flows!P33*P$3*P$4&lt;0.002,100,MAX($CM$2/(Flows!P33*P$3*P$4),1))</f>
        <v>1.69246791089034</v>
      </c>
      <c r="Q63" s="10" t="n">
        <f aca="false">IF(Flows!Q33*Q$3*Q$4&lt;0.002,100,MAX($CM$2/(Flows!Q33*Q$3*Q$4),1))</f>
        <v>192.852026823829</v>
      </c>
      <c r="R63" s="10" t="n">
        <f aca="false">IF(Flows!R33*R$3*R$4&lt;0.002,100,MAX($CM$2/(Flows!R33*R$3*R$4),1))</f>
        <v>37.3165357727147</v>
      </c>
      <c r="S63" s="10" t="n">
        <f aca="false">IF(Flows!S33*S$3*S$4&lt;0.002,100,MAX($CM$2/(Flows!S33*S$3*S$4),1))</f>
        <v>835.131048847037</v>
      </c>
      <c r="T63" s="10" t="n">
        <f aca="false">IF(Flows!T33*T$3*T$4&lt;0.002,100,MAX($CM$2/(Flows!T33*T$3*T$4),1))</f>
        <v>1494.229572692</v>
      </c>
      <c r="U63" s="10" t="n">
        <f aca="false">IF(Flows!U33*U$3*U$4&lt;0.002,100,MAX($CM$2/(Flows!U33*U$3*U$4),1))</f>
        <v>4958.70850673648</v>
      </c>
      <c r="V63" s="10" t="n">
        <f aca="false">IF(Flows!V33*V$3*V$4&lt;0.002,100,MAX($CM$2/(Flows!V33*V$3*V$4),1))</f>
        <v>935.380724131771</v>
      </c>
      <c r="W63" s="10" t="n">
        <f aca="false">IF(Flows!W33*W$3*W$4&lt;0.002,100,MAX($CM$2/(Flows!W33*W$3*W$4),1))</f>
        <v>3.92920090418955</v>
      </c>
      <c r="X63" s="10" t="n">
        <f aca="false">IF(Flows!X33*X$3*X$4&lt;0.002,100,MAX($CM$2/(Flows!X33*X$3*X$4),1))</f>
        <v>3.76817078950551</v>
      </c>
      <c r="Y63" s="10" t="n">
        <f aca="false">IF(Flows!Y33*Y$3*Y$4&lt;0.002,100,MAX($CM$2/(Flows!Y33*Y$3*Y$4),1))</f>
        <v>487.159778494106</v>
      </c>
      <c r="Z63" s="10" t="n">
        <f aca="false">IF(Flows!Z33*Z$3*Z$4&lt;0.002,100,MAX($CM$2/(Flows!Z33*Z$3*Z$4),1))</f>
        <v>6931.85857099079</v>
      </c>
      <c r="AA63" s="10" t="n">
        <f aca="false">IF(Flows!AA33*AA$3*AA$4&lt;0.002,100,MAX($CM$2/(Flows!AA33*AA$3*AA$4),1))</f>
        <v>7365.22159452731</v>
      </c>
      <c r="AB63" s="10" t="n">
        <f aca="false">IF(Flows!AB33*AB$3*AB$4&lt;0.002,100,MAX($CM$2/(Flows!AB33*AB$3*AB$4),1))</f>
        <v>7437.69521399944</v>
      </c>
      <c r="AC63" s="10" t="n">
        <f aca="false">IF(Flows!AC33*AC$3*AC$4&lt;0.002,100,MAX($CM$2/(Flows!AC33*AC$3*AC$4),1))</f>
        <v>41910.6930465773</v>
      </c>
      <c r="AD63" s="10" t="n">
        <f aca="false">IF(Flows!AD33*AD$3*AD$4&lt;0.002,100,MAX($CM$2/(Flows!AD33*AD$3*AD$4),1))</f>
        <v>46851.7022448099</v>
      </c>
      <c r="AE63" s="10" t="n">
        <f aca="false">IF(Flows!AE33*AE$3*AE$4&lt;0.002,100,MAX($CM$2/(Flows!AE33*AE$3*AE$4),1))</f>
        <v>139697.146882614</v>
      </c>
      <c r="AF63" s="10" t="n">
        <f aca="false">IF(Flows!AF33*AF$3*AF$4&lt;0.002,100,MAX($CM$2/(Flows!AF33*AF$3*AF$4),1))</f>
        <v>1750.80578274083</v>
      </c>
      <c r="AG63" s="10" t="n">
        <f aca="false">IF(Flows!AG33*AG$3*AG$4&lt;0.002,100,MAX($CM$2/(Flows!AG33*AG$3*AG$4),1))</f>
        <v>370.934229566456</v>
      </c>
      <c r="AH63" s="10" t="n">
        <f aca="false">IF(Flows!AH33*AH$3*AH$4&lt;0.002,100,MAX($CM$2/(Flows!AH33*AH$3*AH$4),1))</f>
        <v>204.389238052149</v>
      </c>
      <c r="AI63" s="10" t="n">
        <f aca="false">IF(Flows!AI33*AI$3*AI$4&lt;0.002,100,MAX($CM$2/(Flows!AI33*AI$3*AI$4),1))</f>
        <v>2342.23295595869</v>
      </c>
      <c r="AJ63" s="10" t="n">
        <f aca="false">IF(Flows!AJ33*AJ$3*AJ$4&lt;0.002,100,MAX($CM$2/(Flows!AJ33*AJ$3*AJ$4),1))</f>
        <v>783.722736139331</v>
      </c>
      <c r="AK63" s="10" t="n">
        <f aca="false">IF(Flows!AK33*AK$3*AK$4&lt;0.002,100,MAX($CM$2/(Flows!AK33*AK$3*AK$4),1))</f>
        <v>785.921914326534</v>
      </c>
      <c r="AL63" s="10" t="n">
        <f aca="false">IF(Flows!AL33*AL$3*AL$4&lt;0.002,100,MAX($CM$2/(Flows!AL33*AL$3*AL$4),1))</f>
        <v>2499.81122577676</v>
      </c>
      <c r="AM63" s="10" t="n">
        <f aca="false">IF(Flows!AM33*AM$3*AM$4&lt;0.002,100,MAX($CM$2/(Flows!AM33*AM$3*AM$4),1))</f>
        <v>82649.326122267</v>
      </c>
      <c r="AN63" s="10" t="n">
        <f aca="false">IF(Flows!AN33*AN$3*AN$4&lt;0.002,100,MAX($CM$2/(Flows!AN33*AN$3*AN$4),1))</f>
        <v>1210.32400996313</v>
      </c>
      <c r="AO63" s="10" t="n">
        <f aca="false">IF(Flows!AO33*AO$3*AO$4&lt;0.002,100,MAX($CM$2/(Flows!AO33*AO$3*AO$4),1))</f>
        <v>88895.5772456997</v>
      </c>
      <c r="AP63" s="10" t="n">
        <f aca="false">IF(Flows!AP33*AP$3*AP$4&lt;0.002,100,MAX($CM$2/(Flows!AP33*AP$3*AP$4),1))</f>
        <v>18764.9221072661</v>
      </c>
      <c r="AQ63" s="10" t="n">
        <f aca="false">IF(Flows!AQ33*AQ$3*AQ$4&lt;0.002,100,MAX($CM$2/(Flows!AQ33*AQ$3*AQ$4),1))</f>
        <v>10003.8287714016</v>
      </c>
      <c r="AR63" s="10" t="n">
        <f aca="false">IF(Flows!AR33*AR$3*AR$4&lt;0.002,100,MAX($CM$2/(Flows!AR33*AR$3*AR$4),1))</f>
        <v>25947.1335705205</v>
      </c>
      <c r="AS63" s="10" t="n">
        <f aca="false">IF(Flows!AS33*AS$3*AS$4&lt;0.002,100,MAX($CM$2/(Flows!AS33*AS$3*AS$4),1))</f>
        <v>737.903697132058</v>
      </c>
      <c r="AT63" s="10" t="n">
        <f aca="false">IF(Flows!AT33*AT$3*AT$4&lt;0.002,100,MAX($CM$2/(Flows!AT33*AT$3*AT$4),1))</f>
        <v>1248.55287079708</v>
      </c>
      <c r="AU63" s="10" t="n">
        <f aca="false">IF(Flows!AU33*AU$3*AU$4&lt;0.002,100,MAX($CM$2/(Flows!AU33*AU$3*AU$4),1))</f>
        <v>1056.19989241283</v>
      </c>
      <c r="AV63" s="10" t="n">
        <f aca="false">IF(Flows!AV33*AV$3*AV$4&lt;0.002,100,MAX($CM$2/(Flows!AV33*AV$3*AV$4),1))</f>
        <v>165482.539596955</v>
      </c>
      <c r="AW63" s="10" t="n">
        <f aca="false">IF(Flows!AW33*AW$3*AW$4&lt;0.002,100,MAX($CM$2/(Flows!AW33*AW$3*AW$4),1))</f>
        <v>13.1206650008407</v>
      </c>
      <c r="AX63" s="10" t="n">
        <f aca="false">IF(Flows!AX33*AX$3*AX$4&lt;0.002,100,MAX($CM$2/(Flows!AX33*AX$3*AX$4),1))</f>
        <v>1522.96612233853</v>
      </c>
      <c r="AY63" s="10" t="n">
        <f aca="false">IF(Flows!AY33*AY$3*AY$4&lt;0.002,100,MAX($CM$2/(Flows!AY33*AY$3*AY$4),1))</f>
        <v>394.279188861024</v>
      </c>
      <c r="AZ63" s="10" t="n">
        <f aca="false">IF(Flows!AZ33*AZ$3*AZ$4&lt;0.002,100,MAX($CM$2/(Flows!AZ33*AZ$3*AZ$4),1))</f>
        <v>110.699397887295</v>
      </c>
      <c r="BA63" s="10" t="n">
        <f aca="false">IF(Flows!BA33*BA$3*BA$4&lt;0.002,100,MAX($CM$2/(Flows!BA33*BA$3*BA$4),1))</f>
        <v>4969.02974063988</v>
      </c>
      <c r="BB63" s="10" t="n">
        <f aca="false">IF(Flows!BB33*BB$3*BB$4&lt;0.002,100,MAX($CM$2/(Flows!BB33*BB$3*BB$4),1))</f>
        <v>1782.55292365917</v>
      </c>
      <c r="BC63" s="10" t="n">
        <f aca="false">IF(Flows!BC33*BC$3*BC$4&lt;0.002,100,MAX($CM$2/(Flows!BC33*BC$3*BC$4),1))</f>
        <v>929.111375072976</v>
      </c>
      <c r="BD63" s="10" t="n">
        <f aca="false">IF(Flows!BD33*BD$3*BD$4&lt;0.002,100,MAX($CM$2/(Flows!BD33*BD$3*BD$4),1))</f>
        <v>4496.95814347482</v>
      </c>
      <c r="BE63" s="10" t="n">
        <f aca="false">IF(Flows!BE33*BE$3*BE$4&lt;0.002,100,MAX($CM$2/(Flows!BE33*BE$3*BE$4),1))</f>
        <v>6878.60667812042</v>
      </c>
      <c r="BF63" s="10" t="n">
        <f aca="false">IF(Flows!BF33*BF$3*BF$4&lt;0.002,100,MAX($CM$2/(Flows!BF33*BF$3*BF$4),1))</f>
        <v>286.249655465236</v>
      </c>
      <c r="BG63" s="10" t="n">
        <f aca="false">IF(Flows!BG33*BG$3*BG$4&lt;0.002,100,MAX($CM$2/(Flows!BG33*BG$3*BG$4),1))</f>
        <v>319.475838746954</v>
      </c>
      <c r="BH63" s="10" t="n">
        <f aca="false">IF(Flows!BH33*BH$3*BH$4&lt;0.002,100,MAX($CM$2/(Flows!BH33*BH$3*BH$4),1))</f>
        <v>159.737919373477</v>
      </c>
      <c r="BI63" s="10" t="n">
        <f aca="false">IF(Flows!BI33*BI$3*BI$4&lt;0.002,100,MAX($CM$2/(Flows!BI33*BI$3*BI$4),1))</f>
        <v>119.803439530108</v>
      </c>
      <c r="BJ63" s="10" t="n">
        <f aca="false">IF(Flows!BJ33*BJ$3*BJ$4&lt;0.002,100,MAX($CM$2/(Flows!BJ33*BJ$3*BJ$4),1))</f>
        <v>2.37923296746069</v>
      </c>
      <c r="BK63" s="10" t="n">
        <f aca="false">IF(Flows!BK33*BK$3*BK$4&lt;0.002,100,MAX($CM$2/(Flows!BK33*BK$3*BK$4),1))</f>
        <v>239.606879060215</v>
      </c>
      <c r="BL63" s="10" t="n">
        <f aca="false">IF(Flows!BL33*BL$3*BL$4&lt;0.002,100,MAX($CM$2/(Flows!BL33*BL$3*BL$4),1))</f>
        <v>189.27634673062</v>
      </c>
      <c r="BM63" s="10" t="n">
        <f aca="false">IF(Flows!BM33*BM$3*BM$4&lt;0.002,100,MAX($CM$2/(Flows!BM33*BM$3*BM$4),1))</f>
        <v>19.7243611561852</v>
      </c>
      <c r="BN63" s="10" t="n">
        <f aca="false">IF(Flows!BN33*BN$3*BN$4&lt;0.002,100,MAX($CM$2/(Flows!BN33*BN$3*BN$4),1))</f>
        <v>333765.464799727</v>
      </c>
      <c r="BO63" s="10" t="n">
        <f aca="false">IF(Flows!BO33*BO$3*BO$4&lt;0.002,100,MAX($CM$2/(Flows!BO33*BO$3*BO$4),1))</f>
        <v>17.8380035435416</v>
      </c>
      <c r="BP63" s="10" t="n">
        <f aca="false">IF(Flows!BP33*BP$3*BP$4&lt;0.002,100,MAX($CM$2/(Flows!BP33*BP$3*BP$4),1))</f>
        <v>42.6269431018441</v>
      </c>
      <c r="BQ63" s="10" t="n">
        <f aca="false">IF(Flows!BQ33*BQ$3*BQ$4&lt;0.002,100,MAX($CM$2/(Flows!BQ33*BQ$3*BQ$4),1))</f>
        <v>513485.330461119</v>
      </c>
      <c r="BR63" s="10" t="n">
        <f aca="false">IF(Flows!BR33*BR$3*BR$4&lt;0.002,100,MAX($CM$2/(Flows!BR33*BR$3*BR$4),1))</f>
        <v>535.139799751836</v>
      </c>
      <c r="BS63" s="10" t="n">
        <f aca="false">IF(Flows!BS33*BS$3*BS$4&lt;0.002,100,MAX($CM$2/(Flows!BS33*BS$3*BS$4),1))</f>
        <v>5351.39799751835</v>
      </c>
      <c r="BT63" s="10" t="n">
        <f aca="false">IF(Flows!BT33*BT$3*BT$4&lt;0.002,100,MAX($CM$2/(Flows!BT33*BT$3*BT$4),1))</f>
        <v>2.36960095048208</v>
      </c>
      <c r="BU63" s="10" t="n">
        <f aca="false">IF(Flows!BU33*BU$3*BU$4&lt;0.002,100,MAX($CM$2/(Flows!BU33*BU$3*BU$4),1))</f>
        <v>23.6960095048208</v>
      </c>
      <c r="BV63" s="10" t="n">
        <f aca="false">IF(Flows!BV33*BV$3*BV$4&lt;0.002,100,MAX($CM$2/(Flows!BV33*BV$3*BV$4),1))</f>
        <v>236.960095048208</v>
      </c>
      <c r="BW63" s="10" t="n">
        <f aca="false">IF(Flows!BW33*BW$3*BW$4&lt;0.002,100,MAX($CM$2/(Flows!BW33*BW$3*BW$4),1))</f>
        <v>20.8208966858025</v>
      </c>
      <c r="BX63" s="10" t="n">
        <f aca="false">IF(Flows!BX33*BX$3*BX$4&lt;0.002,100,MAX($CM$2/(Flows!BX33*BX$3*BX$4),1))</f>
        <v>10.13743312269</v>
      </c>
      <c r="BY63" s="10" t="n">
        <f aca="false">IF(Flows!BY33*BY$3*BY$4&lt;0.002,100,MAX($CM$2/(Flows!BY33*BY$3*BY$4),1))</f>
        <v>13.338042020538</v>
      </c>
      <c r="BZ63" s="10" t="n">
        <f aca="false">IF(Flows!BZ33*BZ$3*BZ$4&lt;0.002,100,MAX($CM$2/(Flows!BZ33*BZ$3*BZ$4),1))</f>
        <v>212396.698056167</v>
      </c>
      <c r="CA63" s="10" t="n">
        <f aca="false">IF(Flows!CA33*CA$3*CA$4&lt;0.002,100,MAX($CM$2/(Flows!CA33*CA$3*CA$4),1))</f>
        <v>22232.3203397117</v>
      </c>
      <c r="CB63" s="10" t="n">
        <f aca="false">IF(Flows!CB33*CB$3*CB$4&lt;0.002,100,MAX($CM$2/(Flows!CB33*CB$3*CB$4),1))</f>
        <v>120.24493713297</v>
      </c>
      <c r="CC63" s="10" t="n">
        <f aca="false">IF(Flows!CC33*CC$3*CC$4&lt;0.002,100,MAX($CM$2/(Flows!CC33*CC$3*CC$4),1))</f>
        <v>42.1093724569782</v>
      </c>
      <c r="CD63" s="10" t="n">
        <f aca="false">IF(Flows!CD33*CD$3*CD$4&lt;0.002,100,MAX($CM$2/(Flows!CD33*CD$3*CD$4),1))</f>
        <v>72.5479987848652</v>
      </c>
      <c r="CE63" s="10" t="n">
        <f aca="false">IF(Flows!CE33*CE$3*CE$4&lt;0.002,100,MAX($CM$2/(Flows!CE33*CE$3*CE$4),1))</f>
        <v>11.0352095413198</v>
      </c>
      <c r="CF63" s="10" t="n">
        <f aca="false">IF(Flows!CF33*CF$3*CF$4&lt;0.002,100,MAX($CM$2/(Flows!CF33*CF$3*CF$4),1))</f>
        <v>1</v>
      </c>
      <c r="CG63" s="10" t="n">
        <f aca="false">IF(Flows!CG33*CG$3*CG$4&lt;0.002,100,MAX($CM$2/(Flows!CG33*CG$3*CG$4),1))</f>
        <v>44.9923885404529</v>
      </c>
      <c r="CH63" s="10" t="n">
        <f aca="false">IF(Flows!CH33*CH$3*CH$4&lt;0.002,100,MAX($CM$2/(Flows!CH33*CH$3*CH$4),1))</f>
        <v>299.407157249675</v>
      </c>
      <c r="CI63" s="10" t="n">
        <f aca="false">IF(Flows!CI33*CI$3*CI$4&lt;0.002,100,MAX($CM$2/(Flows!CI33*CI$3*CI$4),1))</f>
        <v>162.51950061954</v>
      </c>
      <c r="CJ63" s="10" t="n">
        <f aca="false">IF(Flows!CJ33*CJ$3*CJ$4&lt;0.002,100,MAX($CM$2/(Flows!CJ33*CJ$3*CJ$4),1))</f>
        <v>8348.28266889841</v>
      </c>
      <c r="CK63" s="10" t="n">
        <f aca="false">IF(Flows!CK33*CK$3*CK$4&lt;0.002,100,MAX($CM$2/(Flows!CK33*CK$3*CK$4),1))</f>
        <v>531.912928345303</v>
      </c>
      <c r="CL63" s="7" t="s">
        <v>320</v>
      </c>
    </row>
    <row r="64" customFormat="false" ht="12.8" hidden="false" customHeight="false" outlineLevel="0" collapsed="false">
      <c r="A64" s="7" t="s">
        <v>137</v>
      </c>
      <c r="B64" s="7" t="s">
        <v>39</v>
      </c>
      <c r="C64" s="10" t="n">
        <f aca="false">IF(Flows!C34*C$3*C$4&lt;0.002,100,MAX($CM$2/(Flows!C34*C$3*C$4),1))</f>
        <v>6257.88236622176</v>
      </c>
      <c r="D64" s="10" t="n">
        <f aca="false">IF(Flows!D34*D$3*D$4&lt;0.002,100,MAX($CM$2/(Flows!D34*D$3*D$4),1))</f>
        <v>1.89745319342593</v>
      </c>
      <c r="E64" s="10" t="n">
        <f aca="false">IF(Flows!E34*E$3*E$4&lt;0.002,100,MAX($CM$2/(Flows!E34*E$3*E$4),1))</f>
        <v>2.88542152284965</v>
      </c>
      <c r="F64" s="10" t="n">
        <f aca="false">IF(Flows!F34*F$3*F$4&lt;0.002,100,MAX($CM$2/(Flows!F34*F$3*F$4),1))</f>
        <v>2.76063062464611</v>
      </c>
      <c r="G64" s="10" t="n">
        <f aca="false">IF(Flows!G34*G$3*G$4&lt;0.002,100,MAX($CM$2/(Flows!G34*G$3*G$4),1))</f>
        <v>2.05099316683117</v>
      </c>
      <c r="H64" s="10" t="n">
        <f aca="false">IF(Flows!H34*H$3*H$4&lt;0.002,100,MAX($CM$2/(Flows!H34*H$3*H$4),1))</f>
        <v>651.152517655117</v>
      </c>
      <c r="I64" s="10" t="n">
        <f aca="false">IF(Flows!I34*I$3*I$4&lt;0.002,100,MAX($CM$2/(Flows!I34*I$3*I$4),1))</f>
        <v>280.03302291078</v>
      </c>
      <c r="J64" s="10" t="n">
        <f aca="false">IF(Flows!J34*J$3*J$4&lt;0.002,100,MAX($CM$2/(Flows!J34*J$3*J$4),1))</f>
        <v>546.118521746948</v>
      </c>
      <c r="K64" s="10" t="n">
        <f aca="false">IF(Flows!K34*K$3*K$4&lt;0.002,100,MAX($CM$2/(Flows!K34*K$3*K$4),1))</f>
        <v>4959.17799569222</v>
      </c>
      <c r="L64" s="10" t="n">
        <f aca="false">IF(Flows!L34*L$3*L$4&lt;0.002,100,MAX($CM$2/(Flows!L34*L$3*L$4),1))</f>
        <v>28822.4323034187</v>
      </c>
      <c r="M64" s="10" t="n">
        <f aca="false">IF(Flows!M34*M$3*M$4&lt;0.002,100,MAX($CM$2/(Flows!M34*M$3*M$4),1))</f>
        <v>21298.8524236177</v>
      </c>
      <c r="N64" s="10" t="n">
        <f aca="false">IF(Flows!N34*N$3*N$4&lt;0.002,100,MAX($CM$2/(Flows!N34*N$3*N$4),1))</f>
        <v>2.01884181797699</v>
      </c>
      <c r="O64" s="10" t="n">
        <f aca="false">IF(Flows!O34*O$3*O$4&lt;0.002,100,MAX($CM$2/(Flows!O34*O$3*O$4),1))</f>
        <v>1.51796255474074</v>
      </c>
      <c r="P64" s="10" t="n">
        <f aca="false">IF(Flows!P34*P$3*P$4&lt;0.002,100,MAX($CM$2/(Flows!P34*P$3*P$4),1))</f>
        <v>1</v>
      </c>
      <c r="Q64" s="10" t="n">
        <f aca="false">IF(Flows!Q34*Q$3*Q$4&lt;0.002,100,MAX($CM$2/(Flows!Q34*Q$3*Q$4),1))</f>
        <v>153.734179866229</v>
      </c>
      <c r="R64" s="10" t="n">
        <f aca="false">IF(Flows!R34*R$3*R$4&lt;0.002,100,MAX($CM$2/(Flows!R34*R$3*R$4),1))</f>
        <v>37.7716799861486</v>
      </c>
      <c r="S64" s="10" t="n">
        <f aca="false">IF(Flows!S34*S$3*S$4&lt;0.002,100,MAX($CM$2/(Flows!S34*S$3*S$4),1))</f>
        <v>247.049419743588</v>
      </c>
      <c r="T64" s="10" t="n">
        <f aca="false">IF(Flows!T34*T$3*T$4&lt;0.002,100,MAX($CM$2/(Flows!T34*T$3*T$4),1))</f>
        <v>442.024697090243</v>
      </c>
      <c r="U64" s="10" t="n">
        <f aca="false">IF(Flows!U34*U$3*U$4&lt;0.002,100,MAX($CM$2/(Flows!U34*U$3*U$4),1))</f>
        <v>1419.92349490785</v>
      </c>
      <c r="V64" s="10" t="n">
        <f aca="false">IF(Flows!V34*V$3*V$4&lt;0.002,100,MAX($CM$2/(Flows!V34*V$3*V$4),1))</f>
        <v>709.590485164861</v>
      </c>
      <c r="W64" s="10" t="n">
        <f aca="false">IF(Flows!W34*W$3*W$4&lt;0.002,100,MAX($CM$2/(Flows!W34*W$3*W$4),1))</f>
        <v>5.73561436374921</v>
      </c>
      <c r="X64" s="10" t="n">
        <f aca="false">IF(Flows!X34*X$3*X$4&lt;0.002,100,MAX($CM$2/(Flows!X34*X$3*X$4),1))</f>
        <v>42.1588959952069</v>
      </c>
      <c r="Y64" s="10" t="n">
        <f aca="false">IF(Flows!Y34*Y$3*Y$4&lt;0.002,100,MAX($CM$2/(Flows!Y34*Y$3*Y$4),1))</f>
        <v>144.112161517094</v>
      </c>
      <c r="Z64" s="10" t="n">
        <f aca="false">IF(Flows!Z34*Z$3*Z$4&lt;0.002,100,MAX($CM$2/(Flows!Z34*Z$3*Z$4),1))</f>
        <v>3027.59729710763</v>
      </c>
      <c r="AA64" s="10" t="n">
        <f aca="false">IF(Flows!AA34*AA$3*AA$4&lt;0.002,100,MAX($CM$2/(Flows!AA34*AA$3*AA$4),1))</f>
        <v>3305.49090379928</v>
      </c>
      <c r="AB64" s="10" t="n">
        <f aca="false">IF(Flows!AB34*AB$3*AB$4&lt;0.002,100,MAX($CM$2/(Flows!AB34*AB$3*AB$4),1))</f>
        <v>3092.21348744846</v>
      </c>
      <c r="AC64" s="10" t="n">
        <f aca="false">IF(Flows!AC34*AC$3*AC$4&lt;0.002,100,MAX($CM$2/(Flows!AC34*AC$3*AC$4),1))</f>
        <v>18731.8436707294</v>
      </c>
      <c r="AD64" s="10" t="n">
        <f aca="false">IF(Flows!AD34*AD$3*AD$4&lt;0.002,100,MAX($CM$2/(Flows!AD34*AD$3*AD$4),1))</f>
        <v>19478.542938763</v>
      </c>
      <c r="AE64" s="10" t="n">
        <f aca="false">IF(Flows!AE34*AE$3*AE$4&lt;0.002,100,MAX($CM$2/(Flows!AE34*AE$3*AE$4),1))</f>
        <v>214008.455880528</v>
      </c>
      <c r="AF64" s="10" t="n">
        <f aca="false">IF(Flows!AF34*AF$3*AF$4&lt;0.002,100,MAX($CM$2/(Flows!AF34*AF$3*AF$4),1))</f>
        <v>540.302523126358</v>
      </c>
      <c r="AG64" s="10" t="n">
        <f aca="false">IF(Flows!AG34*AG$3*AG$4&lt;0.002,100,MAX($CM$2/(Flows!AG34*AG$3*AG$4),1))</f>
        <v>3747.78222002281</v>
      </c>
      <c r="AH64" s="10" t="n">
        <f aca="false">IF(Flows!AH34*AH$3*AH$4&lt;0.002,100,MAX($CM$2/(Flows!AH34*AH$3*AH$4),1))</f>
        <v>422.473428617512</v>
      </c>
      <c r="AI64" s="10" t="n">
        <f aca="false">IF(Flows!AI34*AI$3*AI$4&lt;0.002,100,MAX($CM$2/(Flows!AI34*AI$3*AI$4),1))</f>
        <v>1115.9175712781</v>
      </c>
      <c r="AJ64" s="10" t="n">
        <f aca="false">IF(Flows!AJ34*AJ$3*AJ$4&lt;0.002,100,MAX($CM$2/(Flows!AJ34*AJ$3*AJ$4),1))</f>
        <v>402.332112586311</v>
      </c>
      <c r="AK64" s="10" t="n">
        <f aca="false">IF(Flows!AK34*AK$3*AK$4&lt;0.002,100,MAX($CM$2/(Flows!AK34*AK$3*AK$4),1))</f>
        <v>167.517189624212</v>
      </c>
      <c r="AL64" s="10" t="n">
        <f aca="false">IF(Flows!AL34*AL$3*AL$4&lt;0.002,100,MAX($CM$2/(Flows!AL34*AL$3*AL$4),1))</f>
        <v>440.309906894435</v>
      </c>
      <c r="AM64" s="10" t="n">
        <f aca="false">IF(Flows!AM34*AM$3*AM$4&lt;0.002,100,MAX($CM$2/(Flows!AM34*AM$3*AM$4),1))</f>
        <v>620.71155272986</v>
      </c>
      <c r="AN64" s="10" t="n">
        <f aca="false">IF(Flows!AN34*AN$3*AN$4&lt;0.002,100,MAX($CM$2/(Flows!AN34*AN$3*AN$4),1))</f>
        <v>871.977274655544</v>
      </c>
      <c r="AO64" s="10" t="n">
        <f aca="false">IF(Flows!AO34*AO$3*AO$4&lt;0.002,100,MAX($CM$2/(Flows!AO34*AO$3*AO$4),1))</f>
        <v>12622.8390239979</v>
      </c>
      <c r="AP64" s="10" t="n">
        <f aca="false">IF(Flows!AP34*AP$3*AP$4&lt;0.002,100,MAX($CM$2/(Flows!AP34*AP$3*AP$4),1))</f>
        <v>22085.0991825409</v>
      </c>
      <c r="AQ64" s="10" t="n">
        <f aca="false">IF(Flows!AQ34*AQ$3*AQ$4&lt;0.002,100,MAX($CM$2/(Flows!AQ34*AQ$3*AQ$4),1))</f>
        <v>16496.0429755111</v>
      </c>
      <c r="AR64" s="10" t="n">
        <f aca="false">IF(Flows!AR34*AR$3*AR$4&lt;0.002,100,MAX($CM$2/(Flows!AR34*AR$3*AR$4),1))</f>
        <v>360054.542991625</v>
      </c>
      <c r="AS64" s="10" t="n">
        <f aca="false">IF(Flows!AS34*AS$3*AS$4&lt;0.002,100,MAX($CM$2/(Flows!AS34*AS$3*AS$4),1))</f>
        <v>728.661921136598</v>
      </c>
      <c r="AT64" s="10" t="n">
        <f aca="false">IF(Flows!AT34*AT$3*AT$4&lt;0.002,100,MAX($CM$2/(Flows!AT34*AT$3*AT$4),1))</f>
        <v>323.953913192941</v>
      </c>
      <c r="AU64" s="10" t="n">
        <f aca="false">IF(Flows!AU34*AU$3*AU$4&lt;0.002,100,MAX($CM$2/(Flows!AU34*AU$3*AU$4),1))</f>
        <v>524.565267346058</v>
      </c>
      <c r="AV64" s="10" t="n">
        <f aca="false">IF(Flows!AV34*AV$3*AV$4&lt;0.002,100,MAX($CM$2/(Flows!AV34*AV$3*AV$4),1))</f>
        <v>2509.07954843057</v>
      </c>
      <c r="AW64" s="10" t="n">
        <f aca="false">IF(Flows!AW34*AW$3*AW$4&lt;0.002,100,MAX($CM$2/(Flows!AW34*AW$3*AW$4),1))</f>
        <v>5.73089282765793</v>
      </c>
      <c r="AX64" s="10" t="n">
        <f aca="false">IF(Flows!AX34*AX$3*AX$4&lt;0.002,100,MAX($CM$2/(Flows!AX34*AX$3*AX$4),1))</f>
        <v>2368.09007774714</v>
      </c>
      <c r="AY64" s="10" t="n">
        <f aca="false">IF(Flows!AY34*AY$3*AY$4&lt;0.002,100,MAX($CM$2/(Flows!AY34*AY$3*AY$4),1))</f>
        <v>169.573481337972</v>
      </c>
      <c r="AZ64" s="10" t="n">
        <f aca="false">IF(Flows!AZ34*AZ$3*AZ$4&lt;0.002,100,MAX($CM$2/(Flows!AZ34*AZ$3*AZ$4),1))</f>
        <v>45.2093261905343</v>
      </c>
      <c r="BA64" s="10" t="n">
        <f aca="false">IF(Flows!BA34*BA$3*BA$4&lt;0.002,100,MAX($CM$2/(Flows!BA34*BA$3*BA$4),1))</f>
        <v>1469.94404747435</v>
      </c>
      <c r="BB64" s="10" t="n">
        <f aca="false">IF(Flows!BB34*BB$3*BB$4&lt;0.002,100,MAX($CM$2/(Flows!BB34*BB$3*BB$4),1))</f>
        <v>1449.70816735507</v>
      </c>
      <c r="BC64" s="10" t="n">
        <f aca="false">IF(Flows!BC34*BC$3*BC$4&lt;0.002,100,MAX($CM$2/(Flows!BC34*BC$3*BC$4),1))</f>
        <v>743.160374430562</v>
      </c>
      <c r="BD64" s="10" t="n">
        <f aca="false">IF(Flows!BD34*BD$3*BD$4&lt;0.002,100,MAX($CM$2/(Flows!BD34*BD$3*BD$4),1))</f>
        <v>2430.68919144989</v>
      </c>
      <c r="BE64" s="10" t="n">
        <f aca="false">IF(Flows!BE34*BE$3*BE$4&lt;0.002,100,MAX($CM$2/(Flows!BE34*BE$3*BE$4),1))</f>
        <v>6024.11168758548</v>
      </c>
      <c r="BF64" s="10" t="n">
        <f aca="false">IF(Flows!BF34*BF$3*BF$4&lt;0.002,100,MAX($CM$2/(Flows!BF34*BF$3*BF$4),1))</f>
        <v>1507.42201985325</v>
      </c>
      <c r="BG64" s="10" t="n">
        <f aca="false">IF(Flows!BG34*BG$3*BG$4&lt;0.002,100,MAX($CM$2/(Flows!BG34*BG$3*BG$4),1))</f>
        <v>98.6675660581483</v>
      </c>
      <c r="BH64" s="10" t="n">
        <f aca="false">IF(Flows!BH34*BH$3*BH$4&lt;0.002,100,MAX($CM$2/(Flows!BH34*BH$3*BH$4),1))</f>
        <v>493.337830290742</v>
      </c>
      <c r="BI64" s="10" t="n">
        <f aca="false">IF(Flows!BI34*BI$3*BI$4&lt;0.002,100,MAX($CM$2/(Flows!BI34*BI$3*BI$4),1))</f>
        <v>37.0003372718056</v>
      </c>
      <c r="BJ64" s="10" t="n">
        <f aca="false">IF(Flows!BJ34*BJ$3*BJ$4&lt;0.002,100,MAX($CM$2/(Flows!BJ34*BJ$3*BJ$4),1))</f>
        <v>3.10549269903729</v>
      </c>
      <c r="BK64" s="10" t="n">
        <f aca="false">IF(Flows!BK34*BK$3*BK$4&lt;0.002,100,MAX($CM$2/(Flows!BK34*BK$3*BK$4),1))</f>
        <v>74.0006745436113</v>
      </c>
      <c r="BL64" s="10" t="n">
        <f aca="false">IF(Flows!BL34*BL$3*BL$4&lt;0.002,100,MAX($CM$2/(Flows!BL34*BL$3*BL$4),1))</f>
        <v>1452.96852912962</v>
      </c>
      <c r="BM64" s="10" t="n">
        <f aca="false">IF(Flows!BM34*BM$3*BM$4&lt;0.002,100,MAX($CM$2/(Flows!BM34*BM$3*BM$4),1))</f>
        <v>45.3529113145953</v>
      </c>
      <c r="BN64" s="10" t="n">
        <f aca="false">IF(Flows!BN34*BN$3*BN$4&lt;0.002,100,MAX($CM$2/(Flows!BN34*BN$3*BN$4),1))</f>
        <v>130565.604097656</v>
      </c>
      <c r="BO64" s="10" t="n">
        <f aca="false">IF(Flows!BO34*BO$3*BO$4&lt;0.002,100,MAX($CM$2/(Flows!BO34*BO$3*BO$4),1))</f>
        <v>4.44787546169601</v>
      </c>
      <c r="BP64" s="10" t="n">
        <f aca="false">IF(Flows!BP34*BP$3*BP$4&lt;0.002,100,MAX($CM$2/(Flows!BP34*BP$3*BP$4),1))</f>
        <v>17.9306277126239</v>
      </c>
      <c r="BQ64" s="10" t="n">
        <f aca="false">IF(Flows!BQ34*BQ$3*BQ$4&lt;0.002,100,MAX($CM$2/(Flows!BQ34*BQ$3*BQ$4),1))</f>
        <v>200870.16015024</v>
      </c>
      <c r="BR64" s="10" t="n">
        <f aca="false">IF(Flows!BR34*BR$3*BR$4&lt;0.002,100,MAX($CM$2/(Flows!BR34*BR$3*BR$4),1))</f>
        <v>133.436211999898</v>
      </c>
      <c r="BS64" s="10" t="n">
        <f aca="false">IF(Flows!BS34*BS$3*BS$4&lt;0.002,100,MAX($CM$2/(Flows!BS34*BS$3*BS$4),1))</f>
        <v>1334.36211999898</v>
      </c>
      <c r="BT64" s="10" t="n">
        <f aca="false">IF(Flows!BT34*BT$3*BT$4&lt;0.002,100,MAX($CM$2/(Flows!BT34*BT$3*BT$4),1))</f>
        <v>1</v>
      </c>
      <c r="BU64" s="10" t="n">
        <f aca="false">IF(Flows!BU34*BU$3*BU$4&lt;0.002,100,MAX($CM$2/(Flows!BU34*BU$3*BU$4),1))</f>
        <v>5.93302440353872</v>
      </c>
      <c r="BV64" s="10" t="n">
        <f aca="false">IF(Flows!BV34*BV$3*BV$4&lt;0.002,100,MAX($CM$2/(Flows!BV34*BV$3*BV$4),1))</f>
        <v>59.3302440353872</v>
      </c>
      <c r="BW64" s="10" t="n">
        <f aca="false">IF(Flows!BW34*BW$3*BW$4&lt;0.002,100,MAX($CM$2/(Flows!BW34*BW$3*BW$4),1))</f>
        <v>8.65626456854895</v>
      </c>
      <c r="BX64" s="10" t="n">
        <f aca="false">IF(Flows!BX34*BX$3*BX$4&lt;0.002,100,MAX($CM$2/(Flows!BX34*BX$3*BX$4),1))</f>
        <v>16.4098104351777</v>
      </c>
      <c r="BY64" s="10" t="n">
        <f aca="false">IF(Flows!BY34*BY$3*BY$4&lt;0.002,100,MAX($CM$2/(Flows!BY34*BY$3*BY$4),1))</f>
        <v>130.319351829097</v>
      </c>
      <c r="BZ64" s="10" t="n">
        <f aca="false">IF(Flows!BZ34*BZ$3*BZ$4&lt;0.002,100,MAX($CM$2/(Flows!BZ34*BZ$3*BZ$4),1))</f>
        <v>111957.26327079</v>
      </c>
      <c r="CA64" s="10" t="n">
        <f aca="false">IF(Flows!CA34*CA$3*CA$4&lt;0.002,100,MAX($CM$2/(Flows!CA34*CA$3*CA$4),1))</f>
        <v>96574.7806690979</v>
      </c>
      <c r="CB64" s="10" t="n">
        <f aca="false">IF(Flows!CB34*CB$3*CB$4&lt;0.002,100,MAX($CM$2/(Flows!CB34*CB$3*CB$4),1))</f>
        <v>32.7633883436507</v>
      </c>
      <c r="CC64" s="10" t="n">
        <f aca="false">IF(Flows!CC34*CC$3*CC$4&lt;0.002,100,MAX($CM$2/(Flows!CC34*CC$3*CC$4),1))</f>
        <v>41.0253570780467</v>
      </c>
      <c r="CD64" s="10" t="n">
        <f aca="false">IF(Flows!CD34*CD$3*CD$4&lt;0.002,100,MAX($CM$2/(Flows!CD34*CD$3*CD$4),1))</f>
        <v>22.5402279730762</v>
      </c>
      <c r="CE64" s="10" t="n">
        <f aca="false">IF(Flows!CE34*CE$3*CE$4&lt;0.002,100,MAX($CM$2/(Flows!CE34*CE$3*CE$4),1))</f>
        <v>4.43652203456444</v>
      </c>
      <c r="CF64" s="10" t="n">
        <f aca="false">IF(Flows!CF34*CF$3*CF$4&lt;0.002,100,MAX($CM$2/(Flows!CF34*CF$3*CF$4),1))</f>
        <v>1.17320728468074</v>
      </c>
      <c r="CG64" s="10" t="n">
        <f aca="false">IF(Flows!CG34*CG$3*CG$4&lt;0.002,100,MAX($CM$2/(Flows!CG34*CG$3*CG$4),1))</f>
        <v>2781.64864790915</v>
      </c>
      <c r="CH64" s="10" t="n">
        <f aca="false">IF(Flows!CH34*CH$3*CH$4&lt;0.002,100,MAX($CM$2/(Flows!CH34*CH$3*CH$4),1))</f>
        <v>1683.77603321515</v>
      </c>
      <c r="CI64" s="10" t="n">
        <f aca="false">IF(Flows!CI34*CI$3*CI$4&lt;0.002,100,MAX($CM$2/(Flows!CI34*CI$3*CI$4),1))</f>
        <v>161.517125966785</v>
      </c>
      <c r="CJ64" s="10" t="n">
        <f aca="false">IF(Flows!CJ34*CJ$3*CJ$4&lt;0.002,100,MAX($CM$2/(Flows!CJ34*CJ$3*CJ$4),1))</f>
        <v>1195.39374899495</v>
      </c>
      <c r="CK64" s="10" t="n">
        <f aca="false">IF(Flows!CK34*CK$3*CK$4&lt;0.002,100,MAX($CM$2/(Flows!CK34*CK$3*CK$4),1))</f>
        <v>464.093908527894</v>
      </c>
      <c r="CL64" s="7" t="s">
        <v>320</v>
      </c>
    </row>
    <row r="65" customFormat="false" ht="12.8" hidden="false" customHeight="false" outlineLevel="0" collapsed="false">
      <c r="A65" s="7" t="s">
        <v>139</v>
      </c>
      <c r="B65" s="7" t="s">
        <v>39</v>
      </c>
      <c r="C65" s="10" t="n">
        <f aca="false">IF(Flows!C35*C$3*C$4&lt;0.002,100,MAX($CM$2/(Flows!C35*C$3*C$4),1))</f>
        <v>78171.3709073338</v>
      </c>
      <c r="D65" s="10" t="n">
        <f aca="false">IF(Flows!D35*D$3*D$4&lt;0.002,100,MAX($CM$2/(Flows!D35*D$3*D$4),1))</f>
        <v>12.9214684121836</v>
      </c>
      <c r="E65" s="10" t="n">
        <f aca="false">IF(Flows!E35*E$3*E$4&lt;0.002,100,MAX($CM$2/(Flows!E35*E$3*E$4),1))</f>
        <v>38.238145960529</v>
      </c>
      <c r="F65" s="10" t="n">
        <f aca="false">IF(Flows!F35*F$3*F$4&lt;0.002,100,MAX($CM$2/(Flows!F35*F$3*F$4),1))</f>
        <v>123.496713488611</v>
      </c>
      <c r="G65" s="10" t="n">
        <f aca="false">IF(Flows!G35*G$3*G$4&lt;0.002,100,MAX($CM$2/(Flows!G35*G$3*G$4),1))</f>
        <v>65.9872011779125</v>
      </c>
      <c r="H65" s="10" t="n">
        <f aca="false">IF(Flows!H35*H$3*H$4&lt;0.002,100,MAX($CM$2/(Flows!H35*H$3*H$4),1))</f>
        <v>100</v>
      </c>
      <c r="I65" s="10" t="n">
        <f aca="false">IF(Flows!I35*I$3*I$4&lt;0.002,100,MAX($CM$2/(Flows!I35*I$3*I$4),1))</f>
        <v>3961.95476564546</v>
      </c>
      <c r="J65" s="10" t="n">
        <f aca="false">IF(Flows!J35*J$3*J$4&lt;0.002,100,MAX($CM$2/(Flows!J35*J$3*J$4),1))</f>
        <v>6875.95890750764</v>
      </c>
      <c r="K65" s="10" t="n">
        <f aca="false">IF(Flows!K35*K$3*K$4&lt;0.002,100,MAX($CM$2/(Flows!K35*K$3*K$4),1))</f>
        <v>34080.6537451422</v>
      </c>
      <c r="L65" s="10" t="n">
        <f aca="false">IF(Flows!L35*L$3*L$4&lt;0.002,100,MAX($CM$2/(Flows!L35*L$3*L$4),1))</f>
        <v>236903.095743038</v>
      </c>
      <c r="M65" s="10" t="n">
        <f aca="false">IF(Flows!M35*M$3*M$4&lt;0.002,100,MAX($CM$2/(Flows!M35*M$3*M$4),1))</f>
        <v>182757.07465286</v>
      </c>
      <c r="N65" s="10" t="n">
        <f aca="false">IF(Flows!N35*N$3*N$4&lt;0.002,100,MAX($CM$2/(Flows!N35*N$3*N$4),1))</f>
        <v>42.9126094949587</v>
      </c>
      <c r="O65" s="10" t="n">
        <f aca="false">IF(Flows!O35*O$3*O$4&lt;0.002,100,MAX($CM$2/(Flows!O35*O$3*O$4),1))</f>
        <v>10.3371747297469</v>
      </c>
      <c r="P65" s="10" t="n">
        <f aca="false">IF(Flows!P35*P$3*P$4&lt;0.002,100,MAX($CM$2/(Flows!P35*P$3*P$4),1))</f>
        <v>6.2023048378481</v>
      </c>
      <c r="Q65" s="10" t="n">
        <f aca="false">IF(Flows!Q35*Q$3*Q$4&lt;0.002,100,MAX($CM$2/(Flows!Q35*Q$3*Q$4),1))</f>
        <v>732.571666362406</v>
      </c>
      <c r="R65" s="10" t="n">
        <f aca="false">IF(Flows!R35*R$3*R$4&lt;0.002,100,MAX($CM$2/(Flows!R35*R$3*R$4),1))</f>
        <v>46.1147710656913</v>
      </c>
      <c r="S65" s="10" t="n">
        <f aca="false">IF(Flows!S35*S$3*S$4&lt;0.002,100,MAX($CM$2/(Flows!S35*S$3*S$4),1))</f>
        <v>2030.59796351175</v>
      </c>
      <c r="T65" s="10" t="n">
        <f aca="false">IF(Flows!T35*T$3*T$4&lt;0.002,100,MAX($CM$2/(Flows!T35*T$3*T$4),1))</f>
        <v>3633.1777288323</v>
      </c>
      <c r="U65" s="10" t="n">
        <f aca="false">IF(Flows!U35*U$3*U$4&lt;0.002,100,MAX($CM$2/(Flows!U35*U$3*U$4),1))</f>
        <v>12183.8049768574</v>
      </c>
      <c r="V65" s="10" t="n">
        <f aca="false">IF(Flows!V35*V$3*V$4&lt;0.002,100,MAX($CM$2/(Flows!V35*V$3*V$4),1))</f>
        <v>2541.4611373504</v>
      </c>
      <c r="W65" s="10" t="n">
        <f aca="false">IF(Flows!W35*W$3*W$4&lt;0.002,100,MAX($CM$2/(Flows!W35*W$3*W$4),1))</f>
        <v>11.8623777477426</v>
      </c>
      <c r="X65" s="10" t="n">
        <f aca="false">IF(Flows!X35*X$3*X$4&lt;0.002,100,MAX($CM$2/(Flows!X35*X$3*X$4),1))</f>
        <v>15.472746235837</v>
      </c>
      <c r="Y65" s="10" t="n">
        <f aca="false">IF(Flows!Y35*Y$3*Y$4&lt;0.002,100,MAX($CM$2/(Flows!Y35*Y$3*Y$4),1))</f>
        <v>1184.51547871519</v>
      </c>
      <c r="Z65" s="10" t="n">
        <f aca="false">IF(Flows!Z35*Z$3*Z$4&lt;0.002,100,MAX($CM$2/(Flows!Z35*Z$3*Z$4),1))</f>
        <v>130138.685794396</v>
      </c>
      <c r="AA65" s="10" t="n">
        <f aca="false">IF(Flows!AA35*AA$3*AA$4&lt;0.002,100,MAX($CM$2/(Flows!AA35*AA$3*AA$4),1))</f>
        <v>74002.9412231271</v>
      </c>
      <c r="AB65" s="10" t="n">
        <f aca="false">IF(Flows!AB35*AB$3*AB$4&lt;0.002,100,MAX($CM$2/(Flows!AB35*AB$3*AB$4),1))</f>
        <v>40978.5917717132</v>
      </c>
      <c r="AC65" s="10" t="n">
        <f aca="false">IF(Flows!AC35*AC$3*AC$4&lt;0.002,100,MAX($CM$2/(Flows!AC35*AC$3*AC$4),1))</f>
        <v>694801.631101128</v>
      </c>
      <c r="AD65" s="10" t="n">
        <f aca="false">IF(Flows!AD35*AD$3*AD$4&lt;0.002,100,MAX($CM$2/(Flows!AD35*AD$3*AD$4),1))</f>
        <v>258133.295982094</v>
      </c>
      <c r="AE65" s="10" t="n">
        <f aca="false">IF(Flows!AE35*AE$3*AE$4&lt;0.002,100,MAX($CM$2/(Flows!AE35*AE$3*AE$4),1))</f>
        <v>398981.742870012</v>
      </c>
      <c r="AF65" s="10" t="n">
        <f aca="false">IF(Flows!AF35*AF$3*AF$4&lt;0.002,100,MAX($CM$2/(Flows!AF35*AF$3*AF$4),1))</f>
        <v>3681.84154827122</v>
      </c>
      <c r="AG65" s="10" t="n">
        <f aca="false">IF(Flows!AG35*AG$3*AG$4&lt;0.002,100,MAX($CM$2/(Flows!AG35*AG$3*AG$4),1))</f>
        <v>1160.25911597484</v>
      </c>
      <c r="AH65" s="10" t="n">
        <f aca="false">IF(Flows!AH35*AH$3*AH$4&lt;0.002,100,MAX($CM$2/(Flows!AH35*AH$3*AH$4),1))</f>
        <v>1164.32611689641</v>
      </c>
      <c r="AI65" s="10" t="n">
        <f aca="false">IF(Flows!AI35*AI$3*AI$4&lt;0.002,100,MAX($CM$2/(Flows!AI35*AI$3*AI$4),1))</f>
        <v>2413.35351471828</v>
      </c>
      <c r="AJ65" s="10" t="n">
        <f aca="false">IF(Flows!AJ35*AJ$3*AJ$4&lt;0.002,100,MAX($CM$2/(Flows!AJ35*AJ$3*AJ$4),1))</f>
        <v>1503.55066171943</v>
      </c>
      <c r="AK65" s="10" t="n">
        <f aca="false">IF(Flows!AK35*AK$3*AK$4&lt;0.002,100,MAX($CM$2/(Flows!AK35*AK$3*AK$4),1))</f>
        <v>11073.1706134069</v>
      </c>
      <c r="AL65" s="10" t="n">
        <f aca="false">IF(Flows!AL35*AL$3*AL$4&lt;0.002,100,MAX($CM$2/(Flows!AL35*AL$3*AL$4),1))</f>
        <v>1252.98293106351</v>
      </c>
      <c r="AM65" s="10" t="n">
        <f aca="false">IF(Flows!AM35*AM$3*AM$4&lt;0.002,100,MAX($CM$2/(Flows!AM35*AM$3*AM$4),1))</f>
        <v>1350.3182504377</v>
      </c>
      <c r="AN65" s="10" t="n">
        <f aca="false">IF(Flows!AN35*AN$3*AN$4&lt;0.002,100,MAX($CM$2/(Flows!AN35*AN$3*AN$4),1))</f>
        <v>9149.84251671284</v>
      </c>
      <c r="AO65" s="10" t="n">
        <f aca="false">IF(Flows!AO35*AO$3*AO$4&lt;0.002,100,MAX($CM$2/(Flows!AO35*AO$3*AO$4),1))</f>
        <v>40210.2893200045</v>
      </c>
      <c r="AP65" s="10" t="n">
        <f aca="false">IF(Flows!AP35*AP$3*AP$4&lt;0.002,100,MAX($CM$2/(Flows!AP35*AP$3*AP$4),1))</f>
        <v>49279.5215887367</v>
      </c>
      <c r="AQ65" s="10" t="n">
        <f aca="false">IF(Flows!AQ35*AQ$3*AQ$4&lt;0.002,100,MAX($CM$2/(Flows!AQ35*AQ$3*AQ$4),1))</f>
        <v>63738.2088895526</v>
      </c>
      <c r="AR65" s="10" t="n">
        <f aca="false">IF(Flows!AR35*AR$3*AR$4&lt;0.002,100,MAX($CM$2/(Flows!AR35*AR$3*AR$4),1))</f>
        <v>42009.0538649821</v>
      </c>
      <c r="AS65" s="10" t="n">
        <f aca="false">IF(Flows!AS35*AS$3*AS$4&lt;0.002,100,MAX($CM$2/(Flows!AS35*AS$3*AS$4),1))</f>
        <v>1832.13349464015</v>
      </c>
      <c r="AT65" s="10" t="n">
        <f aca="false">IF(Flows!AT35*AT$3*AT$4&lt;0.002,100,MAX($CM$2/(Flows!AT35*AT$3*AT$4),1))</f>
        <v>4024.80261626545</v>
      </c>
      <c r="AU65" s="10" t="n">
        <f aca="false">IF(Flows!AU35*AU$3*AU$4&lt;0.002,100,MAX($CM$2/(Flows!AU35*AU$3*AU$4),1))</f>
        <v>738.52458592091</v>
      </c>
      <c r="AV65" s="10" t="n">
        <f aca="false">IF(Flows!AV35*AV$3*AV$4&lt;0.002,100,MAX($CM$2/(Flows!AV35*AV$3*AV$4),1))</f>
        <v>7455.09511746919</v>
      </c>
      <c r="AW65" s="10" t="n">
        <f aca="false">IF(Flows!AW35*AW$3*AW$4&lt;0.002,100,MAX($CM$2/(Flows!AW35*AW$3*AW$4),1))</f>
        <v>204.41945499703</v>
      </c>
      <c r="AX65" s="10" t="n">
        <f aca="false">IF(Flows!AX35*AX$3*AX$4&lt;0.002,100,MAX($CM$2/(Flows!AX35*AX$3*AX$4),1))</f>
        <v>26416.0678826704</v>
      </c>
      <c r="AY65" s="10" t="n">
        <f aca="false">IF(Flows!AY35*AY$3*AY$4&lt;0.002,100,MAX($CM$2/(Flows!AY35*AY$3*AY$4),1))</f>
        <v>5347.72698380345</v>
      </c>
      <c r="AZ65" s="10" t="n">
        <f aca="false">IF(Flows!AZ35*AZ$3*AZ$4&lt;0.002,100,MAX($CM$2/(Flows!AZ35*AZ$3*AZ$4),1))</f>
        <v>1026.31822101619</v>
      </c>
      <c r="BA65" s="10" t="n">
        <f aca="false">IF(Flows!BA35*BA$3*BA$4&lt;0.002,100,MAX($CM$2/(Flows!BA35*BA$3*BA$4),1))</f>
        <v>12082.0578828949</v>
      </c>
      <c r="BB65" s="10" t="n">
        <f aca="false">IF(Flows!BB35*BB$3*BB$4&lt;0.002,100,MAX($CM$2/(Flows!BB35*BB$3*BB$4),1))</f>
        <v>5534.09710278046</v>
      </c>
      <c r="BC65" s="10" t="n">
        <f aca="false">IF(Flows!BC35*BC$3*BC$4&lt;0.002,100,MAX($CM$2/(Flows!BC35*BC$3*BC$4),1))</f>
        <v>1336.68888570619</v>
      </c>
      <c r="BD65" s="10" t="n">
        <f aca="false">IF(Flows!BD35*BD$3*BD$4&lt;0.002,100,MAX($CM$2/(Flows!BD35*BD$3*BD$4),1))</f>
        <v>10433.4454494362</v>
      </c>
      <c r="BE65" s="10" t="n">
        <f aca="false">IF(Flows!BE35*BE$3*BE$4&lt;0.002,100,MAX($CM$2/(Flows!BE35*BE$3*BE$4),1))</f>
        <v>19554.4266663289</v>
      </c>
      <c r="BF65" s="10" t="n">
        <f aca="false">IF(Flows!BF35*BF$3*BF$4&lt;0.002,100,MAX($CM$2/(Flows!BF35*BF$3*BF$4),1))</f>
        <v>3493.19923577161</v>
      </c>
      <c r="BG65" s="10" t="n">
        <f aca="false">IF(Flows!BG35*BG$3*BG$4&lt;0.002,100,MAX($CM$2/(Flows!BG35*BG$3*BG$4),1))</f>
        <v>1257.41376072977</v>
      </c>
      <c r="BH65" s="10" t="n">
        <f aca="false">IF(Flows!BH35*BH$3*BH$4&lt;0.002,100,MAX($CM$2/(Flows!BH35*BH$3*BH$4),1))</f>
        <v>2203026.55089633</v>
      </c>
      <c r="BI65" s="10" t="n">
        <f aca="false">IF(Flows!BI35*BI$3*BI$4&lt;0.002,100,MAX($CM$2/(Flows!BI35*BI$3*BI$4),1))</f>
        <v>471.530160273665</v>
      </c>
      <c r="BJ65" s="10" t="n">
        <f aca="false">IF(Flows!BJ35*BJ$3*BJ$4&lt;0.002,100,MAX($CM$2/(Flows!BJ35*BJ$3*BJ$4),1))</f>
        <v>9.47579944745728</v>
      </c>
      <c r="BK65" s="10" t="n">
        <f aca="false">IF(Flows!BK35*BK$3*BK$4&lt;0.002,100,MAX($CM$2/(Flows!BK35*BK$3*BK$4),1))</f>
        <v>943.06032054733</v>
      </c>
      <c r="BL65" s="10" t="n">
        <f aca="false">IF(Flows!BL35*BL$3*BL$4&lt;0.002,100,MAX($CM$2/(Flows!BL35*BL$3*BL$4),1))</f>
        <v>179.866928588318</v>
      </c>
      <c r="BM65" s="10" t="n">
        <f aca="false">IF(Flows!BM35*BM$3*BM$4&lt;0.002,100,MAX($CM$2/(Flows!BM35*BM$3*BM$4),1))</f>
        <v>60.3855668381889</v>
      </c>
      <c r="BN65" s="10" t="n">
        <f aca="false">IF(Flows!BN35*BN$3*BN$4&lt;0.002,100,MAX($CM$2/(Flows!BN35*BN$3*BN$4),1))</f>
        <v>1.13262553749182</v>
      </c>
      <c r="BO65" s="10" t="n">
        <f aca="false">IF(Flows!BO35*BO$3*BO$4&lt;0.002,100,MAX($CM$2/(Flows!BO35*BO$3*BO$4),1))</f>
        <v>338.825762549589</v>
      </c>
      <c r="BP65" s="10" t="n">
        <f aca="false">IF(Flows!BP35*BP$3*BP$4&lt;0.002,100,MAX($CM$2/(Flows!BP35*BP$3*BP$4),1))</f>
        <v>526.56831272335</v>
      </c>
      <c r="BQ65" s="10" t="n">
        <f aca="false">IF(Flows!BQ35*BQ$3*BQ$4&lt;0.002,100,MAX($CM$2/(Flows!BQ35*BQ$3*BQ$4),1))</f>
        <v>1.74250082691049</v>
      </c>
      <c r="BR65" s="10" t="n">
        <f aca="false">IF(Flows!BR35*BR$3*BR$4&lt;0.002,100,MAX($CM$2/(Flows!BR35*BR$3*BR$4),1))</f>
        <v>10164.7711707032</v>
      </c>
      <c r="BS65" s="10" t="n">
        <f aca="false">IF(Flows!BS35*BS$3*BS$4&lt;0.002,100,MAX($CM$2/(Flows!BS35*BS$3*BS$4),1))</f>
        <v>101647.711707032</v>
      </c>
      <c r="BT65" s="10" t="n">
        <f aca="false">IF(Flows!BT35*BT$3*BT$4&lt;0.002,100,MAX($CM$2/(Flows!BT35*BT$3*BT$4),1))</f>
        <v>27.2792701163709</v>
      </c>
      <c r="BU65" s="10" t="n">
        <f aca="false">IF(Flows!BU35*BU$3*BU$4&lt;0.002,100,MAX($CM$2/(Flows!BU35*BU$3*BU$4),1))</f>
        <v>272.792701163709</v>
      </c>
      <c r="BV65" s="10" t="n">
        <f aca="false">IF(Flows!BV35*BV$3*BV$4&lt;0.002,100,MAX($CM$2/(Flows!BV35*BV$3*BV$4),1))</f>
        <v>2727.92701163708</v>
      </c>
      <c r="BW65" s="10" t="n">
        <f aca="false">IF(Flows!BW35*BW$3*BW$4&lt;0.002,100,MAX($CM$2/(Flows!BW35*BW$3*BW$4),1))</f>
        <v>114.714437881587</v>
      </c>
      <c r="BX65" s="10" t="n">
        <f aca="false">IF(Flows!BX35*BX$3*BX$4&lt;0.002,100,MAX($CM$2/(Flows!BX35*BX$3*BX$4),1))</f>
        <v>29.005241750259</v>
      </c>
      <c r="BY65" s="10" t="n">
        <f aca="false">IF(Flows!BY35*BY$3*BY$4&lt;0.002,100,MAX($CM$2/(Flows!BY35*BY$3*BY$4),1))</f>
        <v>37.9318248475159</v>
      </c>
      <c r="BZ65" s="10" t="n">
        <f aca="false">IF(Flows!BZ35*BZ$3*BZ$4&lt;0.002,100,MAX($CM$2/(Flows!BZ35*BZ$3*BZ$4),1))</f>
        <v>53627.8375175201</v>
      </c>
      <c r="CA65" s="10" t="n">
        <f aca="false">IF(Flows!CA35*CA$3*CA$4&lt;0.002,100,MAX($CM$2/(Flows!CA35*CA$3*CA$4),1))</f>
        <v>19450.3824851689</v>
      </c>
      <c r="CB65" s="10" t="n">
        <f aca="false">IF(Flows!CB35*CB$3*CB$4&lt;0.002,100,MAX($CM$2/(Flows!CB35*CB$3*CB$4),1))</f>
        <v>260.962015404866</v>
      </c>
      <c r="CC65" s="10" t="n">
        <f aca="false">IF(Flows!CC35*CC$3*CC$4&lt;0.002,100,MAX($CM$2/(Flows!CC35*CC$3*CC$4),1))</f>
        <v>12.3632744100625</v>
      </c>
      <c r="CD65" s="10" t="n">
        <f aca="false">IF(Flows!CD35*CD$3*CD$4&lt;0.002,100,MAX($CM$2/(Flows!CD35*CD$3*CD$4),1))</f>
        <v>311.651827584062</v>
      </c>
      <c r="CE65" s="10" t="n">
        <f aca="false">IF(Flows!CE35*CE$3*CE$4&lt;0.002,100,MAX($CM$2/(Flows!CE35*CE$3*CE$4),1))</f>
        <v>456.778470598289</v>
      </c>
      <c r="CF65" s="10" t="n">
        <f aca="false">IF(Flows!CF35*CF$3*CF$4&lt;0.002,100,MAX($CM$2/(Flows!CF35*CF$3*CF$4),1))</f>
        <v>1</v>
      </c>
      <c r="CG65" s="10" t="n">
        <f aca="false">IF(Flows!CG35*CG$3*CG$4&lt;0.002,100,MAX($CM$2/(Flows!CG35*CG$3*CG$4),1))</f>
        <v>57.4319192970492</v>
      </c>
      <c r="CH65" s="10" t="n">
        <f aca="false">IF(Flows!CH35*CH$3*CH$4&lt;0.002,100,MAX($CM$2/(Flows!CH35*CH$3*CH$4),1))</f>
        <v>34.8821379207708</v>
      </c>
      <c r="CI65" s="10" t="n">
        <f aca="false">IF(Flows!CI35*CI$3*CI$4&lt;0.002,100,MAX($CM$2/(Flows!CI35*CI$3*CI$4),1))</f>
        <v>466.3580660759</v>
      </c>
      <c r="CJ65" s="10" t="n">
        <f aca="false">IF(Flows!CJ35*CJ$3*CJ$4&lt;0.002,100,MAX($CM$2/(Flows!CJ35*CJ$3*CJ$4),1))</f>
        <v>23052.0147615263</v>
      </c>
      <c r="CK65" s="10" t="n">
        <f aca="false">IF(Flows!CK35*CK$3*CK$4&lt;0.002,100,MAX($CM$2/(Flows!CK35*CK$3*CK$4),1))</f>
        <v>4162.63392519963</v>
      </c>
      <c r="CL65" s="7" t="s">
        <v>320</v>
      </c>
    </row>
    <row r="66" customFormat="false" ht="12.8" hidden="false" customHeight="false" outlineLevel="0" collapsed="false">
      <c r="A66" s="7" t="s">
        <v>140</v>
      </c>
      <c r="B66" s="7" t="s">
        <v>39</v>
      </c>
      <c r="C66" s="10" t="n">
        <f aca="false">IF(Flows!C36*C$3*C$4&lt;0.002,100,MAX($CM$2/(Flows!C36*C$3*C$4),1))</f>
        <v>46598.8574090246</v>
      </c>
      <c r="D66" s="10" t="n">
        <f aca="false">IF(Flows!D36*D$3*D$4&lt;0.002,100,MAX($CM$2/(Flows!D36*D$3*D$4),1))</f>
        <v>5.98711571883468</v>
      </c>
      <c r="E66" s="10" t="n">
        <f aca="false">IF(Flows!E36*E$3*E$4&lt;0.002,100,MAX($CM$2/(Flows!E36*E$3*E$4),1))</f>
        <v>11.3136086537464</v>
      </c>
      <c r="F66" s="10" t="n">
        <f aca="false">IF(Flows!F36*F$3*F$4&lt;0.002,100,MAX($CM$2/(Flows!F36*F$3*F$4),1))</f>
        <v>33.1264375138042</v>
      </c>
      <c r="G66" s="10" t="n">
        <f aca="false">IF(Flows!G36*G$3*G$4&lt;0.002,100,MAX($CM$2/(Flows!G36*G$3*G$4),1))</f>
        <v>13.6878231320226</v>
      </c>
      <c r="H66" s="10" t="n">
        <f aca="false">IF(Flows!H36*H$3*H$4&lt;0.002,100,MAX($CM$2/(Flows!H36*H$3*H$4),1))</f>
        <v>6194.41397441729</v>
      </c>
      <c r="I66" s="10" t="n">
        <f aca="false">IF(Flows!I36*I$3*I$4&lt;0.002,100,MAX($CM$2/(Flows!I36*I$3*I$4),1))</f>
        <v>11067.1816811129</v>
      </c>
      <c r="J66" s="10" t="n">
        <f aca="false">IF(Flows!J36*J$3*J$4&lt;0.002,100,MAX($CM$2/(Flows!J36*J$3*J$4),1))</f>
        <v>13135.1650368666</v>
      </c>
      <c r="K66" s="10" t="n">
        <f aca="false">IF(Flows!K36*K$3*K$4&lt;0.002,100,MAX($CM$2/(Flows!K36*K$3*K$4),1))</f>
        <v>25901.8941594912</v>
      </c>
      <c r="L66" s="10" t="n">
        <f aca="false">IF(Flows!L36*L$3*L$4&lt;0.002,100,MAX($CM$2/(Flows!L36*L$3*L$4),1))</f>
        <v>159011.607204954</v>
      </c>
      <c r="M66" s="10" t="n">
        <f aca="false">IF(Flows!M36*M$3*M$4&lt;0.002,100,MAX($CM$2/(Flows!M36*M$3*M$4),1))</f>
        <v>118941.798354963</v>
      </c>
      <c r="N66" s="10" t="n">
        <f aca="false">IF(Flows!N36*N$3*N$4&lt;0.002,100,MAX($CM$2/(Flows!N36*N$3*N$4),1))</f>
        <v>8.998507303043</v>
      </c>
      <c r="O66" s="10" t="n">
        <f aca="false">IF(Flows!O36*O$3*O$4&lt;0.002,100,MAX($CM$2/(Flows!O36*O$3*O$4),1))</f>
        <v>4.78969257506774</v>
      </c>
      <c r="P66" s="10" t="n">
        <f aca="false">IF(Flows!P36*P$3*P$4&lt;0.002,100,MAX($CM$2/(Flows!P36*P$3*P$4),1))</f>
        <v>2.87381554504064</v>
      </c>
      <c r="Q66" s="10" t="n">
        <f aca="false">IF(Flows!Q36*Q$3*Q$4&lt;0.002,100,MAX($CM$2/(Flows!Q36*Q$3*Q$4),1))</f>
        <v>498.455592288982</v>
      </c>
      <c r="R66" s="10" t="n">
        <f aca="false">IF(Flows!R36*R$3*R$4&lt;0.002,100,MAX($CM$2/(Flows!R36*R$3*R$4),1))</f>
        <v>78.3184062291137</v>
      </c>
      <c r="S66" s="10" t="n">
        <f aca="false">IF(Flows!S36*S$3*S$4&lt;0.002,100,MAX($CM$2/(Flows!S36*S$3*S$4),1))</f>
        <v>1362.95663318531</v>
      </c>
      <c r="T66" s="10" t="n">
        <f aca="false">IF(Flows!T36*T$3*T$4&lt;0.002,100,MAX($CM$2/(Flows!T36*T$3*T$4),1))</f>
        <v>2438.62338780706</v>
      </c>
      <c r="U66" s="10" t="n">
        <f aca="false">IF(Flows!U36*U$3*U$4&lt;0.002,100,MAX($CM$2/(Flows!U36*U$3*U$4),1))</f>
        <v>7929.45322366422</v>
      </c>
      <c r="V66" s="10" t="n">
        <f aca="false">IF(Flows!V36*V$3*V$4&lt;0.002,100,MAX($CM$2/(Flows!V36*V$3*V$4),1))</f>
        <v>374.795749040272</v>
      </c>
      <c r="W66" s="10" t="n">
        <f aca="false">IF(Flows!W36*W$3*W$4&lt;0.002,100,MAX($CM$2/(Flows!W36*W$3*W$4),1))</f>
        <v>16.6223617729056</v>
      </c>
      <c r="X66" s="10" t="n">
        <f aca="false">IF(Flows!X36*X$3*X$4&lt;0.002,100,MAX($CM$2/(Flows!X36*X$3*X$4),1))</f>
        <v>6.89097928004652</v>
      </c>
      <c r="Y66" s="10" t="n">
        <f aca="false">IF(Flows!Y36*Y$3*Y$4&lt;0.002,100,MAX($CM$2/(Flows!Y36*Y$3*Y$4),1))</f>
        <v>795.058036024769</v>
      </c>
      <c r="Z66" s="10" t="n">
        <f aca="false">IF(Flows!Z36*Z$3*Z$4&lt;0.002,100,MAX($CM$2/(Flows!Z36*Z$3*Z$4),1))</f>
        <v>13810.0869811605</v>
      </c>
      <c r="AA66" s="10" t="n">
        <f aca="false">IF(Flows!AA36*AA$3*AA$4&lt;0.002,100,MAX($CM$2/(Flows!AA36*AA$3*AA$4),1))</f>
        <v>15539.3195456976</v>
      </c>
      <c r="AB66" s="10" t="n">
        <f aca="false">IF(Flows!AB36*AB$3*AB$4&lt;0.002,100,MAX($CM$2/(Flows!AB36*AB$3*AB$4),1))</f>
        <v>12124.4306919419</v>
      </c>
      <c r="AC66" s="10" t="n">
        <f aca="false">IF(Flows!AC36*AC$3*AC$4&lt;0.002,100,MAX($CM$2/(Flows!AC36*AC$3*AC$4),1))</f>
        <v>72432.1663468104</v>
      </c>
      <c r="AD66" s="10" t="n">
        <f aca="false">IF(Flows!AD36*AD$3*AD$4&lt;0.002,100,MAX($CM$2/(Flows!AD36*AD$3*AD$4),1))</f>
        <v>76374.4950986292</v>
      </c>
      <c r="AE66" s="10" t="n">
        <f aca="false">IF(Flows!AE36*AE$3*AE$4&lt;0.002,100,MAX($CM$2/(Flows!AE36*AE$3*AE$4),1))</f>
        <v>2263076.43250073</v>
      </c>
      <c r="AF66" s="10" t="n">
        <f aca="false">IF(Flows!AF36*AF$3*AF$4&lt;0.002,100,MAX($CM$2/(Flows!AF36*AF$3*AF$4),1))</f>
        <v>596.592676655609</v>
      </c>
      <c r="AG66" s="10" t="n">
        <f aca="false">IF(Flows!AG36*AG$3*AG$4&lt;0.002,100,MAX($CM$2/(Flows!AG36*AG$3*AG$4),1))</f>
        <v>2045.68196983393</v>
      </c>
      <c r="AH66" s="10" t="n">
        <f aca="false">IF(Flows!AH36*AH$3*AH$4&lt;0.002,100,MAX($CM$2/(Flows!AH36*AH$3*AH$4),1))</f>
        <v>485.906107011132</v>
      </c>
      <c r="AI66" s="10" t="n">
        <f aca="false">IF(Flows!AI36*AI$3*AI$4&lt;0.002,100,MAX($CM$2/(Flows!AI36*AI$3*AI$4),1))</f>
        <v>2856.64928218369</v>
      </c>
      <c r="AJ66" s="10" t="n">
        <f aca="false">IF(Flows!AJ36*AJ$3*AJ$4&lt;0.002,100,MAX($CM$2/(Flows!AJ36*AJ$3*AJ$4),1))</f>
        <v>1180.27267847085</v>
      </c>
      <c r="AK66" s="10" t="n">
        <f aca="false">IF(Flows!AK36*AK$3*AK$4&lt;0.002,100,MAX($CM$2/(Flows!AK36*AK$3*AK$4),1))</f>
        <v>2115.55661710658</v>
      </c>
      <c r="AL66" s="10" t="n">
        <f aca="false">IF(Flows!AL36*AL$3*AL$4&lt;0.002,100,MAX($CM$2/(Flows!AL36*AL$3*AL$4),1))</f>
        <v>529.07254105266</v>
      </c>
      <c r="AM66" s="10" t="n">
        <f aca="false">IF(Flows!AM36*AM$3*AM$4&lt;0.002,100,MAX($CM$2/(Flows!AM36*AM$3*AM$4),1))</f>
        <v>2877.01087753793</v>
      </c>
      <c r="AN66" s="10" t="n">
        <f aca="false">IF(Flows!AN36*AN$3*AN$4&lt;0.002,100,MAX($CM$2/(Flows!AN36*AN$3*AN$4),1))</f>
        <v>10647.4961169691</v>
      </c>
      <c r="AO66" s="10" t="n">
        <f aca="false">IF(Flows!AO36*AO$3*AO$4&lt;0.002,100,MAX($CM$2/(Flows!AO36*AO$3*AO$4),1))</f>
        <v>14821.219371573</v>
      </c>
      <c r="AP66" s="10" t="n">
        <f aca="false">IF(Flows!AP36*AP$3*AP$4&lt;0.002,100,MAX($CM$2/(Flows!AP36*AP$3*AP$4),1))</f>
        <v>62106.4979755464</v>
      </c>
      <c r="AQ66" s="10" t="n">
        <f aca="false">IF(Flows!AQ36*AQ$3*AQ$4&lt;0.002,100,MAX($CM$2/(Flows!AQ36*AQ$3*AQ$4),1))</f>
        <v>122210.347517248</v>
      </c>
      <c r="AR66" s="10" t="n">
        <f aca="false">IF(Flows!AR36*AR$3*AR$4&lt;0.002,100,MAX($CM$2/(Flows!AR36*AR$3*AR$4),1))</f>
        <v>11054.1979656227</v>
      </c>
      <c r="AS66" s="10" t="n">
        <f aca="false">IF(Flows!AS36*AS$3*AS$4&lt;0.002,100,MAX($CM$2/(Flows!AS36*AS$3*AS$4),1))</f>
        <v>2657.43946069959</v>
      </c>
      <c r="AT66" s="10" t="n">
        <f aca="false">IF(Flows!AT36*AT$3*AT$4&lt;0.002,100,MAX($CM$2/(Flows!AT36*AT$3*AT$4),1))</f>
        <v>617.834930995225</v>
      </c>
      <c r="AU66" s="10" t="n">
        <f aca="false">IF(Flows!AU36*AU$3*AU$4&lt;0.002,100,MAX($CM$2/(Flows!AU36*AU$3*AU$4),1))</f>
        <v>4445.24949747964</v>
      </c>
      <c r="AV66" s="10" t="n">
        <f aca="false">IF(Flows!AV36*AV$3*AV$4&lt;0.002,100,MAX($CM$2/(Flows!AV36*AV$3*AV$4),1))</f>
        <v>308117.435745406</v>
      </c>
      <c r="AW66" s="10" t="n">
        <f aca="false">IF(Flows!AW36*AW$3*AW$4&lt;0.002,100,MAX($CM$2/(Flows!AW36*AW$3*AW$4),1))</f>
        <v>22.4305907574893</v>
      </c>
      <c r="AX66" s="10" t="n">
        <f aca="false">IF(Flows!AX36*AX$3*AX$4&lt;0.002,100,MAX($CM$2/(Flows!AX36*AX$3*AX$4),1))</f>
        <v>3028.19948582549</v>
      </c>
      <c r="AY66" s="10" t="n">
        <f aca="false">IF(Flows!AY36*AY$3*AY$4&lt;0.002,100,MAX($CM$2/(Flows!AY36*AY$3*AY$4),1))</f>
        <v>647.784385551185</v>
      </c>
      <c r="AZ66" s="10" t="n">
        <f aca="false">IF(Flows!AZ36*AZ$3*AZ$4&lt;0.002,100,MAX($CM$2/(Flows!AZ36*AZ$3*AZ$4),1))</f>
        <v>153.898233462451</v>
      </c>
      <c r="BA66" s="10" t="n">
        <f aca="false">IF(Flows!BA36*BA$3*BA$4&lt;0.002,100,MAX($CM$2/(Flows!BA36*BA$3*BA$4),1))</f>
        <v>8109.59196745264</v>
      </c>
      <c r="BB66" s="10" t="n">
        <f aca="false">IF(Flows!BB36*BB$3*BB$4&lt;0.002,100,MAX($CM$2/(Flows!BB36*BB$3*BB$4),1))</f>
        <v>8742.81729274151</v>
      </c>
      <c r="BC66" s="10" t="n">
        <f aca="false">IF(Flows!BC36*BC$3*BC$4&lt;0.002,100,MAX($CM$2/(Flows!BC36*BC$3*BC$4),1))</f>
        <v>4340.12449362906</v>
      </c>
      <c r="BD66" s="10" t="n">
        <f aca="false">IF(Flows!BD36*BD$3*BD$4&lt;0.002,100,MAX($CM$2/(Flows!BD36*BD$3*BD$4),1))</f>
        <v>5533.68231330266</v>
      </c>
      <c r="BE66" s="10" t="n">
        <f aca="false">IF(Flows!BE36*BE$3*BE$4&lt;0.002,100,MAX($CM$2/(Flows!BE36*BE$3*BE$4),1))</f>
        <v>164604.660850609</v>
      </c>
      <c r="BF66" s="10" t="n">
        <f aca="false">IF(Flows!BF36*BF$3*BF$4&lt;0.002,100,MAX($CM$2/(Flows!BF36*BF$3*BF$4),1))</f>
        <v>944.283203156378</v>
      </c>
      <c r="BG66" s="10" t="n">
        <f aca="false">IF(Flows!BG36*BG$3*BG$4&lt;0.002,100,MAX($CM$2/(Flows!BG36*BG$3*BG$4),1))</f>
        <v>520.788033549253</v>
      </c>
      <c r="BH66" s="10" t="n">
        <f aca="false">IF(Flows!BH36*BH$3*BH$4&lt;0.002,100,MAX($CM$2/(Flows!BH36*BH$3*BH$4),1))</f>
        <v>260.394016774627</v>
      </c>
      <c r="BI66" s="10" t="n">
        <f aca="false">IF(Flows!BI36*BI$3*BI$4&lt;0.002,100,MAX($CM$2/(Flows!BI36*BI$3*BI$4),1))</f>
        <v>195.29551258097</v>
      </c>
      <c r="BJ66" s="10" t="n">
        <f aca="false">IF(Flows!BJ36*BJ$3*BJ$4&lt;0.002,100,MAX($CM$2/(Flows!BJ36*BJ$3*BJ$4),1))</f>
        <v>6.70588560917872</v>
      </c>
      <c r="BK66" s="10" t="n">
        <f aca="false">IF(Flows!BK36*BK$3*BK$4&lt;0.002,100,MAX($CM$2/(Flows!BK36*BK$3*BK$4),1))</f>
        <v>390.59102516194</v>
      </c>
      <c r="BL66" s="10" t="n">
        <f aca="false">IF(Flows!BL36*BL$3*BL$4&lt;0.002,100,MAX($CM$2/(Flows!BL36*BL$3*BL$4),1))</f>
        <v>153.160681901448</v>
      </c>
      <c r="BM66" s="10" t="n">
        <f aca="false">IF(Flows!BM36*BM$3*BM$4&lt;0.002,100,MAX($CM$2/(Flows!BM36*BM$3*BM$4),1))</f>
        <v>99.4083404987108</v>
      </c>
      <c r="BN66" s="10" t="n">
        <f aca="false">IF(Flows!BN36*BN$3*BN$4&lt;0.002,100,MAX($CM$2/(Flows!BN36*BN$3*BN$4),1))</f>
        <v>944762.917913248</v>
      </c>
      <c r="BO66" s="10" t="n">
        <f aca="false">IF(Flows!BO36*BO$3*BO$4&lt;0.002,100,MAX($CM$2/(Flows!BO36*BO$3*BO$4),1))</f>
        <v>23.7611889524259</v>
      </c>
      <c r="BP66" s="10" t="n">
        <f aca="false">IF(Flows!BP36*BP$3*BP$4&lt;0.002,100,MAX($CM$2/(Flows!BP36*BP$3*BP$4),1))</f>
        <v>58.6129341739804</v>
      </c>
      <c r="BQ66" s="10" t="n">
        <f aca="false">IF(Flows!BQ36*BQ$3*BQ$4&lt;0.002,100,MAX($CM$2/(Flows!BQ36*BQ$3*BQ$4),1))</f>
        <v>1453481.41217423</v>
      </c>
      <c r="BR66" s="10" t="n">
        <f aca="false">IF(Flows!BR36*BR$3*BR$4&lt;0.002,100,MAX($CM$2/(Flows!BR36*BR$3*BR$4),1))</f>
        <v>712.835529907484</v>
      </c>
      <c r="BS66" s="10" t="n">
        <f aca="false">IF(Flows!BS36*BS$3*BS$4&lt;0.002,100,MAX($CM$2/(Flows!BS36*BS$3*BS$4),1))</f>
        <v>7128.35529907484</v>
      </c>
      <c r="BT66" s="10" t="n">
        <f aca="false">IF(Flows!BT36*BT$3*BT$4&lt;0.002,100,MAX($CM$2/(Flows!BT36*BT$3*BT$4),1))</f>
        <v>3.85333572862305</v>
      </c>
      <c r="BU66" s="10" t="n">
        <f aca="false">IF(Flows!BU36*BU$3*BU$4&lt;0.002,100,MAX($CM$2/(Flows!BU36*BU$3*BU$4),1))</f>
        <v>38.5333572862305</v>
      </c>
      <c r="BV66" s="10" t="n">
        <f aca="false">IF(Flows!BV36*BV$3*BV$4&lt;0.002,100,MAX($CM$2/(Flows!BV36*BV$3*BV$4),1))</f>
        <v>385.333572862305</v>
      </c>
      <c r="BW66" s="10" t="n">
        <f aca="false">IF(Flows!BW36*BW$3*BW$4&lt;0.002,100,MAX($CM$2/(Flows!BW36*BW$3*BW$4),1))</f>
        <v>33.9408259612392</v>
      </c>
      <c r="BX66" s="10" t="n">
        <f aca="false">IF(Flows!BX36*BX$3*BX$4&lt;0.002,100,MAX($CM$2/(Flows!BX36*BX$3*BX$4),1))</f>
        <v>15.5346477933937</v>
      </c>
      <c r="BY66" s="10" t="n">
        <f aca="false">IF(Flows!BY36*BY$3*BY$4&lt;0.002,100,MAX($CM$2/(Flows!BY36*BY$3*BY$4),1))</f>
        <v>35.4446710977693</v>
      </c>
      <c r="BZ66" s="10" t="n">
        <f aca="false">IF(Flows!BZ36*BZ$3*BZ$4&lt;0.002,100,MAX($CM$2/(Flows!BZ36*BZ$3*BZ$4),1))</f>
        <v>39665.4827506832</v>
      </c>
      <c r="CA66" s="10" t="n">
        <f aca="false">IF(Flows!CA36*CA$3*CA$4&lt;0.002,100,MAX($CM$2/(Flows!CA36*CA$3*CA$4),1))</f>
        <v>128933.022128694</v>
      </c>
      <c r="CB66" s="10" t="n">
        <f aca="false">IF(Flows!CB36*CB$3*CB$4&lt;0.002,100,MAX($CM$2/(Flows!CB36*CB$3*CB$4),1))</f>
        <v>72.6305083990569</v>
      </c>
      <c r="CC66" s="10" t="n">
        <f aca="false">IF(Flows!CC36*CC$3*CC$4&lt;0.002,100,MAX($CM$2/(Flows!CC36*CC$3*CC$4),1))</f>
        <v>40.1967917091623</v>
      </c>
      <c r="CD66" s="10" t="n">
        <f aca="false">IF(Flows!CD36*CD$3*CD$4&lt;0.002,100,MAX($CM$2/(Flows!CD36*CD$3*CD$4),1))</f>
        <v>118.24428204802</v>
      </c>
      <c r="CE66" s="10" t="n">
        <f aca="false">IF(Flows!CE36*CE$3*CE$4&lt;0.002,100,MAX($CM$2/(Flows!CE36*CE$3*CE$4),1))</f>
        <v>10.8700368252522</v>
      </c>
      <c r="CF66" s="10" t="n">
        <f aca="false">IF(Flows!CF36*CF$3*CF$4&lt;0.002,100,MAX($CM$2/(Flows!CF36*CF$3*CF$4),1))</f>
        <v>1</v>
      </c>
      <c r="CG66" s="10" t="n">
        <f aca="false">IF(Flows!CG36*CG$3*CG$4&lt;0.002,100,MAX($CM$2/(Flows!CG36*CG$3*CG$4),1))</f>
        <v>56.9961722449585</v>
      </c>
      <c r="CH66" s="10" t="n">
        <f aca="false">IF(Flows!CH36*CH$3*CH$4&lt;0.002,100,MAX($CM$2/(Flows!CH36*CH$3*CH$4),1))</f>
        <v>737.04011186139</v>
      </c>
      <c r="CI66" s="10" t="n">
        <f aca="false">IF(Flows!CI36*CI$3*CI$4&lt;0.002,100,MAX($CM$2/(Flows!CI36*CI$3*CI$4),1))</f>
        <v>183.331279999528</v>
      </c>
      <c r="CJ66" s="10" t="n">
        <f aca="false">IF(Flows!CJ36*CJ$3*CJ$4&lt;0.002,100,MAX($CM$2/(Flows!CJ36*CJ$3*CJ$4),1))</f>
        <v>8508.93323426772</v>
      </c>
      <c r="CK66" s="10" t="n">
        <f aca="false">IF(Flows!CK36*CK$3*CK$4&lt;0.002,100,MAX($CM$2/(Flows!CK36*CK$3*CK$4),1))</f>
        <v>668.523299841769</v>
      </c>
      <c r="CL66" s="7" t="s">
        <v>320</v>
      </c>
    </row>
    <row r="67" customFormat="false" ht="12.8" hidden="false" customHeight="false" outlineLevel="0" collapsed="false">
      <c r="A67" s="7" t="s">
        <v>141</v>
      </c>
      <c r="B67" s="7" t="s">
        <v>39</v>
      </c>
      <c r="C67" s="10" t="n">
        <f aca="false">IF(Flows!C37*C$3*C$4&lt;0.002,100,MAX($CM$2/(Flows!C37*C$3*C$4),1))</f>
        <v>34435.331409998</v>
      </c>
      <c r="D67" s="10" t="n">
        <f aca="false">IF(Flows!D37*D$3*D$4&lt;0.002,100,MAX($CM$2/(Flows!D37*D$3*D$4),1))</f>
        <v>4.91942308064268</v>
      </c>
      <c r="E67" s="10" t="n">
        <f aca="false">IF(Flows!E37*E$3*E$4&lt;0.002,100,MAX($CM$2/(Flows!E37*E$3*E$4),1))</f>
        <v>9.48366259356208</v>
      </c>
      <c r="F67" s="10" t="n">
        <f aca="false">IF(Flows!F37*F$3*F$4&lt;0.002,100,MAX($CM$2/(Flows!F37*F$3*F$4),1))</f>
        <v>32.3114004612309</v>
      </c>
      <c r="G67" s="10" t="n">
        <f aca="false">IF(Flows!G37*G$3*G$4&lt;0.002,100,MAX($CM$2/(Flows!G37*G$3*G$4),1))</f>
        <v>19.5457949864985</v>
      </c>
      <c r="H67" s="10" t="n">
        <f aca="false">IF(Flows!H37*H$3*H$4&lt;0.002,100,MAX($CM$2/(Flows!H37*H$3*H$4),1))</f>
        <v>2778.25230718402</v>
      </c>
      <c r="I67" s="10" t="n">
        <f aca="false">IF(Flows!I37*I$3*I$4&lt;0.002,100,MAX($CM$2/(Flows!I37*I$3*I$4),1))</f>
        <v>7090.87638237034</v>
      </c>
      <c r="J67" s="10" t="n">
        <f aca="false">IF(Flows!J37*J$3*J$4&lt;0.002,100,MAX($CM$2/(Flows!J37*J$3*J$4),1))</f>
        <v>17184.6395981012</v>
      </c>
      <c r="K67" s="10" t="n">
        <f aca="false">IF(Flows!K37*K$3*K$4&lt;0.002,100,MAX($CM$2/(Flows!K37*K$3*K$4),1))</f>
        <v>22098.2157957903</v>
      </c>
      <c r="L67" s="10" t="n">
        <f aca="false">IF(Flows!L37*L$3*L$4&lt;0.002,100,MAX($CM$2/(Flows!L37*L$3*L$4),1))</f>
        <v>134311.843669206</v>
      </c>
      <c r="M67" s="10" t="n">
        <f aca="false">IF(Flows!M37*M$3*M$4&lt;0.002,100,MAX($CM$2/(Flows!M37*M$3*M$4),1))</f>
        <v>100237.34710416</v>
      </c>
      <c r="N67" s="10" t="n">
        <f aca="false">IF(Flows!N37*N$3*N$4&lt;0.002,100,MAX($CM$2/(Flows!N37*N$3*N$4),1))</f>
        <v>6.84090977059421</v>
      </c>
      <c r="O67" s="10" t="n">
        <f aca="false">IF(Flows!O37*O$3*O$4&lt;0.002,100,MAX($CM$2/(Flows!O37*O$3*O$4),1))</f>
        <v>3.93553846451415</v>
      </c>
      <c r="P67" s="10" t="n">
        <f aca="false">IF(Flows!P37*P$3*P$4&lt;0.002,100,MAX($CM$2/(Flows!P37*P$3*P$4),1))</f>
        <v>2.36132307870849</v>
      </c>
      <c r="Q67" s="10" t="n">
        <f aca="false">IF(Flows!Q37*Q$3*Q$4&lt;0.002,100,MAX($CM$2/(Flows!Q37*Q$3*Q$4),1))</f>
        <v>584.266400465582</v>
      </c>
      <c r="R67" s="10" t="n">
        <f aca="false">IF(Flows!R37*R$3*R$4&lt;0.002,100,MAX($CM$2/(Flows!R37*R$3*R$4),1))</f>
        <v>53.5965732274003</v>
      </c>
      <c r="S67" s="10" t="n">
        <f aca="false">IF(Flows!S37*S$3*S$4&lt;0.002,100,MAX($CM$2/(Flows!S37*S$3*S$4),1))</f>
        <v>1151.24437430748</v>
      </c>
      <c r="T67" s="10" t="n">
        <f aca="false">IF(Flows!T37*T$3*T$4&lt;0.002,100,MAX($CM$2/(Flows!T37*T$3*T$4),1))</f>
        <v>2059.82449324623</v>
      </c>
      <c r="U67" s="10" t="n">
        <f aca="false">IF(Flows!U37*U$3*U$4&lt;0.002,100,MAX($CM$2/(Flows!U37*U$3*U$4),1))</f>
        <v>6682.48980694401</v>
      </c>
      <c r="V67" s="10" t="n">
        <f aca="false">IF(Flows!V37*V$3*V$4&lt;0.002,100,MAX($CM$2/(Flows!V37*V$3*V$4),1))</f>
        <v>174.95348773145</v>
      </c>
      <c r="W67" s="10" t="n">
        <f aca="false">IF(Flows!W37*W$3*W$4&lt;0.002,100,MAX($CM$2/(Flows!W37*W$3*W$4),1))</f>
        <v>4.50054658893594</v>
      </c>
      <c r="X67" s="10" t="n">
        <f aca="false">IF(Flows!X37*X$3*X$4&lt;0.002,100,MAX($CM$2/(Flows!X37*X$3*X$4),1))</f>
        <v>12.9080196148023</v>
      </c>
      <c r="Y67" s="10" t="n">
        <f aca="false">IF(Flows!Y37*Y$3*Y$4&lt;0.002,100,MAX($CM$2/(Flows!Y37*Y$3*Y$4),1))</f>
        <v>671.559218346031</v>
      </c>
      <c r="Z67" s="10" t="n">
        <f aca="false">IF(Flows!Z37*Z$3*Z$4&lt;0.002,100,MAX($CM$2/(Flows!Z37*Z$3*Z$4),1))</f>
        <v>12329.1577905753</v>
      </c>
      <c r="AA67" s="10" t="n">
        <f aca="false">IF(Flows!AA37*AA$3*AA$4&lt;0.002,100,MAX($CM$2/(Flows!AA37*AA$3*AA$4),1))</f>
        <v>12301.0137434825</v>
      </c>
      <c r="AB67" s="10" t="n">
        <f aca="false">IF(Flows!AB37*AB$3*AB$4&lt;0.002,100,MAX($CM$2/(Flows!AB37*AB$3*AB$4),1))</f>
        <v>10163.336327117</v>
      </c>
      <c r="AC67" s="10" t="n">
        <f aca="false">IF(Flows!AC37*AC$3*AC$4&lt;0.002,100,MAX($CM$2/(Flows!AC37*AC$3*AC$4),1))</f>
        <v>71030.5491636996</v>
      </c>
      <c r="AD67" s="10" t="n">
        <f aca="false">IF(Flows!AD37*AD$3*AD$4&lt;0.002,100,MAX($CM$2/(Flows!AD37*AD$3*AD$4),1))</f>
        <v>64021.1239787946</v>
      </c>
      <c r="AE67" s="10" t="n">
        <f aca="false">IF(Flows!AE37*AE$3*AE$4&lt;0.002,100,MAX($CM$2/(Flows!AE37*AE$3*AE$4),1))</f>
        <v>145368.345281434</v>
      </c>
      <c r="AF67" s="10" t="n">
        <f aca="false">IF(Flows!AF37*AF$3*AF$4&lt;0.002,100,MAX($CM$2/(Flows!AF37*AF$3*AF$4),1))</f>
        <v>1272.74945478497</v>
      </c>
      <c r="AG67" s="10" t="n">
        <f aca="false">IF(Flows!AG37*AG$3*AG$4&lt;0.002,100,MAX($CM$2/(Flows!AG37*AG$3*AG$4),1))</f>
        <v>658.550844394646</v>
      </c>
      <c r="AH67" s="10" t="n">
        <f aca="false">IF(Flows!AH37*AH$3*AH$4&lt;0.002,100,MAX($CM$2/(Flows!AH37*AH$3*AH$4),1))</f>
        <v>266.660935752302</v>
      </c>
      <c r="AI67" s="10" t="n">
        <f aca="false">IF(Flows!AI37*AI$3*AI$4&lt;0.002,100,MAX($CM$2/(Flows!AI37*AI$3*AI$4),1))</f>
        <v>4464.04685968613</v>
      </c>
      <c r="AJ67" s="10" t="n">
        <f aca="false">IF(Flows!AJ37*AJ$3*AJ$4&lt;0.002,100,MAX($CM$2/(Flows!AJ37*AJ$3*AJ$4),1))</f>
        <v>1736.92964260586</v>
      </c>
      <c r="AK67" s="10" t="n">
        <f aca="false">IF(Flows!AK37*AK$3*AK$4&lt;0.002,100,MAX($CM$2/(Flows!AK37*AK$3*AK$4),1))</f>
        <v>731.071843340105</v>
      </c>
      <c r="AL67" s="10" t="n">
        <f aca="false">IF(Flows!AL37*AL$3*AL$4&lt;0.002,100,MAX($CM$2/(Flows!AL37*AL$3*AL$4),1))</f>
        <v>1748.35753338746</v>
      </c>
      <c r="AM67" s="10" t="n">
        <f aca="false">IF(Flows!AM37*AM$3*AM$4&lt;0.002,100,MAX($CM$2/(Flows!AM37*AM$3*AM$4),1))</f>
        <v>725.208749567606</v>
      </c>
      <c r="AN67" s="10" t="n">
        <f aca="false">IF(Flows!AN37*AN$3*AN$4&lt;0.002,100,MAX($CM$2/(Flows!AN37*AN$3*AN$4),1))</f>
        <v>2711.61195575165</v>
      </c>
      <c r="AO67" s="10" t="n">
        <f aca="false">IF(Flows!AO37*AO$3*AO$4&lt;0.002,100,MAX($CM$2/(Flows!AO37*AO$3*AO$4),1))</f>
        <v>123079.387533762</v>
      </c>
      <c r="AP67" s="10" t="n">
        <f aca="false">IF(Flows!AP37*AP$3*AP$4&lt;0.002,100,MAX($CM$2/(Flows!AP37*AP$3*AP$4),1))</f>
        <v>24662.3627478574</v>
      </c>
      <c r="AQ67" s="10" t="n">
        <f aca="false">IF(Flows!AQ37*AQ$3*AQ$4&lt;0.002,100,MAX($CM$2/(Flows!AQ37*AQ$3*AQ$4),1))</f>
        <v>10168.7757033029</v>
      </c>
      <c r="AR67" s="10" t="n">
        <f aca="false">IF(Flows!AR37*AR$3*AR$4&lt;0.002,100,MAX($CM$2/(Flows!AR37*AR$3*AR$4),1))</f>
        <v>15928.8646680609</v>
      </c>
      <c r="AS67" s="10" t="n">
        <f aca="false">IF(Flows!AS37*AS$3*AS$4&lt;0.002,100,MAX($CM$2/(Flows!AS37*AS$3*AS$4),1))</f>
        <v>4952.26935508972</v>
      </c>
      <c r="AT67" s="10" t="n">
        <f aca="false">IF(Flows!AT37*AT$3*AT$4&lt;0.002,100,MAX($CM$2/(Flows!AT37*AT$3*AT$4),1))</f>
        <v>1191.58166142889</v>
      </c>
      <c r="AU67" s="10" t="n">
        <f aca="false">IF(Flows!AU37*AU$3*AU$4&lt;0.002,100,MAX($CM$2/(Flows!AU37*AU$3*AU$4),1))</f>
        <v>607.420925334195</v>
      </c>
      <c r="AV67" s="10" t="n">
        <f aca="false">IF(Flows!AV37*AV$3*AV$4&lt;0.002,100,MAX($CM$2/(Flows!AV37*AV$3*AV$4),1))</f>
        <v>8812.51503549377</v>
      </c>
      <c r="AW67" s="10" t="n">
        <f aca="false">IF(Flows!AW37*AW$3*AW$4&lt;0.002,100,MAX($CM$2/(Flows!AW37*AW$3*AW$4),1))</f>
        <v>21.5686266324262</v>
      </c>
      <c r="AX67" s="10" t="n">
        <f aca="false">IF(Flows!AX37*AX$3*AX$4&lt;0.002,100,MAX($CM$2/(Flows!AX37*AX$3*AX$4),1))</f>
        <v>1297.33777289616</v>
      </c>
      <c r="AY67" s="10" t="n">
        <f aca="false">IF(Flows!AY37*AY$3*AY$4&lt;0.002,100,MAX($CM$2/(Flows!AY37*AY$3*AY$4),1))</f>
        <v>691.464267260172</v>
      </c>
      <c r="AZ67" s="10" t="n">
        <f aca="false">IF(Flows!AZ37*AZ$3*AZ$4&lt;0.002,100,MAX($CM$2/(Flows!AZ37*AZ$3*AZ$4),1))</f>
        <v>158.879317372638</v>
      </c>
      <c r="BA67" s="10" t="n">
        <f aca="false">IF(Flows!BA37*BA$3*BA$4&lt;0.002,100,MAX($CM$2/(Flows!BA37*BA$3*BA$4),1))</f>
        <v>6849.90402712952</v>
      </c>
      <c r="BB67" s="10" t="n">
        <f aca="false">IF(Flows!BB37*BB$3*BB$4&lt;0.002,100,MAX($CM$2/(Flows!BB37*BB$3*BB$4),1))</f>
        <v>3980.55727714228</v>
      </c>
      <c r="BC67" s="10" t="n">
        <f aca="false">IF(Flows!BC37*BC$3*BC$4&lt;0.002,100,MAX($CM$2/(Flows!BC37*BC$3*BC$4),1))</f>
        <v>7522.88236431086</v>
      </c>
      <c r="BD67" s="10" t="n">
        <f aca="false">IF(Flows!BD37*BD$3*BD$4&lt;0.002,100,MAX($CM$2/(Flows!BD37*BD$3*BD$4),1))</f>
        <v>9355.12427745739</v>
      </c>
      <c r="BE67" s="10" t="n">
        <f aca="false">IF(Flows!BE37*BE$3*BE$4&lt;0.002,100,MAX($CM$2/(Flows!BE37*BE$3*BE$4),1))</f>
        <v>74612.6752601317</v>
      </c>
      <c r="BF67" s="10" t="n">
        <f aca="false">IF(Flows!BF37*BF$3*BF$4&lt;0.002,100,MAX($CM$2/(Flows!BF37*BF$3*BF$4),1))</f>
        <v>2909.76682563329</v>
      </c>
      <c r="BG67" s="10" t="n">
        <f aca="false">IF(Flows!BG37*BG$3*BG$4&lt;0.002,100,MAX($CM$2/(Flows!BG37*BG$3*BG$4),1))</f>
        <v>436.551956506849</v>
      </c>
      <c r="BH67" s="10" t="n">
        <f aca="false">IF(Flows!BH37*BH$3*BH$4&lt;0.002,100,MAX($CM$2/(Flows!BH37*BH$3*BH$4),1))</f>
        <v>218.275978253425</v>
      </c>
      <c r="BI67" s="10" t="n">
        <f aca="false">IF(Flows!BI37*BI$3*BI$4&lt;0.002,100,MAX($CM$2/(Flows!BI37*BI$3*BI$4),1))</f>
        <v>163.706983690068</v>
      </c>
      <c r="BJ67" s="10" t="n">
        <f aca="false">IF(Flows!BJ37*BJ$3*BJ$4&lt;0.002,100,MAX($CM$2/(Flows!BJ37*BJ$3*BJ$4),1))</f>
        <v>2.95089585679538</v>
      </c>
      <c r="BK67" s="10" t="n">
        <f aca="false">IF(Flows!BK37*BK$3*BK$4&lt;0.002,100,MAX($CM$2/(Flows!BK37*BK$3*BK$4),1))</f>
        <v>327.413967380137</v>
      </c>
      <c r="BL67" s="10" t="n">
        <f aca="false">IF(Flows!BL37*BL$3*BL$4&lt;0.002,100,MAX($CM$2/(Flows!BL37*BL$3*BL$4),1))</f>
        <v>126.543719675906</v>
      </c>
      <c r="BM67" s="10" t="n">
        <f aca="false">IF(Flows!BM37*BM$3*BM$4&lt;0.002,100,MAX($CM$2/(Flows!BM37*BM$3*BM$4),1))</f>
        <v>127.479933100583</v>
      </c>
      <c r="BN67" s="10" t="n">
        <f aca="false">IF(Flows!BN37*BN$3*BN$4&lt;0.002,100,MAX($CM$2/(Flows!BN37*BN$3*BN$4),1))</f>
        <v>437362.702988395</v>
      </c>
      <c r="BO67" s="10" t="n">
        <f aca="false">IF(Flows!BO37*BO$3*BO$4&lt;0.002,100,MAX($CM$2/(Flows!BO37*BO$3*BO$4),1))</f>
        <v>29.4648490597388</v>
      </c>
      <c r="BP67" s="10" t="n">
        <f aca="false">IF(Flows!BP37*BP$3*BP$4&lt;0.002,100,MAX($CM$2/(Flows!BP37*BP$3*BP$4),1))</f>
        <v>64.309980856914</v>
      </c>
      <c r="BQ67" s="10" t="n">
        <f aca="false">IF(Flows!BQ37*BQ$3*BQ$4&lt;0.002,100,MAX($CM$2/(Flows!BQ37*BQ$3*BQ$4),1))</f>
        <v>672865.696905223</v>
      </c>
      <c r="BR67" s="10" t="n">
        <f aca="false">IF(Flows!BR37*BR$3*BR$4&lt;0.002,100,MAX($CM$2/(Flows!BR37*BR$3*BR$4),1))</f>
        <v>883.944844308242</v>
      </c>
      <c r="BS67" s="10" t="n">
        <f aca="false">IF(Flows!BS37*BS$3*BS$4&lt;0.002,100,MAX($CM$2/(Flows!BS37*BS$3*BS$4),1))</f>
        <v>8839.44844308243</v>
      </c>
      <c r="BT67" s="10" t="n">
        <f aca="false">IF(Flows!BT37*BT$3*BT$4&lt;0.002,100,MAX($CM$2/(Flows!BT37*BT$3*BT$4),1))</f>
        <v>3.85716206372756</v>
      </c>
      <c r="BU67" s="10" t="n">
        <f aca="false">IF(Flows!BU37*BU$3*BU$4&lt;0.002,100,MAX($CM$2/(Flows!BU37*BU$3*BU$4),1))</f>
        <v>38.5716206372756</v>
      </c>
      <c r="BV67" s="10" t="n">
        <f aca="false">IF(Flows!BV37*BV$3*BV$4&lt;0.002,100,MAX($CM$2/(Flows!BV37*BV$3*BV$4),1))</f>
        <v>385.716206372756</v>
      </c>
      <c r="BW67" s="10" t="n">
        <f aca="false">IF(Flows!BW37*BW$3*BW$4&lt;0.002,100,MAX($CM$2/(Flows!BW37*BW$3*BW$4),1))</f>
        <v>28.4509877806863</v>
      </c>
      <c r="BX67" s="10" t="n">
        <f aca="false">IF(Flows!BX37*BX$3*BX$4&lt;0.002,100,MAX($CM$2/(Flows!BX37*BX$3*BX$4),1))</f>
        <v>10.5277003108846</v>
      </c>
      <c r="BY67" s="10" t="n">
        <f aca="false">IF(Flows!BY37*BY$3*BY$4&lt;0.002,100,MAX($CM$2/(Flows!BY37*BY$3*BY$4),1))</f>
        <v>22.9913708751474</v>
      </c>
      <c r="BZ67" s="10" t="n">
        <f aca="false">IF(Flows!BZ37*BZ$3*BZ$4&lt;0.002,100,MAX($CM$2/(Flows!BZ37*BZ$3*BZ$4),1))</f>
        <v>21087.6897432806</v>
      </c>
      <c r="CA67" s="10" t="n">
        <f aca="false">IF(Flows!CA37*CA$3*CA$4&lt;0.002,100,MAX($CM$2/(Flows!CA37*CA$3*CA$4),1))</f>
        <v>34787.8486707321</v>
      </c>
      <c r="CB67" s="10" t="n">
        <f aca="false">IF(Flows!CB37*CB$3*CB$4&lt;0.002,100,MAX($CM$2/(Flows!CB37*CB$3*CB$4),1))</f>
        <v>95.8992205139928</v>
      </c>
      <c r="CC67" s="10" t="n">
        <f aca="false">IF(Flows!CC37*CC$3*CC$4&lt;0.002,100,MAX($CM$2/(Flows!CC37*CC$3*CC$4),1))</f>
        <v>6.0585243883506</v>
      </c>
      <c r="CD67" s="10" t="n">
        <f aca="false">IF(Flows!CD37*CD$3*CD$4&lt;0.002,100,MAX($CM$2/(Flows!CD37*CD$3*CD$4),1))</f>
        <v>99.0168923214062</v>
      </c>
      <c r="CE67" s="10" t="n">
        <f aca="false">IF(Flows!CE37*CE$3*CE$4&lt;0.002,100,MAX($CM$2/(Flows!CE37*CE$3*CE$4),1))</f>
        <v>9.80164356675973</v>
      </c>
      <c r="CF67" s="10" t="n">
        <f aca="false">IF(Flows!CF37*CF$3*CF$4&lt;0.002,100,MAX($CM$2/(Flows!CF37*CF$3*CF$4),1))</f>
        <v>1</v>
      </c>
      <c r="CG67" s="10" t="n">
        <f aca="false">IF(Flows!CG37*CG$3*CG$4&lt;0.002,100,MAX($CM$2/(Flows!CG37*CG$3*CG$4),1))</f>
        <v>6583.65513129819</v>
      </c>
      <c r="CH67" s="10" t="n">
        <f aca="false">IF(Flows!CH37*CH$3*CH$4&lt;0.002,100,MAX($CM$2/(Flows!CH37*CH$3*CH$4),1))</f>
        <v>132.867816072878</v>
      </c>
      <c r="CI67" s="10" t="n">
        <f aca="false">IF(Flows!CI37*CI$3*CI$4&lt;0.002,100,MAX($CM$2/(Flows!CI37*CI$3*CI$4),1))</f>
        <v>758.309667852828</v>
      </c>
      <c r="CJ67" s="10" t="n">
        <f aca="false">IF(Flows!CJ37*CJ$3*CJ$4&lt;0.002,100,MAX($CM$2/(Flows!CJ37*CJ$3*CJ$4),1))</f>
        <v>8755.72874470544</v>
      </c>
      <c r="CK67" s="10" t="n">
        <f aca="false">IF(Flows!CK37*CK$3*CK$4&lt;0.002,100,MAX($CM$2/(Flows!CK37*CK$3*CK$4),1))</f>
        <v>399.270964723997</v>
      </c>
      <c r="CL67" s="7" t="s">
        <v>320</v>
      </c>
    </row>
    <row r="68" customFormat="false" ht="12.8" hidden="false" customHeight="false" outlineLevel="0" collapsed="false">
      <c r="A68" s="7" t="s">
        <v>142</v>
      </c>
      <c r="B68" s="7" t="s">
        <v>39</v>
      </c>
      <c r="C68" s="10" t="n">
        <f aca="false">IF(Flows!C38*C$3*C$4&lt;0.002,100,MAX($CM$2/(Flows!C38*C$3*C$4),1))</f>
        <v>49584.7886567556</v>
      </c>
      <c r="D68" s="10" t="n">
        <f aca="false">IF(Flows!D38*D$3*D$4&lt;0.002,100,MAX($CM$2/(Flows!D38*D$3*D$4),1))</f>
        <v>9.67076181987874</v>
      </c>
      <c r="E68" s="10" t="n">
        <f aca="false">IF(Flows!E38*E$3*E$4&lt;0.002,100,MAX($CM$2/(Flows!E38*E$3*E$4),1))</f>
        <v>26.552232816054</v>
      </c>
      <c r="F68" s="10" t="n">
        <f aca="false">IF(Flows!F38*F$3*F$4&lt;0.002,100,MAX($CM$2/(Flows!F38*F$3*F$4),1))</f>
        <v>74.2627918900211</v>
      </c>
      <c r="G68" s="10" t="n">
        <f aca="false">IF(Flows!G38*G$3*G$4&lt;0.002,100,MAX($CM$2/(Flows!G38*G$3*G$4),1))</f>
        <v>739.444347374204</v>
      </c>
      <c r="H68" s="10" t="n">
        <f aca="false">IF(Flows!H38*H$3*H$4&lt;0.002,100,MAX($CM$2/(Flows!H38*H$3*H$4),1))</f>
        <v>15971.604301803</v>
      </c>
      <c r="I68" s="10" t="n">
        <f aca="false">IF(Flows!I38*I$3*I$4&lt;0.002,100,MAX($CM$2/(Flows!I38*I$3*I$4),1))</f>
        <v>1512.24970722756</v>
      </c>
      <c r="J68" s="10" t="n">
        <f aca="false">IF(Flows!J38*J$3*J$4&lt;0.002,100,MAX($CM$2/(Flows!J38*J$3*J$4),1))</f>
        <v>19737.6231816509</v>
      </c>
      <c r="K68" s="10" t="n">
        <f aca="false">IF(Flows!K38*K$3*K$4&lt;0.002,100,MAX($CM$2/(Flows!K38*K$3*K$4),1))</f>
        <v>27817.9077552364</v>
      </c>
      <c r="L68" s="10" t="n">
        <f aca="false">IF(Flows!L38*L$3*L$4&lt;0.002,100,MAX($CM$2/(Flows!L38*L$3*L$4),1))</f>
        <v>162133.875033682</v>
      </c>
      <c r="M68" s="10" t="n">
        <f aca="false">IF(Flows!M38*M$3*M$4&lt;0.002,100,MAX($CM$2/(Flows!M38*M$3*M$4),1))</f>
        <v>119884.648676613</v>
      </c>
      <c r="N68" s="10" t="n">
        <f aca="false">IF(Flows!N38*N$3*N$4&lt;0.002,100,MAX($CM$2/(Flows!N38*N$3*N$4),1))</f>
        <v>19.2106894986975</v>
      </c>
      <c r="O68" s="10" t="n">
        <f aca="false">IF(Flows!O38*O$3*O$4&lt;0.002,100,MAX($CM$2/(Flows!O38*O$3*O$4),1))</f>
        <v>7.73660945590299</v>
      </c>
      <c r="P68" s="10" t="n">
        <f aca="false">IF(Flows!P38*P$3*P$4&lt;0.002,100,MAX($CM$2/(Flows!P38*P$3*P$4),1))</f>
        <v>4.64196567354179</v>
      </c>
      <c r="Q68" s="10" t="n">
        <f aca="false">IF(Flows!Q38*Q$3*Q$4&lt;0.002,100,MAX($CM$2/(Flows!Q38*Q$3*Q$4),1))</f>
        <v>9608.64137236895</v>
      </c>
      <c r="R68" s="10" t="n">
        <f aca="false">IF(Flows!R38*R$3*R$4&lt;0.002,100,MAX($CM$2/(Flows!R38*R$3*R$4),1))</f>
        <v>41.8861965313868</v>
      </c>
      <c r="S68" s="10" t="n">
        <f aca="false">IF(Flows!S38*S$3*S$4&lt;0.002,100,MAX($CM$2/(Flows!S38*S$3*S$4),1))</f>
        <v>1389.71892886013</v>
      </c>
      <c r="T68" s="10" t="n">
        <f aca="false">IF(Flows!T38*T$3*T$4&lt;0.002,100,MAX($CM$2/(Flows!T38*T$3*T$4),1))</f>
        <v>2486.50690702916</v>
      </c>
      <c r="U68" s="10" t="n">
        <f aca="false">IF(Flows!U38*U$3*U$4&lt;0.002,100,MAX($CM$2/(Flows!U38*U$3*U$4),1))</f>
        <v>7992.30991177421</v>
      </c>
      <c r="V68" s="10" t="n">
        <f aca="false">IF(Flows!V38*V$3*V$4&lt;0.002,100,MAX($CM$2/(Flows!V38*V$3*V$4),1))</f>
        <v>313.866782269884</v>
      </c>
      <c r="W68" s="10" t="n">
        <f aca="false">IF(Flows!W38*W$3*W$4&lt;0.002,100,MAX($CM$2/(Flows!W38*W$3*W$4),1))</f>
        <v>3.51057066598009</v>
      </c>
      <c r="X68" s="10" t="n">
        <f aca="false">IF(Flows!X38*X$3*X$4&lt;0.002,100,MAX($CM$2/(Flows!X38*X$3*X$4),1))</f>
        <v>8.29013532499598</v>
      </c>
      <c r="Y68" s="10" t="n">
        <f aca="false">IF(Flows!Y38*Y$3*Y$4&lt;0.002,100,MAX($CM$2/(Flows!Y38*Y$3*Y$4),1))</f>
        <v>810.669375168411</v>
      </c>
      <c r="Z68" s="10" t="n">
        <f aca="false">IF(Flows!Z38*Z$3*Z$4&lt;0.002,100,MAX($CM$2/(Flows!Z38*Z$3*Z$4),1))</f>
        <v>58451.9279786587</v>
      </c>
      <c r="AA68" s="10" t="n">
        <f aca="false">IF(Flows!AA38*AA$3*AA$4&lt;0.002,100,MAX($CM$2/(Flows!AA38*AA$3*AA$4),1))</f>
        <v>37826.6317795784</v>
      </c>
      <c r="AB68" s="10" t="n">
        <f aca="false">IF(Flows!AB38*AB$3*AB$4&lt;0.002,100,MAX($CM$2/(Flows!AB38*AB$3*AB$4),1))</f>
        <v>28455.1743256515</v>
      </c>
      <c r="AC68" s="10" t="n">
        <f aca="false">IF(Flows!AC38*AC$3*AC$4&lt;0.002,100,MAX($CM$2/(Flows!AC38*AC$3*AC$4),1))</f>
        <v>360941.079902625</v>
      </c>
      <c r="AD68" s="10" t="n">
        <f aca="false">IF(Flows!AD38*AD$3*AD$4&lt;0.002,100,MAX($CM$2/(Flows!AD38*AD$3*AD$4),1))</f>
        <v>179245.494265515</v>
      </c>
      <c r="AE68" s="10" t="n">
        <f aca="false">IF(Flows!AE38*AE$3*AE$4&lt;0.002,100,MAX($CM$2/(Flows!AE38*AE$3*AE$4),1))</f>
        <v>541209.675103021</v>
      </c>
      <c r="AF68" s="10" t="n">
        <f aca="false">IF(Flows!AF38*AF$3*AF$4&lt;0.002,100,MAX($CM$2/(Flows!AF38*AF$3*AF$4),1))</f>
        <v>809.425654151006</v>
      </c>
      <c r="AG68" s="10" t="n">
        <f aca="false">IF(Flows!AG38*AG$3*AG$4&lt;0.002,100,MAX($CM$2/(Flows!AG38*AG$3*AG$4),1))</f>
        <v>2477.91427219653</v>
      </c>
      <c r="AH68" s="10" t="n">
        <f aca="false">IF(Flows!AH38*AH$3*AH$4&lt;0.002,100,MAX($CM$2/(Flows!AH38*AH$3*AH$4),1))</f>
        <v>697.825583797157</v>
      </c>
      <c r="AI68" s="10" t="n">
        <f aca="false">IF(Flows!AI38*AI$3*AI$4&lt;0.002,100,MAX($CM$2/(Flows!AI38*AI$3*AI$4),1))</f>
        <v>13949.3455359164</v>
      </c>
      <c r="AJ68" s="10" t="n">
        <f aca="false">IF(Flows!AJ38*AJ$3*AJ$4&lt;0.002,100,MAX($CM$2/(Flows!AJ38*AJ$3*AJ$4),1))</f>
        <v>924.318688379903</v>
      </c>
      <c r="AK68" s="10" t="n">
        <f aca="false">IF(Flows!AK38*AK$3*AK$4&lt;0.002,100,MAX($CM$2/(Flows!AK38*AK$3*AK$4),1))</f>
        <v>386.027102017205</v>
      </c>
      <c r="AL68" s="10" t="n">
        <f aca="false">IF(Flows!AL38*AL$3*AL$4&lt;0.002,100,MAX($CM$2/(Flows!AL38*AL$3*AL$4),1))</f>
        <v>878.198695466871</v>
      </c>
      <c r="AM68" s="10" t="n">
        <f aca="false">IF(Flows!AM38*AM$3*AM$4&lt;0.002,100,MAX($CM$2/(Flows!AM38*AM$3*AM$4),1))</f>
        <v>3343.42029087134</v>
      </c>
      <c r="AN68" s="10" t="n">
        <f aca="false">IF(Flows!AN38*AN$3*AN$4&lt;0.002,100,MAX($CM$2/(Flows!AN38*AN$3*AN$4),1))</f>
        <v>5654.92533620644</v>
      </c>
      <c r="AO68" s="10" t="n">
        <f aca="false">IF(Flows!AO38*AO$3*AO$4&lt;0.002,100,MAX($CM$2/(Flows!AO38*AO$3*AO$4),1))</f>
        <v>20118.3637244941</v>
      </c>
      <c r="AP68" s="10" t="n">
        <f aca="false">IF(Flows!AP38*AP$3*AP$4&lt;0.002,100,MAX($CM$2/(Flows!AP38*AP$3*AP$4),1))</f>
        <v>35252.9730354257</v>
      </c>
      <c r="AQ68" s="10" t="n">
        <f aca="false">IF(Flows!AQ38*AQ$3*AQ$4&lt;0.002,100,MAX($CM$2/(Flows!AQ38*AQ$3*AQ$4),1))</f>
        <v>7798.793639963</v>
      </c>
      <c r="AR68" s="10" t="n">
        <f aca="false">IF(Flows!AR38*AR$3*AR$4&lt;0.002,100,MAX($CM$2/(Flows!AR38*AR$3*AR$4),1))</f>
        <v>15113.3534152554</v>
      </c>
      <c r="AS68" s="10" t="n">
        <f aca="false">IF(Flows!AS38*AS$3*AS$4&lt;0.002,100,MAX($CM$2/(Flows!AS38*AS$3*AS$4),1))</f>
        <v>5284.5073167779</v>
      </c>
      <c r="AT68" s="10" t="n">
        <f aca="false">IF(Flows!AT38*AT$3*AT$4&lt;0.002,100,MAX($CM$2/(Flows!AT38*AT$3*AT$4),1))</f>
        <v>1237.15515304514</v>
      </c>
      <c r="AU68" s="10" t="n">
        <f aca="false">IF(Flows!AU38*AU$3*AU$4&lt;0.002,100,MAX($CM$2/(Flows!AU38*AU$3*AU$4),1))</f>
        <v>865.621745017717</v>
      </c>
      <c r="AV68" s="10" t="n">
        <f aca="false">IF(Flows!AV38*AV$3*AV$4&lt;0.002,100,MAX($CM$2/(Flows!AV38*AV$3*AV$4),1))</f>
        <v>4512.18569663559</v>
      </c>
      <c r="AW68" s="10" t="n">
        <f aca="false">IF(Flows!AW38*AW$3*AW$4&lt;0.002,100,MAX($CM$2/(Flows!AW38*AW$3*AW$4),1))</f>
        <v>113.826631641888</v>
      </c>
      <c r="AX68" s="10" t="n">
        <f aca="false">IF(Flows!AX38*AX$3*AX$4&lt;0.002,100,MAX($CM$2/(Flows!AX38*AX$3*AX$4),1))</f>
        <v>4545.34345236513</v>
      </c>
      <c r="AY68" s="10" t="n">
        <f aca="false">IF(Flows!AY38*AY$3*AY$4&lt;0.002,100,MAX($CM$2/(Flows!AY38*AY$3*AY$4),1))</f>
        <v>2868.78272961861</v>
      </c>
      <c r="AZ68" s="10" t="n">
        <f aca="false">IF(Flows!AZ38*AZ$3*AZ$4&lt;0.002,100,MAX($CM$2/(Flows!AZ38*AZ$3*AZ$4),1))</f>
        <v>708.361901172696</v>
      </c>
      <c r="BA68" s="10" t="n">
        <f aca="false">IF(Flows!BA38*BA$3*BA$4&lt;0.002,100,MAX($CM$2/(Flows!BA38*BA$3*BA$4),1))</f>
        <v>8268.8276267178</v>
      </c>
      <c r="BB68" s="10" t="n">
        <f aca="false">IF(Flows!BB38*BB$3*BB$4&lt;0.002,100,MAX($CM$2/(Flows!BB38*BB$3*BB$4),1))</f>
        <v>2361.38709281185</v>
      </c>
      <c r="BC68" s="10" t="n">
        <f aca="false">IF(Flows!BC38*BC$3*BC$4&lt;0.002,100,MAX($CM$2/(Flows!BC38*BC$3*BC$4),1))</f>
        <v>2263.97588554116</v>
      </c>
      <c r="BD68" s="10" t="n">
        <f aca="false">IF(Flows!BD38*BD$3*BD$4&lt;0.002,100,MAX($CM$2/(Flows!BD38*BD$3*BD$4),1))</f>
        <v>18826.8936538333</v>
      </c>
      <c r="BE68" s="10" t="n">
        <f aca="false">IF(Flows!BE38*BE$3*BE$4&lt;0.002,100,MAX($CM$2/(Flows!BE38*BE$3*BE$4),1))</f>
        <v>9981.20068157964</v>
      </c>
      <c r="BF68" s="10" t="n">
        <f aca="false">IF(Flows!BF38*BF$3*BF$4&lt;0.002,100,MAX($CM$2/(Flows!BF38*BF$3*BF$4),1))</f>
        <v>1577.87900848012</v>
      </c>
      <c r="BG68" s="10" t="n">
        <f aca="false">IF(Flows!BG38*BG$3*BG$4&lt;0.002,100,MAX($CM$2/(Flows!BG38*BG$3*BG$4),1))</f>
        <v>873.109992451245</v>
      </c>
      <c r="BH68" s="10" t="n">
        <f aca="false">IF(Flows!BH38*BH$3*BH$4&lt;0.002,100,MAX($CM$2/(Flows!BH38*BH$3*BH$4),1))</f>
        <v>2100535.61317081</v>
      </c>
      <c r="BI68" s="10" t="n">
        <f aca="false">IF(Flows!BI38*BI$3*BI$4&lt;0.002,100,MAX($CM$2/(Flows!BI38*BI$3*BI$4),1))</f>
        <v>327.416247169217</v>
      </c>
      <c r="BJ68" s="10" t="n">
        <f aca="false">IF(Flows!BJ38*BJ$3*BJ$4&lt;0.002,100,MAX($CM$2/(Flows!BJ38*BJ$3*BJ$4),1))</f>
        <v>3.27635394775828</v>
      </c>
      <c r="BK68" s="10" t="n">
        <f aca="false">IF(Flows!BK38*BK$3*BK$4&lt;0.002,100,MAX($CM$2/(Flows!BK38*BK$3*BK$4),1))</f>
        <v>654.832494338434</v>
      </c>
      <c r="BL68" s="10" t="n">
        <f aca="false">IF(Flows!BL38*BL$3*BL$4&lt;0.002,100,MAX($CM$2/(Flows!BL38*BL$3*BL$4),1))</f>
        <v>132.454567989553</v>
      </c>
      <c r="BM68" s="10" t="n">
        <f aca="false">IF(Flows!BM38*BM$3*BM$4&lt;0.002,100,MAX($CM$2/(Flows!BM38*BM$3*BM$4),1))</f>
        <v>40.6217347380853</v>
      </c>
      <c r="BN68" s="10" t="n">
        <f aca="false">IF(Flows!BN38*BN$3*BN$4&lt;0.002,100,MAX($CM$2/(Flows!BN38*BN$3*BN$4),1))</f>
        <v>1</v>
      </c>
      <c r="BO68" s="10" t="n">
        <f aca="false">IF(Flows!BO38*BO$3*BO$4&lt;0.002,100,MAX($CM$2/(Flows!BO38*BO$3*BO$4),1))</f>
        <v>220.184094745298</v>
      </c>
      <c r="BP68" s="10" t="n">
        <f aca="false">IF(Flows!BP38*BP$3*BP$4&lt;0.002,100,MAX($CM$2/(Flows!BP38*BP$3*BP$4),1))</f>
        <v>294.928199248823</v>
      </c>
      <c r="BQ68" s="10" t="n">
        <f aca="false">IF(Flows!BQ38*BQ$3*BQ$4&lt;0.002,100,MAX($CM$2/(Flows!BQ38*BQ$3*BQ$4),1))</f>
        <v>1.09307134435402</v>
      </c>
      <c r="BR68" s="10" t="n">
        <f aca="false">IF(Flows!BR38*BR$3*BR$4&lt;0.002,100,MAX($CM$2/(Flows!BR38*BR$3*BR$4),1))</f>
        <v>6605.52186693534</v>
      </c>
      <c r="BS68" s="10" t="n">
        <f aca="false">IF(Flows!BS38*BS$3*BS$4&lt;0.002,100,MAX($CM$2/(Flows!BS38*BS$3*BS$4),1))</f>
        <v>66055.2186693534</v>
      </c>
      <c r="BT68" s="10" t="n">
        <f aca="false">IF(Flows!BT38*BT$3*BT$4&lt;0.002,100,MAX($CM$2/(Flows!BT38*BT$3*BT$4),1))</f>
        <v>17.4427710889312</v>
      </c>
      <c r="BU68" s="10" t="n">
        <f aca="false">IF(Flows!BU38*BU$3*BU$4&lt;0.002,100,MAX($CM$2/(Flows!BU38*BU$3*BU$4),1))</f>
        <v>174.427710889312</v>
      </c>
      <c r="BV68" s="10" t="n">
        <f aca="false">IF(Flows!BV38*BV$3*BV$4&lt;0.002,100,MAX($CM$2/(Flows!BV38*BV$3*BV$4),1))</f>
        <v>1744.27710889312</v>
      </c>
      <c r="BW68" s="10" t="n">
        <f aca="false">IF(Flows!BW38*BW$3*BW$4&lt;0.002,100,MAX($CM$2/(Flows!BW38*BW$3*BW$4),1))</f>
        <v>79.656698448162</v>
      </c>
      <c r="BX68" s="10" t="n">
        <f aca="false">IF(Flows!BX38*BX$3*BX$4&lt;0.002,100,MAX($CM$2/(Flows!BX38*BX$3*BX$4),1))</f>
        <v>259.597744803178</v>
      </c>
      <c r="BY68" s="10" t="n">
        <f aca="false">IF(Flows!BY38*BY$3*BY$4&lt;0.002,100,MAX($CM$2/(Flows!BY38*BY$3*BY$4),1))</f>
        <v>31.7957907138418</v>
      </c>
      <c r="BZ68" s="10" t="n">
        <f aca="false">IF(Flows!BZ38*BZ$3*BZ$4&lt;0.002,100,MAX($CM$2/(Flows!BZ38*BZ$3*BZ$4),1))</f>
        <v>253465.627016084</v>
      </c>
      <c r="CA68" s="10" t="n">
        <f aca="false">IF(Flows!CA38*CA$3*CA$4&lt;0.002,100,MAX($CM$2/(Flows!CA38*CA$3*CA$4),1))</f>
        <v>22955.7698150202</v>
      </c>
      <c r="CB68" s="10" t="n">
        <f aca="false">IF(Flows!CB38*CB$3*CB$4&lt;0.002,100,MAX($CM$2/(Flows!CB38*CB$3*CB$4),1))</f>
        <v>75.1490418576127</v>
      </c>
      <c r="CC68" s="10" t="n">
        <f aca="false">IF(Flows!CC38*CC$3*CC$4&lt;0.002,100,MAX($CM$2/(Flows!CC38*CC$3*CC$4),1))</f>
        <v>66.1040257730905</v>
      </c>
      <c r="CD68" s="10" t="n">
        <f aca="false">IF(Flows!CD38*CD$3*CD$4&lt;0.002,100,MAX($CM$2/(Flows!CD38*CD$3*CD$4),1))</f>
        <v>217.159285477049</v>
      </c>
      <c r="CE68" s="10" t="n">
        <f aca="false">IF(Flows!CE38*CE$3*CE$4&lt;0.002,100,MAX($CM$2/(Flows!CE38*CE$3*CE$4),1))</f>
        <v>109.035530691803</v>
      </c>
      <c r="CF68" s="10" t="n">
        <f aca="false">IF(Flows!CF38*CF$3*CF$4&lt;0.002,100,MAX($CM$2/(Flows!CF38*CF$3*CF$4),1))</f>
        <v>1</v>
      </c>
      <c r="CG68" s="10" t="n">
        <f aca="false">IF(Flows!CG38*CG$3*CG$4&lt;0.002,100,MAX($CM$2/(Flows!CG38*CG$3*CG$4),1))</f>
        <v>21.3868242725554</v>
      </c>
      <c r="CH68" s="10" t="n">
        <f aca="false">IF(Flows!CH38*CH$3*CH$4&lt;0.002,100,MAX($CM$2/(Flows!CH38*CH$3*CH$4),1))</f>
        <v>17.0669332795538</v>
      </c>
      <c r="CI68" s="10" t="n">
        <f aca="false">IF(Flows!CI38*CI$3*CI$4&lt;0.002,100,MAX($CM$2/(Flows!CI38*CI$3*CI$4),1))</f>
        <v>140.415513810138</v>
      </c>
      <c r="CJ68" s="10" t="n">
        <f aca="false">IF(Flows!CJ38*CJ$3*CJ$4&lt;0.002,100,MAX($CM$2/(Flows!CJ38*CJ$3*CJ$4),1))</f>
        <v>1809.11768225841</v>
      </c>
      <c r="CK68" s="10" t="n">
        <f aca="false">IF(Flows!CK38*CK$3*CK$4&lt;0.002,100,MAX($CM$2/(Flows!CK38*CK$3*CK$4),1))</f>
        <v>1174.13942541508</v>
      </c>
      <c r="CL68" s="7" t="s">
        <v>320</v>
      </c>
    </row>
    <row r="69" customFormat="false" ht="12.8" hidden="false" customHeight="false" outlineLevel="0" collapsed="false">
      <c r="A69" s="7" t="s">
        <v>143</v>
      </c>
      <c r="B69" s="7" t="s">
        <v>39</v>
      </c>
      <c r="C69" s="10" t="n">
        <f aca="false">IF(Flows!C39*C$3*C$4&lt;0.002,100,MAX($CM$2/(Flows!C39*C$3*C$4),1))</f>
        <v>17859.8152453504</v>
      </c>
      <c r="D69" s="10" t="n">
        <f aca="false">IF(Flows!D39*D$3*D$4&lt;0.002,100,MAX($CM$2/(Flows!D39*D$3*D$4),1))</f>
        <v>2.90629757543096</v>
      </c>
      <c r="E69" s="10" t="n">
        <f aca="false">IF(Flows!E39*E$3*E$4&lt;0.002,100,MAX($CM$2/(Flows!E39*E$3*E$4),1))</f>
        <v>5.02932697179572</v>
      </c>
      <c r="F69" s="10" t="n">
        <f aca="false">IF(Flows!F39*F$3*F$4&lt;0.002,100,MAX($CM$2/(Flows!F39*F$3*F$4),1))</f>
        <v>10.3879628532236</v>
      </c>
      <c r="G69" s="10" t="n">
        <f aca="false">IF(Flows!G39*G$3*G$4&lt;0.002,100,MAX($CM$2/(Flows!G39*G$3*G$4),1))</f>
        <v>5.00029142763841</v>
      </c>
      <c r="H69" s="10" t="n">
        <f aca="false">IF(Flows!H39*H$3*H$4&lt;0.002,100,MAX($CM$2/(Flows!H39*H$3*H$4),1))</f>
        <v>1489.475117752</v>
      </c>
      <c r="I69" s="10" t="n">
        <f aca="false">IF(Flows!I39*I$3*I$4&lt;0.002,100,MAX($CM$2/(Flows!I39*I$3*I$4),1))</f>
        <v>4135.13756982868</v>
      </c>
      <c r="J69" s="10" t="n">
        <f aca="false">IF(Flows!J39*J$3*J$4&lt;0.002,100,MAX($CM$2/(Flows!J39*J$3*J$4),1))</f>
        <v>2759.8280500096</v>
      </c>
      <c r="K69" s="10" t="n">
        <f aca="false">IF(Flows!K39*K$3*K$4&lt;0.002,100,MAX($CM$2/(Flows!K39*K$3*K$4),1))</f>
        <v>12179.032986981</v>
      </c>
      <c r="L69" s="10" t="n">
        <f aca="false">IF(Flows!L39*L$3*L$4&lt;0.002,100,MAX($CM$2/(Flows!L39*L$3*L$4),1))</f>
        <v>68480.5218350414</v>
      </c>
      <c r="M69" s="10" t="n">
        <f aca="false">IF(Flows!M39*M$3*M$4&lt;0.002,100,MAX($CM$2/(Flows!M39*M$3*M$4),1))</f>
        <v>50253.7570759131</v>
      </c>
      <c r="N69" s="10" t="n">
        <f aca="false">IF(Flows!N39*N$3*N$4&lt;0.002,100,MAX($CM$2/(Flows!N39*N$3*N$4),1))</f>
        <v>2.73046183364241</v>
      </c>
      <c r="O69" s="10" t="n">
        <f aca="false">IF(Flows!O39*O$3*O$4&lt;0.002,100,MAX($CM$2/(Flows!O39*O$3*O$4),1))</f>
        <v>2.32503806034477</v>
      </c>
      <c r="P69" s="10" t="n">
        <f aca="false">IF(Flows!P39*P$3*P$4&lt;0.002,100,MAX($CM$2/(Flows!P39*P$3*P$4),1))</f>
        <v>1.39502283620686</v>
      </c>
      <c r="Q69" s="10" t="n">
        <f aca="false">IF(Flows!Q39*Q$3*Q$4&lt;0.002,100,MAX($CM$2/(Flows!Q39*Q$3*Q$4),1))</f>
        <v>279.12148923435</v>
      </c>
      <c r="R69" s="10" t="n">
        <f aca="false">IF(Flows!R39*R$3*R$4&lt;0.002,100,MAX($CM$2/(Flows!R39*R$3*R$4),1))</f>
        <v>49.1250586104008</v>
      </c>
      <c r="S69" s="10" t="n">
        <f aca="false">IF(Flows!S39*S$3*S$4&lt;0.002,100,MAX($CM$2/(Flows!S39*S$3*S$4),1))</f>
        <v>586.975901443211</v>
      </c>
      <c r="T69" s="10" t="n">
        <f aca="false">IF(Flows!T39*T$3*T$4&lt;0.002,100,MAX($CM$2/(Flows!T39*T$3*T$4),1))</f>
        <v>1050.22649032731</v>
      </c>
      <c r="U69" s="10" t="n">
        <f aca="false">IF(Flows!U39*U$3*U$4&lt;0.002,100,MAX($CM$2/(Flows!U39*U$3*U$4),1))</f>
        <v>3350.25047172754</v>
      </c>
      <c r="V69" s="10" t="n">
        <f aca="false">IF(Flows!V39*V$3*V$4&lt;0.002,100,MAX($CM$2/(Flows!V39*V$3*V$4),1))</f>
        <v>207.653082641126</v>
      </c>
      <c r="W69" s="10" t="n">
        <f aca="false">IF(Flows!W39*W$3*W$4&lt;0.002,100,MAX($CM$2/(Flows!W39*W$3*W$4),1))</f>
        <v>4.28779583528918</v>
      </c>
      <c r="X69" s="10" t="n">
        <f aca="false">IF(Flows!X39*X$3*X$4&lt;0.002,100,MAX($CM$2/(Flows!X39*X$3*X$4),1))</f>
        <v>4.31065818537308</v>
      </c>
      <c r="Y69" s="10" t="n">
        <f aca="false">IF(Flows!Y39*Y$3*Y$4&lt;0.002,100,MAX($CM$2/(Flows!Y39*Y$3*Y$4),1))</f>
        <v>342.402609175207</v>
      </c>
      <c r="Z69" s="10" t="n">
        <f aca="false">IF(Flows!Z39*Z$3*Z$4&lt;0.002,100,MAX($CM$2/(Flows!Z39*Z$3*Z$4),1))</f>
        <v>3793.79247400059</v>
      </c>
      <c r="AA69" s="10" t="n">
        <f aca="false">IF(Flows!AA39*AA$3*AA$4&lt;0.002,100,MAX($CM$2/(Flows!AA39*AA$3*AA$4),1))</f>
        <v>4661.2091127132</v>
      </c>
      <c r="AB69" s="10" t="n">
        <f aca="false">IF(Flows!AB39*AB$3*AB$4&lt;0.002,100,MAX($CM$2/(Flows!AB39*AB$3*AB$4),1))</f>
        <v>5389.76803625423</v>
      </c>
      <c r="AC69" s="10" t="n">
        <f aca="false">IF(Flows!AC39*AC$3*AC$4&lt;0.002,100,MAX($CM$2/(Flows!AC39*AC$3*AC$4),1))</f>
        <v>24312.8828669769</v>
      </c>
      <c r="AD69" s="10" t="n">
        <f aca="false">IF(Flows!AD39*AD$3*AD$4&lt;0.002,100,MAX($CM$2/(Flows!AD39*AD$3*AD$4),1))</f>
        <v>33951.351855327</v>
      </c>
      <c r="AE69" s="10" t="n">
        <f aca="false">IF(Flows!AE39*AE$3*AE$4&lt;0.002,100,MAX($CM$2/(Flows!AE39*AE$3*AE$4),1))</f>
        <v>99174.1773813903</v>
      </c>
      <c r="AF69" s="10" t="n">
        <f aca="false">IF(Flows!AF39*AF$3*AF$4&lt;0.002,100,MAX($CM$2/(Flows!AF39*AF$3*AF$4),1))</f>
        <v>655.043236582709</v>
      </c>
      <c r="AG69" s="10" t="n">
        <f aca="false">IF(Flows!AG39*AG$3*AG$4&lt;0.002,100,MAX($CM$2/(Flows!AG39*AG$3*AG$4),1))</f>
        <v>1053.53159766194</v>
      </c>
      <c r="AH69" s="10" t="n">
        <f aca="false">IF(Flows!AH39*AH$3*AH$4&lt;0.002,100,MAX($CM$2/(Flows!AH39*AH$3*AH$4),1))</f>
        <v>257.288754834709</v>
      </c>
      <c r="AI69" s="10" t="n">
        <f aca="false">IF(Flows!AI39*AI$3*AI$4&lt;0.002,100,MAX($CM$2/(Flows!AI39*AI$3*AI$4),1))</f>
        <v>2150.25450377315</v>
      </c>
      <c r="AJ69" s="10" t="n">
        <f aca="false">IF(Flows!AJ39*AJ$3*AJ$4&lt;0.002,100,MAX($CM$2/(Flows!AJ39*AJ$3*AJ$4),1))</f>
        <v>1119.8561085198</v>
      </c>
      <c r="AK69" s="10" t="n">
        <f aca="false">IF(Flows!AK39*AK$3*AK$4&lt;0.002,100,MAX($CM$2/(Flows!AK39*AK$3*AK$4),1))</f>
        <v>212.117591835107</v>
      </c>
      <c r="AL69" s="10" t="n">
        <f aca="false">IF(Flows!AL39*AL$3*AL$4&lt;0.002,100,MAX($CM$2/(Flows!AL39*AL$3*AL$4),1))</f>
        <v>497.151554454198</v>
      </c>
      <c r="AM69" s="10" t="n">
        <f aca="false">IF(Flows!AM39*AM$3*AM$4&lt;0.002,100,MAX($CM$2/(Flows!AM39*AM$3*AM$4),1))</f>
        <v>14348.0091770573</v>
      </c>
      <c r="AN69" s="10" t="n">
        <f aca="false">IF(Flows!AN39*AN$3*AN$4&lt;0.002,100,MAX($CM$2/(Flows!AN39*AN$3*AN$4),1))</f>
        <v>682.854797693882</v>
      </c>
      <c r="AO69" s="10" t="n">
        <f aca="false">IF(Flows!AO39*AO$3*AO$4&lt;0.002,100,MAX($CM$2/(Flows!AO39*AO$3*AO$4),1))</f>
        <v>7998.57649702184</v>
      </c>
      <c r="AP69" s="10" t="n">
        <f aca="false">IF(Flows!AP39*AP$3*AP$4&lt;0.002,100,MAX($CM$2/(Flows!AP39*AP$3*AP$4),1))</f>
        <v>161609.327993127</v>
      </c>
      <c r="AQ69" s="10" t="n">
        <f aca="false">IF(Flows!AQ39*AQ$3*AQ$4&lt;0.002,100,MAX($CM$2/(Flows!AQ39*AQ$3*AQ$4),1))</f>
        <v>6945.52423576216</v>
      </c>
      <c r="AR69" s="10" t="n">
        <f aca="false">IF(Flows!AR39*AR$3*AR$4&lt;0.002,100,MAX($CM$2/(Flows!AR39*AR$3*AR$4),1))</f>
        <v>8002.44822969988</v>
      </c>
      <c r="AS69" s="10" t="n">
        <f aca="false">IF(Flows!AS39*AS$3*AS$4&lt;0.002,100,MAX($CM$2/(Flows!AS39*AS$3*AS$4),1))</f>
        <v>1952.73683129526</v>
      </c>
      <c r="AT69" s="10" t="n">
        <f aca="false">IF(Flows!AT39*AT$3*AT$4&lt;0.002,100,MAX($CM$2/(Flows!AT39*AT$3*AT$4),1))</f>
        <v>331.564803880324</v>
      </c>
      <c r="AU69" s="10" t="n">
        <f aca="false">IF(Flows!AU39*AU$3*AU$4&lt;0.002,100,MAX($CM$2/(Flows!AU39*AU$3*AU$4),1))</f>
        <v>2965.39846363953</v>
      </c>
      <c r="AV69" s="10" t="n">
        <f aca="false">IF(Flows!AV39*AV$3*AV$4&lt;0.002,100,MAX($CM$2/(Flows!AV39*AV$3*AV$4),1))</f>
        <v>58440.8542715214</v>
      </c>
      <c r="AW69" s="10" t="n">
        <f aca="false">IF(Flows!AW39*AW$3*AW$4&lt;0.002,100,MAX($CM$2/(Flows!AW39*AW$3*AW$4),1))</f>
        <v>7.88598410453686</v>
      </c>
      <c r="AX69" s="10" t="n">
        <f aca="false">IF(Flows!AX39*AX$3*AX$4&lt;0.002,100,MAX($CM$2/(Flows!AX39*AX$3*AX$4),1))</f>
        <v>4140.57115037712</v>
      </c>
      <c r="AY69" s="10" t="n">
        <f aca="false">IF(Flows!AY39*AY$3*AY$4&lt;0.002,100,MAX($CM$2/(Flows!AY39*AY$3*AY$4),1))</f>
        <v>219.592415048206</v>
      </c>
      <c r="AZ69" s="10" t="n">
        <f aca="false">IF(Flows!AZ39*AZ$3*AZ$4&lt;0.002,100,MAX($CM$2/(Flows!AZ39*AZ$3*AZ$4),1))</f>
        <v>73.2557641091323</v>
      </c>
      <c r="BA69" s="10" t="n">
        <f aca="false">IF(Flows!BA39*BA$3*BA$4&lt;0.002,100,MAX($CM$2/(Flows!BA39*BA$3*BA$4),1))</f>
        <v>3492.50661358711</v>
      </c>
      <c r="BB69" s="10" t="n">
        <f aca="false">IF(Flows!BB39*BB$3*BB$4&lt;0.002,100,MAX($CM$2/(Flows!BB39*BB$3*BB$4),1))</f>
        <v>1710.07856012571</v>
      </c>
      <c r="BC69" s="10" t="n">
        <f aca="false">IF(Flows!BC39*BC$3*BC$4&lt;0.002,100,MAX($CM$2/(Flows!BC39*BC$3*BC$4),1))</f>
        <v>2133.10609074472</v>
      </c>
      <c r="BD69" s="10" t="n">
        <f aca="false">IF(Flows!BD39*BD$3*BD$4&lt;0.002,100,MAX($CM$2/(Flows!BD39*BD$3*BD$4),1))</f>
        <v>3937.07734693601</v>
      </c>
      <c r="BE69" s="10" t="n">
        <f aca="false">IF(Flows!BE39*BE$3*BE$4&lt;0.002,100,MAX($CM$2/(Flows!BE39*BE$3*BE$4),1))</f>
        <v>7549.40126829744</v>
      </c>
      <c r="BF69" s="10" t="n">
        <f aca="false">IF(Flows!BF39*BF$3*BF$4&lt;0.002,100,MAX($CM$2/(Flows!BF39*BF$3*BF$4),1))</f>
        <v>1724.52589142187</v>
      </c>
      <c r="BG69" s="10" t="n">
        <f aca="false">IF(Flows!BG39*BG$3*BG$4&lt;0.002,100,MAX($CM$2/(Flows!BG39*BG$3*BG$4),1))</f>
        <v>231.509979165701</v>
      </c>
      <c r="BH69" s="10" t="n">
        <f aca="false">IF(Flows!BH39*BH$3*BH$4&lt;0.002,100,MAX($CM$2/(Flows!BH39*BH$3*BH$4),1))</f>
        <v>115.75498958285</v>
      </c>
      <c r="BI69" s="10" t="n">
        <f aca="false">IF(Flows!BI39*BI$3*BI$4&lt;0.002,100,MAX($CM$2/(Flows!BI39*BI$3*BI$4),1))</f>
        <v>86.8162421871377</v>
      </c>
      <c r="BJ69" s="10" t="n">
        <f aca="false">IF(Flows!BJ39*BJ$3*BJ$4&lt;0.002,100,MAX($CM$2/(Flows!BJ39*BJ$3*BJ$4),1))</f>
        <v>48.9105898560979</v>
      </c>
      <c r="BK69" s="10" t="n">
        <f aca="false">IF(Flows!BK39*BK$3*BK$4&lt;0.002,100,MAX($CM$2/(Flows!BK39*BK$3*BK$4),1))</f>
        <v>173.632484374275</v>
      </c>
      <c r="BL69" s="10" t="n">
        <f aca="false">IF(Flows!BL39*BL$3*BL$4&lt;0.002,100,MAX($CM$2/(Flows!BL39*BL$3*BL$4),1))</f>
        <v>179.408898235098</v>
      </c>
      <c r="BM69" s="10" t="n">
        <f aca="false">IF(Flows!BM39*BM$3*BM$4&lt;0.002,100,MAX($CM$2/(Flows!BM39*BM$3*BM$4),1))</f>
        <v>37.5579002548706</v>
      </c>
      <c r="BN69" s="10" t="n">
        <f aca="false">IF(Flows!BN39*BN$3*BN$4&lt;0.002,100,MAX($CM$2/(Flows!BN39*BN$3*BN$4),1))</f>
        <v>354888.226206356</v>
      </c>
      <c r="BO69" s="10" t="n">
        <f aca="false">IF(Flows!BO39*BO$3*BO$4&lt;0.002,100,MAX($CM$2/(Flows!BO39*BO$3*BO$4),1))</f>
        <v>8.42021419698424</v>
      </c>
      <c r="BP69" s="10" t="n">
        <f aca="false">IF(Flows!BP39*BP$3*BP$4&lt;0.002,100,MAX($CM$2/(Flows!BP39*BP$3*BP$4),1))</f>
        <v>22.2109973781318</v>
      </c>
      <c r="BQ69" s="10" t="n">
        <f aca="false">IF(Flows!BQ39*BQ$3*BQ$4&lt;0.002,100,MAX($CM$2/(Flows!BQ39*BQ$3*BQ$4),1))</f>
        <v>545981.886471316</v>
      </c>
      <c r="BR69" s="10" t="n">
        <f aca="false">IF(Flows!BR39*BR$3*BR$4&lt;0.002,100,MAX($CM$2/(Flows!BR39*BR$3*BR$4),1))</f>
        <v>252.606365592509</v>
      </c>
      <c r="BS69" s="10" t="n">
        <f aca="false">IF(Flows!BS39*BS$3*BS$4&lt;0.002,100,MAX($CM$2/(Flows!BS39*BS$3*BS$4),1))</f>
        <v>2526.06365592509</v>
      </c>
      <c r="BT69" s="10" t="n">
        <f aca="false">IF(Flows!BT39*BT$3*BT$4&lt;0.002,100,MAX($CM$2/(Flows!BT39*BT$3*BT$4),1))</f>
        <v>1.22026290072455</v>
      </c>
      <c r="BU69" s="10" t="n">
        <f aca="false">IF(Flows!BU39*BU$3*BU$4&lt;0.002,100,MAX($CM$2/(Flows!BU39*BU$3*BU$4),1))</f>
        <v>12.2026290072455</v>
      </c>
      <c r="BV69" s="10" t="n">
        <f aca="false">IF(Flows!BV39*BV$3*BV$4&lt;0.002,100,MAX($CM$2/(Flows!BV39*BV$3*BV$4),1))</f>
        <v>122.026290072455</v>
      </c>
      <c r="BW69" s="10" t="n">
        <f aca="false">IF(Flows!BW39*BW$3*BW$4&lt;0.002,100,MAX($CM$2/(Flows!BW39*BW$3*BW$4),1))</f>
        <v>15.0879809153872</v>
      </c>
      <c r="BX69" s="10" t="n">
        <f aca="false">IF(Flows!BX39*BX$3*BX$4&lt;0.002,100,MAX($CM$2/(Flows!BX39*BX$3*BX$4),1))</f>
        <v>8.16023354237776</v>
      </c>
      <c r="BY69" s="10" t="n">
        <f aca="false">IF(Flows!BY39*BY$3*BY$4&lt;0.002,100,MAX($CM$2/(Flows!BY39*BY$3*BY$4),1))</f>
        <v>10.4549076696039</v>
      </c>
      <c r="BZ69" s="10" t="n">
        <f aca="false">IF(Flows!BZ39*BZ$3*BZ$4&lt;0.002,100,MAX($CM$2/(Flows!BZ39*BZ$3*BZ$4),1))</f>
        <v>92365.5635239531</v>
      </c>
      <c r="CA69" s="10" t="n">
        <f aca="false">IF(Flows!CA39*CA$3*CA$4&lt;0.002,100,MAX($CM$2/(Flows!CA39*CA$3*CA$4),1))</f>
        <v>52255.2710011975</v>
      </c>
      <c r="CB69" s="10" t="n">
        <f aca="false">IF(Flows!CB39*CB$3*CB$4&lt;0.002,100,MAX($CM$2/(Flows!CB39*CB$3*CB$4),1))</f>
        <v>31.9866431308575</v>
      </c>
      <c r="CC69" s="10" t="n">
        <f aca="false">IF(Flows!CC39*CC$3*CC$4&lt;0.002,100,MAX($CM$2/(Flows!CC39*CC$3*CC$4),1))</f>
        <v>29.5954267569397</v>
      </c>
      <c r="CD69" s="10" t="n">
        <f aca="false">IF(Flows!CD39*CD$3*CD$4&lt;0.002,100,MAX($CM$2/(Flows!CD39*CD$3*CD$4),1))</f>
        <v>52.7940787487796</v>
      </c>
      <c r="CE69" s="10" t="n">
        <f aca="false">IF(Flows!CE39*CE$3*CE$4&lt;0.002,100,MAX($CM$2/(Flows!CE39*CE$3*CE$4),1))</f>
        <v>33.2004188956639</v>
      </c>
      <c r="CF69" s="10" t="n">
        <f aca="false">IF(Flows!CF39*CF$3*CF$4&lt;0.002,100,MAX($CM$2/(Flows!CF39*CF$3*CF$4),1))</f>
        <v>1</v>
      </c>
      <c r="CG69" s="10" t="n">
        <f aca="false">IF(Flows!CG39*CG$3*CG$4&lt;0.002,100,MAX($CM$2/(Flows!CG39*CG$3*CG$4),1))</f>
        <v>36.4250867947525</v>
      </c>
      <c r="CH69" s="10" t="n">
        <f aca="false">IF(Flows!CH39*CH$3*CH$4&lt;0.002,100,MAX($CM$2/(Flows!CH39*CH$3*CH$4),1))</f>
        <v>253.037543146617</v>
      </c>
      <c r="CI69" s="10" t="n">
        <f aca="false">IF(Flows!CI39*CI$3*CI$4&lt;0.002,100,MAX($CM$2/(Flows!CI39*CI$3*CI$4),1))</f>
        <v>253.01167774635</v>
      </c>
      <c r="CJ69" s="10" t="n">
        <f aca="false">IF(Flows!CJ39*CJ$3*CJ$4&lt;0.002,100,MAX($CM$2/(Flows!CJ39*CJ$3*CJ$4),1))</f>
        <v>1238.43981158082</v>
      </c>
      <c r="CK69" s="10" t="n">
        <f aca="false">IF(Flows!CK39*CK$3*CK$4&lt;0.002,100,MAX($CM$2/(Flows!CK39*CK$3*CK$4),1))</f>
        <v>2895.26929006497</v>
      </c>
      <c r="CL69" s="7" t="s">
        <v>320</v>
      </c>
    </row>
    <row r="70" customFormat="false" ht="12.8" hidden="false" customHeight="false" outlineLevel="0" collapsed="false">
      <c r="A70" s="7" t="s">
        <v>144</v>
      </c>
      <c r="B70" s="7" t="s">
        <v>39</v>
      </c>
      <c r="C70" s="10" t="n">
        <f aca="false">IF(Flows!C40*C$3*C$4&lt;0.002,100,MAX($CM$2/(Flows!C40*C$3*C$4),1))</f>
        <v>46414.6752195002</v>
      </c>
      <c r="D70" s="10" t="n">
        <f aca="false">IF(Flows!D40*D$3*D$4&lt;0.002,100,MAX($CM$2/(Flows!D40*D$3*D$4),1))</f>
        <v>8.93790037092586</v>
      </c>
      <c r="E70" s="10" t="n">
        <f aca="false">IF(Flows!E40*E$3*E$4&lt;0.002,100,MAX($CM$2/(Flows!E40*E$3*E$4),1))</f>
        <v>24.2287951113043</v>
      </c>
      <c r="F70" s="10" t="n">
        <f aca="false">IF(Flows!F40*F$3*F$4&lt;0.002,100,MAX($CM$2/(Flows!F40*F$3*F$4),1))</f>
        <v>63.4437655648718</v>
      </c>
      <c r="G70" s="10" t="n">
        <f aca="false">IF(Flows!G40*G$3*G$4&lt;0.002,100,MAX($CM$2/(Flows!G40*G$3*G$4),1))</f>
        <v>20.2289298187337</v>
      </c>
      <c r="H70" s="10" t="n">
        <f aca="false">IF(Flows!H40*H$3*H$4&lt;0.002,100,MAX($CM$2/(Flows!H40*H$3*H$4),1))</f>
        <v>14050.7775090866</v>
      </c>
      <c r="I70" s="10" t="n">
        <f aca="false">IF(Flows!I40*I$3*I$4&lt;0.002,100,MAX($CM$2/(Flows!I40*I$3*I$4),1))</f>
        <v>2711.32466227217</v>
      </c>
      <c r="J70" s="10" t="n">
        <f aca="false">IF(Flows!J40*J$3*J$4&lt;0.002,100,MAX($CM$2/(Flows!J40*J$3*J$4),1))</f>
        <v>2161.13980078078</v>
      </c>
      <c r="K70" s="10" t="n">
        <f aca="false">IF(Flows!K40*K$3*K$4&lt;0.002,100,MAX($CM$2/(Flows!K40*K$3*K$4),1))</f>
        <v>25795.8649211766</v>
      </c>
      <c r="L70" s="10" t="n">
        <f aca="false">IF(Flows!L40*L$3*L$4&lt;0.002,100,MAX($CM$2/(Flows!L40*L$3*L$4),1))</f>
        <v>146606.837691869</v>
      </c>
      <c r="M70" s="10" t="n">
        <f aca="false">IF(Flows!M40*M$3*M$4&lt;0.002,100,MAX($CM$2/(Flows!M40*M$3*M$4),1))</f>
        <v>107825.444207428</v>
      </c>
      <c r="N70" s="10" t="n">
        <f aca="false">IF(Flows!N40*N$3*N$4&lt;0.002,100,MAX($CM$2/(Flows!N40*N$3*N$4),1))</f>
        <v>15.2874540188331</v>
      </c>
      <c r="O70" s="10" t="n">
        <f aca="false">IF(Flows!O40*O$3*O$4&lt;0.002,100,MAX($CM$2/(Flows!O40*O$3*O$4),1))</f>
        <v>7.15032029674069</v>
      </c>
      <c r="P70" s="10" t="n">
        <f aca="false">IF(Flows!P40*P$3*P$4&lt;0.002,100,MAX($CM$2/(Flows!P40*P$3*P$4),1))</f>
        <v>4.29019217804441</v>
      </c>
      <c r="Q70" s="10" t="n">
        <f aca="false">IF(Flows!Q40*Q$3*Q$4&lt;0.002,100,MAX($CM$2/(Flows!Q40*Q$3*Q$4),1))</f>
        <v>315.485786834444</v>
      </c>
      <c r="R70" s="10" t="n">
        <f aca="false">IF(Flows!R40*R$3*R$4&lt;0.002,100,MAX($CM$2/(Flows!R40*R$3*R$4),1))</f>
        <v>41.3375673104015</v>
      </c>
      <c r="S70" s="10" t="n">
        <f aca="false">IF(Flows!S40*S$3*S$4&lt;0.002,100,MAX($CM$2/(Flows!S40*S$3*S$4),1))</f>
        <v>1256.63003735888</v>
      </c>
      <c r="T70" s="10" t="n">
        <f aca="false">IF(Flows!T40*T$3*T$4&lt;0.002,100,MAX($CM$2/(Flows!T40*T$3*T$4),1))</f>
        <v>2248.38217468623</v>
      </c>
      <c r="U70" s="10" t="n">
        <f aca="false">IF(Flows!U40*U$3*U$4&lt;0.002,100,MAX($CM$2/(Flows!U40*U$3*U$4),1))</f>
        <v>7188.36294716186</v>
      </c>
      <c r="V70" s="10" t="n">
        <f aca="false">IF(Flows!V40*V$3*V$4&lt;0.002,100,MAX($CM$2/(Flows!V40*V$3*V$4),1))</f>
        <v>123.652210150957</v>
      </c>
      <c r="W70" s="10" t="n">
        <f aca="false">IF(Flows!W40*W$3*W$4&lt;0.002,100,MAX($CM$2/(Flows!W40*W$3*W$4),1))</f>
        <v>3.4872938591958</v>
      </c>
      <c r="X70" s="10" t="n">
        <f aca="false">IF(Flows!X40*X$3*X$4&lt;0.002,100,MAX($CM$2/(Flows!X40*X$3*X$4),1))</f>
        <v>5.635308411572</v>
      </c>
      <c r="Y70" s="10" t="n">
        <f aca="false">IF(Flows!Y40*Y$3*Y$4&lt;0.002,100,MAX($CM$2/(Flows!Y40*Y$3*Y$4),1))</f>
        <v>733.034188459347</v>
      </c>
      <c r="Z70" s="10" t="n">
        <f aca="false">IF(Flows!Z40*Z$3*Z$4&lt;0.002,100,MAX($CM$2/(Flows!Z40*Z$3*Z$4),1))</f>
        <v>47929.1859539974</v>
      </c>
      <c r="AA70" s="10" t="n">
        <f aca="false">IF(Flows!AA40*AA$3*AA$4&lt;0.002,100,MAX($CM$2/(Flows!AA40*AA$3*AA$4),1))</f>
        <v>30630.6002983039</v>
      </c>
      <c r="AB70" s="10" t="n">
        <f aca="false">IF(Flows!AB40*AB$3*AB$4&lt;0.002,100,MAX($CM$2/(Flows!AB40*AB$3*AB$4),1))</f>
        <v>25965.2208297831</v>
      </c>
      <c r="AC70" s="10" t="n">
        <f aca="false">IF(Flows!AC40*AC$3*AC$4&lt;0.002,100,MAX($CM$2/(Flows!AC40*AC$3*AC$4),1))</f>
        <v>293541.215638759</v>
      </c>
      <c r="AD70" s="10" t="n">
        <f aca="false">IF(Flows!AD40*AD$3*AD$4&lt;0.002,100,MAX($CM$2/(Flows!AD40*AD$3*AD$4),1))</f>
        <v>163560.721438004</v>
      </c>
      <c r="AE70" s="10" t="n">
        <f aca="false">IF(Flows!AE40*AE$3*AE$4&lt;0.002,100,MAX($CM$2/(Flows!AE40*AE$3*AE$4),1))</f>
        <v>433110.281957754</v>
      </c>
      <c r="AF70" s="10" t="n">
        <f aca="false">IF(Flows!AF40*AF$3*AF$4&lt;0.002,100,MAX($CM$2/(Flows!AF40*AF$3*AF$4),1))</f>
        <v>465.799947384662</v>
      </c>
      <c r="AG70" s="10" t="n">
        <f aca="false">IF(Flows!AG40*AG$3*AG$4&lt;0.002,100,MAX($CM$2/(Flows!AG40*AG$3*AG$4),1))</f>
        <v>1904.16995552176</v>
      </c>
      <c r="AH70" s="10" t="n">
        <f aca="false">IF(Flows!AH40*AH$3*AH$4&lt;0.002,100,MAX($CM$2/(Flows!AH40*AH$3*AH$4),1))</f>
        <v>1825.51013431754</v>
      </c>
      <c r="AI70" s="10" t="n">
        <f aca="false">IF(Flows!AI40*AI$3*AI$4&lt;0.002,100,MAX($CM$2/(Flows!AI40*AI$3*AI$4),1))</f>
        <v>2127.39802822638</v>
      </c>
      <c r="AJ70" s="10" t="n">
        <f aca="false">IF(Flows!AJ40*AJ$3*AJ$4&lt;0.002,100,MAX($CM$2/(Flows!AJ40*AJ$3*AJ$4),1))</f>
        <v>1920.09104169501</v>
      </c>
      <c r="AK70" s="10" t="n">
        <f aca="false">IF(Flows!AK40*AK$3*AK$4&lt;0.002,100,MAX($CM$2/(Flows!AK40*AK$3*AK$4),1))</f>
        <v>354.730893487701</v>
      </c>
      <c r="AL70" s="10" t="n">
        <f aca="false">IF(Flows!AL40*AL$3*AL$4&lt;0.002,100,MAX($CM$2/(Flows!AL40*AL$3*AL$4),1))</f>
        <v>470.183316486033</v>
      </c>
      <c r="AM70" s="10" t="n">
        <f aca="false">IF(Flows!AM40*AM$3*AM$4&lt;0.002,100,MAX($CM$2/(Flows!AM40*AM$3*AM$4),1))</f>
        <v>1174.76417759268</v>
      </c>
      <c r="AN70" s="10" t="n">
        <f aca="false">IF(Flows!AN40*AN$3*AN$4&lt;0.002,100,MAX($CM$2/(Flows!AN40*AN$3*AN$4),1))</f>
        <v>1276.04043705872</v>
      </c>
      <c r="AO70" s="10" t="n">
        <f aca="false">IF(Flows!AO40*AO$3*AO$4&lt;0.002,100,MAX($CM$2/(Flows!AO40*AO$3*AO$4),1))</f>
        <v>10167.8041468403</v>
      </c>
      <c r="AP70" s="10" t="n">
        <f aca="false">IF(Flows!AP40*AP$3*AP$4&lt;0.002,100,MAX($CM$2/(Flows!AP40*AP$3*AP$4),1))</f>
        <v>33795.5313424625</v>
      </c>
      <c r="AQ70" s="10" t="n">
        <f aca="false">IF(Flows!AQ40*AQ$3*AQ$4&lt;0.002,100,MAX($CM$2/(Flows!AQ40*AQ$3*AQ$4),1))</f>
        <v>262680.283795651</v>
      </c>
      <c r="AR70" s="10" t="n">
        <f aca="false">IF(Flows!AR40*AR$3*AR$4&lt;0.002,100,MAX($CM$2/(Flows!AR40*AR$3*AR$4),1))</f>
        <v>51819.1390430594</v>
      </c>
      <c r="AS70" s="10" t="n">
        <f aca="false">IF(Flows!AS40*AS$3*AS$4&lt;0.002,100,MAX($CM$2/(Flows!AS40*AS$3*AS$4),1))</f>
        <v>3264.63043658129</v>
      </c>
      <c r="AT70" s="10" t="n">
        <f aca="false">IF(Flows!AT40*AT$3*AT$4&lt;0.002,100,MAX($CM$2/(Flows!AT40*AT$3*AT$4),1))</f>
        <v>867.380686845927</v>
      </c>
      <c r="AU70" s="10" t="n">
        <f aca="false">IF(Flows!AU40*AU$3*AU$4&lt;0.002,100,MAX($CM$2/(Flows!AU40*AU$3*AU$4),1))</f>
        <v>1209.58957499101</v>
      </c>
      <c r="AV70" s="10" t="n">
        <f aca="false">IF(Flows!AV40*AV$3*AV$4&lt;0.002,100,MAX($CM$2/(Flows!AV40*AV$3*AV$4),1))</f>
        <v>45993.7076023801</v>
      </c>
      <c r="AW70" s="10" t="n">
        <f aca="false">IF(Flows!AW40*AW$3*AW$4&lt;0.002,100,MAX($CM$2/(Flows!AW40*AW$3*AW$4),1))</f>
        <v>89.802908619861</v>
      </c>
      <c r="AX70" s="10" t="n">
        <f aca="false">IF(Flows!AX40*AX$3*AX$4&lt;0.002,100,MAX($CM$2/(Flows!AX40*AX$3*AX$4),1))</f>
        <v>4287.79183738533</v>
      </c>
      <c r="AY70" s="10" t="n">
        <f aca="false">IF(Flows!AY40*AY$3*AY$4&lt;0.002,100,MAX($CM$2/(Flows!AY40*AY$3*AY$4),1))</f>
        <v>2528.95640802078</v>
      </c>
      <c r="AZ70" s="10" t="n">
        <f aca="false">IF(Flows!AZ40*AZ$3*AZ$4&lt;0.002,100,MAX($CM$2/(Flows!AZ40*AZ$3*AZ$4),1))</f>
        <v>653.571487602015</v>
      </c>
      <c r="BA70" s="10" t="n">
        <f aca="false">IF(Flows!BA40*BA$3*BA$4&lt;0.002,100,MAX($CM$2/(Flows!BA40*BA$3*BA$4),1))</f>
        <v>7476.94872228534</v>
      </c>
      <c r="BB70" s="10" t="n">
        <f aca="false">IF(Flows!BB40*BB$3*BB$4&lt;0.002,100,MAX($CM$2/(Flows!BB40*BB$3*BB$4),1))</f>
        <v>17314.7957982954</v>
      </c>
      <c r="BC70" s="10" t="n">
        <f aca="false">IF(Flows!BC40*BC$3*BC$4&lt;0.002,100,MAX($CM$2/(Flows!BC40*BC$3*BC$4),1))</f>
        <v>1357.75578828284</v>
      </c>
      <c r="BD70" s="10" t="n">
        <f aca="false">IF(Flows!BD40*BD$3*BD$4&lt;0.002,100,MAX($CM$2/(Flows!BD40*BD$3*BD$4),1))</f>
        <v>7365.32254714955</v>
      </c>
      <c r="BE70" s="10" t="n">
        <f aca="false">IF(Flows!BE40*BE$3*BE$4&lt;0.002,100,MAX($CM$2/(Flows!BE40*BE$3*BE$4),1))</f>
        <v>19106.9993360635</v>
      </c>
      <c r="BF70" s="10" t="n">
        <f aca="false">IF(Flows!BF40*BF$3*BF$4&lt;0.002,100,MAX($CM$2/(Flows!BF40*BF$3*BF$4),1))</f>
        <v>3136.82741401325</v>
      </c>
      <c r="BG70" s="10" t="n">
        <f aca="false">IF(Flows!BG40*BG$3*BG$4&lt;0.002,100,MAX($CM$2/(Flows!BG40*BG$3*BG$4),1))</f>
        <v>796.705010230728</v>
      </c>
      <c r="BH70" s="10" t="n">
        <f aca="false">IF(Flows!BH40*BH$3*BH$4&lt;0.002,100,MAX($CM$2/(Flows!BH40*BH$3*BH$4),1))</f>
        <v>2039917.05248428</v>
      </c>
      <c r="BI70" s="10" t="n">
        <f aca="false">IF(Flows!BI40*BI$3*BI$4&lt;0.002,100,MAX($CM$2/(Flows!BI40*BI$3*BI$4),1))</f>
        <v>298.764378836523</v>
      </c>
      <c r="BJ70" s="10" t="n">
        <f aca="false">IF(Flows!BJ40*BJ$3*BJ$4&lt;0.002,100,MAX($CM$2/(Flows!BJ40*BJ$3*BJ$4),1))</f>
        <v>7.31121691459381</v>
      </c>
      <c r="BK70" s="10" t="n">
        <f aca="false">IF(Flows!BK40*BK$3*BK$4&lt;0.002,100,MAX($CM$2/(Flows!BK40*BK$3*BK$4),1))</f>
        <v>597.528757673046</v>
      </c>
      <c r="BL70" s="10" t="n">
        <f aca="false">IF(Flows!BL40*BL$3*BL$4&lt;0.002,100,MAX($CM$2/(Flows!BL40*BL$3*BL$4),1))</f>
        <v>175.187609458659</v>
      </c>
      <c r="BM70" s="10" t="n">
        <f aca="false">IF(Flows!BM40*BM$3*BM$4&lt;0.002,100,MAX($CM$2/(Flows!BM40*BM$3*BM$4),1))</f>
        <v>61.7212756673716</v>
      </c>
      <c r="BN70" s="10" t="n">
        <f aca="false">IF(Flows!BN40*BN$3*BN$4&lt;0.002,100,MAX($CM$2/(Flows!BN40*BN$3*BN$4),1))</f>
        <v>1</v>
      </c>
      <c r="BO70" s="10" t="n">
        <f aca="false">IF(Flows!BO40*BO$3*BO$4&lt;0.002,100,MAX($CM$2/(Flows!BO40*BO$3*BO$4),1))</f>
        <v>170.288503331796</v>
      </c>
      <c r="BP70" s="10" t="n">
        <f aca="false">IF(Flows!BP40*BP$3*BP$4&lt;0.002,100,MAX($CM$2/(Flows!BP40*BP$3*BP$4),1))</f>
        <v>235.868206825204</v>
      </c>
      <c r="BQ70" s="10" t="n">
        <f aca="false">IF(Flows!BQ40*BQ$3*BQ$4&lt;0.002,100,MAX($CM$2/(Flows!BQ40*BQ$3*BQ$4),1))</f>
        <v>1</v>
      </c>
      <c r="BR70" s="10" t="n">
        <f aca="false">IF(Flows!BR40*BR$3*BR$4&lt;0.002,100,MAX($CM$2/(Flows!BR40*BR$3*BR$4),1))</f>
        <v>5108.65407144361</v>
      </c>
      <c r="BS70" s="10" t="n">
        <f aca="false">IF(Flows!BS40*BS$3*BS$4&lt;0.002,100,MAX($CM$2/(Flows!BS40*BS$3*BS$4),1))</f>
        <v>51086.5407144361</v>
      </c>
      <c r="BT70" s="10" t="n">
        <f aca="false">IF(Flows!BT40*BT$3*BT$4&lt;0.002,100,MAX($CM$2/(Flows!BT40*BT$3*BT$4),1))</f>
        <v>13.4319758960409</v>
      </c>
      <c r="BU70" s="10" t="n">
        <f aca="false">IF(Flows!BU40*BU$3*BU$4&lt;0.002,100,MAX($CM$2/(Flows!BU40*BU$3*BU$4),1))</f>
        <v>134.319758960409</v>
      </c>
      <c r="BV70" s="10" t="n">
        <f aca="false">IF(Flows!BV40*BV$3*BV$4&lt;0.002,100,MAX($CM$2/(Flows!BV40*BV$3*BV$4),1))</f>
        <v>1343.19758960409</v>
      </c>
      <c r="BW70" s="10" t="n">
        <f aca="false">IF(Flows!BW40*BW$3*BW$4&lt;0.002,100,MAX($CM$2/(Flows!BW40*BW$3*BW$4),1))</f>
        <v>72.6863853339129</v>
      </c>
      <c r="BX70" s="10" t="n">
        <f aca="false">IF(Flows!BX40*BX$3*BX$4&lt;0.002,100,MAX($CM$2/(Flows!BX40*BX$3*BX$4),1))</f>
        <v>19.1425415032865</v>
      </c>
      <c r="BY70" s="10" t="n">
        <f aca="false">IF(Flows!BY40*BY$3*BY$4&lt;0.002,100,MAX($CM$2/(Flows!BY40*BY$3*BY$4),1))</f>
        <v>21.0013536861031</v>
      </c>
      <c r="BZ70" s="10" t="n">
        <f aca="false">IF(Flows!BZ40*BZ$3*BZ$4&lt;0.002,100,MAX($CM$2/(Flows!BZ40*BZ$3*BZ$4),1))</f>
        <v>34121.1608234984</v>
      </c>
      <c r="CA70" s="10" t="n">
        <f aca="false">IF(Flows!CA40*CA$3*CA$4&lt;0.002,100,MAX($CM$2/(Flows!CA40*CA$3*CA$4),1))</f>
        <v>93648.8502245019</v>
      </c>
      <c r="CB70" s="10" t="n">
        <f aca="false">IF(Flows!CB40*CB$3*CB$4&lt;0.002,100,MAX($CM$2/(Flows!CB40*CB$3*CB$4),1))</f>
        <v>51.9272286855893</v>
      </c>
      <c r="CC70" s="10" t="n">
        <f aca="false">IF(Flows!CC40*CC$3*CC$4&lt;0.002,100,MAX($CM$2/(Flows!CC40*CC$3*CC$4),1))</f>
        <v>45.6967203438054</v>
      </c>
      <c r="CD70" s="10" t="n">
        <f aca="false">IF(Flows!CD40*CD$3*CD$4&lt;0.002,100,MAX($CM$2/(Flows!CD40*CD$3*CD$4),1))</f>
        <v>198.597695212261</v>
      </c>
      <c r="CE70" s="10" t="n">
        <f aca="false">IF(Flows!CE40*CE$3*CE$4&lt;0.002,100,MAX($CM$2/(Flows!CE40*CE$3*CE$4),1))</f>
        <v>32.9648863994434</v>
      </c>
      <c r="CF70" s="10" t="n">
        <f aca="false">IF(Flows!CF40*CF$3*CF$4&lt;0.002,100,MAX($CM$2/(Flows!CF40*CF$3*CF$4),1))</f>
        <v>1</v>
      </c>
      <c r="CG70" s="10" t="n">
        <f aca="false">IF(Flows!CG40*CG$3*CG$4&lt;0.002,100,MAX($CM$2/(Flows!CG40*CG$3*CG$4),1))</f>
        <v>35.3444937803574</v>
      </c>
      <c r="CH70" s="10" t="n">
        <f aca="false">IF(Flows!CH40*CH$3*CH$4&lt;0.002,100,MAX($CM$2/(Flows!CH40*CH$3*CH$4),1))</f>
        <v>27.0926410889037</v>
      </c>
      <c r="CI70" s="10" t="n">
        <f aca="false">IF(Flows!CI40*CI$3*CI$4&lt;0.002,100,MAX($CM$2/(Flows!CI40*CI$3*CI$4),1))</f>
        <v>185.055213950668</v>
      </c>
      <c r="CJ70" s="10" t="n">
        <f aca="false">IF(Flows!CJ40*CJ$3*CJ$4&lt;0.002,100,MAX($CM$2/(Flows!CJ40*CJ$3*CJ$4),1))</f>
        <v>1375.23771607533</v>
      </c>
      <c r="CK70" s="10" t="n">
        <f aca="false">IF(Flows!CK40*CK$3*CK$4&lt;0.002,100,MAX($CM$2/(Flows!CK40*CK$3*CK$4),1))</f>
        <v>423.792784708969</v>
      </c>
      <c r="CL70" s="7" t="s">
        <v>320</v>
      </c>
    </row>
    <row r="71" customFormat="false" ht="12.8" hidden="false" customHeight="false" outlineLevel="0" collapsed="false">
      <c r="A71" s="7" t="s">
        <v>145</v>
      </c>
      <c r="B71" s="7" t="s">
        <v>39</v>
      </c>
      <c r="C71" s="10" t="n">
        <f aca="false">IF(Flows!C41*C$3*C$4&lt;0.002,100,MAX($CM$2/(Flows!C41*C$3*C$4),1))</f>
        <v>52118.5400758081</v>
      </c>
      <c r="D71" s="10" t="n">
        <f aca="false">IF(Flows!D41*D$3*D$4&lt;0.002,100,MAX($CM$2/(Flows!D41*D$3*D$4),1))</f>
        <v>5.12308355571678</v>
      </c>
      <c r="E71" s="10" t="n">
        <f aca="false">IF(Flows!E41*E$3*E$4&lt;0.002,100,MAX($CM$2/(Flows!E41*E$3*E$4),1))</f>
        <v>8.71980497668757</v>
      </c>
      <c r="F71" s="10" t="n">
        <f aca="false">IF(Flows!F41*F$3*F$4&lt;0.002,100,MAX($CM$2/(Flows!F41*F$3*F$4),1))</f>
        <v>28.9205822862028</v>
      </c>
      <c r="G71" s="10" t="n">
        <f aca="false">IF(Flows!G41*G$3*G$4&lt;0.002,100,MAX($CM$2/(Flows!G41*G$3*G$4),1))</f>
        <v>6.94759175465237</v>
      </c>
      <c r="H71" s="10" t="n">
        <f aca="false">IF(Flows!H41*H$3*H$4&lt;0.002,100,MAX($CM$2/(Flows!H41*H$3*H$4),1))</f>
        <v>5298.92630976988</v>
      </c>
      <c r="I71" s="10" t="n">
        <f aca="false">IF(Flows!I41*I$3*I$4&lt;0.002,100,MAX($CM$2/(Flows!I41*I$3*I$4),1))</f>
        <v>4851.89017733958</v>
      </c>
      <c r="J71" s="10" t="n">
        <f aca="false">IF(Flows!J41*J$3*J$4&lt;0.002,100,MAX($CM$2/(Flows!J41*J$3*J$4),1))</f>
        <v>2637.57821244083</v>
      </c>
      <c r="K71" s="10" t="n">
        <f aca="false">IF(Flows!K41*K$3*K$4&lt;0.002,100,MAX($CM$2/(Flows!K41*K$3*K$4),1))</f>
        <v>32545.0615998914</v>
      </c>
      <c r="L71" s="10" t="n">
        <f aca="false">IF(Flows!L41*L$3*L$4&lt;0.002,100,MAX($CM$2/(Flows!L41*L$3*L$4),1))</f>
        <v>153747.174387124</v>
      </c>
      <c r="M71" s="10" t="n">
        <f aca="false">IF(Flows!M41*M$3*M$4&lt;0.002,100,MAX($CM$2/(Flows!M41*M$3*M$4),1))</f>
        <v>109224.215926433</v>
      </c>
      <c r="N71" s="10" t="n">
        <f aca="false">IF(Flows!N41*N$3*N$4&lt;0.002,100,MAX($CM$2/(Flows!N41*N$3*N$4),1))</f>
        <v>7.67522952070186</v>
      </c>
      <c r="O71" s="10" t="n">
        <f aca="false">IF(Flows!O41*O$3*O$4&lt;0.002,100,MAX($CM$2/(Flows!O41*O$3*O$4),1))</f>
        <v>4.09846684457343</v>
      </c>
      <c r="P71" s="10" t="n">
        <f aca="false">IF(Flows!P41*P$3*P$4&lt;0.002,100,MAX($CM$2/(Flows!P41*P$3*P$4),1))</f>
        <v>2.45908010674405</v>
      </c>
      <c r="Q71" s="10" t="n">
        <f aca="false">IF(Flows!Q41*Q$3*Q$4&lt;0.002,100,MAX($CM$2/(Flows!Q41*Q$3*Q$4),1))</f>
        <v>235.865629338745</v>
      </c>
      <c r="R71" s="10" t="n">
        <f aca="false">IF(Flows!R41*R$3*R$4&lt;0.002,100,MAX($CM$2/(Flows!R41*R$3*R$4),1))</f>
        <v>74.6767864390873</v>
      </c>
      <c r="S71" s="10" t="n">
        <f aca="false">IF(Flows!S41*S$3*S$4&lt;0.002,100,MAX($CM$2/(Flows!S41*S$3*S$4),1))</f>
        <v>1317.8329233182</v>
      </c>
      <c r="T71" s="10" t="n">
        <f aca="false">IF(Flows!T41*T$3*T$4&lt;0.002,100,MAX($CM$2/(Flows!T41*T$3*T$4),1))</f>
        <v>2357.88733828992</v>
      </c>
      <c r="U71" s="10" t="n">
        <f aca="false">IF(Flows!U41*U$3*U$4&lt;0.002,100,MAX($CM$2/(Flows!U41*U$3*U$4),1))</f>
        <v>7281.61439509552</v>
      </c>
      <c r="V71" s="10" t="n">
        <f aca="false">IF(Flows!V41*V$3*V$4&lt;0.002,100,MAX($CM$2/(Flows!V41*V$3*V$4),1))</f>
        <v>288.424542521443</v>
      </c>
      <c r="W71" s="10" t="n">
        <f aca="false">IF(Flows!W41*W$3*W$4&lt;0.002,100,MAX($CM$2/(Flows!W41*W$3*W$4),1))</f>
        <v>8.21980072069566</v>
      </c>
      <c r="X71" s="10" t="n">
        <f aca="false">IF(Flows!X41*X$3*X$4&lt;0.002,100,MAX($CM$2/(Flows!X41*X$3*X$4),1))</f>
        <v>15.0811123180034</v>
      </c>
      <c r="Y71" s="10" t="n">
        <f aca="false">IF(Flows!Y41*Y$3*Y$4&lt;0.002,100,MAX($CM$2/(Flows!Y41*Y$3*Y$4),1))</f>
        <v>768.735871935618</v>
      </c>
      <c r="Z71" s="10" t="n">
        <f aca="false">IF(Flows!Z41*Z$3*Z$4&lt;0.002,100,MAX($CM$2/(Flows!Z41*Z$3*Z$4),1))</f>
        <v>12002.1320988164</v>
      </c>
      <c r="AA71" s="10" t="n">
        <f aca="false">IF(Flows!AA41*AA$3*AA$4&lt;0.002,100,MAX($CM$2/(Flows!AA41*AA$3*AA$4),1))</f>
        <v>14197.8392510559</v>
      </c>
      <c r="AB71" s="10" t="n">
        <f aca="false">IF(Flows!AB41*AB$3*AB$4&lt;0.002,100,MAX($CM$2/(Flows!AB41*AB$3*AB$4),1))</f>
        <v>9344.73467509326</v>
      </c>
      <c r="AC71" s="10" t="n">
        <f aca="false">IF(Flows!AC41*AC$3*AC$4&lt;0.002,100,MAX($CM$2/(Flows!AC41*AC$3*AC$4),1))</f>
        <v>66567.4523788813</v>
      </c>
      <c r="AD71" s="10" t="n">
        <f aca="false">IF(Flows!AD41*AD$3*AD$4&lt;0.002,100,MAX($CM$2/(Flows!AD41*AD$3*AD$4),1))</f>
        <v>58864.5694610003</v>
      </c>
      <c r="AE71" s="10" t="n">
        <f aca="false">IF(Flows!AE41*AE$3*AE$4&lt;0.002,100,MAX($CM$2/(Flows!AE41*AE$3*AE$4),1))</f>
        <v>191632.66930458</v>
      </c>
      <c r="AF71" s="10" t="n">
        <f aca="false">IF(Flows!AF41*AF$3*AF$4&lt;0.002,100,MAX($CM$2/(Flows!AF41*AF$3*AF$4),1))</f>
        <v>742.790358439001</v>
      </c>
      <c r="AG71" s="10" t="n">
        <f aca="false">IF(Flows!AG41*AG$3*AG$4&lt;0.002,100,MAX($CM$2/(Flows!AG41*AG$3*AG$4),1))</f>
        <v>3009.9091140019</v>
      </c>
      <c r="AH71" s="10" t="n">
        <f aca="false">IF(Flows!AH41*AH$3*AH$4&lt;0.002,100,MAX($CM$2/(Flows!AH41*AH$3*AH$4),1))</f>
        <v>585.525430847714</v>
      </c>
      <c r="AI71" s="10" t="n">
        <f aca="false">IF(Flows!AI41*AI$3*AI$4&lt;0.002,100,MAX($CM$2/(Flows!AI41*AI$3*AI$4),1))</f>
        <v>1866433.73182525</v>
      </c>
      <c r="AJ71" s="10" t="n">
        <f aca="false">IF(Flows!AJ41*AJ$3*AJ$4&lt;0.002,100,MAX($CM$2/(Flows!AJ41*AJ$3*AJ$4),1))</f>
        <v>821.969099834974</v>
      </c>
      <c r="AK71" s="10" t="n">
        <f aca="false">IF(Flows!AK41*AK$3*AK$4&lt;0.002,100,MAX($CM$2/(Flows!AK41*AK$3*AK$4),1))</f>
        <v>286.115719076861</v>
      </c>
      <c r="AL71" s="10" t="n">
        <f aca="false">IF(Flows!AL41*AL$3*AL$4&lt;0.002,100,MAX($CM$2/(Flows!AL41*AL$3*AL$4),1))</f>
        <v>867.120346590239</v>
      </c>
      <c r="AM71" s="10" t="n">
        <f aca="false">IF(Flows!AM41*AM$3*AM$4&lt;0.002,100,MAX($CM$2/(Flows!AM41*AM$3*AM$4),1))</f>
        <v>899.310016534336</v>
      </c>
      <c r="AN71" s="10" t="n">
        <f aca="false">IF(Flows!AN41*AN$3*AN$4&lt;0.002,100,MAX($CM$2/(Flows!AN41*AN$3*AN$4),1))</f>
        <v>1264.42607562009</v>
      </c>
      <c r="AO71" s="10" t="n">
        <f aca="false">IF(Flows!AO41*AO$3*AO$4&lt;0.002,100,MAX($CM$2/(Flows!AO41*AO$3*AO$4),1))</f>
        <v>13662.1751676708</v>
      </c>
      <c r="AP71" s="10" t="n">
        <f aca="false">IF(Flows!AP41*AP$3*AP$4&lt;0.002,100,MAX($CM$2/(Flows!AP41*AP$3*AP$4),1))</f>
        <v>31904.6131757915</v>
      </c>
      <c r="AQ71" s="10" t="n">
        <f aca="false">IF(Flows!AQ41*AQ$3*AQ$4&lt;0.002,100,MAX($CM$2/(Flows!AQ41*AQ$3*AQ$4),1))</f>
        <v>33859.2558822928</v>
      </c>
      <c r="AR71" s="10" t="n">
        <f aca="false">IF(Flows!AR41*AR$3*AR$4&lt;0.002,100,MAX($CM$2/(Flows!AR41*AR$3*AR$4),1))</f>
        <v>23796.1248958839</v>
      </c>
      <c r="AS71" s="10" t="n">
        <f aca="false">IF(Flows!AS41*AS$3*AS$4&lt;0.002,100,MAX($CM$2/(Flows!AS41*AS$3*AS$4),1))</f>
        <v>1730.86024587355</v>
      </c>
      <c r="AT71" s="10" t="n">
        <f aca="false">IF(Flows!AT41*AT$3*AT$4&lt;0.002,100,MAX($CM$2/(Flows!AT41*AT$3*AT$4),1))</f>
        <v>796.393585368564</v>
      </c>
      <c r="AU71" s="10" t="n">
        <f aca="false">IF(Flows!AU41*AU$3*AU$4&lt;0.002,100,MAX($CM$2/(Flows!AU41*AU$3*AU$4),1))</f>
        <v>7294.93660683672</v>
      </c>
      <c r="AV71" s="10" t="n">
        <f aca="false">IF(Flows!AV41*AV$3*AV$4&lt;0.002,100,MAX($CM$2/(Flows!AV41*AV$3*AV$4),1))</f>
        <v>10111.8998754411</v>
      </c>
      <c r="AW71" s="10" t="n">
        <f aca="false">IF(Flows!AW41*AW$3*AW$4&lt;0.002,100,MAX($CM$2/(Flows!AW41*AW$3*AW$4),1))</f>
        <v>20.6971251699426</v>
      </c>
      <c r="AX71" s="10" t="n">
        <f aca="false">IF(Flows!AX41*AX$3*AX$4&lt;0.002,100,MAX($CM$2/(Flows!AX41*AX$3*AX$4),1))</f>
        <v>4072.49524688914</v>
      </c>
      <c r="AY71" s="10" t="n">
        <f aca="false">IF(Flows!AY41*AY$3*AY$4&lt;0.002,100,MAX($CM$2/(Flows!AY41*AY$3*AY$4),1))</f>
        <v>545.156787942819</v>
      </c>
      <c r="AZ71" s="10" t="n">
        <f aca="false">IF(Flows!AZ41*AZ$3*AZ$4&lt;0.002,100,MAX($CM$2/(Flows!AZ41*AZ$3*AZ$4),1))</f>
        <v>122.167758130518</v>
      </c>
      <c r="BA71" s="10" t="n">
        <f aca="false">IF(Flows!BA41*BA$3*BA$4&lt;0.002,100,MAX($CM$2/(Flows!BA41*BA$3*BA$4),1))</f>
        <v>7841.1058937433</v>
      </c>
      <c r="BB71" s="10" t="n">
        <f aca="false">IF(Flows!BB41*BB$3*BB$4&lt;0.002,100,MAX($CM$2/(Flows!BB41*BB$3*BB$4),1))</f>
        <v>2854.02231307756</v>
      </c>
      <c r="BC71" s="10" t="n">
        <f aca="false">IF(Flows!BC41*BC$3*BC$4&lt;0.002,100,MAX($CM$2/(Flows!BC41*BC$3*BC$4),1))</f>
        <v>3639.08080420767</v>
      </c>
      <c r="BD71" s="10" t="n">
        <f aca="false">IF(Flows!BD41*BD$3*BD$4&lt;0.002,100,MAX($CM$2/(Flows!BD41*BD$3*BD$4),1))</f>
        <v>4167.75740250889</v>
      </c>
      <c r="BE71" s="10" t="n">
        <f aca="false">IF(Flows!BE41*BE$3*BE$4&lt;0.002,100,MAX($CM$2/(Flows!BE41*BE$3*BE$4),1))</f>
        <v>15810.4925821495</v>
      </c>
      <c r="BF71" s="10" t="n">
        <f aca="false">IF(Flows!BF41*BF$3*BF$4&lt;0.002,100,MAX($CM$2/(Flows!BF41*BF$3*BF$4),1))</f>
        <v>1244.85615444873</v>
      </c>
      <c r="BG71" s="10" t="n">
        <f aca="false">IF(Flows!BG41*BG$3*BG$4&lt;0.002,100,MAX($CM$2/(Flows!BG41*BG$3*BG$4),1))</f>
        <v>401.390062686883</v>
      </c>
      <c r="BH71" s="10" t="n">
        <f aca="false">IF(Flows!BH41*BH$3*BH$4&lt;0.002,100,MAX($CM$2/(Flows!BH41*BH$3*BH$4),1))</f>
        <v>200.695031343441</v>
      </c>
      <c r="BI71" s="10" t="n">
        <f aca="false">IF(Flows!BI41*BI$3*BI$4&lt;0.002,100,MAX($CM$2/(Flows!BI41*BI$3*BI$4),1))</f>
        <v>150.521273507581</v>
      </c>
      <c r="BJ71" s="10" t="n">
        <f aca="false">IF(Flows!BJ41*BJ$3*BJ$4&lt;0.002,100,MAX($CM$2/(Flows!BJ41*BJ$3*BJ$4),1))</f>
        <v>8.04953835466439</v>
      </c>
      <c r="BK71" s="10" t="n">
        <f aca="false">IF(Flows!BK41*BK$3*BK$4&lt;0.002,100,MAX($CM$2/(Flows!BK41*BK$3*BK$4),1))</f>
        <v>301.042547015162</v>
      </c>
      <c r="BL71" s="10" t="n">
        <f aca="false">IF(Flows!BL41*BL$3*BL$4&lt;0.002,100,MAX($CM$2/(Flows!BL41*BL$3*BL$4),1))</f>
        <v>145.132990384333</v>
      </c>
      <c r="BM71" s="10" t="n">
        <f aca="false">IF(Flows!BM41*BM$3*BM$4&lt;0.002,100,MAX($CM$2/(Flows!BM41*BM$3*BM$4),1))</f>
        <v>47.0126032838745</v>
      </c>
      <c r="BN71" s="10" t="n">
        <f aca="false">IF(Flows!BN41*BN$3*BN$4&lt;0.002,100,MAX($CM$2/(Flows!BN41*BN$3*BN$4),1))</f>
        <v>800608.420604517</v>
      </c>
      <c r="BO71" s="10" t="n">
        <f aca="false">IF(Flows!BO41*BO$3*BO$4&lt;0.002,100,MAX($CM$2/(Flows!BO41*BO$3*BO$4),1))</f>
        <v>21.9373362192889</v>
      </c>
      <c r="BP71" s="10" t="n">
        <f aca="false">IF(Flows!BP41*BP$3*BP$4&lt;0.002,100,MAX($CM$2/(Flows!BP41*BP$3*BP$4),1))</f>
        <v>53.9674299537691</v>
      </c>
      <c r="BQ71" s="10" t="n">
        <f aca="false">IF(Flows!BQ41*BQ$3*BQ$4&lt;0.002,100,MAX($CM$2/(Flows!BQ41*BQ$3*BQ$4),1))</f>
        <v>1231705.26246849</v>
      </c>
      <c r="BR71" s="10" t="n">
        <f aca="false">IF(Flows!BR41*BR$3*BR$4&lt;0.002,100,MAX($CM$2/(Flows!BR41*BR$3*BR$4),1))</f>
        <v>658.119939353947</v>
      </c>
      <c r="BS71" s="10" t="n">
        <f aca="false">IF(Flows!BS41*BS$3*BS$4&lt;0.002,100,MAX($CM$2/(Flows!BS41*BS$3*BS$4),1))</f>
        <v>6581.19939353946</v>
      </c>
      <c r="BT71" s="10" t="n">
        <f aca="false">IF(Flows!BT41*BT$3*BT$4&lt;0.002,100,MAX($CM$2/(Flows!BT41*BT$3*BT$4),1))</f>
        <v>3.53681509751565</v>
      </c>
      <c r="BU71" s="10" t="n">
        <f aca="false">IF(Flows!BU41*BU$3*BU$4&lt;0.002,100,MAX($CM$2/(Flows!BU41*BU$3*BU$4),1))</f>
        <v>35.3681509751565</v>
      </c>
      <c r="BV71" s="10" t="n">
        <f aca="false">IF(Flows!BV41*BV$3*BV$4&lt;0.002,100,MAX($CM$2/(Flows!BV41*BV$3*BV$4),1))</f>
        <v>353.681509751565</v>
      </c>
      <c r="BW71" s="10" t="n">
        <f aca="false">IF(Flows!BW41*BW$3*BW$4&lt;0.002,100,MAX($CM$2/(Flows!BW41*BW$3*BW$4),1))</f>
        <v>26.1594149300627</v>
      </c>
      <c r="BX71" s="10" t="n">
        <f aca="false">IF(Flows!BX41*BX$3*BX$4&lt;0.002,100,MAX($CM$2/(Flows!BX41*BX$3*BX$4),1))</f>
        <v>90.1828606969774</v>
      </c>
      <c r="BY71" s="10" t="n">
        <f aca="false">IF(Flows!BY41*BY$3*BY$4&lt;0.002,100,MAX($CM$2/(Flows!BY41*BY$3*BY$4),1))</f>
        <v>47.5557867319608</v>
      </c>
      <c r="BZ71" s="10" t="n">
        <f aca="false">IF(Flows!BZ41*BZ$3*BZ$4&lt;0.002,100,MAX($CM$2/(Flows!BZ41*BZ$3*BZ$4),1))</f>
        <v>114086.852373636</v>
      </c>
      <c r="CA71" s="10" t="n">
        <f aca="false">IF(Flows!CA41*CA$3*CA$4&lt;0.002,100,MAX($CM$2/(Flows!CA41*CA$3*CA$4),1))</f>
        <v>40514.437724074</v>
      </c>
      <c r="CB71" s="10" t="n">
        <f aca="false">IF(Flows!CB41*CB$3*CB$4&lt;0.002,100,MAX($CM$2/(Flows!CB41*CB$3*CB$4),1))</f>
        <v>48.6905529946046</v>
      </c>
      <c r="CC71" s="10" t="n">
        <f aca="false">IF(Flows!CC41*CC$3*CC$4&lt;0.002,100,MAX($CM$2/(Flows!CC41*CC$3*CC$4),1))</f>
        <v>13.8751052842818</v>
      </c>
      <c r="CD71" s="10" t="n">
        <f aca="false">IF(Flows!CD41*CD$3*CD$4&lt;0.002,100,MAX($CM$2/(Flows!CD41*CD$3*CD$4),1))</f>
        <v>88.7013862227295</v>
      </c>
      <c r="CE71" s="10" t="n">
        <f aca="false">IF(Flows!CE41*CE$3*CE$4&lt;0.002,100,MAX($CM$2/(Flows!CE41*CE$3*CE$4),1))</f>
        <v>13.5030211396556</v>
      </c>
      <c r="CF71" s="10" t="n">
        <f aca="false">IF(Flows!CF41*CF$3*CF$4&lt;0.002,100,MAX($CM$2/(Flows!CF41*CF$3*CF$4),1))</f>
        <v>1</v>
      </c>
      <c r="CG71" s="10" t="n">
        <f aca="false">IF(Flows!CG41*CG$3*CG$4&lt;0.002,100,MAX($CM$2/(Flows!CG41*CG$3*CG$4),1))</f>
        <v>92.3113767867024</v>
      </c>
      <c r="CH71" s="10" t="n">
        <f aca="false">IF(Flows!CH41*CH$3*CH$4&lt;0.002,100,MAX($CM$2/(Flows!CH41*CH$3*CH$4),1))</f>
        <v>85.3356555763921</v>
      </c>
      <c r="CI71" s="10" t="n">
        <f aca="false">IF(Flows!CI41*CI$3*CI$4&lt;0.002,100,MAX($CM$2/(Flows!CI41*CI$3*CI$4),1))</f>
        <v>162.393057571795</v>
      </c>
      <c r="CJ71" s="10" t="n">
        <f aca="false">IF(Flows!CJ41*CJ$3*CJ$4&lt;0.002,100,MAX($CM$2/(Flows!CJ41*CJ$3*CJ$4),1))</f>
        <v>1031.23603550847</v>
      </c>
      <c r="CK71" s="10" t="n">
        <f aca="false">IF(Flows!CK41*CK$3*CK$4&lt;0.002,100,MAX($CM$2/(Flows!CK41*CK$3*CK$4),1))</f>
        <v>779.71011857333</v>
      </c>
      <c r="CL71" s="7" t="s">
        <v>320</v>
      </c>
    </row>
    <row r="72" customFormat="false" ht="12.8" hidden="false" customHeight="false" outlineLevel="0" collapsed="false">
      <c r="A72" s="7" t="s">
        <v>147</v>
      </c>
      <c r="B72" s="7" t="s">
        <v>39</v>
      </c>
      <c r="C72" s="10" t="n">
        <f aca="false">IF(Flows!C42*C$3*C$4&lt;0.002,100,MAX($CM$2/(Flows!C42*C$3*C$4),1))</f>
        <v>63396.2898127905</v>
      </c>
      <c r="D72" s="10" t="n">
        <f aca="false">IF(Flows!D42*D$3*D$4&lt;0.002,100,MAX($CM$2/(Flows!D42*D$3*D$4),1))</f>
        <v>6.37606230535445</v>
      </c>
      <c r="E72" s="10" t="n">
        <f aca="false">IF(Flows!E42*E$3*E$4&lt;0.002,100,MAX($CM$2/(Flows!E42*E$3*E$4),1))</f>
        <v>11.5072552258117</v>
      </c>
      <c r="F72" s="10" t="n">
        <f aca="false">IF(Flows!F42*F$3*F$4&lt;0.002,100,MAX($CM$2/(Flows!F42*F$3*F$4),1))</f>
        <v>55.3885132998286</v>
      </c>
      <c r="G72" s="10" t="n">
        <f aca="false">IF(Flows!G42*G$3*G$4&lt;0.002,100,MAX($CM$2/(Flows!G42*G$3*G$4),1))</f>
        <v>12.5225718276341</v>
      </c>
      <c r="H72" s="10" t="n">
        <f aca="false">IF(Flows!H42*H$3*H$4&lt;0.002,100,MAX($CM$2/(Flows!H42*H$3*H$4),1))</f>
        <v>4748.43298276999</v>
      </c>
      <c r="I72" s="10" t="n">
        <f aca="false">IF(Flows!I42*I$3*I$4&lt;0.002,100,MAX($CM$2/(Flows!I42*I$3*I$4),1))</f>
        <v>4359.94749457378</v>
      </c>
      <c r="J72" s="10" t="n">
        <f aca="false">IF(Flows!J42*J$3*J$4&lt;0.002,100,MAX($CM$2/(Flows!J42*J$3*J$4),1))</f>
        <v>9583.26445275383</v>
      </c>
      <c r="K72" s="10" t="n">
        <f aca="false">IF(Flows!K42*K$3*K$4&lt;0.002,100,MAX($CM$2/(Flows!K42*K$3*K$4),1))</f>
        <v>41128.5971467949</v>
      </c>
      <c r="L72" s="10" t="n">
        <f aca="false">IF(Flows!L42*L$3*L$4&lt;0.002,100,MAX($CM$2/(Flows!L42*L$3*L$4),1))</f>
        <v>206321.540515227</v>
      </c>
      <c r="M72" s="10" t="n">
        <f aca="false">IF(Flows!M42*M$3*M$4&lt;0.002,100,MAX($CM$2/(Flows!M42*M$3*M$4),1))</f>
        <v>148111.956939604</v>
      </c>
      <c r="N72" s="10" t="n">
        <f aca="false">IF(Flows!N42*N$3*N$4&lt;0.002,100,MAX($CM$2/(Flows!N42*N$3*N$4),1))</f>
        <v>13.3157860600621</v>
      </c>
      <c r="O72" s="10" t="n">
        <f aca="false">IF(Flows!O42*O$3*O$4&lt;0.002,100,MAX($CM$2/(Flows!O42*O$3*O$4),1))</f>
        <v>5.10084984428356</v>
      </c>
      <c r="P72" s="10" t="n">
        <f aca="false">IF(Flows!P42*P$3*P$4&lt;0.002,100,MAX($CM$2/(Flows!P42*P$3*P$4),1))</f>
        <v>3.06050990657013</v>
      </c>
      <c r="Q72" s="10" t="n">
        <f aca="false">IF(Flows!Q42*Q$3*Q$4&lt;0.002,100,MAX($CM$2/(Flows!Q42*Q$3*Q$4),1))</f>
        <v>266.282384466236</v>
      </c>
      <c r="R72" s="10" t="n">
        <f aca="false">IF(Flows!R42*R$3*R$4&lt;0.002,100,MAX($CM$2/(Flows!R42*R$3*R$4),1))</f>
        <v>61.8475457570521</v>
      </c>
      <c r="S72" s="10" t="n">
        <f aca="false">IF(Flows!S42*S$3*S$4&lt;0.002,100,MAX($CM$2/(Flows!S42*S$3*S$4),1))</f>
        <v>1768.47034727337</v>
      </c>
      <c r="T72" s="10" t="n">
        <f aca="false">IF(Flows!T42*T$3*T$4&lt;0.002,100,MAX($CM$2/(Flows!T42*T$3*T$4),1))</f>
        <v>3164.17488605284</v>
      </c>
      <c r="U72" s="10" t="n">
        <f aca="false">IF(Flows!U42*U$3*U$4&lt;0.002,100,MAX($CM$2/(Flows!U42*U$3*U$4),1))</f>
        <v>9874.13046264028</v>
      </c>
      <c r="V72" s="10" t="n">
        <f aca="false">IF(Flows!V42*V$3*V$4&lt;0.002,100,MAX($CM$2/(Flows!V42*V$3*V$4),1))</f>
        <v>224.808826067065</v>
      </c>
      <c r="W72" s="10" t="n">
        <f aca="false">IF(Flows!W42*W$3*W$4&lt;0.002,100,MAX($CM$2/(Flows!W42*W$3*W$4),1))</f>
        <v>54.7964532529009</v>
      </c>
      <c r="X72" s="10" t="n">
        <f aca="false">IF(Flows!X42*X$3*X$4&lt;0.002,100,MAX($CM$2/(Flows!X42*X$3*X$4),1))</f>
        <v>5.96394401330946</v>
      </c>
      <c r="Y72" s="10" t="n">
        <f aca="false">IF(Flows!Y42*Y$3*Y$4&lt;0.002,100,MAX($CM$2/(Flows!Y42*Y$3*Y$4),1))</f>
        <v>1031.60770257613</v>
      </c>
      <c r="Z72" s="10" t="n">
        <f aca="false">IF(Flows!Z42*Z$3*Z$4&lt;0.002,100,MAX($CM$2/(Flows!Z42*Z$3*Z$4),1))</f>
        <v>19672.0065305692</v>
      </c>
      <c r="AA72" s="10" t="n">
        <f aca="false">IF(Flows!AA42*AA$3*AA$4&lt;0.002,100,MAX($CM$2/(Flows!AA42*AA$3*AA$4),1))</f>
        <v>20058.6220986568</v>
      </c>
      <c r="AB72" s="10" t="n">
        <f aca="false">IF(Flows!AB42*AB$3*AB$4&lt;0.002,100,MAX($CM$2/(Flows!AB42*AB$3*AB$4),1))</f>
        <v>12331.9554980046</v>
      </c>
      <c r="AC72" s="10" t="n">
        <f aca="false">IF(Flows!AC42*AC$3*AC$4&lt;0.002,100,MAX($CM$2/(Flows!AC42*AC$3*AC$4),1))</f>
        <v>110494.643244293</v>
      </c>
      <c r="AD72" s="10" t="n">
        <f aca="false">IF(Flows!AD42*AD$3*AD$4&lt;0.002,100,MAX($CM$2/(Flows!AD42*AD$3*AD$4),1))</f>
        <v>77681.740171506</v>
      </c>
      <c r="AE72" s="10" t="n">
        <f aca="false">IF(Flows!AE42*AE$3*AE$4&lt;0.002,100,MAX($CM$2/(Flows!AE42*AE$3*AE$4),1))</f>
        <v>114763.263531524</v>
      </c>
      <c r="AF72" s="10" t="n">
        <f aca="false">IF(Flows!AF42*AF$3*AF$4&lt;0.002,100,MAX($CM$2/(Flows!AF42*AF$3*AF$4),1))</f>
        <v>761.673244363038</v>
      </c>
      <c r="AG72" s="10" t="n">
        <f aca="false">IF(Flows!AG42*AG$3*AG$4&lt;0.002,100,MAX($CM$2/(Flows!AG42*AG$3*AG$4),1))</f>
        <v>566.363816208872</v>
      </c>
      <c r="AH72" s="10" t="n">
        <f aca="false">IF(Flows!AH42*AH$3*AH$4&lt;0.002,100,MAX($CM$2/(Flows!AH42*AH$3*AH$4),1))</f>
        <v>554.714227539652</v>
      </c>
      <c r="AI72" s="10" t="n">
        <f aca="false">IF(Flows!AI42*AI$3*AI$4&lt;0.002,100,MAX($CM$2/(Flows!AI42*AI$3*AI$4),1))</f>
        <v>5383.80029682151</v>
      </c>
      <c r="AJ72" s="10" t="n">
        <f aca="false">IF(Flows!AJ42*AJ$3*AJ$4&lt;0.002,100,MAX($CM$2/(Flows!AJ42*AJ$3*AJ$4),1))</f>
        <v>2370.51427380047</v>
      </c>
      <c r="AK72" s="10" t="n">
        <f aca="false">IF(Flows!AK42*AK$3*AK$4&lt;0.002,100,MAX($CM$2/(Flows!AK42*AK$3*AK$4),1))</f>
        <v>317.302071945544</v>
      </c>
      <c r="AL72" s="10" t="n">
        <f aca="false">IF(Flows!AL42*AL$3*AL$4&lt;0.002,100,MAX($CM$2/(Flows!AL42*AL$3*AL$4),1))</f>
        <v>869.383023105491</v>
      </c>
      <c r="AM72" s="10" t="n">
        <f aca="false">IF(Flows!AM42*AM$3*AM$4&lt;0.002,100,MAX($CM$2/(Flows!AM42*AM$3*AM$4),1))</f>
        <v>2546.02197577879</v>
      </c>
      <c r="AN72" s="10" t="n">
        <f aca="false">IF(Flows!AN42*AN$3*AN$4&lt;0.002,100,MAX($CM$2/(Flows!AN42*AN$3*AN$4),1))</f>
        <v>1124.50896381123</v>
      </c>
      <c r="AO72" s="10" t="n">
        <f aca="false">IF(Flows!AO42*AO$3*AO$4&lt;0.002,100,MAX($CM$2/(Flows!AO42*AO$3*AO$4),1))</f>
        <v>27814.3092401579</v>
      </c>
      <c r="AP72" s="10" t="n">
        <f aca="false">IF(Flows!AP42*AP$3*AP$4&lt;0.002,100,MAX($CM$2/(Flows!AP42*AP$3*AP$4),1))</f>
        <v>97711.2951649794</v>
      </c>
      <c r="AQ72" s="10" t="n">
        <f aca="false">IF(Flows!AQ42*AQ$3*AQ$4&lt;0.002,100,MAX($CM$2/(Flows!AQ42*AQ$3*AQ$4),1))</f>
        <v>18924.9707946037</v>
      </c>
      <c r="AR72" s="10" t="n">
        <f aca="false">IF(Flows!AR42*AR$3*AR$4&lt;0.002,100,MAX($CM$2/(Flows!AR42*AR$3*AR$4),1))</f>
        <v>17511.2772982215</v>
      </c>
      <c r="AS72" s="10" t="n">
        <f aca="false">IF(Flows!AS42*AS$3*AS$4&lt;0.002,100,MAX($CM$2/(Flows!AS42*AS$3*AS$4),1))</f>
        <v>956.452367217865</v>
      </c>
      <c r="AT72" s="10" t="n">
        <f aca="false">IF(Flows!AT42*AT$3*AT$4&lt;0.002,100,MAX($CM$2/(Flows!AT42*AT$3*AT$4),1))</f>
        <v>1549.31014655039</v>
      </c>
      <c r="AU72" s="10" t="n">
        <f aca="false">IF(Flows!AU42*AU$3*AU$4&lt;0.002,100,MAX($CM$2/(Flows!AU42*AU$3*AU$4),1))</f>
        <v>537.22591594995</v>
      </c>
      <c r="AV72" s="10" t="n">
        <f aca="false">IF(Flows!AV42*AV$3*AV$4&lt;0.002,100,MAX($CM$2/(Flows!AV42*AV$3*AV$4),1))</f>
        <v>39403.4009091764</v>
      </c>
      <c r="AW72" s="10" t="n">
        <f aca="false">IF(Flows!AW42*AW$3*AW$4&lt;0.002,100,MAX($CM$2/(Flows!AW42*AW$3*AW$4),1))</f>
        <v>33.9926912495386</v>
      </c>
      <c r="AX72" s="10" t="n">
        <f aca="false">IF(Flows!AX42*AX$3*AX$4&lt;0.002,100,MAX($CM$2/(Flows!AX42*AX$3*AX$4),1))</f>
        <v>3842.74606508515</v>
      </c>
      <c r="AY72" s="10" t="n">
        <f aca="false">IF(Flows!AY42*AY$3*AY$4&lt;0.002,100,MAX($CM$2/(Flows!AY42*AY$3*AY$4),1))</f>
        <v>1027.46875677959</v>
      </c>
      <c r="AZ72" s="10" t="n">
        <f aca="false">IF(Flows!AZ42*AZ$3*AZ$4&lt;0.002,100,MAX($CM$2/(Flows!AZ42*AZ$3*AZ$4),1))</f>
        <v>190.822445584571</v>
      </c>
      <c r="BA72" s="10" t="n">
        <f aca="false">IF(Flows!BA42*BA$3*BA$4&lt;0.002,100,MAX($CM$2/(Flows!BA42*BA$3*BA$4),1))</f>
        <v>10522.3985662766</v>
      </c>
      <c r="BB72" s="10" t="n">
        <f aca="false">IF(Flows!BB42*BB$3*BB$4&lt;0.002,100,MAX($CM$2/(Flows!BB42*BB$3*BB$4),1))</f>
        <v>3172.39012721432</v>
      </c>
      <c r="BC72" s="10" t="n">
        <f aca="false">IF(Flows!BC42*BC$3*BC$4&lt;0.002,100,MAX($CM$2/(Flows!BC42*BC$3*BC$4),1))</f>
        <v>2444.49771115776</v>
      </c>
      <c r="BD72" s="10" t="n">
        <f aca="false">IF(Flows!BD42*BD$3*BD$4&lt;0.002,100,MAX($CM$2/(Flows!BD42*BD$3*BD$4),1))</f>
        <v>5597.23909266335</v>
      </c>
      <c r="BE72" s="10" t="n">
        <f aca="false">IF(Flows!BE42*BE$3*BE$4&lt;0.002,100,MAX($CM$2/(Flows!BE42*BE$3*BE$4),1))</f>
        <v>15997.5661791399</v>
      </c>
      <c r="BF72" s="10" t="n">
        <f aca="false">IF(Flows!BF42*BF$3*BF$4&lt;0.002,100,MAX($CM$2/(Flows!BF42*BF$3*BF$4),1))</f>
        <v>1045.59708095902</v>
      </c>
      <c r="BG72" s="10" t="n">
        <f aca="false">IF(Flows!BG42*BG$3*BG$4&lt;0.002,100,MAX($CM$2/(Flows!BG42*BG$3*BG$4),1))</f>
        <v>529.701972554562</v>
      </c>
      <c r="BH72" s="10" t="n">
        <f aca="false">IF(Flows!BH42*BH$3*BH$4&lt;0.002,100,MAX($CM$2/(Flows!BH42*BH$3*BH$4),1))</f>
        <v>264.850986277281</v>
      </c>
      <c r="BI72" s="10" t="n">
        <f aca="false">IF(Flows!BI42*BI$3*BI$4&lt;0.002,100,MAX($CM$2/(Flows!BI42*BI$3*BI$4),1))</f>
        <v>198.638239707961</v>
      </c>
      <c r="BJ72" s="10" t="n">
        <f aca="false">IF(Flows!BJ42*BJ$3*BJ$4&lt;0.002,100,MAX($CM$2/(Flows!BJ42*BJ$3*BJ$4),1))</f>
        <v>3.74273769929809</v>
      </c>
      <c r="BK72" s="10" t="n">
        <f aca="false">IF(Flows!BK42*BK$3*BK$4&lt;0.002,100,MAX($CM$2/(Flows!BK42*BK$3*BK$4),1))</f>
        <v>397.276479415921</v>
      </c>
      <c r="BL72" s="10" t="n">
        <f aca="false">IF(Flows!BL42*BL$3*BL$4&lt;0.002,100,MAX($CM$2/(Flows!BL42*BL$3*BL$4),1))</f>
        <v>2108.04569000734</v>
      </c>
      <c r="BM72" s="10" t="n">
        <f aca="false">IF(Flows!BM42*BM$3*BM$4&lt;0.002,100,MAX($CM$2/(Flows!BM42*BM$3*BM$4),1))</f>
        <v>23.5269573246982</v>
      </c>
      <c r="BN72" s="10" t="n">
        <f aca="false">IF(Flows!BN42*BN$3*BN$4&lt;0.002,100,MAX($CM$2/(Flows!BN42*BN$3*BN$4),1))</f>
        <v>882246.758644603</v>
      </c>
      <c r="BO72" s="10" t="n">
        <f aca="false">IF(Flows!BO42*BO$3*BO$4&lt;0.002,100,MAX($CM$2/(Flows!BO42*BO$3*BO$4),1))</f>
        <v>51.2138069795748</v>
      </c>
      <c r="BP72" s="10" t="n">
        <f aca="false">IF(Flows!BP42*BP$3*BP$4&lt;0.002,100,MAX($CM$2/(Flows!BP42*BP$3*BP$4),1))</f>
        <v>97.3671857042386</v>
      </c>
      <c r="BQ72" s="10" t="n">
        <f aca="false">IF(Flows!BQ42*BQ$3*BQ$4&lt;0.002,100,MAX($CM$2/(Flows!BQ42*BQ$3*BQ$4),1))</f>
        <v>1357302.70560708</v>
      </c>
      <c r="BR72" s="10" t="n">
        <f aca="false">IF(Flows!BR42*BR$3*BR$4&lt;0.002,100,MAX($CM$2/(Flows!BR42*BR$3*BR$4),1))</f>
        <v>1536.41334541574</v>
      </c>
      <c r="BS72" s="10" t="n">
        <f aca="false">IF(Flows!BS42*BS$3*BS$4&lt;0.002,100,MAX($CM$2/(Flows!BS42*BS$3*BS$4),1))</f>
        <v>15364.1334541573</v>
      </c>
      <c r="BT72" s="10" t="n">
        <f aca="false">IF(Flows!BT42*BT$3*BT$4&lt;0.002,100,MAX($CM$2/(Flows!BT42*BT$3*BT$4),1))</f>
        <v>7.02772779253219</v>
      </c>
      <c r="BU72" s="10" t="n">
        <f aca="false">IF(Flows!BU42*BU$3*BU$4&lt;0.002,100,MAX($CM$2/(Flows!BU42*BU$3*BU$4),1))</f>
        <v>70.2772779253219</v>
      </c>
      <c r="BV72" s="10" t="n">
        <f aca="false">IF(Flows!BV42*BV$3*BV$4&lt;0.002,100,MAX($CM$2/(Flows!BV42*BV$3*BV$4),1))</f>
        <v>702.772779253219</v>
      </c>
      <c r="BW72" s="10" t="n">
        <f aca="false">IF(Flows!BW42*BW$3*BW$4&lt;0.002,100,MAX($CM$2/(Flows!BW42*BW$3*BW$4),1))</f>
        <v>34.521765677435</v>
      </c>
      <c r="BX72" s="10" t="n">
        <f aca="false">IF(Flows!BX42*BX$3*BX$4&lt;0.002,100,MAX($CM$2/(Flows!BX42*BX$3*BX$4),1))</f>
        <v>203.46726739703</v>
      </c>
      <c r="BY72" s="10" t="n">
        <f aca="false">IF(Flows!BY42*BY$3*BY$4&lt;0.002,100,MAX($CM$2/(Flows!BY42*BY$3*BY$4),1))</f>
        <v>13.9455517519693</v>
      </c>
      <c r="BZ72" s="10" t="n">
        <f aca="false">IF(Flows!BZ42*BZ$3*BZ$4&lt;0.002,100,MAX($CM$2/(Flows!BZ42*BZ$3*BZ$4),1))</f>
        <v>24584.6095451787</v>
      </c>
      <c r="CA72" s="10" t="n">
        <f aca="false">IF(Flows!CA42*CA$3*CA$4&lt;0.002,100,MAX($CM$2/(Flows!CA42*CA$3*CA$4),1))</f>
        <v>937258.34053636</v>
      </c>
      <c r="CB72" s="10" t="n">
        <f aca="false">IF(Flows!CB42*CB$3*CB$4&lt;0.002,100,MAX($CM$2/(Flows!CB42*CB$3*CB$4),1))</f>
        <v>91.2878485691141</v>
      </c>
      <c r="CC72" s="10" t="n">
        <f aca="false">IF(Flows!CC42*CC$3*CC$4&lt;0.002,100,MAX($CM$2/(Flows!CC42*CC$3*CC$4),1))</f>
        <v>7.87447564599368</v>
      </c>
      <c r="CD72" s="10" t="n">
        <f aca="false">IF(Flows!CD42*CD$3*CD$4&lt;0.002,100,MAX($CM$2/(Flows!CD42*CD$3*CD$4),1))</f>
        <v>116.852850817108</v>
      </c>
      <c r="CE72" s="10" t="n">
        <f aca="false">IF(Flows!CE42*CE$3*CE$4&lt;0.002,100,MAX($CM$2/(Flows!CE42*CE$3*CE$4),1))</f>
        <v>117.741342772705</v>
      </c>
      <c r="CF72" s="10" t="n">
        <f aca="false">IF(Flows!CF42*CF$3*CF$4&lt;0.002,100,MAX($CM$2/(Flows!CF42*CF$3*CF$4),1))</f>
        <v>1</v>
      </c>
      <c r="CG72" s="10" t="n">
        <f aca="false">IF(Flows!CG42*CG$3*CG$4&lt;0.002,100,MAX($CM$2/(Flows!CG42*CG$3*CG$4),1))</f>
        <v>814.405273230771</v>
      </c>
      <c r="CH72" s="10" t="n">
        <f aca="false">IF(Flows!CH42*CH$3*CH$4&lt;0.002,100,MAX($CM$2/(Flows!CH42*CH$3*CH$4),1))</f>
        <v>69.9041987636356</v>
      </c>
      <c r="CI72" s="10" t="n">
        <f aca="false">IF(Flows!CI42*CI$3*CI$4&lt;0.002,100,MAX($CM$2/(Flows!CI42*CI$3*CI$4),1))</f>
        <v>1188.59007529517</v>
      </c>
      <c r="CJ72" s="10" t="n">
        <f aca="false">IF(Flows!CJ42*CJ$3*CJ$4&lt;0.002,100,MAX($CM$2/(Flows!CJ42*CJ$3*CJ$4),1))</f>
        <v>1350.72906285057</v>
      </c>
      <c r="CK72" s="10" t="n">
        <f aca="false">IF(Flows!CK42*CK$3*CK$4&lt;0.002,100,MAX($CM$2/(Flows!CK42*CK$3*CK$4),1))</f>
        <v>3728.65010117361</v>
      </c>
      <c r="CL72" s="7" t="s">
        <v>320</v>
      </c>
    </row>
    <row r="73" customFormat="false" ht="12.8" hidden="false" customHeight="false" outlineLevel="0" collapsed="false">
      <c r="A73" s="7" t="s">
        <v>148</v>
      </c>
      <c r="B73" s="7" t="s">
        <v>39</v>
      </c>
      <c r="C73" s="10" t="n">
        <f aca="false">IF(Flows!C43*C$3*C$4&lt;0.002,100,MAX($CM$2/(Flows!C43*C$3*C$4),1))</f>
        <v>29058.1672092323</v>
      </c>
      <c r="D73" s="10" t="n">
        <f aca="false">IF(Flows!D43*D$3*D$4&lt;0.002,100,MAX($CM$2/(Flows!D43*D$3*D$4),1))</f>
        <v>4.51679445336063</v>
      </c>
      <c r="E73" s="10" t="n">
        <f aca="false">IF(Flows!E43*E$3*E$4&lt;0.002,100,MAX($CM$2/(Flows!E43*E$3*E$4),1))</f>
        <v>8.82384495414091</v>
      </c>
      <c r="F73" s="10" t="n">
        <f aca="false">IF(Flows!F43*F$3*F$4&lt;0.002,100,MAX($CM$2/(Flows!F43*F$3*F$4),1))</f>
        <v>21.6937744299911</v>
      </c>
      <c r="G73" s="10" t="n">
        <f aca="false">IF(Flows!G43*G$3*G$4&lt;0.002,100,MAX($CM$2/(Flows!G43*G$3*G$4),1))</f>
        <v>7.34285445804899</v>
      </c>
      <c r="H73" s="10" t="n">
        <f aca="false">IF(Flows!H43*H$3*H$4&lt;0.002,100,MAX($CM$2/(Flows!H43*H$3*H$4),1))</f>
        <v>3087.86857625863</v>
      </c>
      <c r="I73" s="10" t="n">
        <f aca="false">IF(Flows!I43*I$3*I$4&lt;0.002,100,MAX($CM$2/(Flows!I43*I$3*I$4),1))</f>
        <v>5097.73901683324</v>
      </c>
      <c r="J73" s="10" t="n">
        <f aca="false">IF(Flows!J43*J$3*J$4&lt;0.002,100,MAX($CM$2/(Flows!J43*J$3*J$4),1))</f>
        <v>18092.2395109293</v>
      </c>
      <c r="K73" s="10" t="n">
        <f aca="false">IF(Flows!K43*K$3*K$4&lt;0.002,100,MAX($CM$2/(Flows!K43*K$3*K$4),1))</f>
        <v>18008.9069356296</v>
      </c>
      <c r="L73" s="10" t="n">
        <f aca="false">IF(Flows!L43*L$3*L$4&lt;0.002,100,MAX($CM$2/(Flows!L43*L$3*L$4),1))</f>
        <v>96279.012131006</v>
      </c>
      <c r="M73" s="10" t="n">
        <f aca="false">IF(Flows!M43*M$3*M$4&lt;0.002,100,MAX($CM$2/(Flows!M43*M$3*M$4),1))</f>
        <v>69943.4656013177</v>
      </c>
      <c r="N73" s="10" t="n">
        <f aca="false">IF(Flows!N43*N$3*N$4&lt;0.002,100,MAX($CM$2/(Flows!N43*N$3*N$4),1))</f>
        <v>8.89366630784335</v>
      </c>
      <c r="O73" s="10" t="n">
        <f aca="false">IF(Flows!O43*O$3*O$4&lt;0.002,100,MAX($CM$2/(Flows!O43*O$3*O$4),1))</f>
        <v>3.61343556268851</v>
      </c>
      <c r="P73" s="10" t="n">
        <f aca="false">IF(Flows!P43*P$3*P$4&lt;0.002,100,MAX($CM$2/(Flows!P43*P$3*P$4),1))</f>
        <v>2.1680613376131</v>
      </c>
      <c r="Q73" s="10" t="n">
        <f aca="false">IF(Flows!Q43*Q$3*Q$4&lt;0.002,100,MAX($CM$2/(Flows!Q43*Q$3*Q$4),1))</f>
        <v>233.815179038106</v>
      </c>
      <c r="R73" s="10" t="n">
        <f aca="false">IF(Flows!R43*R$3*R$4&lt;0.002,100,MAX($CM$2/(Flows!R43*R$3*R$4),1))</f>
        <v>52.5029300287527</v>
      </c>
      <c r="S73" s="10" t="n">
        <f aca="false">IF(Flows!S43*S$3*S$4&lt;0.002,100,MAX($CM$2/(Flows!S43*S$3*S$4),1))</f>
        <v>825.248675408621</v>
      </c>
      <c r="T73" s="10" t="n">
        <f aca="false">IF(Flows!T43*T$3*T$4&lt;0.002,100,MAX($CM$2/(Flows!T43*T$3*T$4),1))</f>
        <v>1476.54787511836</v>
      </c>
      <c r="U73" s="10" t="n">
        <f aca="false">IF(Flows!U43*U$3*U$4&lt;0.002,100,MAX($CM$2/(Flows!U43*U$3*U$4),1))</f>
        <v>4662.89770675451</v>
      </c>
      <c r="V73" s="10" t="n">
        <f aca="false">IF(Flows!V43*V$3*V$4&lt;0.002,100,MAX($CM$2/(Flows!V43*V$3*V$4),1))</f>
        <v>213.296397380559</v>
      </c>
      <c r="W73" s="10" t="n">
        <f aca="false">IF(Flows!W43*W$3*W$4&lt;0.002,100,MAX($CM$2/(Flows!W43*W$3*W$4),1))</f>
        <v>19.9425043317475</v>
      </c>
      <c r="X73" s="10" t="n">
        <f aca="false">IF(Flows!X43*X$3*X$4&lt;0.002,100,MAX($CM$2/(Flows!X43*X$3*X$4),1))</f>
        <v>233.489029352422</v>
      </c>
      <c r="Y73" s="10" t="n">
        <f aca="false">IF(Flows!Y43*Y$3*Y$4&lt;0.002,100,MAX($CM$2/(Flows!Y43*Y$3*Y$4),1))</f>
        <v>481.39506065503</v>
      </c>
      <c r="Z73" s="10" t="n">
        <f aca="false">IF(Flows!Z43*Z$3*Z$4&lt;0.002,100,MAX($CM$2/(Flows!Z43*Z$3*Z$4),1))</f>
        <v>13174.7297674733</v>
      </c>
      <c r="AA73" s="10" t="n">
        <f aca="false">IF(Flows!AA43*AA$3*AA$4&lt;0.002,100,MAX($CM$2/(Flows!AA43*AA$3*AA$4),1))</f>
        <v>12863.6576328174</v>
      </c>
      <c r="AB73" s="10" t="n">
        <f aca="false">IF(Flows!AB43*AB$3*AB$4&lt;0.002,100,MAX($CM$2/(Flows!AB43*AB$3*AB$4),1))</f>
        <v>9456.23097432281</v>
      </c>
      <c r="AC73" s="10" t="n">
        <f aca="false">IF(Flows!AC43*AC$3*AC$4&lt;0.002,100,MAX($CM$2/(Flows!AC43*AC$3*AC$4),1))</f>
        <v>73346.9359936019</v>
      </c>
      <c r="AD73" s="10" t="n">
        <f aca="false">IF(Flows!AD43*AD$3*AD$4&lt;0.002,100,MAX($CM$2/(Flows!AD43*AD$3*AD$4),1))</f>
        <v>59566.9095357951</v>
      </c>
      <c r="AE73" s="10" t="n">
        <f aca="false">IF(Flows!AE43*AE$3*AE$4&lt;0.002,100,MAX($CM$2/(Flows!AE43*AE$3*AE$4),1))</f>
        <v>212594.185042096</v>
      </c>
      <c r="AF73" s="10" t="n">
        <f aca="false">IF(Flows!AF43*AF$3*AF$4&lt;0.002,100,MAX($CM$2/(Flows!AF43*AF$3*AF$4),1))</f>
        <v>805.681456891297</v>
      </c>
      <c r="AG73" s="10" t="n">
        <f aca="false">IF(Flows!AG43*AG$3*AG$4&lt;0.002,100,MAX($CM$2/(Flows!AG43*AG$3*AG$4),1))</f>
        <v>468.625649781958</v>
      </c>
      <c r="AH73" s="10" t="n">
        <f aca="false">IF(Flows!AH43*AH$3*AH$4&lt;0.002,100,MAX($CM$2/(Flows!AH43*AH$3*AH$4),1))</f>
        <v>362.358823373503</v>
      </c>
      <c r="AI73" s="10" t="n">
        <f aca="false">IF(Flows!AI43*AI$3*AI$4&lt;0.002,100,MAX($CM$2/(Flows!AI43*AI$3*AI$4),1))</f>
        <v>1752.47110081024</v>
      </c>
      <c r="AJ73" s="10" t="n">
        <f aca="false">IF(Flows!AJ43*AJ$3*AJ$4&lt;0.002,100,MAX($CM$2/(Flows!AJ43*AJ$3*AJ$4),1))</f>
        <v>1755.68547420363</v>
      </c>
      <c r="AK73" s="10" t="n">
        <f aca="false">IF(Flows!AK43*AK$3*AK$4&lt;0.002,100,MAX($CM$2/(Flows!AK43*AK$3*AK$4),1))</f>
        <v>2917.0736880885</v>
      </c>
      <c r="AL73" s="10" t="n">
        <f aca="false">IF(Flows!AL43*AL$3*AL$4&lt;0.002,100,MAX($CM$2/(Flows!AL43*AL$3*AL$4),1))</f>
        <v>1198.29130707744</v>
      </c>
      <c r="AM73" s="10" t="n">
        <f aca="false">IF(Flows!AM43*AM$3*AM$4&lt;0.002,100,MAX($CM$2/(Flows!AM43*AM$3*AM$4),1))</f>
        <v>2246.95376911718</v>
      </c>
      <c r="AN73" s="10" t="n">
        <f aca="false">IF(Flows!AN43*AN$3*AN$4&lt;0.002,100,MAX($CM$2/(Flows!AN43*AN$3*AN$4),1))</f>
        <v>1569.41435420543</v>
      </c>
      <c r="AO73" s="10" t="n">
        <f aca="false">IF(Flows!AO43*AO$3*AO$4&lt;0.002,100,MAX($CM$2/(Flows!AO43*AO$3*AO$4),1))</f>
        <v>26000.9778390006</v>
      </c>
      <c r="AP73" s="10" t="n">
        <f aca="false">IF(Flows!AP43*AP$3*AP$4&lt;0.002,100,MAX($CM$2/(Flows!AP43*AP$3*AP$4),1))</f>
        <v>30691.0704636044</v>
      </c>
      <c r="AQ73" s="10" t="n">
        <f aca="false">IF(Flows!AQ43*AQ$3*AQ$4&lt;0.002,100,MAX($CM$2/(Flows!AQ43*AQ$3*AQ$4),1))</f>
        <v>41472.2019453356</v>
      </c>
      <c r="AR73" s="10" t="n">
        <f aca="false">IF(Flows!AR43*AR$3*AR$4&lt;0.002,100,MAX($CM$2/(Flows!AR43*AR$3*AR$4),1))</f>
        <v>9100.07026162806</v>
      </c>
      <c r="AS73" s="10" t="n">
        <f aca="false">IF(Flows!AS43*AS$3*AS$4&lt;0.002,100,MAX($CM$2/(Flows!AS43*AS$3*AS$4),1))</f>
        <v>6194.23029331946</v>
      </c>
      <c r="AT73" s="10" t="n">
        <f aca="false">IF(Flows!AT43*AT$3*AT$4&lt;0.002,100,MAX($CM$2/(Flows!AT43*AT$3*AT$4),1))</f>
        <v>466.020927627047</v>
      </c>
      <c r="AU73" s="10" t="n">
        <f aca="false">IF(Flows!AU43*AU$3*AU$4&lt;0.002,100,MAX($CM$2/(Flows!AU43*AU$3*AU$4),1))</f>
        <v>4900.58725347989</v>
      </c>
      <c r="AV73" s="10" t="n">
        <f aca="false">IF(Flows!AV43*AV$3*AV$4&lt;0.002,100,MAX($CM$2/(Flows!AV43*AV$3*AV$4),1))</f>
        <v>9929.78056036035</v>
      </c>
      <c r="AW73" s="10" t="n">
        <f aca="false">IF(Flows!AW43*AW$3*AW$4&lt;0.002,100,MAX($CM$2/(Flows!AW43*AW$3*AW$4),1))</f>
        <v>22.5046969511016</v>
      </c>
      <c r="AX73" s="10" t="n">
        <f aca="false">IF(Flows!AX43*AX$3*AX$4&lt;0.002,100,MAX($CM$2/(Flows!AX43*AX$3*AX$4),1))</f>
        <v>3540.54894975722</v>
      </c>
      <c r="AY73" s="10" t="n">
        <f aca="false">IF(Flows!AY43*AY$3*AY$4&lt;0.002,100,MAX($CM$2/(Flows!AY43*AY$3*AY$4),1))</f>
        <v>621.458429773427</v>
      </c>
      <c r="AZ73" s="10" t="n">
        <f aca="false">IF(Flows!AZ43*AZ$3*AZ$4&lt;0.002,100,MAX($CM$2/(Flows!AZ43*AZ$3*AZ$4),1))</f>
        <v>142.702491308693</v>
      </c>
      <c r="BA73" s="10" t="n">
        <f aca="false">IF(Flows!BA43*BA$3*BA$4&lt;0.002,100,MAX($CM$2/(Flows!BA43*BA$3*BA$4),1))</f>
        <v>4910.22961868131</v>
      </c>
      <c r="BB73" s="10" t="n">
        <f aca="false">IF(Flows!BB43*BB$3*BB$4&lt;0.002,100,MAX($CM$2/(Flows!BB43*BB$3*BB$4),1))</f>
        <v>2602.21233920387</v>
      </c>
      <c r="BC73" s="10" t="n">
        <f aca="false">IF(Flows!BC43*BC$3*BC$4&lt;0.002,100,MAX($CM$2/(Flows!BC43*BC$3*BC$4),1))</f>
        <v>1684.41287080425</v>
      </c>
      <c r="BD73" s="10" t="n">
        <f aca="false">IF(Flows!BD43*BD$3*BD$4&lt;0.002,100,MAX($CM$2/(Flows!BD43*BD$3*BD$4),1))</f>
        <v>4012.32272069243</v>
      </c>
      <c r="BE73" s="10" t="n">
        <f aca="false">IF(Flows!BE43*BE$3*BE$4&lt;0.002,100,MAX($CM$2/(Flows!BE43*BE$3*BE$4),1))</f>
        <v>12396.1613274553</v>
      </c>
      <c r="BF73" s="10" t="n">
        <f aca="false">IF(Flows!BF43*BF$3*BF$4&lt;0.002,100,MAX($CM$2/(Flows!BF43*BF$3*BF$4),1))</f>
        <v>1155.64727831589</v>
      </c>
      <c r="BG73" s="10" t="n">
        <f aca="false">IF(Flows!BG43*BG$3*BG$4&lt;0.002,100,MAX($CM$2/(Flows!BG43*BG$3*BG$4),1))</f>
        <v>290.136840265349</v>
      </c>
      <c r="BH73" s="10" t="n">
        <f aca="false">IF(Flows!BH43*BH$3*BH$4&lt;0.002,100,MAX($CM$2/(Flows!BH43*BH$3*BH$4),1))</f>
        <v>1909167.02900091</v>
      </c>
      <c r="BI73" s="10" t="n">
        <f aca="false">IF(Flows!BI43*BI$3*BI$4&lt;0.002,100,MAX($CM$2/(Flows!BI43*BI$3*BI$4),1))</f>
        <v>108.801315099506</v>
      </c>
      <c r="BJ73" s="10" t="n">
        <f aca="false">IF(Flows!BJ43*BJ$3*BJ$4&lt;0.002,100,MAX($CM$2/(Flows!BJ43*BJ$3*BJ$4),1))</f>
        <v>34.2151634890296</v>
      </c>
      <c r="BK73" s="10" t="n">
        <f aca="false">IF(Flows!BK43*BK$3*BK$4&lt;0.002,100,MAX($CM$2/(Flows!BK43*BK$3*BK$4),1))</f>
        <v>217.602630199011</v>
      </c>
      <c r="BL73" s="10" t="n">
        <f aca="false">IF(Flows!BL43*BL$3*BL$4&lt;0.002,100,MAX($CM$2/(Flows!BL43*BL$3*BL$4),1))</f>
        <v>150.713763815666</v>
      </c>
      <c r="BM73" s="10" t="n">
        <f aca="false">IF(Flows!BM43*BM$3*BM$4&lt;0.002,100,MAX($CM$2/(Flows!BM43*BM$3*BM$4),1))</f>
        <v>281.320281830663</v>
      </c>
      <c r="BN73" s="10" t="n">
        <f aca="false">IF(Flows!BN43*BN$3*BN$4&lt;0.002,100,MAX($CM$2/(Flows!BN43*BN$3*BN$4),1))</f>
        <v>499251.613935428</v>
      </c>
      <c r="BO73" s="10" t="n">
        <f aca="false">IF(Flows!BO43*BO$3*BO$4&lt;0.002,100,MAX($CM$2/(Flows!BO43*BO$3*BO$4),1))</f>
        <v>25.0774461280859</v>
      </c>
      <c r="BP73" s="10" t="n">
        <f aca="false">IF(Flows!BP43*BP$3*BP$4&lt;0.002,100,MAX($CM$2/(Flows!BP43*BP$3*BP$4),1))</f>
        <v>63.0182074376388</v>
      </c>
      <c r="BQ73" s="10" t="n">
        <f aca="false">IF(Flows!BQ43*BQ$3*BQ$4&lt;0.002,100,MAX($CM$2/(Flows!BQ43*BQ$3*BQ$4),1))</f>
        <v>768079.406054504</v>
      </c>
      <c r="BR73" s="10" t="n">
        <f aca="false">IF(Flows!BR43*BR$3*BR$4&lt;0.002,100,MAX($CM$2/(Flows!BR43*BR$3*BR$4),1))</f>
        <v>752.323012172866</v>
      </c>
      <c r="BS73" s="10" t="n">
        <f aca="false">IF(Flows!BS43*BS$3*BS$4&lt;0.002,100,MAX($CM$2/(Flows!BS43*BS$3*BS$4),1))</f>
        <v>7523.23012172866</v>
      </c>
      <c r="BT73" s="10" t="n">
        <f aca="false">IF(Flows!BT43*BT$3*BT$4&lt;0.002,100,MAX($CM$2/(Flows!BT43*BT$3*BT$4),1))</f>
        <v>3.32455736490976</v>
      </c>
      <c r="BU73" s="10" t="n">
        <f aca="false">IF(Flows!BU43*BU$3*BU$4&lt;0.002,100,MAX($CM$2/(Flows!BU43*BU$3*BU$4),1))</f>
        <v>33.2455736490976</v>
      </c>
      <c r="BV73" s="10" t="n">
        <f aca="false">IF(Flows!BV43*BV$3*BV$4&lt;0.002,100,MAX($CM$2/(Flows!BV43*BV$3*BV$4),1))</f>
        <v>332.455736490976</v>
      </c>
      <c r="BW73" s="10" t="n">
        <f aca="false">IF(Flows!BW43*BW$3*BW$4&lt;0.002,100,MAX($CM$2/(Flows!BW43*BW$3*BW$4),1))</f>
        <v>26.4715348624228</v>
      </c>
      <c r="BX73" s="10" t="n">
        <f aca="false">IF(Flows!BX43*BX$3*BX$4&lt;0.002,100,MAX($CM$2/(Flows!BX43*BX$3*BX$4),1))</f>
        <v>13.4518177061217</v>
      </c>
      <c r="BY73" s="10" t="n">
        <f aca="false">IF(Flows!BY43*BY$3*BY$4&lt;0.002,100,MAX($CM$2/(Flows!BY43*BY$3*BY$4),1))</f>
        <v>24.2835734473982</v>
      </c>
      <c r="BZ73" s="10" t="n">
        <f aca="false">IF(Flows!BZ43*BZ$3*BZ$4&lt;0.002,100,MAX($CM$2/(Flows!BZ43*BZ$3*BZ$4),1))</f>
        <v>32473.0535942302</v>
      </c>
      <c r="CA73" s="10" t="n">
        <f aca="false">IF(Flows!CA43*CA$3*CA$4&lt;0.002,100,MAX($CM$2/(Flows!CA43*CA$3*CA$4),1))</f>
        <v>14581.2169911961</v>
      </c>
      <c r="CB73" s="10" t="n">
        <f aca="false">IF(Flows!CB43*CB$3*CB$4&lt;0.002,100,MAX($CM$2/(Flows!CB43*CB$3*CB$4),1))</f>
        <v>23.4645649218532</v>
      </c>
      <c r="CC73" s="10" t="n">
        <f aca="false">IF(Flows!CC43*CC$3*CC$4&lt;0.002,100,MAX($CM$2/(Flows!CC43*CC$3*CC$4),1))</f>
        <v>7.78702195891005</v>
      </c>
      <c r="CD73" s="10" t="n">
        <f aca="false">IF(Flows!CD43*CD$3*CD$4&lt;0.002,100,MAX($CM$2/(Flows!CD43*CD$3*CD$4),1))</f>
        <v>65.171050856666</v>
      </c>
      <c r="CE73" s="10" t="n">
        <f aca="false">IF(Flows!CE43*CE$3*CE$4&lt;0.002,100,MAX($CM$2/(Flows!CE43*CE$3*CE$4),1))</f>
        <v>27.1541055803212</v>
      </c>
      <c r="CF73" s="10" t="n">
        <f aca="false">IF(Flows!CF43*CF$3*CF$4&lt;0.002,100,MAX($CM$2/(Flows!CF43*CF$3*CF$4),1))</f>
        <v>1</v>
      </c>
      <c r="CG73" s="10" t="n">
        <f aca="false">IF(Flows!CG43*CG$3*CG$4&lt;0.002,100,MAX($CM$2/(Flows!CG43*CG$3*CG$4),1))</f>
        <v>60.6676868669373</v>
      </c>
      <c r="CH73" s="10" t="n">
        <f aca="false">IF(Flows!CH43*CH$3*CH$4&lt;0.002,100,MAX($CM$2/(Flows!CH43*CH$3*CH$4),1))</f>
        <v>6049.29495589381</v>
      </c>
      <c r="CI73" s="10" t="n">
        <f aca="false">IF(Flows!CI43*CI$3*CI$4&lt;0.002,100,MAX($CM$2/(Flows!CI43*CI$3*CI$4),1))</f>
        <v>619.859448619089</v>
      </c>
      <c r="CJ73" s="10" t="n">
        <f aca="false">IF(Flows!CJ43*CJ$3*CJ$4&lt;0.002,100,MAX($CM$2/(Flows!CJ43*CJ$3*CJ$4),1))</f>
        <v>4781.59344802006</v>
      </c>
      <c r="CK73" s="10" t="n">
        <f aca="false">IF(Flows!CK43*CK$3*CK$4&lt;0.002,100,MAX($CM$2/(Flows!CK43*CK$3*CK$4),1))</f>
        <v>1192.72075732644</v>
      </c>
      <c r="CL73" s="7" t="s">
        <v>320</v>
      </c>
    </row>
    <row r="74" customFormat="false" ht="12.8" hidden="false" customHeight="false" outlineLevel="0" collapsed="false">
      <c r="A74" s="7" t="s">
        <v>150</v>
      </c>
      <c r="B74" s="7" t="s">
        <v>39</v>
      </c>
      <c r="C74" s="10" t="n">
        <f aca="false">IF(Flows!C44*C$3*C$4&lt;0.002,100,MAX($CM$2/(Flows!C44*C$3*C$4),1))</f>
        <v>50489.8941825208</v>
      </c>
      <c r="D74" s="10" t="n">
        <f aca="false">IF(Flows!D44*D$3*D$4&lt;0.002,100,MAX($CM$2/(Flows!D44*D$3*D$4),1))</f>
        <v>5.20465004239227</v>
      </c>
      <c r="E74" s="10" t="n">
        <f aca="false">IF(Flows!E44*E$3*E$4&lt;0.002,100,MAX($CM$2/(Flows!E44*E$3*E$4),1))</f>
        <v>9.3584646801742</v>
      </c>
      <c r="F74" s="10" t="n">
        <f aca="false">IF(Flows!F44*F$3*F$4&lt;0.002,100,MAX($CM$2/(Flows!F44*F$3*F$4),1))</f>
        <v>39.6472834298694</v>
      </c>
      <c r="G74" s="10" t="n">
        <f aca="false">IF(Flows!G44*G$3*G$4&lt;0.002,100,MAX($CM$2/(Flows!G44*G$3*G$4),1))</f>
        <v>15.2529914961298</v>
      </c>
      <c r="H74" s="10" t="n">
        <f aca="false">IF(Flows!H44*H$3*H$4&lt;0.002,100,MAX($CM$2/(Flows!H44*H$3*H$4),1))</f>
        <v>3923.66308746175</v>
      </c>
      <c r="I74" s="10" t="n">
        <f aca="false">IF(Flows!I44*I$3*I$4&lt;0.002,100,MAX($CM$2/(Flows!I44*I$3*I$4),1))</f>
        <v>5137.54865603531</v>
      </c>
      <c r="J74" s="10" t="n">
        <f aca="false">IF(Flows!J44*J$3*J$4&lt;0.002,100,MAX($CM$2/(Flows!J44*J$3*J$4),1))</f>
        <v>4028.40605986188</v>
      </c>
      <c r="K74" s="10" t="n">
        <f aca="false">IF(Flows!K44*K$3*K$4&lt;0.002,100,MAX($CM$2/(Flows!K44*K$3*K$4),1))</f>
        <v>31851.6275725857</v>
      </c>
      <c r="L74" s="10" t="n">
        <f aca="false">IF(Flows!L44*L$3*L$4&lt;0.002,100,MAX($CM$2/(Flows!L44*L$3*L$4),1))</f>
        <v>162115.107982687</v>
      </c>
      <c r="M74" s="10" t="n">
        <f aca="false">IF(Flows!M44*M$3*M$4&lt;0.002,100,MAX($CM$2/(Flows!M44*M$3*M$4),1))</f>
        <v>116684.070906521</v>
      </c>
      <c r="N74" s="10" t="n">
        <f aca="false">IF(Flows!N44*N$3*N$4&lt;0.002,100,MAX($CM$2/(Flows!N44*N$3*N$4),1))</f>
        <v>6.96415023539897</v>
      </c>
      <c r="O74" s="10" t="n">
        <f aca="false">IF(Flows!O44*O$3*O$4&lt;0.002,100,MAX($CM$2/(Flows!O44*O$3*O$4),1))</f>
        <v>4.16372003391381</v>
      </c>
      <c r="P74" s="10" t="n">
        <f aca="false">IF(Flows!P44*P$3*P$4&lt;0.002,100,MAX($CM$2/(Flows!P44*P$3*P$4),1))</f>
        <v>2.49823202034829</v>
      </c>
      <c r="Q74" s="10" t="n">
        <f aca="false">IF(Flows!Q44*Q$3*Q$4&lt;0.002,100,MAX($CM$2/(Flows!Q44*Q$3*Q$4),1))</f>
        <v>388.289069227846</v>
      </c>
      <c r="R74" s="10" t="n">
        <f aca="false">IF(Flows!R44*R$3*R$4&lt;0.002,100,MAX($CM$2/(Flows!R44*R$3*R$4),1))</f>
        <v>54.3416041494302</v>
      </c>
      <c r="S74" s="10" t="n">
        <f aca="false">IF(Flows!S44*S$3*S$4&lt;0.002,100,MAX($CM$2/(Flows!S44*S$3*S$4),1))</f>
        <v>1389.55806842303</v>
      </c>
      <c r="T74" s="10" t="n">
        <f aca="false">IF(Flows!T44*T$3*T$4&lt;0.002,100,MAX($CM$2/(Flows!T44*T$3*T$4),1))</f>
        <v>2486.21909301179</v>
      </c>
      <c r="U74" s="10" t="n">
        <f aca="false">IF(Flows!U44*U$3*U$4&lt;0.002,100,MAX($CM$2/(Flows!U44*U$3*U$4),1))</f>
        <v>7778.93806043472</v>
      </c>
      <c r="V74" s="10" t="n">
        <f aca="false">IF(Flows!V44*V$3*V$4&lt;0.002,100,MAX($CM$2/(Flows!V44*V$3*V$4),1))</f>
        <v>204.135738930609</v>
      </c>
      <c r="W74" s="10" t="n">
        <f aca="false">IF(Flows!W44*W$3*W$4&lt;0.002,100,MAX($CM$2/(Flows!W44*W$3*W$4),1))</f>
        <v>6.40048408767607</v>
      </c>
      <c r="X74" s="10" t="n">
        <f aca="false">IF(Flows!X44*X$3*X$4&lt;0.002,100,MAX($CM$2/(Flows!X44*X$3*X$4),1))</f>
        <v>4.47808437883422</v>
      </c>
      <c r="Y74" s="10" t="n">
        <f aca="false">IF(Flows!Y44*Y$3*Y$4&lt;0.002,100,MAX($CM$2/(Flows!Y44*Y$3*Y$4),1))</f>
        <v>810.575539913435</v>
      </c>
      <c r="Z74" s="10" t="n">
        <f aca="false">IF(Flows!Z44*Z$3*Z$4&lt;0.002,100,MAX($CM$2/(Flows!Z44*Z$3*Z$4),1))</f>
        <v>8881.72357058685</v>
      </c>
      <c r="AA74" s="10" t="n">
        <f aca="false">IF(Flows!AA44*AA$3*AA$4&lt;0.002,100,MAX($CM$2/(Flows!AA44*AA$3*AA$4),1))</f>
        <v>12048.7875289694</v>
      </c>
      <c r="AB74" s="10" t="n">
        <f aca="false">IF(Flows!AB44*AB$3*AB$4&lt;0.002,100,MAX($CM$2/(Flows!AB44*AB$3*AB$4),1))</f>
        <v>10029.1657481175</v>
      </c>
      <c r="AC74" s="10" t="n">
        <f aca="false">IF(Flows!AC44*AC$3*AC$4&lt;0.002,100,MAX($CM$2/(Flows!AC44*AC$3*AC$4),1))</f>
        <v>57868.5521941457</v>
      </c>
      <c r="AD74" s="10" t="n">
        <f aca="false">IF(Flows!AD44*AD$3*AD$4&lt;0.002,100,MAX($CM$2/(Flows!AD44*AD$3*AD$4),1))</f>
        <v>63175.9535548349</v>
      </c>
      <c r="AE74" s="10" t="n">
        <f aca="false">IF(Flows!AE44*AE$3*AE$4&lt;0.002,100,MAX($CM$2/(Flows!AE44*AE$3*AE$4),1))</f>
        <v>193081.108544179</v>
      </c>
      <c r="AF74" s="10" t="n">
        <f aca="false">IF(Flows!AF44*AF$3*AF$4&lt;0.002,100,MAX($CM$2/(Flows!AF44*AF$3*AF$4),1))</f>
        <v>1422.45648679493</v>
      </c>
      <c r="AG74" s="10" t="n">
        <f aca="false">IF(Flows!AG44*AG$3*AG$4&lt;0.002,100,MAX($CM$2/(Flows!AG44*AG$3*AG$4),1))</f>
        <v>419.100778212212</v>
      </c>
      <c r="AH74" s="10" t="n">
        <f aca="false">IF(Flows!AH44*AH$3*AH$4&lt;0.002,100,MAX($CM$2/(Flows!AH44*AH$3*AH$4),1))</f>
        <v>284.146927662992</v>
      </c>
      <c r="AI74" s="10" t="n">
        <f aca="false">IF(Flows!AI44*AI$3*AI$4&lt;0.002,100,MAX($CM$2/(Flows!AI44*AI$3*AI$4),1))</f>
        <v>1736.38809575404</v>
      </c>
      <c r="AJ74" s="10" t="n">
        <f aca="false">IF(Flows!AJ44*AJ$3*AJ$4&lt;0.002,100,MAX($CM$2/(Flows!AJ44*AJ$3*AJ$4),1))</f>
        <v>870.006653333217</v>
      </c>
      <c r="AK74" s="10" t="n">
        <f aca="false">IF(Flows!AK44*AK$3*AK$4&lt;0.002,100,MAX($CM$2/(Flows!AK44*AK$3*AK$4),1))</f>
        <v>291.646649215307</v>
      </c>
      <c r="AL74" s="10" t="n">
        <f aca="false">IF(Flows!AL44*AL$3*AL$4&lt;0.002,100,MAX($CM$2/(Flows!AL44*AL$3*AL$4),1))</f>
        <v>553.331389999127</v>
      </c>
      <c r="AM74" s="10" t="n">
        <f aca="false">IF(Flows!AM44*AM$3*AM$4&lt;0.002,100,MAX($CM$2/(Flows!AM44*AM$3*AM$4),1))</f>
        <v>667.188232705612</v>
      </c>
      <c r="AN74" s="10" t="n">
        <f aca="false">IF(Flows!AN44*AN$3*AN$4&lt;0.002,100,MAX($CM$2/(Flows!AN44*AN$3*AN$4),1))</f>
        <v>3007.53601909927</v>
      </c>
      <c r="AO74" s="10" t="n">
        <f aca="false">IF(Flows!AO44*AO$3*AO$4&lt;0.002,100,MAX($CM$2/(Flows!AO44*AO$3*AO$4),1))</f>
        <v>9431.69731206325</v>
      </c>
      <c r="AP74" s="10" t="n">
        <f aca="false">IF(Flows!AP44*AP$3*AP$4&lt;0.002,100,MAX($CM$2/(Flows!AP44*AP$3*AP$4),1))</f>
        <v>24696.0465112654</v>
      </c>
      <c r="AQ74" s="10" t="n">
        <f aca="false">IF(Flows!AQ44*AQ$3*AQ$4&lt;0.002,100,MAX($CM$2/(Flows!AQ44*AQ$3*AQ$4),1))</f>
        <v>9521.25775924942</v>
      </c>
      <c r="AR74" s="10" t="n">
        <f aca="false">IF(Flows!AR44*AR$3*AR$4&lt;0.002,100,MAX($CM$2/(Flows!AR44*AR$3*AR$4),1))</f>
        <v>18330.817953116</v>
      </c>
      <c r="AS74" s="10" t="n">
        <f aca="false">IF(Flows!AS44*AS$3*AS$4&lt;0.002,100,MAX($CM$2/(Flows!AS44*AS$3*AS$4),1))</f>
        <v>2533.38433469135</v>
      </c>
      <c r="AT74" s="10" t="n">
        <f aca="false">IF(Flows!AT44*AT$3*AT$4&lt;0.002,100,MAX($CM$2/(Flows!AT44*AT$3*AT$4),1))</f>
        <v>465.291965889239</v>
      </c>
      <c r="AU74" s="10" t="n">
        <f aca="false">IF(Flows!AU44*AU$3*AU$4&lt;0.002,100,MAX($CM$2/(Flows!AU44*AU$3*AU$4),1))</f>
        <v>975.894276771668</v>
      </c>
      <c r="AV74" s="10" t="n">
        <f aca="false">IF(Flows!AV44*AV$3*AV$4&lt;0.002,100,MAX($CM$2/(Flows!AV44*AV$3*AV$4),1))</f>
        <v>4524.59844970692</v>
      </c>
      <c r="AW74" s="10" t="n">
        <f aca="false">IF(Flows!AW44*AW$3*AW$4&lt;0.002,100,MAX($CM$2/(Flows!AW44*AW$3*AW$4),1))</f>
        <v>19.1680338825657</v>
      </c>
      <c r="AX74" s="10" t="n">
        <f aca="false">IF(Flows!AX44*AX$3*AX$4&lt;0.002,100,MAX($CM$2/(Flows!AX44*AX$3*AX$4),1))</f>
        <v>10104.7564112164</v>
      </c>
      <c r="AY74" s="10" t="n">
        <f aca="false">IF(Flows!AY44*AY$3*AY$4&lt;0.002,100,MAX($CM$2/(Flows!AY44*AY$3*AY$4),1))</f>
        <v>517.27812174491</v>
      </c>
      <c r="AZ74" s="10" t="n">
        <f aca="false">IF(Flows!AZ44*AZ$3*AZ$4&lt;0.002,100,MAX($CM$2/(Flows!AZ44*AZ$3*AZ$4),1))</f>
        <v>133.704496881572</v>
      </c>
      <c r="BA74" s="10" t="n">
        <f aca="false">IF(Flows!BA44*BA$3*BA$4&lt;0.002,100,MAX($CM$2/(Flows!BA44*BA$3*BA$4),1))</f>
        <v>8267.87050711704</v>
      </c>
      <c r="BB74" s="10" t="n">
        <f aca="false">IF(Flows!BB44*BB$3*BB$4&lt;0.002,100,MAX($CM$2/(Flows!BB44*BB$3*BB$4),1))</f>
        <v>2300.44842074808</v>
      </c>
      <c r="BC74" s="10" t="n">
        <f aca="false">IF(Flows!BC44*BC$3*BC$4&lt;0.002,100,MAX($CM$2/(Flows!BC44*BC$3*BC$4),1))</f>
        <v>773.785360269853</v>
      </c>
      <c r="BD74" s="10" t="n">
        <f aca="false">IF(Flows!BD44*BD$3*BD$4&lt;0.002,100,MAX($CM$2/(Flows!BD44*BD$3*BD$4),1))</f>
        <v>3055.99693027053</v>
      </c>
      <c r="BE74" s="10" t="n">
        <f aca="false">IF(Flows!BE44*BE$3*BE$4&lt;0.002,100,MAX($CM$2/(Flows!BE44*BE$3*BE$4),1))</f>
        <v>7267.18337692703</v>
      </c>
      <c r="BF74" s="10" t="n">
        <f aca="false">IF(Flows!BF44*BF$3*BF$4&lt;0.002,100,MAX($CM$2/(Flows!BF44*BF$3*BF$4),1))</f>
        <v>535.519808306575</v>
      </c>
      <c r="BG74" s="10" t="n">
        <f aca="false">IF(Flows!BG44*BG$3*BG$4&lt;0.002,100,MAX($CM$2/(Flows!BG44*BG$3*BG$4),1))</f>
        <v>430.788846157779</v>
      </c>
      <c r="BH74" s="10" t="n">
        <f aca="false">IF(Flows!BH44*BH$3*BH$4&lt;0.002,100,MAX($CM$2/(Flows!BH44*BH$3*BH$4),1))</f>
        <v>215.39442307889</v>
      </c>
      <c r="BI74" s="10" t="n">
        <f aca="false">IF(Flows!BI44*BI$3*BI$4&lt;0.002,100,MAX($CM$2/(Flows!BI44*BI$3*BI$4),1))</f>
        <v>161.545817309167</v>
      </c>
      <c r="BJ74" s="10" t="n">
        <f aca="false">IF(Flows!BJ44*BJ$3*BJ$4&lt;0.002,100,MAX($CM$2/(Flows!BJ44*BJ$3*BJ$4),1))</f>
        <v>2.84826868061241</v>
      </c>
      <c r="BK74" s="10" t="n">
        <f aca="false">IF(Flows!BK44*BK$3*BK$4&lt;0.002,100,MAX($CM$2/(Flows!BK44*BK$3*BK$4),1))</f>
        <v>323.091634618334</v>
      </c>
      <c r="BL74" s="10" t="n">
        <f aca="false">IF(Flows!BL44*BL$3*BL$4&lt;0.002,100,MAX($CM$2/(Flows!BL44*BL$3*BL$4),1))</f>
        <v>107.188848978132</v>
      </c>
      <c r="BM74" s="10" t="n">
        <f aca="false">IF(Flows!BM44*BM$3*BM$4&lt;0.002,100,MAX($CM$2/(Flows!BM44*BM$3*BM$4),1))</f>
        <v>34.8758067160211</v>
      </c>
      <c r="BN74" s="10" t="n">
        <f aca="false">IF(Flows!BN44*BN$3*BN$4&lt;0.002,100,MAX($CM$2/(Flows!BN44*BN$3*BN$4),1))</f>
        <v>1570931.52409611</v>
      </c>
      <c r="BO74" s="10" t="n">
        <f aca="false">IF(Flows!BO44*BO$3*BO$4&lt;0.002,100,MAX($CM$2/(Flows!BO44*BO$3*BO$4),1))</f>
        <v>30.4462477161134</v>
      </c>
      <c r="BP74" s="10" t="n">
        <f aca="false">IF(Flows!BP44*BP$3*BP$4&lt;0.002,100,MAX($CM$2/(Flows!BP44*BP$3*BP$4),1))</f>
        <v>51.4374684773937</v>
      </c>
      <c r="BQ74" s="10" t="n">
        <f aca="false">IF(Flows!BQ44*BQ$3*BQ$4&lt;0.002,100,MAX($CM$2/(Flows!BQ44*BQ$3*BQ$4),1))</f>
        <v>2416817.72937863</v>
      </c>
      <c r="BR74" s="10" t="n">
        <f aca="false">IF(Flows!BR44*BR$3*BR$4&lt;0.002,100,MAX($CM$2/(Flows!BR44*BR$3*BR$4),1))</f>
        <v>913.387290333229</v>
      </c>
      <c r="BS74" s="10" t="n">
        <f aca="false">IF(Flows!BS44*BS$3*BS$4&lt;0.002,100,MAX($CM$2/(Flows!BS44*BS$3*BS$4),1))</f>
        <v>9133.87290333229</v>
      </c>
      <c r="BT74" s="10" t="n">
        <f aca="false">IF(Flows!BT44*BT$3*BT$4&lt;0.002,100,MAX($CM$2/(Flows!BT44*BT$3*BT$4),1))</f>
        <v>4.79184411549584</v>
      </c>
      <c r="BU74" s="10" t="n">
        <f aca="false">IF(Flows!BU44*BU$3*BU$4&lt;0.002,100,MAX($CM$2/(Flows!BU44*BU$3*BU$4),1))</f>
        <v>47.9184411549583</v>
      </c>
      <c r="BV74" s="10" t="n">
        <f aca="false">IF(Flows!BV44*BV$3*BV$4&lt;0.002,100,MAX($CM$2/(Flows!BV44*BV$3*BV$4),1))</f>
        <v>479.184411549583</v>
      </c>
      <c r="BW74" s="10" t="n">
        <f aca="false">IF(Flows!BW44*BW$3*BW$4&lt;0.002,100,MAX($CM$2/(Flows!BW44*BW$3*BW$4),1))</f>
        <v>28.0753940405226</v>
      </c>
      <c r="BX74" s="10" t="n">
        <f aca="false">IF(Flows!BX44*BX$3*BX$4&lt;0.002,100,MAX($CM$2/(Flows!BX44*BX$3*BX$4),1))</f>
        <v>12.0595195953448</v>
      </c>
      <c r="BY74" s="10" t="n">
        <f aca="false">IF(Flows!BY44*BY$3*BY$4&lt;0.002,100,MAX($CM$2/(Flows!BY44*BY$3*BY$4),1))</f>
        <v>99.6149273648016</v>
      </c>
      <c r="BZ74" s="10" t="n">
        <f aca="false">IF(Flows!BZ44*BZ$3*BZ$4&lt;0.002,100,MAX($CM$2/(Flows!BZ44*BZ$3*BZ$4),1))</f>
        <v>38090.9177282748</v>
      </c>
      <c r="CA74" s="10" t="n">
        <f aca="false">IF(Flows!CA44*CA$3*CA$4&lt;0.002,100,MAX($CM$2/(Flows!CA44*CA$3*CA$4),1))</f>
        <v>41565.1314811295</v>
      </c>
      <c r="CB74" s="10" t="n">
        <f aca="false">IF(Flows!CB44*CB$3*CB$4&lt;0.002,100,MAX($CM$2/(Flows!CB44*CB$3*CB$4),1))</f>
        <v>80.3327206814068</v>
      </c>
      <c r="CC74" s="10" t="n">
        <f aca="false">IF(Flows!CC44*CC$3*CC$4&lt;0.002,100,MAX($CM$2/(Flows!CC44*CC$3*CC$4),1))</f>
        <v>103.15717017502</v>
      </c>
      <c r="CD74" s="10" t="n">
        <f aca="false">IF(Flows!CD44*CD$3*CD$4&lt;0.002,100,MAX($CM$2/(Flows!CD44*CD$3*CD$4),1))</f>
        <v>95.3766738188712</v>
      </c>
      <c r="CE74" s="10" t="n">
        <f aca="false">IF(Flows!CE44*CE$3*CE$4&lt;0.002,100,MAX($CM$2/(Flows!CE44*CE$3*CE$4),1))</f>
        <v>14.3317365819199</v>
      </c>
      <c r="CF74" s="10" t="n">
        <f aca="false">IF(Flows!CF44*CF$3*CF$4&lt;0.002,100,MAX($CM$2/(Flows!CF44*CF$3*CF$4),1))</f>
        <v>1.05457409232062</v>
      </c>
      <c r="CG74" s="10" t="n">
        <f aca="false">IF(Flows!CG44*CG$3*CG$4&lt;0.002,100,MAX($CM$2/(Flows!CG44*CG$3*CG$4),1))</f>
        <v>18.6561343510642</v>
      </c>
      <c r="CH74" s="10" t="n">
        <f aca="false">IF(Flows!CH44*CH$3*CH$4&lt;0.002,100,MAX($CM$2/(Flows!CH44*CH$3*CH$4),1))</f>
        <v>55.9417798621615</v>
      </c>
      <c r="CI74" s="10" t="n">
        <f aca="false">IF(Flows!CI44*CI$3*CI$4&lt;0.002,100,MAX($CM$2/(Flows!CI44*CI$3*CI$4),1))</f>
        <v>177.902315178758</v>
      </c>
      <c r="CJ74" s="10" t="n">
        <f aca="false">IF(Flows!CJ44*CJ$3*CJ$4&lt;0.002,100,MAX($CM$2/(Flows!CJ44*CJ$3*CJ$4),1))</f>
        <v>2736.9299099033</v>
      </c>
      <c r="CK74" s="10" t="n">
        <f aca="false">IF(Flows!CK44*CK$3*CK$4&lt;0.002,100,MAX($CM$2/(Flows!CK44*CK$3*CK$4),1))</f>
        <v>599.388641967142</v>
      </c>
      <c r="CL74" s="7" t="s">
        <v>320</v>
      </c>
    </row>
    <row r="75" customFormat="false" ht="12.8" hidden="false" customHeight="false" outlineLevel="0" collapsed="false">
      <c r="A75" s="7" t="s">
        <v>151</v>
      </c>
      <c r="B75" s="7" t="s">
        <v>39</v>
      </c>
      <c r="C75" s="10" t="n">
        <f aca="false">IF(Flows!C45*C$3*C$4&lt;0.002,100,MAX($CM$2/(Flows!C45*C$3*C$4),1))</f>
        <v>17444.8704621687</v>
      </c>
      <c r="D75" s="10" t="n">
        <f aca="false">IF(Flows!D45*D$3*D$4&lt;0.002,100,MAX($CM$2/(Flows!D45*D$3*D$4),1))</f>
        <v>2.83183440257926</v>
      </c>
      <c r="E75" s="10" t="n">
        <f aca="false">IF(Flows!E45*E$3*E$4&lt;0.002,100,MAX($CM$2/(Flows!E45*E$3*E$4),1))</f>
        <v>4.71156231165411</v>
      </c>
      <c r="F75" s="10" t="n">
        <f aca="false">IF(Flows!F45*F$3*F$4&lt;0.002,100,MAX($CM$2/(Flows!F45*F$3*F$4),1))</f>
        <v>8.54583583721452</v>
      </c>
      <c r="G75" s="10" t="n">
        <f aca="false">IF(Flows!G45*G$3*G$4&lt;0.002,100,MAX($CM$2/(Flows!G45*G$3*G$4),1))</f>
        <v>4.16579914568661</v>
      </c>
      <c r="H75" s="10" t="n">
        <f aca="false">IF(Flows!H45*H$3*H$4&lt;0.002,100,MAX($CM$2/(Flows!H45*H$3*H$4),1))</f>
        <v>1393.99210618491</v>
      </c>
      <c r="I75" s="10" t="n">
        <f aca="false">IF(Flows!I45*I$3*I$4&lt;0.002,100,MAX($CM$2/(Flows!I45*I$3*I$4),1))</f>
        <v>2180.97272326563</v>
      </c>
      <c r="J75" s="10" t="n">
        <f aca="false">IF(Flows!J45*J$3*J$4&lt;0.002,100,MAX($CM$2/(Flows!J45*J$3*J$4),1))</f>
        <v>2234.92893858324</v>
      </c>
      <c r="K75" s="10" t="n">
        <f aca="false">IF(Flows!K45*K$3*K$4&lt;0.002,100,MAX($CM$2/(Flows!K45*K$3*K$4),1))</f>
        <v>11331.0728237544</v>
      </c>
      <c r="L75" s="10" t="n">
        <f aca="false">IF(Flows!L45*L$3*L$4&lt;0.002,100,MAX($CM$2/(Flows!L45*L$3*L$4),1))</f>
        <v>64767.1111895448</v>
      </c>
      <c r="M75" s="10" t="n">
        <f aca="false">IF(Flows!M45*M$3*M$4&lt;0.002,100,MAX($CM$2/(Flows!M45*M$3*M$4),1))</f>
        <v>47691.5602216074</v>
      </c>
      <c r="N75" s="10" t="n">
        <f aca="false">IF(Flows!N45*N$3*N$4&lt;0.002,100,MAX($CM$2/(Flows!N45*N$3*N$4),1))</f>
        <v>3.27285304398364</v>
      </c>
      <c r="O75" s="10" t="n">
        <f aca="false">IF(Flows!O45*O$3*O$4&lt;0.002,100,MAX($CM$2/(Flows!O45*O$3*O$4),1))</f>
        <v>2.2654675220634</v>
      </c>
      <c r="P75" s="10" t="n">
        <f aca="false">IF(Flows!P45*P$3*P$4&lt;0.002,100,MAX($CM$2/(Flows!P45*P$3*P$4),1))</f>
        <v>1.35928051323804</v>
      </c>
      <c r="Q75" s="10" t="n">
        <f aca="false">IF(Flows!Q45*Q$3*Q$4&lt;0.002,100,MAX($CM$2/(Flows!Q45*Q$3*Q$4),1))</f>
        <v>252.147521792679</v>
      </c>
      <c r="R75" s="10" t="n">
        <f aca="false">IF(Flows!R45*R$3*R$4&lt;0.002,100,MAX($CM$2/(Flows!R45*R$3*R$4),1))</f>
        <v>50.9443658555224</v>
      </c>
      <c r="S75" s="10" t="n">
        <f aca="false">IF(Flows!S45*S$3*S$4&lt;0.002,100,MAX($CM$2/(Flows!S45*S$3*S$4),1))</f>
        <v>555.146667338954</v>
      </c>
      <c r="T75" s="10" t="n">
        <f aca="false">IF(Flows!T45*T$3*T$4&lt;0.002,100,MAX($CM$2/(Flows!T45*T$3*T$4),1))</f>
        <v>993.277125385875</v>
      </c>
      <c r="U75" s="10" t="n">
        <f aca="false">IF(Flows!U45*U$3*U$4&lt;0.002,100,MAX($CM$2/(Flows!U45*U$3*U$4),1))</f>
        <v>3179.43734810716</v>
      </c>
      <c r="V75" s="10" t="n">
        <f aca="false">IF(Flows!V45*V$3*V$4&lt;0.002,100,MAX($CM$2/(Flows!V45*V$3*V$4),1))</f>
        <v>119.679286138428</v>
      </c>
      <c r="W75" s="10" t="n">
        <f aca="false">IF(Flows!W45*W$3*W$4&lt;0.002,100,MAX($CM$2/(Flows!W45*W$3*W$4),1))</f>
        <v>105.285208425457</v>
      </c>
      <c r="X75" s="10" t="n">
        <f aca="false">IF(Flows!X45*X$3*X$4&lt;0.002,100,MAX($CM$2/(Flows!X45*X$3*X$4),1))</f>
        <v>13.631240269997</v>
      </c>
      <c r="Y75" s="10" t="n">
        <f aca="false">IF(Flows!Y45*Y$3*Y$4&lt;0.002,100,MAX($CM$2/(Flows!Y45*Y$3*Y$4),1))</f>
        <v>323.835555947724</v>
      </c>
      <c r="Z75" s="10" t="n">
        <f aca="false">IF(Flows!Z45*Z$3*Z$4&lt;0.002,100,MAX($CM$2/(Flows!Z45*Z$3*Z$4),1))</f>
        <v>4086.27896919416</v>
      </c>
      <c r="AA75" s="10" t="n">
        <f aca="false">IF(Flows!AA45*AA$3*AA$4&lt;0.002,100,MAX($CM$2/(Flows!AA45*AA$3*AA$4),1))</f>
        <v>4736.65073370992</v>
      </c>
      <c r="AB75" s="10" t="n">
        <f aca="false">IF(Flows!AB45*AB$3*AB$4&lt;0.002,100,MAX($CM$2/(Flows!AB45*AB$3*AB$4),1))</f>
        <v>5049.22986526493</v>
      </c>
      <c r="AC75" s="10" t="n">
        <f aca="false">IF(Flows!AC45*AC$3*AC$4&lt;0.002,100,MAX($CM$2/(Flows!AC45*AC$3*AC$4),1))</f>
        <v>25268.4646066285</v>
      </c>
      <c r="AD75" s="10" t="n">
        <f aca="false">IF(Flows!AD45*AD$3*AD$4&lt;0.002,100,MAX($CM$2/(Flows!AD45*AD$3*AD$4),1))</f>
        <v>31806.2259082255</v>
      </c>
      <c r="AE75" s="10" t="n">
        <f aca="false">IF(Flows!AE45*AE$3*AE$4&lt;0.002,100,MAX($CM$2/(Flows!AE45*AE$3*AE$4),1))</f>
        <v>168095.576156509</v>
      </c>
      <c r="AF75" s="10" t="n">
        <f aca="false">IF(Flows!AF45*AF$3*AF$4&lt;0.002,100,MAX($CM$2/(Flows!AF45*AF$3*AF$4),1))</f>
        <v>392.100720288506</v>
      </c>
      <c r="AG75" s="10" t="n">
        <f aca="false">IF(Flows!AG45*AG$3*AG$4&lt;0.002,100,MAX($CM$2/(Flows!AG45*AG$3*AG$4),1))</f>
        <v>771.250225899389</v>
      </c>
      <c r="AH75" s="10" t="n">
        <f aca="false">IF(Flows!AH45*AH$3*AH$4&lt;0.002,100,MAX($CM$2/(Flows!AH45*AH$3*AH$4),1))</f>
        <v>579.628121895298</v>
      </c>
      <c r="AI75" s="10" t="n">
        <f aca="false">IF(Flows!AI45*AI$3*AI$4&lt;0.002,100,MAX($CM$2/(Flows!AI45*AI$3*AI$4),1))</f>
        <v>952.216933859648</v>
      </c>
      <c r="AJ75" s="10" t="n">
        <f aca="false">IF(Flows!AJ45*AJ$3*AJ$4&lt;0.002,100,MAX($CM$2/(Flows!AJ45*AJ$3*AJ$4),1))</f>
        <v>1219.00504061243</v>
      </c>
      <c r="AK75" s="10" t="n">
        <f aca="false">IF(Flows!AK45*AK$3*AK$4&lt;0.002,100,MAX($CM$2/(Flows!AK45*AK$3*AK$4),1))</f>
        <v>425.011841424643</v>
      </c>
      <c r="AL75" s="10" t="n">
        <f aca="false">IF(Flows!AL45*AL$3*AL$4&lt;0.002,100,MAX($CM$2/(Flows!AL45*AL$3*AL$4),1))</f>
        <v>438.10019312879</v>
      </c>
      <c r="AM75" s="10" t="n">
        <f aca="false">IF(Flows!AM45*AM$3*AM$4&lt;0.002,100,MAX($CM$2/(Flows!AM45*AM$3*AM$4),1))</f>
        <v>693.298458119106</v>
      </c>
      <c r="AN75" s="10" t="n">
        <f aca="false">IF(Flows!AN45*AN$3*AN$4&lt;0.002,100,MAX($CM$2/(Flows!AN45*AN$3*AN$4),1))</f>
        <v>5135.94946741253</v>
      </c>
      <c r="AO75" s="10" t="n">
        <f aca="false">IF(Flows!AO45*AO$3*AO$4&lt;0.002,100,MAX($CM$2/(Flows!AO45*AO$3*AO$4),1))</f>
        <v>13545.3384559606</v>
      </c>
      <c r="AP75" s="10" t="n">
        <f aca="false">IF(Flows!AP45*AP$3*AP$4&lt;0.002,100,MAX($CM$2/(Flows!AP45*AP$3*AP$4),1))</f>
        <v>158252.559392946</v>
      </c>
      <c r="AQ75" s="10" t="n">
        <f aca="false">IF(Flows!AQ45*AQ$3*AQ$4&lt;0.002,100,MAX($CM$2/(Flows!AQ45*AQ$3*AQ$4),1))</f>
        <v>23466.6228267475</v>
      </c>
      <c r="AR75" s="10" t="n">
        <f aca="false">IF(Flows!AR45*AR$3*AR$4&lt;0.002,100,MAX($CM$2/(Flows!AR45*AR$3*AR$4),1))</f>
        <v>6092.5980909954</v>
      </c>
      <c r="AS75" s="10" t="n">
        <f aca="false">IF(Flows!AS45*AS$3*AS$4&lt;0.002,100,MAX($CM$2/(Flows!AS45*AS$3*AS$4),1))</f>
        <v>2082.11763715801</v>
      </c>
      <c r="AT75" s="10" t="n">
        <f aca="false">IF(Flows!AT45*AT$3*AT$4&lt;0.002,100,MAX($CM$2/(Flows!AT45*AT$3*AT$4),1))</f>
        <v>261.317538941124</v>
      </c>
      <c r="AU75" s="10" t="n">
        <f aca="false">IF(Flows!AU45*AU$3*AU$4&lt;0.002,100,MAX($CM$2/(Flows!AU45*AU$3*AU$4),1))</f>
        <v>303.533967282533</v>
      </c>
      <c r="AV75" s="10" t="n">
        <f aca="false">IF(Flows!AV45*AV$3*AV$4&lt;0.002,100,MAX($CM$2/(Flows!AV45*AV$3*AV$4),1))</f>
        <v>4377.67338699545</v>
      </c>
      <c r="AW75" s="10" t="n">
        <f aca="false">IF(Flows!AW45*AW$3*AW$4&lt;0.002,100,MAX($CM$2/(Flows!AW45*AW$3*AW$4),1))</f>
        <v>8.06637170988247</v>
      </c>
      <c r="AX75" s="10" t="n">
        <f aca="false">IF(Flows!AX45*AX$3*AX$4&lt;0.002,100,MAX($CM$2/(Flows!AX45*AX$3*AX$4),1))</f>
        <v>3798.66155901015</v>
      </c>
      <c r="AY75" s="10" t="n">
        <f aca="false">IF(Flows!AY45*AY$3*AY$4&lt;0.002,100,MAX($CM$2/(Flows!AY45*AY$3*AY$4),1))</f>
        <v>247.301676632734</v>
      </c>
      <c r="AZ75" s="10" t="n">
        <f aca="false">IF(Flows!AZ45*AZ$3*AZ$4&lt;0.002,100,MAX($CM$2/(Flows!AZ45*AZ$3*AZ$4),1))</f>
        <v>72.1719868733535</v>
      </c>
      <c r="BA75" s="10" t="n">
        <f aca="false">IF(Flows!BA45*BA$3*BA$4&lt;0.002,100,MAX($CM$2/(Flows!BA45*BA$3*BA$4),1))</f>
        <v>3303.12267066679</v>
      </c>
      <c r="BB75" s="10" t="n">
        <f aca="false">IF(Flows!BB45*BB$3*BB$4&lt;0.002,100,MAX($CM$2/(Flows!BB45*BB$3*BB$4),1))</f>
        <v>2864.64460816908</v>
      </c>
      <c r="BC75" s="10" t="n">
        <f aca="false">IF(Flows!BC45*BC$3*BC$4&lt;0.002,100,MAX($CM$2/(Flows!BC45*BC$3*BC$4),1))</f>
        <v>1057.30887564179</v>
      </c>
      <c r="BD75" s="10" t="n">
        <f aca="false">IF(Flows!BD45*BD$3*BD$4&lt;0.002,100,MAX($CM$2/(Flows!BD45*BD$3*BD$4),1))</f>
        <v>31621.6688277775</v>
      </c>
      <c r="BE75" s="10" t="n">
        <f aca="false">IF(Flows!BE45*BE$3*BE$4&lt;0.002,100,MAX($CM$2/(Flows!BE45*BE$3*BE$4),1))</f>
        <v>10137.7674173774</v>
      </c>
      <c r="BF75" s="10" t="n">
        <f aca="false">IF(Flows!BF45*BF$3*BF$4&lt;0.002,100,MAX($CM$2/(Flows!BF45*BF$3*BF$4),1))</f>
        <v>440.91115756143</v>
      </c>
      <c r="BG75" s="10" t="n">
        <f aca="false">IF(Flows!BG45*BG$3*BG$4&lt;0.002,100,MAX($CM$2/(Flows!BG45*BG$3*BG$4),1))</f>
        <v>216.882636330062</v>
      </c>
      <c r="BH75" s="10" t="n">
        <f aca="false">IF(Flows!BH45*BH$3*BH$4&lt;0.002,100,MAX($CM$2/(Flows!BH45*BH$3*BH$4),1))</f>
        <v>108.441318165031</v>
      </c>
      <c r="BI75" s="10" t="n">
        <f aca="false">IF(Flows!BI45*BI$3*BI$4&lt;0.002,100,MAX($CM$2/(Flows!BI45*BI$3*BI$4),1))</f>
        <v>81.3309886237732</v>
      </c>
      <c r="BJ75" s="10" t="n">
        <f aca="false">IF(Flows!BJ45*BJ$3*BJ$4&lt;0.002,100,MAX($CM$2/(Flows!BJ45*BJ$3*BJ$4),1))</f>
        <v>9.4427515253456</v>
      </c>
      <c r="BK75" s="10" t="n">
        <f aca="false">IF(Flows!BK45*BK$3*BK$4&lt;0.002,100,MAX($CM$2/(Flows!BK45*BK$3*BK$4),1))</f>
        <v>162.661977247546</v>
      </c>
      <c r="BL75" s="10" t="n">
        <f aca="false">IF(Flows!BL45*BL$3*BL$4&lt;0.002,100,MAX($CM$2/(Flows!BL45*BL$3*BL$4),1))</f>
        <v>147.71931137382</v>
      </c>
      <c r="BM75" s="10" t="n">
        <f aca="false">IF(Flows!BM45*BM$3*BM$4&lt;0.002,100,MAX($CM$2/(Flows!BM45*BM$3*BM$4),1))</f>
        <v>112.473431821518</v>
      </c>
      <c r="BN75" s="10" t="n">
        <f aca="false">IF(Flows!BN45*BN$3*BN$4&lt;0.002,100,MAX($CM$2/(Flows!BN45*BN$3*BN$4),1))</f>
        <v>233477.122596519</v>
      </c>
      <c r="BO75" s="10" t="n">
        <f aca="false">IF(Flows!BO45*BO$3*BO$4&lt;0.002,100,MAX($CM$2/(Flows!BO45*BO$3*BO$4),1))</f>
        <v>7.73859587681165</v>
      </c>
      <c r="BP75" s="10" t="n">
        <f aca="false">IF(Flows!BP45*BP$3*BP$4&lt;0.002,100,MAX($CM$2/(Flows!BP45*BP$3*BP$4),1))</f>
        <v>22.7343718279628</v>
      </c>
      <c r="BQ75" s="10" t="n">
        <f aca="false">IF(Flows!BQ45*BQ$3*BQ$4&lt;0.002,100,MAX($CM$2/(Flows!BQ45*BQ$3*BQ$4),1))</f>
        <v>359195.573225413</v>
      </c>
      <c r="BR75" s="10" t="n">
        <f aca="false">IF(Flows!BR45*BR$3*BR$4&lt;0.002,100,MAX($CM$2/(Flows!BR45*BR$3*BR$4),1))</f>
        <v>232.15779166676</v>
      </c>
      <c r="BS75" s="10" t="n">
        <f aca="false">IF(Flows!BS45*BS$3*BS$4&lt;0.002,100,MAX($CM$2/(Flows!BS45*BS$3*BS$4),1))</f>
        <v>2321.5779166676</v>
      </c>
      <c r="BT75" s="10" t="n">
        <f aca="false">IF(Flows!BT45*BT$3*BT$4&lt;0.002,100,MAX($CM$2/(Flows!BT45*BT$3*BT$4),1))</f>
        <v>1.09653566322249</v>
      </c>
      <c r="BU75" s="10" t="n">
        <f aca="false">IF(Flows!BU45*BU$3*BU$4&lt;0.002,100,MAX($CM$2/(Flows!BU45*BU$3*BU$4),1))</f>
        <v>10.9653566322249</v>
      </c>
      <c r="BV75" s="10" t="n">
        <f aca="false">IF(Flows!BV45*BV$3*BV$4&lt;0.002,100,MAX($CM$2/(Flows!BV45*BV$3*BV$4),1))</f>
        <v>109.653566322249</v>
      </c>
      <c r="BW75" s="10" t="n">
        <f aca="false">IF(Flows!BW45*BW$3*BW$4&lt;0.002,100,MAX($CM$2/(Flows!BW45*BW$3*BW$4),1))</f>
        <v>14.1346869349623</v>
      </c>
      <c r="BX75" s="10" t="n">
        <f aca="false">IF(Flows!BX45*BX$3*BX$4&lt;0.002,100,MAX($CM$2/(Flows!BX45*BX$3*BX$4),1))</f>
        <v>80.9738756334594</v>
      </c>
      <c r="BY75" s="10" t="n">
        <f aca="false">IF(Flows!BY45*BY$3*BY$4&lt;0.002,100,MAX($CM$2/(Flows!BY45*BY$3*BY$4),1))</f>
        <v>20.470324349457</v>
      </c>
      <c r="BZ75" s="10" t="n">
        <f aca="false">IF(Flows!BZ45*BZ$3*BZ$4&lt;0.002,100,MAX($CM$2/(Flows!BZ45*BZ$3*BZ$4),1))</f>
        <v>137384.45457181</v>
      </c>
      <c r="CA75" s="10" t="n">
        <f aca="false">IF(Flows!CA45*CA$3*CA$4&lt;0.002,100,MAX($CM$2/(Flows!CA45*CA$3*CA$4),1))</f>
        <v>18382.1178780917</v>
      </c>
      <c r="CB75" s="10" t="n">
        <f aca="false">IF(Flows!CB45*CB$3*CB$4&lt;0.002,100,MAX($CM$2/(Flows!CB45*CB$3*CB$4),1))</f>
        <v>27.1655749542546</v>
      </c>
      <c r="CC75" s="10" t="n">
        <f aca="false">IF(Flows!CC45*CC$3*CC$4&lt;0.002,100,MAX($CM$2/(Flows!CC45*CC$3*CC$4),1))</f>
        <v>11.4416213186266</v>
      </c>
      <c r="CD75" s="10" t="n">
        <f aca="false">IF(Flows!CD45*CD$3*CD$4&lt;0.002,100,MAX($CM$2/(Flows!CD45*CD$3*CD$4),1))</f>
        <v>49.392840616831</v>
      </c>
      <c r="CE75" s="10" t="n">
        <f aca="false">IF(Flows!CE45*CE$3*CE$4&lt;0.002,100,MAX($CM$2/(Flows!CE45*CE$3*CE$4),1))</f>
        <v>57.5680041937696</v>
      </c>
      <c r="CF75" s="10" t="n">
        <f aca="false">IF(Flows!CF45*CF$3*CF$4&lt;0.002,100,MAX($CM$2/(Flows!CF45*CF$3*CF$4),1))</f>
        <v>1</v>
      </c>
      <c r="CG75" s="10" t="n">
        <f aca="false">IF(Flows!CG45*CG$3*CG$4&lt;0.002,100,MAX($CM$2/(Flows!CG45*CG$3*CG$4),1))</f>
        <v>63.0720530969842</v>
      </c>
      <c r="CH75" s="10" t="n">
        <f aca="false">IF(Flows!CH45*CH$3*CH$4&lt;0.002,100,MAX($CM$2/(Flows!CH45*CH$3*CH$4),1))</f>
        <v>946.552044789917</v>
      </c>
      <c r="CI75" s="10" t="n">
        <f aca="false">IF(Flows!CI45*CI$3*CI$4&lt;0.002,100,MAX($CM$2/(Flows!CI45*CI$3*CI$4),1))</f>
        <v>231.119097122669</v>
      </c>
      <c r="CJ75" s="10" t="n">
        <f aca="false">IF(Flows!CJ45*CJ$3*CJ$4&lt;0.002,100,MAX($CM$2/(Flows!CJ45*CJ$3*CJ$4),1))</f>
        <v>1346.72693753189</v>
      </c>
      <c r="CK75" s="10" t="n">
        <f aca="false">IF(Flows!CK45*CK$3*CK$4&lt;0.002,100,MAX($CM$2/(Flows!CK45*CK$3*CK$4),1))</f>
        <v>5447.07186881892</v>
      </c>
      <c r="CL75" s="7" t="s">
        <v>320</v>
      </c>
    </row>
    <row r="76" s="18" customFormat="true" ht="12.8" hidden="false" customHeight="false" outlineLevel="0" collapsed="false">
      <c r="A76" s="22" t="s">
        <v>152</v>
      </c>
      <c r="B76" s="22" t="s">
        <v>39</v>
      </c>
      <c r="C76" s="26" t="n">
        <f aca="false">IF(Flows!C46*C$3*C$4&lt;0.002,100,MAX($CM$2/(Flows!C46*C$3*C$4),1))</f>
        <v>18356.6041205535</v>
      </c>
      <c r="D76" s="26" t="n">
        <f aca="false">IF(Flows!D46*D$3*D$4&lt;0.002,100,MAX($CM$2/(Flows!D46*D$3*D$4),1))</f>
        <v>2.56372196728896</v>
      </c>
      <c r="E76" s="26" t="n">
        <f aca="false">IF(Flows!E46*E$3*E$4&lt;0.002,100,MAX($CM$2/(Flows!E46*E$3*E$4),1))</f>
        <v>4.92160959109378</v>
      </c>
      <c r="F76" s="26" t="n">
        <f aca="false">IF(Flows!F46*F$3*F$4&lt;0.002,100,MAX($CM$2/(Flows!F46*F$3*F$4),1))</f>
        <v>15.5741760858728</v>
      </c>
      <c r="G76" s="26" t="n">
        <f aca="false">IF(Flows!G46*G$3*G$4&lt;0.002,100,MAX($CM$2/(Flows!G46*G$3*G$4),1))</f>
        <v>121.156440689532</v>
      </c>
      <c r="H76" s="26" t="n">
        <f aca="false">IF(Flows!H46*H$3*H$4&lt;0.002,100,MAX($CM$2/(Flows!H46*H$3*H$4),1))</f>
        <v>981.252705878326</v>
      </c>
      <c r="I76" s="26" t="n">
        <f aca="false">IF(Flows!I46*I$3*I$4&lt;0.002,100,MAX($CM$2/(Flows!I46*I$3*I$4),1))</f>
        <v>1706.34584687409</v>
      </c>
      <c r="J76" s="26" t="n">
        <f aca="false">IF(Flows!J46*J$3*J$4&lt;0.002,100,MAX($CM$2/(Flows!J46*J$3*J$4),1))</f>
        <v>8829.43554770532</v>
      </c>
      <c r="K76" s="26" t="n">
        <f aca="false">IF(Flows!K46*K$3*K$4&lt;0.002,100,MAX($CM$2/(Flows!K46*K$3*K$4),1))</f>
        <v>11454.4757887486</v>
      </c>
      <c r="L76" s="26" t="n">
        <f aca="false">IF(Flows!L46*L$3*L$4&lt;0.002,100,MAX($CM$2/(Flows!L46*L$3*L$4),1))</f>
        <v>66091.1246700844</v>
      </c>
      <c r="M76" s="26" t="n">
        <f aca="false">IF(Flows!M46*M$3*M$4&lt;0.002,100,MAX($CM$2/(Flows!M46*M$3*M$4),1))</f>
        <v>48763.4710583281</v>
      </c>
      <c r="N76" s="26" t="n">
        <f aca="false">IF(Flows!N46*N$3*N$4&lt;0.002,100,MAX($CM$2/(Flows!N46*N$3*N$4),1))</f>
        <v>2.59526392830954</v>
      </c>
      <c r="O76" s="26" t="n">
        <f aca="false">IF(Flows!O46*O$3*O$4&lt;0.002,100,MAX($CM$2/(Flows!O46*O$3*O$4),1))</f>
        <v>2.05097757383117</v>
      </c>
      <c r="P76" s="26" t="n">
        <f aca="false">IF(Flows!P46*P$3*P$4&lt;0.002,100,MAX($CM$2/(Flows!P46*P$3*P$4),1))</f>
        <v>1.2305865442987</v>
      </c>
      <c r="Q76" s="26" t="n">
        <f aca="false">IF(Flows!Q46*Q$3*Q$4&lt;0.002,100,MAX($CM$2/(Flows!Q46*Q$3*Q$4),1))</f>
        <v>7279.9553548663</v>
      </c>
      <c r="R76" s="26" t="n">
        <f aca="false">IF(Flows!R46*R$3*R$4&lt;0.002,100,MAX($CM$2/(Flows!R46*R$3*R$4),1))</f>
        <v>29.8146751404911</v>
      </c>
      <c r="S76" s="26" t="n">
        <f aca="false">IF(Flows!S46*S$3*S$4&lt;0.002,100,MAX($CM$2/(Flows!S46*S$3*S$4),1))</f>
        <v>566.495354315008</v>
      </c>
      <c r="T76" s="26" t="n">
        <f aca="false">IF(Flows!T46*T$3*T$4&lt;0.002,100,MAX($CM$2/(Flows!T46*T$3*T$4),1))</f>
        <v>1013.58237414205</v>
      </c>
      <c r="U76" s="26" t="n">
        <f aca="false">IF(Flows!U46*U$3*U$4&lt;0.002,100,MAX($CM$2/(Flows!U46*U$3*U$4),1))</f>
        <v>3250.89807055521</v>
      </c>
      <c r="V76" s="26" t="n">
        <f aca="false">IF(Flows!V46*V$3*V$4&lt;0.002,100,MAX($CM$2/(Flows!V46*V$3*V$4),1))</f>
        <v>84.1473281509115</v>
      </c>
      <c r="W76" s="26" t="n">
        <f aca="false">IF(Flows!W46*W$3*W$4&lt;0.002,100,MAX($CM$2/(Flows!W46*W$3*W$4),1))</f>
        <v>6.15278292470408</v>
      </c>
      <c r="X76" s="26" t="n">
        <f aca="false">IF(Flows!X46*X$3*X$4&lt;0.002,100,MAX($CM$2/(Flows!X46*X$3*X$4),1))</f>
        <v>3.10700449254605</v>
      </c>
      <c r="Y76" s="26" t="n">
        <f aca="false">IF(Flows!Y46*Y$3*Y$4&lt;0.002,100,MAX($CM$2/(Flows!Y46*Y$3*Y$4),1))</f>
        <v>330.455623350422</v>
      </c>
      <c r="Z76" s="26" t="n">
        <f aca="false">IF(Flows!Z46*Z$3*Z$4&lt;0.002,100,MAX($CM$2/(Flows!Z46*Z$3*Z$4),1))</f>
        <v>5527.55682767413</v>
      </c>
      <c r="AA76" s="26" t="n">
        <f aca="false">IF(Flows!AA46*AA$3*AA$4&lt;0.002,100,MAX($CM$2/(Flows!AA46*AA$3*AA$4),1))</f>
        <v>4305.65412732781</v>
      </c>
      <c r="AB76" s="26" t="n">
        <f aca="false">IF(Flows!AB46*AB$3*AB$4&lt;0.002,100,MAX($CM$2/(Flows!AB46*AB$3*AB$4),1))</f>
        <v>5274.33078218183</v>
      </c>
      <c r="AC76" s="26" t="n">
        <f aca="false">IF(Flows!AC46*AC$3*AC$4&lt;0.002,100,MAX($CM$2/(Flows!AC46*AC$3*AC$4),1))</f>
        <v>36334.8988604986</v>
      </c>
      <c r="AD76" s="26" t="n">
        <f aca="false">IF(Flows!AD46*AD$3*AD$4&lt;0.002,100,MAX($CM$2/(Flows!AD46*AD$3*AD$4),1))</f>
        <v>33224.1868263569</v>
      </c>
      <c r="AE76" s="26" t="n">
        <f aca="false">IF(Flows!AE46*AE$3*AE$4&lt;0.002,100,MAX($CM$2/(Flows!AE46*AE$3*AE$4),1))</f>
        <v>668082.887382197</v>
      </c>
      <c r="AF76" s="26" t="n">
        <f aca="false">IF(Flows!AF46*AF$3*AF$4&lt;0.002,100,MAX($CM$2/(Flows!AF46*AF$3*AF$4),1))</f>
        <v>492.599932149361</v>
      </c>
      <c r="AG76" s="26" t="n">
        <f aca="false">IF(Flows!AG46*AG$3*AG$4&lt;0.002,100,MAX($CM$2/(Flows!AG46*AG$3*AG$4),1))</f>
        <v>353.078098599738</v>
      </c>
      <c r="AH76" s="26" t="n">
        <f aca="false">IF(Flows!AH46*AH$3*AH$4&lt;0.002,100,MAX($CM$2/(Flows!AH46*AH$3*AH$4),1))</f>
        <v>1217.30341383897</v>
      </c>
      <c r="AI76" s="26" t="n">
        <f aca="false">IF(Flows!AI46*AI$3*AI$4&lt;0.002,100,MAX($CM$2/(Flows!AI46*AI$3*AI$4),1))</f>
        <v>1991.22466084147</v>
      </c>
      <c r="AJ76" s="26" t="n">
        <f aca="false">IF(Flows!AJ46*AJ$3*AJ$4&lt;0.002,100,MAX($CM$2/(Flows!AJ46*AJ$3*AJ$4),1))</f>
        <v>547.835649702928</v>
      </c>
      <c r="AK76" s="26" t="n">
        <f aca="false">IF(Flows!AK46*AK$3*AK$4&lt;0.002,100,MAX($CM$2/(Flows!AK46*AK$3*AK$4),1))</f>
        <v>235.965039251587</v>
      </c>
      <c r="AL76" s="26" t="n">
        <f aca="false">IF(Flows!AL46*AL$3*AL$4&lt;0.002,100,MAX($CM$2/(Flows!AL46*AL$3*AL$4),1))</f>
        <v>761.821633188015</v>
      </c>
      <c r="AM76" s="26" t="n">
        <f aca="false">IF(Flows!AM46*AM$3*AM$4&lt;0.002,100,MAX($CM$2/(Flows!AM46*AM$3*AM$4),1))</f>
        <v>1540.28688064883</v>
      </c>
      <c r="AN76" s="26" t="n">
        <f aca="false">IF(Flows!AN46*AN$3*AN$4&lt;0.002,100,MAX($CM$2/(Flows!AN46*AN$3*AN$4),1))</f>
        <v>2255.47762349658</v>
      </c>
      <c r="AO76" s="26" t="n">
        <f aca="false">IF(Flows!AO46*AO$3*AO$4&lt;0.002,100,MAX($CM$2/(Flows!AO46*AO$3*AO$4),1))</f>
        <v>11143.5126761008</v>
      </c>
      <c r="AP76" s="26" t="n">
        <f aca="false">IF(Flows!AP46*AP$3*AP$4&lt;0.002,100,MAX($CM$2/(Flows!AP46*AP$3*AP$4),1))</f>
        <v>37841.7614462326</v>
      </c>
      <c r="AQ76" s="26" t="n">
        <f aca="false">IF(Flows!AQ46*AQ$3*AQ$4&lt;0.002,100,MAX($CM$2/(Flows!AQ46*AQ$3*AQ$4),1))</f>
        <v>4272.32740196519</v>
      </c>
      <c r="AR76" s="26" t="n">
        <f aca="false">IF(Flows!AR46*AR$3*AR$4&lt;0.002,100,MAX($CM$2/(Flows!AR46*AR$3*AR$4),1))</f>
        <v>12089.8368613544</v>
      </c>
      <c r="AS76" s="26" t="n">
        <f aca="false">IF(Flows!AS46*AS$3*AS$4&lt;0.002,100,MAX($CM$2/(Flows!AS46*AS$3*AS$4),1))</f>
        <v>1376.86123717773</v>
      </c>
      <c r="AT76" s="26" t="n">
        <f aca="false">IF(Flows!AT46*AT$3*AT$4&lt;0.002,100,MAX($CM$2/(Flows!AT46*AT$3*AT$4),1))</f>
        <v>642.223019486551</v>
      </c>
      <c r="AU76" s="26" t="n">
        <f aca="false">IF(Flows!AU46*AU$3*AU$4&lt;0.002,100,MAX($CM$2/(Flows!AU46*AU$3*AU$4),1))</f>
        <v>4868.13360527232</v>
      </c>
      <c r="AV76" s="26" t="n">
        <f aca="false">IF(Flows!AV46*AV$3*AV$4&lt;0.002,100,MAX($CM$2/(Flows!AV46*AV$3*AV$4),1))</f>
        <v>12966.9052650606</v>
      </c>
      <c r="AW76" s="26" t="n">
        <f aca="false">IF(Flows!AW46*AW$3*AW$4&lt;0.002,100,MAX($CM$2/(Flows!AW46*AW$3*AW$4),1))</f>
        <v>12.1194117213868</v>
      </c>
      <c r="AX76" s="26" t="n">
        <f aca="false">IF(Flows!AX46*AX$3*AX$4&lt;0.002,100,MAX($CM$2/(Flows!AX46*AX$3*AX$4),1))</f>
        <v>8597.35593920089</v>
      </c>
      <c r="AY76" s="26" t="n">
        <f aca="false">IF(Flows!AY46*AY$3*AY$4&lt;0.002,100,MAX($CM$2/(Flows!AY46*AY$3*AY$4),1))</f>
        <v>334.954339883656</v>
      </c>
      <c r="AZ76" s="26" t="n">
        <f aca="false">IF(Flows!AZ46*AZ$3*AZ$4&lt;0.002,100,MAX($CM$2/(Flows!AZ46*AZ$3*AZ$4),1))</f>
        <v>116.67446593574</v>
      </c>
      <c r="BA76" s="26" t="n">
        <f aca="false">IF(Flows!BA46*BA$3*BA$4&lt;0.002,100,MAX($CM$2/(Flows!BA46*BA$3*BA$4),1))</f>
        <v>3370.6473581743</v>
      </c>
      <c r="BB76" s="26" t="n">
        <f aca="false">IF(Flows!BB46*BB$3*BB$4&lt;0.002,100,MAX($CM$2/(Flows!BB46*BB$3*BB$4),1))</f>
        <v>6383.83026944824</v>
      </c>
      <c r="BC76" s="26" t="n">
        <f aca="false">IF(Flows!BC46*BC$3*BC$4&lt;0.002,100,MAX($CM$2/(Flows!BC46*BC$3*BC$4),1))</f>
        <v>997.632507391695</v>
      </c>
      <c r="BD76" s="26" t="n">
        <f aca="false">IF(Flows!BD46*BD$3*BD$4&lt;0.002,100,MAX($CM$2/(Flows!BD46*BD$3*BD$4),1))</f>
        <v>3737.92573881415</v>
      </c>
      <c r="BE76" s="26" t="n">
        <f aca="false">IF(Flows!BE46*BE$3*BE$4&lt;0.002,100,MAX($CM$2/(Flows!BE46*BE$3*BE$4),1))</f>
        <v>6919.08468250082</v>
      </c>
      <c r="BF76" s="26" t="n">
        <f aca="false">IF(Flows!BF46*BF$3*BF$4&lt;0.002,100,MAX($CM$2/(Flows!BF46*BF$3*BF$4),1))</f>
        <v>1328.55725122457</v>
      </c>
      <c r="BG76" s="26" t="n">
        <f aca="false">IF(Flows!BG46*BG$3*BG$4&lt;0.002,100,MAX($CM$2/(Flows!BG46*BG$3*BG$4),1))</f>
        <v>226.551532697229</v>
      </c>
      <c r="BH76" s="26" t="n">
        <f aca="false">IF(Flows!BH46*BH$3*BH$4&lt;0.002,100,MAX($CM$2/(Flows!BH46*BH$3*BH$4),1))</f>
        <v>113.275766348614</v>
      </c>
      <c r="BI76" s="26" t="n">
        <f aca="false">IF(Flows!BI46*BI$3*BI$4&lt;0.002,100,MAX($CM$2/(Flows!BI46*BI$3*BI$4),1))</f>
        <v>84.9568247614608</v>
      </c>
      <c r="BJ76" s="26" t="n">
        <f aca="false">IF(Flows!BJ46*BJ$3*BJ$4&lt;0.002,100,MAX($CM$2/(Flows!BJ46*BJ$3*BJ$4),1))</f>
        <v>2.86228249399072</v>
      </c>
      <c r="BK76" s="26" t="n">
        <f aca="false">IF(Flows!BK46*BK$3*BK$4&lt;0.002,100,MAX($CM$2/(Flows!BK46*BK$3*BK$4),1))</f>
        <v>169.913649522922</v>
      </c>
      <c r="BL76" s="26" t="n">
        <f aca="false">IF(Flows!BL46*BL$3*BL$4&lt;0.002,100,MAX($CM$2/(Flows!BL46*BL$3*BL$4),1))</f>
        <v>83.9919667023202</v>
      </c>
      <c r="BM76" s="26" t="n">
        <f aca="false">IF(Flows!BM46*BM$3*BM$4&lt;0.002,100,MAX($CM$2/(Flows!BM46*BM$3*BM$4),1))</f>
        <v>41.8415594296132</v>
      </c>
      <c r="BN76" s="26" t="n">
        <f aca="false">IF(Flows!BN46*BN$3*BN$4&lt;0.002,100,MAX($CM$2/(Flows!BN46*BN$3*BN$4),1))</f>
        <v>1</v>
      </c>
      <c r="BO76" s="26" t="n">
        <f aca="false">IF(Flows!BO46*BO$3*BO$4&lt;0.002,100,MAX($CM$2/(Flows!BO46*BO$3*BO$4),1))</f>
        <v>11.1639180515947</v>
      </c>
      <c r="BP76" s="26" t="n">
        <f aca="false">IF(Flows!BP46*BP$3*BP$4&lt;0.002,100,MAX($CM$2/(Flows!BP46*BP$3*BP$4),1))</f>
        <v>32.003719964296</v>
      </c>
      <c r="BQ76" s="26" t="n">
        <f aca="false">IF(Flows!BQ46*BQ$3*BQ$4&lt;0.002,100,MAX($CM$2/(Flows!BQ46*BQ$3*BQ$4),1))</f>
        <v>1</v>
      </c>
      <c r="BR76" s="26" t="n">
        <f aca="false">IF(Flows!BR46*BR$3*BR$4&lt;0.002,100,MAX($CM$2/(Flows!BR46*BR$3*BR$4),1))</f>
        <v>334.917489650584</v>
      </c>
      <c r="BS76" s="26" t="n">
        <f aca="false">IF(Flows!BS46*BS$3*BS$4&lt;0.002,100,MAX($CM$2/(Flows!BS46*BS$3*BS$4),1))</f>
        <v>3349.17489650584</v>
      </c>
      <c r="BT76" s="26" t="n">
        <f aca="false">IF(Flows!BT46*BT$3*BT$4&lt;0.002,100,MAX($CM$2/(Flows!BT46*BT$3*BT$4),1))</f>
        <v>1</v>
      </c>
      <c r="BU76" s="26" t="n">
        <f aca="false">IF(Flows!BU46*BU$3*BU$4&lt;0.002,100,MAX($CM$2/(Flows!BU46*BU$3*BU$4),1))</f>
        <v>10</v>
      </c>
      <c r="BV76" s="26" t="n">
        <f aca="false">IF(Flows!BV46*BV$3*BV$4&lt;0.002,100,MAX($CM$2/(Flows!BV46*BV$3*BV$4),1))</f>
        <v>100</v>
      </c>
      <c r="BW76" s="26" t="n">
        <f aca="false">IF(Flows!BW46*BW$3*BW$4&lt;0.002,100,MAX($CM$2/(Flows!BW46*BW$3*BW$4),1))</f>
        <v>14.7648287732814</v>
      </c>
      <c r="BX76" s="26" t="n">
        <f aca="false">IF(Flows!BX46*BX$3*BX$4&lt;0.002,100,MAX($CM$2/(Flows!BX46*BX$3*BX$4),1))</f>
        <v>9.53452772084208</v>
      </c>
      <c r="BY76" s="26" t="n">
        <f aca="false">IF(Flows!BY46*BY$3*BY$4&lt;0.002,100,MAX($CM$2/(Flows!BY46*BY$3*BY$4),1))</f>
        <v>17.0536281661625</v>
      </c>
      <c r="BZ76" s="26" t="n">
        <f aca="false">IF(Flows!BZ46*BZ$3*BZ$4&lt;0.002,100,MAX($CM$2/(Flows!BZ46*BZ$3*BZ$4),1))</f>
        <v>36297.9374280392</v>
      </c>
      <c r="CA76" s="26" t="n">
        <f aca="false">IF(Flows!CA46*CA$3*CA$4&lt;0.002,100,MAX($CM$2/(Flows!CA46*CA$3*CA$4),1))</f>
        <v>66871.1234316575</v>
      </c>
      <c r="CB76" s="26" t="n">
        <f aca="false">IF(Flows!CB46*CB$3*CB$4&lt;0.002,100,MAX($CM$2/(Flows!CB46*CB$3*CB$4),1))</f>
        <v>37.7352644779646</v>
      </c>
      <c r="CC76" s="26" t="n">
        <f aca="false">IF(Flows!CC46*CC$3*CC$4&lt;0.002,100,MAX($CM$2/(Flows!CC46*CC$3*CC$4),1))</f>
        <v>14.0003161463188</v>
      </c>
      <c r="CD76" s="26" t="n">
        <f aca="false">IF(Flows!CD46*CD$3*CD$4&lt;0.002,100,MAX($CM$2/(Flows!CD46*CD$3*CD$4),1))</f>
        <v>51.764671382344</v>
      </c>
      <c r="CE76" s="26" t="n">
        <f aca="false">IF(Flows!CE46*CE$3*CE$4&lt;0.002,100,MAX($CM$2/(Flows!CE46*CE$3*CE$4),1))</f>
        <v>12.0154995100475</v>
      </c>
      <c r="CF76" s="26" t="n">
        <f aca="false">IF(Flows!CF46*CF$3*CF$4&lt;0.002,100,MAX($CM$2/(Flows!CF46*CF$3*CF$4),1))</f>
        <v>1</v>
      </c>
      <c r="CG76" s="26" t="n">
        <f aca="false">IF(Flows!CG46*CG$3*CG$4&lt;0.002,100,MAX($CM$2/(Flows!CG46*CG$3*CG$4),1))</f>
        <v>30.0958004166801</v>
      </c>
      <c r="CH76" s="26" t="n">
        <f aca="false">IF(Flows!CH46*CH$3*CH$4&lt;0.002,100,MAX($CM$2/(Flows!CH46*CH$3*CH$4),1))</f>
        <v>22.4119226412487</v>
      </c>
      <c r="CI76" s="26" t="n">
        <f aca="false">IF(Flows!CI46*CI$3*CI$4&lt;0.002,100,MAX($CM$2/(Flows!CI46*CI$3*CI$4),1))</f>
        <v>96.0191114194298</v>
      </c>
      <c r="CJ76" s="26" t="n">
        <f aca="false">IF(Flows!CJ46*CJ$3*CJ$4&lt;0.002,100,MAX($CM$2/(Flows!CJ46*CJ$3*CJ$4),1))</f>
        <v>1134.73875685019</v>
      </c>
      <c r="CK76" s="26" t="n">
        <f aca="false">IF(Flows!CK46*CK$3*CK$4&lt;0.002,100,MAX($CM$2/(Flows!CK46*CK$3*CK$4),1))</f>
        <v>679.916612691669</v>
      </c>
      <c r="CL76" s="22" t="s">
        <v>320</v>
      </c>
    </row>
    <row r="77" customFormat="false" ht="12.8" hidden="false" customHeight="false" outlineLevel="0" collapsed="false">
      <c r="A77" s="7" t="s">
        <v>153</v>
      </c>
      <c r="B77" s="7" t="s">
        <v>39</v>
      </c>
      <c r="C77" s="10" t="n">
        <f aca="false">IF(Flows!C47*C$3*C$4&lt;0.002,100,MAX($CM$2/(Flows!C47*C$3*C$4),1))</f>
        <v>50950.8803755739</v>
      </c>
      <c r="D77" s="10" t="n">
        <f aca="false">IF(Flows!D47*D$3*D$4&lt;0.002,100,MAX($CM$2/(Flows!D47*D$3*D$4),1))</f>
        <v>4.79284217093627</v>
      </c>
      <c r="E77" s="10" t="n">
        <f aca="false">IF(Flows!E47*E$3*E$4&lt;0.002,100,MAX($CM$2/(Flows!E47*E$3*E$4),1))</f>
        <v>8.84069771443808</v>
      </c>
      <c r="F77" s="10" t="n">
        <f aca="false">IF(Flows!F47*F$3*F$4&lt;0.002,100,MAX($CM$2/(Flows!F47*F$3*F$4),1))</f>
        <v>38.5544091238271</v>
      </c>
      <c r="G77" s="10" t="n">
        <f aca="false">IF(Flows!G47*G$3*G$4&lt;0.002,100,MAX($CM$2/(Flows!G47*G$3*G$4),1))</f>
        <v>30.1235136628838</v>
      </c>
      <c r="H77" s="10" t="n">
        <f aca="false">IF(Flows!H47*H$3*H$4&lt;0.002,100,MAX($CM$2/(Flows!H47*H$3*H$4),1))</f>
        <v>2687.29036370568</v>
      </c>
      <c r="I77" s="10" t="n">
        <f aca="false">IF(Flows!I47*I$3*I$4&lt;0.002,100,MAX($CM$2/(Flows!I47*I$3*I$4),1))</f>
        <v>6037.63401911699</v>
      </c>
      <c r="J77" s="10" t="n">
        <f aca="false">IF(Flows!J47*J$3*J$4&lt;0.002,100,MAX($CM$2/(Flows!J47*J$3*J$4),1))</f>
        <v>13777.7309937308</v>
      </c>
      <c r="K77" s="10" t="n">
        <f aca="false">IF(Flows!K47*K$3*K$4&lt;0.002,100,MAX($CM$2/(Flows!K47*K$3*K$4),1))</f>
        <v>26138.6406565777</v>
      </c>
      <c r="L77" s="10" t="n">
        <f aca="false">IF(Flows!L47*L$3*L$4&lt;0.002,100,MAX($CM$2/(Flows!L47*L$3*L$4),1))</f>
        <v>158066.364759916</v>
      </c>
      <c r="M77" s="10" t="n">
        <f aca="false">IF(Flows!M47*M$3*M$4&lt;0.002,100,MAX($CM$2/(Flows!M47*M$3*M$4),1))</f>
        <v>117830.348871549</v>
      </c>
      <c r="N77" s="10" t="n">
        <f aca="false">IF(Flows!N47*N$3*N$4&lt;0.002,100,MAX($CM$2/(Flows!N47*N$3*N$4),1))</f>
        <v>4.35251837988418</v>
      </c>
      <c r="O77" s="10" t="n">
        <f aca="false">IF(Flows!O47*O$3*O$4&lt;0.002,100,MAX($CM$2/(Flows!O47*O$3*O$4),1))</f>
        <v>3.83427373674902</v>
      </c>
      <c r="P77" s="10" t="n">
        <f aca="false">IF(Flows!P47*P$3*P$4&lt;0.002,100,MAX($CM$2/(Flows!P47*P$3*P$4),1))</f>
        <v>2.30056424204941</v>
      </c>
      <c r="Q77" s="10" t="n">
        <f aca="false">IF(Flows!Q47*Q$3*Q$4&lt;0.002,100,MAX($CM$2/(Flows!Q47*Q$3*Q$4),1))</f>
        <v>1160.63899380204</v>
      </c>
      <c r="R77" s="10" t="n">
        <f aca="false">IF(Flows!R47*R$3*R$4&lt;0.002,100,MAX($CM$2/(Flows!R47*R$3*R$4),1))</f>
        <v>54.4661578714877</v>
      </c>
      <c r="S77" s="10" t="n">
        <f aca="false">IF(Flows!S47*S$3*S$4&lt;0.002,100,MAX($CM$2/(Flows!S47*S$3*S$4),1))</f>
        <v>1354.85455508499</v>
      </c>
      <c r="T77" s="10" t="n">
        <f aca="false">IF(Flows!T47*T$3*T$4&lt;0.002,100,MAX($CM$2/(Flows!T47*T$3*T$4),1))</f>
        <v>2424.12702257854</v>
      </c>
      <c r="U77" s="10" t="n">
        <f aca="false">IF(Flows!U47*U$3*U$4&lt;0.002,100,MAX($CM$2/(Flows!U47*U$3*U$4),1))</f>
        <v>7855.35659143663</v>
      </c>
      <c r="V77" s="10" t="n">
        <f aca="false">IF(Flows!V47*V$3*V$4&lt;0.002,100,MAX($CM$2/(Flows!V47*V$3*V$4),1))</f>
        <v>1187.57875470475</v>
      </c>
      <c r="W77" s="10" t="n">
        <f aca="false">IF(Flows!W47*W$3*W$4&lt;0.002,100,MAX($CM$2/(Flows!W47*W$3*W$4),1))</f>
        <v>6.49901339088695</v>
      </c>
      <c r="X77" s="10" t="n">
        <f aca="false">IF(Flows!X47*X$3*X$4&lt;0.002,100,MAX($CM$2/(Flows!X47*X$3*X$4),1))</f>
        <v>13.5677200628346</v>
      </c>
      <c r="Y77" s="10" t="n">
        <f aca="false">IF(Flows!Y47*Y$3*Y$4&lt;0.002,100,MAX($CM$2/(Flows!Y47*Y$3*Y$4),1))</f>
        <v>790.331823799582</v>
      </c>
      <c r="Z77" s="10" t="n">
        <f aca="false">IF(Flows!Z47*Z$3*Z$4&lt;0.002,100,MAX($CM$2/(Flows!Z47*Z$3*Z$4),1))</f>
        <v>5765.45763962835</v>
      </c>
      <c r="AA77" s="10" t="n">
        <f aca="false">IF(Flows!AA47*AA$3*AA$4&lt;0.002,100,MAX($CM$2/(Flows!AA47*AA$3*AA$4),1))</f>
        <v>7964.69390325841</v>
      </c>
      <c r="AB77" s="10" t="n">
        <f aca="false">IF(Flows!AB47*AB$3*AB$4&lt;0.002,100,MAX($CM$2/(Flows!AB47*AB$3*AB$4),1))</f>
        <v>9474.29153576209</v>
      </c>
      <c r="AC77" s="10" t="n">
        <f aca="false">IF(Flows!AC47*AC$3*AC$4&lt;0.002,100,MAX($CM$2/(Flows!AC47*AC$3*AC$4),1))</f>
        <v>37772.3920579383</v>
      </c>
      <c r="AD77" s="10" t="n">
        <f aca="false">IF(Flows!AD47*AD$3*AD$4&lt;0.002,100,MAX($CM$2/(Flows!AD47*AD$3*AD$4),1))</f>
        <v>59680.6770434142</v>
      </c>
      <c r="AE77" s="10" t="n">
        <f aca="false">IF(Flows!AE47*AE$3*AE$4&lt;0.002,100,MAX($CM$2/(Flows!AE47*AE$3*AE$4),1))</f>
        <v>102656.038192688</v>
      </c>
      <c r="AF77" s="10" t="n">
        <f aca="false">IF(Flows!AF47*AF$3*AF$4&lt;0.002,100,MAX($CM$2/(Flows!AF47*AF$3*AF$4),1))</f>
        <v>325.73973516646</v>
      </c>
      <c r="AG77" s="10" t="n">
        <f aca="false">IF(Flows!AG47*AG$3*AG$4&lt;0.002,100,MAX($CM$2/(Flows!AG47*AG$3*AG$4),1))</f>
        <v>864.809814769366</v>
      </c>
      <c r="AH77" s="10" t="n">
        <f aca="false">IF(Flows!AH47*AH$3*AH$4&lt;0.002,100,MAX($CM$2/(Flows!AH47*AH$3*AH$4),1))</f>
        <v>203.353030260478</v>
      </c>
      <c r="AI77" s="10" t="n">
        <f aca="false">IF(Flows!AI47*AI$3*AI$4&lt;0.002,100,MAX($CM$2/(Flows!AI47*AI$3*AI$4),1))</f>
        <v>1228.78236522078</v>
      </c>
      <c r="AJ77" s="10" t="n">
        <f aca="false">IF(Flows!AJ47*AJ$3*AJ$4&lt;0.002,100,MAX($CM$2/(Flows!AJ47*AJ$3*AJ$4),1))</f>
        <v>1412.30406278759</v>
      </c>
      <c r="AK77" s="10" t="n">
        <f aca="false">IF(Flows!AK47*AK$3*AK$4&lt;0.002,100,MAX($CM$2/(Flows!AK47*AK$3*AK$4),1))</f>
        <v>203.229980578251</v>
      </c>
      <c r="AL77" s="10" t="n">
        <f aca="false">IF(Flows!AL47*AL$3*AL$4&lt;0.002,100,MAX($CM$2/(Flows!AL47*AL$3*AL$4),1))</f>
        <v>465.140344458969</v>
      </c>
      <c r="AM77" s="10" t="n">
        <f aca="false">IF(Flows!AM47*AM$3*AM$4&lt;0.002,100,MAX($CM$2/(Flows!AM47*AM$3*AM$4),1))</f>
        <v>8398.1513243234</v>
      </c>
      <c r="AN77" s="10" t="n">
        <f aca="false">IF(Flows!AN47*AN$3*AN$4&lt;0.002,100,MAX($CM$2/(Flows!AN47*AN$3*AN$4),1))</f>
        <v>1145.62997192987</v>
      </c>
      <c r="AO77" s="10" t="n">
        <f aca="false">IF(Flows!AO47*AO$3*AO$4&lt;0.002,100,MAX($CM$2/(Flows!AO47*AO$3*AO$4),1))</f>
        <v>7569.07555501899</v>
      </c>
      <c r="AP77" s="10" t="n">
        <f aca="false">IF(Flows!AP47*AP$3*AP$4&lt;0.002,100,MAX($CM$2/(Flows!AP47*AP$3*AP$4),1))</f>
        <v>79780.0523397912</v>
      </c>
      <c r="AQ77" s="10" t="n">
        <f aca="false">IF(Flows!AQ47*AQ$3*AQ$4&lt;0.002,100,MAX($CM$2/(Flows!AQ47*AQ$3*AQ$4),1))</f>
        <v>9308.93329783653</v>
      </c>
      <c r="AR77" s="10" t="n">
        <f aca="false">IF(Flows!AR47*AR$3*AR$4&lt;0.002,100,MAX($CM$2/(Flows!AR47*AR$3*AR$4),1))</f>
        <v>28651.9487991364</v>
      </c>
      <c r="AS77" s="10" t="n">
        <f aca="false">IF(Flows!AS47*AS$3*AS$4&lt;0.002,100,MAX($CM$2/(Flows!AS47*AS$3*AS$4),1))</f>
        <v>3323.95527960394</v>
      </c>
      <c r="AT77" s="10" t="n">
        <f aca="false">IF(Flows!AT47*AT$3*AT$4&lt;0.002,100,MAX($CM$2/(Flows!AT47*AT$3*AT$4),1))</f>
        <v>252.270136908965</v>
      </c>
      <c r="AU77" s="10" t="n">
        <f aca="false">IF(Flows!AU47*AU$3*AU$4&lt;0.002,100,MAX($CM$2/(Flows!AU47*AU$3*AU$4),1))</f>
        <v>1394.60245440289</v>
      </c>
      <c r="AV77" s="10" t="n">
        <f aca="false">IF(Flows!AV47*AV$3*AV$4&lt;0.002,100,MAX($CM$2/(Flows!AV47*AV$3*AV$4),1))</f>
        <v>9092.32842455112</v>
      </c>
      <c r="AW77" s="10" t="n">
        <f aca="false">IF(Flows!AW47*AW$3*AW$4&lt;0.002,100,MAX($CM$2/(Flows!AW47*AW$3*AW$4),1))</f>
        <v>12.1972883127906</v>
      </c>
      <c r="AX77" s="10" t="n">
        <f aca="false">IF(Flows!AX47*AX$3*AX$4&lt;0.002,100,MAX($CM$2/(Flows!AX47*AX$3*AX$4),1))</f>
        <v>2227.76945475437</v>
      </c>
      <c r="AY77" s="10" t="n">
        <f aca="false">IF(Flows!AY47*AY$3*AY$4&lt;0.002,100,MAX($CM$2/(Flows!AY47*AY$3*AY$4),1))</f>
        <v>341.284699190762</v>
      </c>
      <c r="AZ77" s="10" t="n">
        <f aca="false">IF(Flows!AZ47*AZ$3*AZ$4&lt;0.002,100,MAX($CM$2/(Flows!AZ47*AZ$3*AZ$4),1))</f>
        <v>118.341365224534</v>
      </c>
      <c r="BA77" s="10" t="n">
        <f aca="false">IF(Flows!BA47*BA$3*BA$4&lt;0.002,100,MAX($CM$2/(Flows!BA47*BA$3*BA$4),1))</f>
        <v>8061.38460275574</v>
      </c>
      <c r="BB77" s="10" t="n">
        <f aca="false">IF(Flows!BB47*BB$3*BB$4&lt;0.002,100,MAX($CM$2/(Flows!BB47*BB$3*BB$4),1))</f>
        <v>6951.13594206406</v>
      </c>
      <c r="BC77" s="10" t="n">
        <f aca="false">IF(Flows!BC47*BC$3*BC$4&lt;0.002,100,MAX($CM$2/(Flows!BC47*BC$3*BC$4),1))</f>
        <v>663.896614169979</v>
      </c>
      <c r="BD77" s="10" t="n">
        <f aca="false">IF(Flows!BD47*BD$3*BD$4&lt;0.002,100,MAX($CM$2/(Flows!BD47*BD$3*BD$4),1))</f>
        <v>3459.25990894799</v>
      </c>
      <c r="BE77" s="10" t="n">
        <f aca="false">IF(Flows!BE47*BE$3*BE$4&lt;0.002,100,MAX($CM$2/(Flows!BE47*BE$3*BE$4),1))</f>
        <v>11021.6021758312</v>
      </c>
      <c r="BF77" s="10" t="n">
        <f aca="false">IF(Flows!BF47*BF$3*BF$4&lt;0.002,100,MAX($CM$2/(Flows!BF47*BF$3*BF$4),1))</f>
        <v>7218.04706958885</v>
      </c>
      <c r="BG77" s="10" t="n">
        <f aca="false">IF(Flows!BG47*BG$3*BG$4&lt;0.002,100,MAX($CM$2/(Flows!BG47*BG$3*BG$4),1))</f>
        <v>406.954997191014</v>
      </c>
      <c r="BH77" s="10" t="n">
        <f aca="false">IF(Flows!BH47*BH$3*BH$4&lt;0.002,100,MAX($CM$2/(Flows!BH47*BH$3*BH$4),1))</f>
        <v>203.477498595507</v>
      </c>
      <c r="BI77" s="10" t="n">
        <f aca="false">IF(Flows!BI47*BI$3*BI$4&lt;0.002,100,MAX($CM$2/(Flows!BI47*BI$3*BI$4),1))</f>
        <v>152.60812394663</v>
      </c>
      <c r="BJ77" s="10" t="n">
        <f aca="false">IF(Flows!BJ47*BJ$3*BJ$4&lt;0.002,100,MAX($CM$2/(Flows!BJ47*BJ$3*BJ$4),1))</f>
        <v>62.2003459948829</v>
      </c>
      <c r="BK77" s="10" t="n">
        <f aca="false">IF(Flows!BK47*BK$3*BK$4&lt;0.002,100,MAX($CM$2/(Flows!BK47*BK$3*BK$4),1))</f>
        <v>305.21624789326</v>
      </c>
      <c r="BL77" s="10" t="n">
        <f aca="false">IF(Flows!BL47*BL$3*BL$4&lt;0.002,100,MAX($CM$2/(Flows!BL47*BL$3*BL$4),1))</f>
        <v>137.797533820109</v>
      </c>
      <c r="BM77" s="10" t="n">
        <f aca="false">IF(Flows!BM47*BM$3*BM$4&lt;0.002,100,MAX($CM$2/(Flows!BM47*BM$3*BM$4),1))</f>
        <v>21.7996892404825</v>
      </c>
      <c r="BN77" s="10" t="n">
        <f aca="false">IF(Flows!BN47*BN$3*BN$4&lt;0.002,100,MAX($CM$2/(Flows!BN47*BN$3*BN$4),1))</f>
        <v>789515.575159241</v>
      </c>
      <c r="BO77" s="10" t="n">
        <f aca="false">IF(Flows!BO47*BO$3*BO$4&lt;0.002,100,MAX($CM$2/(Flows!BO47*BO$3*BO$4),1))</f>
        <v>18.2915339714016</v>
      </c>
      <c r="BP77" s="10" t="n">
        <f aca="false">IF(Flows!BP47*BP$3*BP$4&lt;0.002,100,MAX($CM$2/(Flows!BP47*BP$3*BP$4),1))</f>
        <v>32.1142855707654</v>
      </c>
      <c r="BQ77" s="10" t="n">
        <f aca="false">IF(Flows!BQ47*BQ$3*BQ$4&lt;0.002,100,MAX($CM$2/(Flows!BQ47*BQ$3*BQ$4),1))</f>
        <v>1214639.34639883</v>
      </c>
      <c r="BR77" s="10" t="n">
        <f aca="false">IF(Flows!BR47*BR$3*BR$4&lt;0.002,100,MAX($CM$2/(Flows!BR47*BR$3*BR$4),1))</f>
        <v>548.745906654937</v>
      </c>
      <c r="BS77" s="10" t="n">
        <f aca="false">IF(Flows!BS47*BS$3*BS$4&lt;0.002,100,MAX($CM$2/(Flows!BS47*BS$3*BS$4),1))</f>
        <v>5487.45906654937</v>
      </c>
      <c r="BT77" s="10" t="n">
        <f aca="false">IF(Flows!BT47*BT$3*BT$4&lt;0.002,100,MAX($CM$2/(Flows!BT47*BT$3*BT$4),1))</f>
        <v>2.91549890683677</v>
      </c>
      <c r="BU77" s="10" t="n">
        <f aca="false">IF(Flows!BU47*BU$3*BU$4&lt;0.002,100,MAX($CM$2/(Flows!BU47*BU$3*BU$4),1))</f>
        <v>29.1549890683677</v>
      </c>
      <c r="BV77" s="10" t="n">
        <f aca="false">IF(Flows!BV47*BV$3*BV$4&lt;0.002,100,MAX($CM$2/(Flows!BV47*BV$3*BV$4),1))</f>
        <v>291.549890683677</v>
      </c>
      <c r="BW77" s="10" t="n">
        <f aca="false">IF(Flows!BW47*BW$3*BW$4&lt;0.002,100,MAX($CM$2/(Flows!BW47*BW$3*BW$4),1))</f>
        <v>26.5220931433143</v>
      </c>
      <c r="BX77" s="10" t="n">
        <f aca="false">IF(Flows!BX47*BX$3*BX$4&lt;0.002,100,MAX($CM$2/(Flows!BX47*BX$3*BX$4),1))</f>
        <v>926.888267007041</v>
      </c>
      <c r="BY77" s="10" t="n">
        <f aca="false">IF(Flows!BY47*BY$3*BY$4&lt;0.002,100,MAX($CM$2/(Flows!BY47*BY$3*BY$4),1))</f>
        <v>15.5078359784737</v>
      </c>
      <c r="BZ77" s="10" t="n">
        <f aca="false">IF(Flows!BZ47*BZ$3*BZ$4&lt;0.002,100,MAX($CM$2/(Flows!BZ47*BZ$3*BZ$4),1))</f>
        <v>55953.8544000659</v>
      </c>
      <c r="CA77" s="10" t="n">
        <f aca="false">IF(Flows!CA47*CA$3*CA$4&lt;0.002,100,MAX($CM$2/(Flows!CA47*CA$3*CA$4),1))</f>
        <v>16085.8654570014</v>
      </c>
      <c r="CB77" s="10" t="n">
        <f aca="false">IF(Flows!CB47*CB$3*CB$4&lt;0.002,100,MAX($CM$2/(Flows!CB47*CB$3*CB$4),1))</f>
        <v>19.4751649045211</v>
      </c>
      <c r="CC77" s="10" t="n">
        <f aca="false">IF(Flows!CC47*CC$3*CC$4&lt;0.002,100,MAX($CM$2/(Flows!CC47*CC$3*CC$4),1))</f>
        <v>9.00557667302905</v>
      </c>
      <c r="CD77" s="10" t="n">
        <f aca="false">IF(Flows!CD47*CD$3*CD$4&lt;0.002,100,MAX($CM$2/(Flows!CD47*CD$3*CD$4),1))</f>
        <v>89.8007490779861</v>
      </c>
      <c r="CE77" s="10" t="n">
        <f aca="false">IF(Flows!CE47*CE$3*CE$4&lt;0.002,100,MAX($CM$2/(Flows!CE47*CE$3*CE$4),1))</f>
        <v>12.9097760976966</v>
      </c>
      <c r="CF77" s="10" t="n">
        <f aca="false">IF(Flows!CF47*CF$3*CF$4&lt;0.002,100,MAX($CM$2/(Flows!CF47*CF$3*CF$4),1))</f>
        <v>1</v>
      </c>
      <c r="CG77" s="10" t="n">
        <f aca="false">IF(Flows!CG47*CG$3*CG$4&lt;0.002,100,MAX($CM$2/(Flows!CG47*CG$3*CG$4),1))</f>
        <v>50.9920329164369</v>
      </c>
      <c r="CH77" s="10" t="n">
        <f aca="false">IF(Flows!CH47*CH$3*CH$4&lt;0.002,100,MAX($CM$2/(Flows!CH47*CH$3*CH$4),1))</f>
        <v>136.551189975535</v>
      </c>
      <c r="CI77" s="10" t="n">
        <f aca="false">IF(Flows!CI47*CI$3*CI$4&lt;0.002,100,MAX($CM$2/(Flows!CI47*CI$3*CI$4),1))</f>
        <v>799.545480769835</v>
      </c>
      <c r="CJ77" s="10" t="n">
        <f aca="false">IF(Flows!CJ47*CJ$3*CJ$4&lt;0.002,100,MAX($CM$2/(Flows!CJ47*CJ$3*CJ$4),1))</f>
        <v>1035.66249962224</v>
      </c>
      <c r="CK77" s="10" t="n">
        <f aca="false">IF(Flows!CK47*CK$3*CK$4&lt;0.002,100,MAX($CM$2/(Flows!CK47*CK$3*CK$4),1))</f>
        <v>837.425478159956</v>
      </c>
      <c r="CL77" s="7" t="s">
        <v>320</v>
      </c>
    </row>
    <row r="78" customFormat="false" ht="12.8" hidden="false" customHeight="false" outlineLevel="0" collapsed="false">
      <c r="A78" s="7" t="s">
        <v>155</v>
      </c>
      <c r="B78" s="7" t="s">
        <v>39</v>
      </c>
      <c r="C78" s="10" t="n">
        <f aca="false">IF(Flows!C48*C$3*C$4&lt;0.002,100,MAX($CM$2/(Flows!C48*C$3*C$4),1))</f>
        <v>199083.461117601</v>
      </c>
      <c r="D78" s="10" t="n">
        <f aca="false">IF(Flows!D48*D$3*D$4&lt;0.002,100,MAX($CM$2/(Flows!D48*D$3*D$4),1))</f>
        <v>30.8391721904625</v>
      </c>
      <c r="E78" s="10" t="n">
        <f aca="false">IF(Flows!E48*E$3*E$4&lt;0.002,100,MAX($CM$2/(Flows!E48*E$3*E$4),1))</f>
        <v>90.6880703358104</v>
      </c>
      <c r="F78" s="10" t="n">
        <f aca="false">IF(Flows!F48*F$3*F$4&lt;0.002,100,MAX($CM$2/(Flows!F48*F$3*F$4),1))</f>
        <v>490.858252197661</v>
      </c>
      <c r="G78" s="10" t="n">
        <f aca="false">IF(Flows!G48*G$3*G$4&lt;0.002,100,MAX($CM$2/(Flows!G48*G$3*G$4),1))</f>
        <v>761.787296845756</v>
      </c>
      <c r="H78" s="10" t="n">
        <f aca="false">IF(Flows!H48*H$3*H$4&lt;0.002,100,MAX($CM$2/(Flows!H48*H$3*H$4),1))</f>
        <v>304109.020867055</v>
      </c>
      <c r="I78" s="10" t="n">
        <f aca="false">IF(Flows!I48*I$3*I$4&lt;0.002,100,MAX($CM$2/(Flows!I48*I$3*I$4),1))</f>
        <v>14471.4878733497</v>
      </c>
      <c r="J78" s="10" t="n">
        <f aca="false">IF(Flows!J48*J$3*J$4&lt;0.002,100,MAX($CM$2/(Flows!J48*J$3*J$4),1))</f>
        <v>114928.271165</v>
      </c>
      <c r="K78" s="10" t="n">
        <f aca="false">IF(Flows!K48*K$3*K$4&lt;0.002,100,MAX($CM$2/(Flows!K48*K$3*K$4),1))</f>
        <v>91827.1398461063</v>
      </c>
      <c r="L78" s="10" t="n">
        <f aca="false">IF(Flows!L48*L$3*L$4&lt;0.002,100,MAX($CM$2/(Flows!L48*L$3*L$4),1))</f>
        <v>565421.785681883</v>
      </c>
      <c r="M78" s="10" t="n">
        <f aca="false">IF(Flows!M48*M$3*M$4&lt;0.002,100,MAX($CM$2/(Flows!M48*M$3*M$4),1))</f>
        <v>423231.715500795</v>
      </c>
      <c r="N78" s="10" t="n">
        <f aca="false">IF(Flows!N48*N$3*N$4&lt;0.002,100,MAX($CM$2/(Flows!N48*N$3*N$4),1))</f>
        <v>83.0917781694418</v>
      </c>
      <c r="O78" s="10" t="n">
        <f aca="false">IF(Flows!O48*O$3*O$4&lt;0.002,100,MAX($CM$2/(Flows!O48*O$3*O$4),1))</f>
        <v>24.67133775237</v>
      </c>
      <c r="P78" s="10" t="n">
        <f aca="false">IF(Flows!P48*P$3*P$4&lt;0.002,100,MAX($CM$2/(Flows!P48*P$3*P$4),1))</f>
        <v>14.802802651422</v>
      </c>
      <c r="Q78" s="10" t="n">
        <f aca="false">IF(Flows!Q48*Q$3*Q$4&lt;0.002,100,MAX($CM$2/(Flows!Q48*Q$3*Q$4),1))</f>
        <v>3686.77976951276</v>
      </c>
      <c r="R78" s="10" t="n">
        <f aca="false">IF(Flows!R48*R$3*R$4&lt;0.002,100,MAX($CM$2/(Flows!R48*R$3*R$4),1))</f>
        <v>72.3621182012463</v>
      </c>
      <c r="S78" s="10" t="n">
        <f aca="false">IF(Flows!S48*S$3*S$4&lt;0.002,100,MAX($CM$2/(Flows!S48*S$3*S$4),1))</f>
        <v>4846.47244870184</v>
      </c>
      <c r="T78" s="10" t="n">
        <f aca="false">IF(Flows!T48*T$3*T$4&lt;0.002,100,MAX($CM$2/(Flows!T48*T$3*T$4),1))</f>
        <v>8671.38452831455</v>
      </c>
      <c r="U78" s="10" t="n">
        <f aca="false">IF(Flows!U48*U$3*U$4&lt;0.002,100,MAX($CM$2/(Flows!U48*U$3*U$4),1))</f>
        <v>28215.447700053</v>
      </c>
      <c r="V78" s="10" t="n">
        <f aca="false">IF(Flows!V48*V$3*V$4&lt;0.002,100,MAX($CM$2/(Flows!V48*V$3*V$4),1))</f>
        <v>224.019219697314</v>
      </c>
      <c r="W78" s="10" t="n">
        <f aca="false">IF(Flows!W48*W$3*W$4&lt;0.002,100,MAX($CM$2/(Flows!W48*W$3*W$4),1))</f>
        <v>6.66910982081951</v>
      </c>
      <c r="X78" s="10" t="n">
        <f aca="false">IF(Flows!X48*X$3*X$4&lt;0.002,100,MAX($CM$2/(Flows!X48*X$3*X$4),1))</f>
        <v>3.87041577702752</v>
      </c>
      <c r="Y78" s="10" t="n">
        <f aca="false">IF(Flows!Y48*Y$3*Y$4&lt;0.002,100,MAX($CM$2/(Flows!Y48*Y$3*Y$4),1))</f>
        <v>2827.10892840941</v>
      </c>
      <c r="Z78" s="10" t="n">
        <f aca="false">IF(Flows!Z48*Z$3*Z$4&lt;0.002,100,MAX($CM$2/(Flows!Z48*Z$3*Z$4),1))</f>
        <v>355031.452539832</v>
      </c>
      <c r="AA78" s="10" t="n">
        <f aca="false">IF(Flows!AA48*AA$3*AA$4&lt;0.002,100,MAX($CM$2/(Flows!AA48*AA$3*AA$4),1))</f>
        <v>224721.669527635</v>
      </c>
      <c r="AB78" s="10" t="n">
        <f aca="false">IF(Flows!AB48*AB$3*AB$4&lt;0.002,100,MAX($CM$2/(Flows!AB48*AB$3*AB$4),1))</f>
        <v>97187.4895998271</v>
      </c>
      <c r="AC78" s="10" t="n">
        <f aca="false">IF(Flows!AC48*AC$3*AC$4&lt;0.002,100,MAX($CM$2/(Flows!AC48*AC$3*AC$4),1))</f>
        <v>2113308.34939283</v>
      </c>
      <c r="AD78" s="10" t="n">
        <f aca="false">IF(Flows!AD48*AD$3*AD$4&lt;0.002,100,MAX($CM$2/(Flows!AD48*AD$3*AD$4),1))</f>
        <v>612205.689214196</v>
      </c>
      <c r="AE78" s="10" t="n">
        <f aca="false">IF(Flows!AE48*AE$3*AE$4&lt;0.002,100,MAX($CM$2/(Flows!AE48*AE$3*AE$4),1))</f>
        <v>636195.212307142</v>
      </c>
      <c r="AF78" s="10" t="n">
        <f aca="false">IF(Flows!AF48*AF$3*AF$4&lt;0.002,100,MAX($CM$2/(Flows!AF48*AF$3*AF$4),1))</f>
        <v>858.376303826788</v>
      </c>
      <c r="AG78" s="10" t="n">
        <f aca="false">IF(Flows!AG48*AG$3*AG$4&lt;0.002,100,MAX($CM$2/(Flows!AG48*AG$3*AG$4),1))</f>
        <v>1233.56787488</v>
      </c>
      <c r="AH78" s="10" t="n">
        <f aca="false">IF(Flows!AH48*AH$3*AH$4&lt;0.002,100,MAX($CM$2/(Flows!AH48*AH$3*AH$4),1))</f>
        <v>2395.62792578971</v>
      </c>
      <c r="AI78" s="10" t="n">
        <f aca="false">IF(Flows!AI48*AI$3*AI$4&lt;0.002,100,MAX($CM$2/(Flows!AI48*AI$3*AI$4),1))</f>
        <v>2977.0823869217</v>
      </c>
      <c r="AJ78" s="10" t="n">
        <f aca="false">IF(Flows!AJ48*AJ$3*AJ$4&lt;0.002,100,MAX($CM$2/(Flows!AJ48*AJ$3*AJ$4),1))</f>
        <v>5609.06083275646</v>
      </c>
      <c r="AK78" s="10" t="n">
        <f aca="false">IF(Flows!AK48*AK$3*AK$4&lt;0.002,100,MAX($CM$2/(Flows!AK48*AK$3*AK$4),1))</f>
        <v>610.92338961364</v>
      </c>
      <c r="AL78" s="10" t="n">
        <f aca="false">IF(Flows!AL48*AL$3*AL$4&lt;0.002,100,MAX($CM$2/(Flows!AL48*AL$3*AL$4),1))</f>
        <v>1327.76738475545</v>
      </c>
      <c r="AM78" s="10" t="n">
        <f aca="false">IF(Flows!AM48*AM$3*AM$4&lt;0.002,100,MAX($CM$2/(Flows!AM48*AM$3*AM$4),1))</f>
        <v>1597.92934962726</v>
      </c>
      <c r="AN78" s="10" t="n">
        <f aca="false">IF(Flows!AN48*AN$3*AN$4&lt;0.002,100,MAX($CM$2/(Flows!AN48*AN$3*AN$4),1))</f>
        <v>4039.55693640903</v>
      </c>
      <c r="AO78" s="10" t="n">
        <f aca="false">IF(Flows!AO48*AO$3*AO$4&lt;0.002,100,MAX($CM$2/(Flows!AO48*AO$3*AO$4),1))</f>
        <v>55272.257835251</v>
      </c>
      <c r="AP78" s="10" t="n">
        <f aca="false">IF(Flows!AP48*AP$3*AP$4&lt;0.002,100,MAX($CM$2/(Flows!AP48*AP$3*AP$4),1))</f>
        <v>172156.480358461</v>
      </c>
      <c r="AQ78" s="10" t="n">
        <f aca="false">IF(Flows!AQ48*AQ$3*AQ$4&lt;0.002,100,MAX($CM$2/(Flows!AQ48*AQ$3*AQ$4),1))</f>
        <v>16208.0438802607</v>
      </c>
      <c r="AR78" s="10" t="n">
        <f aca="false">IF(Flows!AR48*AR$3*AR$4&lt;0.002,100,MAX($CM$2/(Flows!AR48*AR$3*AR$4),1))</f>
        <v>16118.7452558848</v>
      </c>
      <c r="AS78" s="10" t="n">
        <f aca="false">IF(Flows!AS48*AS$3*AS$4&lt;0.002,100,MAX($CM$2/(Flows!AS48*AS$3*AS$4),1))</f>
        <v>3907.25917509188</v>
      </c>
      <c r="AT78" s="10" t="n">
        <f aca="false">IF(Flows!AT48*AT$3*AT$4&lt;0.002,100,MAX($CM$2/(Flows!AT48*AT$3*AT$4),1))</f>
        <v>2232.5254373102</v>
      </c>
      <c r="AU78" s="10" t="n">
        <f aca="false">IF(Flows!AU48*AU$3*AU$4&lt;0.002,100,MAX($CM$2/(Flows!AU48*AU$3*AU$4),1))</f>
        <v>1615.9181293427</v>
      </c>
      <c r="AV78" s="10" t="n">
        <f aca="false">IF(Flows!AV48*AV$3*AV$4&lt;0.002,100,MAX($CM$2/(Flows!AV48*AV$3*AV$4),1))</f>
        <v>11967.7824988634</v>
      </c>
      <c r="AW78" s="10" t="n">
        <f aca="false">IF(Flows!AW48*AW$3*AW$4&lt;0.002,100,MAX($CM$2/(Flows!AW48*AW$3*AW$4),1))</f>
        <v>545.45176889114</v>
      </c>
      <c r="AX78" s="10" t="n">
        <f aca="false">IF(Flows!AX48*AX$3*AX$4&lt;0.002,100,MAX($CM$2/(Flows!AX48*AX$3*AX$4),1))</f>
        <v>3617.51669489818</v>
      </c>
      <c r="AY78" s="10" t="n">
        <f aca="false">IF(Flows!AY48*AY$3*AY$4&lt;0.002,100,MAX($CM$2/(Flows!AY48*AY$3*AY$4),1))</f>
        <v>12608.3837176334</v>
      </c>
      <c r="AZ78" s="10" t="n">
        <f aca="false">IF(Flows!AZ48*AZ$3*AZ$4&lt;0.002,100,MAX($CM$2/(Flows!AZ48*AZ$3*AZ$4),1))</f>
        <v>2408.41703457205</v>
      </c>
      <c r="BA78" s="10" t="n">
        <f aca="false">IF(Flows!BA48*BA$3*BA$4&lt;0.002,100,MAX($CM$2/(Flows!BA48*BA$3*BA$4),1))</f>
        <v>28836.511069776</v>
      </c>
      <c r="BB78" s="10" t="n">
        <f aca="false">IF(Flows!BB48*BB$3*BB$4&lt;0.002,100,MAX($CM$2/(Flows!BB48*BB$3*BB$4),1))</f>
        <v>5653.87307193309</v>
      </c>
      <c r="BC78" s="10" t="n">
        <f aca="false">IF(Flows!BC48*BC$3*BC$4&lt;0.002,100,MAX($CM$2/(Flows!BC48*BC$3*BC$4),1))</f>
        <v>1645.19584330161</v>
      </c>
      <c r="BD78" s="10" t="n">
        <f aca="false">IF(Flows!BD48*BD$3*BD$4&lt;0.002,100,MAX($CM$2/(Flows!BD48*BD$3*BD$4),1))</f>
        <v>7470.01113634944</v>
      </c>
      <c r="BE78" s="10" t="n">
        <f aca="false">IF(Flows!BE48*BE$3*BE$4&lt;0.002,100,MAX($CM$2/(Flows!BE48*BE$3*BE$4),1))</f>
        <v>24972.8712519806</v>
      </c>
      <c r="BF78" s="10" t="n">
        <f aca="false">IF(Flows!BF48*BF$3*BF$4&lt;0.002,100,MAX($CM$2/(Flows!BF48*BF$3*BF$4),1))</f>
        <v>1954.41292665265</v>
      </c>
      <c r="BG78" s="10" t="n">
        <f aca="false">IF(Flows!BG48*BG$3*BG$4&lt;0.002,100,MAX($CM$2/(Flows!BG48*BG$3*BG$4),1))</f>
        <v>2982.61449072073</v>
      </c>
      <c r="BH78" s="10" t="n">
        <f aca="false">IF(Flows!BH48*BH$3*BH$4&lt;0.002,100,MAX($CM$2/(Flows!BH48*BH$3*BH$4),1))</f>
        <v>2249450.47328431</v>
      </c>
      <c r="BI78" s="10" t="n">
        <f aca="false">IF(Flows!BI48*BI$3*BI$4&lt;0.002,100,MAX($CM$2/(Flows!BI48*BI$3*BI$4),1))</f>
        <v>1118.48043402027</v>
      </c>
      <c r="BJ78" s="10" t="n">
        <f aca="false">IF(Flows!BJ48*BJ$3*BJ$4&lt;0.002,100,MAX($CM$2/(Flows!BJ48*BJ$3*BJ$4),1))</f>
        <v>7.78771778254713</v>
      </c>
      <c r="BK78" s="10" t="n">
        <f aca="false">IF(Flows!BK48*BK$3*BK$4&lt;0.002,100,MAX($CM$2/(Flows!BK48*BK$3*BK$4),1))</f>
        <v>2236.96086804054</v>
      </c>
      <c r="BL78" s="10" t="n">
        <f aca="false">IF(Flows!BL48*BL$3*BL$4&lt;0.002,100,MAX($CM$2/(Flows!BL48*BL$3*BL$4),1))</f>
        <v>252.148344520648</v>
      </c>
      <c r="BM78" s="10" t="n">
        <f aca="false">IF(Flows!BM48*BM$3*BM$4&lt;0.002,100,MAX($CM$2/(Flows!BM48*BM$3*BM$4),1))</f>
        <v>161.041965616561</v>
      </c>
      <c r="BN78" s="10" t="n">
        <f aca="false">IF(Flows!BN48*BN$3*BN$4&lt;0.002,100,MAX($CM$2/(Flows!BN48*BN$3*BN$4),1))</f>
        <v>10.5762666420759</v>
      </c>
      <c r="BO78" s="10" t="n">
        <f aca="false">IF(Flows!BO48*BO$3*BO$4&lt;0.002,100,MAX($CM$2/(Flows!BO48*BO$3*BO$4),1))</f>
        <v>1858.01949581142</v>
      </c>
      <c r="BP78" s="10" t="n">
        <f aca="false">IF(Flows!BP48*BP$3*BP$4&lt;0.002,100,MAX($CM$2/(Flows!BP48*BP$3*BP$4),1))</f>
        <v>1378.07890544445</v>
      </c>
      <c r="BQ78" s="10" t="n">
        <f aca="false">IF(Flows!BQ48*BQ$3*BQ$4&lt;0.002,100,MAX($CM$2/(Flows!BQ48*BQ$3*BQ$4),1))</f>
        <v>16.2711794493475</v>
      </c>
      <c r="BR78" s="10" t="n">
        <f aca="false">IF(Flows!BR48*BR$3*BR$4&lt;0.002,100,MAX($CM$2/(Flows!BR48*BR$3*BR$4),1))</f>
        <v>55740.5764127952</v>
      </c>
      <c r="BS78" s="10" t="n">
        <f aca="false">IF(Flows!BS48*BS$3*BS$4&lt;0.002,100,MAX($CM$2/(Flows!BS48*BS$3*BS$4),1))</f>
        <v>557405.764127952</v>
      </c>
      <c r="BT78" s="10" t="n">
        <f aca="false">IF(Flows!BT48*BT$3*BT$4&lt;0.002,100,MAX($CM$2/(Flows!BT48*BT$3*BT$4),1))</f>
        <v>149.348383925833</v>
      </c>
      <c r="BU78" s="10" t="n">
        <f aca="false">IF(Flows!BU48*BU$3*BU$4&lt;0.002,100,MAX($CM$2/(Flows!BU48*BU$3*BU$4),1))</f>
        <v>1493.48383925833</v>
      </c>
      <c r="BV78" s="10" t="n">
        <f aca="false">IF(Flows!BV48*BV$3*BV$4&lt;0.002,100,MAX($CM$2/(Flows!BV48*BV$3*BV$4),1))</f>
        <v>14934.8383925833</v>
      </c>
      <c r="BW78" s="10" t="n">
        <f aca="false">IF(Flows!BW48*BW$3*BW$4&lt;0.002,100,MAX($CM$2/(Flows!BW48*BW$3*BW$4),1))</f>
        <v>272.064211007432</v>
      </c>
      <c r="BX78" s="10" t="n">
        <f aca="false">IF(Flows!BX48*BX$3*BX$4&lt;0.002,100,MAX($CM$2/(Flows!BX48*BX$3*BX$4),1))</f>
        <v>46.8326520040954</v>
      </c>
      <c r="BY78" s="10" t="n">
        <f aca="false">IF(Flows!BY48*BY$3*BY$4&lt;0.002,100,MAX($CM$2/(Flows!BY48*BY$3*BY$4),1))</f>
        <v>41.8811093447455</v>
      </c>
      <c r="BZ78" s="10" t="n">
        <f aca="false">IF(Flows!BZ48*BZ$3*BZ$4&lt;0.002,100,MAX($CM$2/(Flows!BZ48*BZ$3*BZ$4),1))</f>
        <v>242750.955458563</v>
      </c>
      <c r="CA78" s="10" t="n">
        <f aca="false">IF(Flows!CA48*CA$3*CA$4&lt;0.002,100,MAX($CM$2/(Flows!CA48*CA$3*CA$4),1))</f>
        <v>78334.2860084605</v>
      </c>
      <c r="CB78" s="10" t="n">
        <f aca="false">IF(Flows!CB48*CB$3*CB$4&lt;0.002,100,MAX($CM$2/(Flows!CB48*CB$3*CB$4),1))</f>
        <v>119.294256958786</v>
      </c>
      <c r="CC78" s="10" t="n">
        <f aca="false">IF(Flows!CC48*CC$3*CC$4&lt;0.002,100,MAX($CM$2/(Flows!CC48*CC$3*CC$4),1))</f>
        <v>17.9796415375469</v>
      </c>
      <c r="CD78" s="10" t="n">
        <f aca="false">IF(Flows!CD48*CD$3*CD$4&lt;0.002,100,MAX($CM$2/(Flows!CD48*CD$3*CD$4),1))</f>
        <v>738.157679010695</v>
      </c>
      <c r="CE78" s="10" t="n">
        <f aca="false">IF(Flows!CE48*CE$3*CE$4&lt;0.002,100,MAX($CM$2/(Flows!CE48*CE$3*CE$4),1))</f>
        <v>380.978341357255</v>
      </c>
      <c r="CF78" s="10" t="n">
        <f aca="false">IF(Flows!CF48*CF$3*CF$4&lt;0.002,100,MAX($CM$2/(Flows!CF48*CF$3*CF$4),1))</f>
        <v>1</v>
      </c>
      <c r="CG78" s="10" t="n">
        <f aca="false">IF(Flows!CG48*CG$3*CG$4&lt;0.002,100,MAX($CM$2/(Flows!CG48*CG$3*CG$4),1))</f>
        <v>425.830666549062</v>
      </c>
      <c r="CH78" s="10" t="n">
        <f aca="false">IF(Flows!CH48*CH$3*CH$4&lt;0.002,100,MAX($CM$2/(Flows!CH48*CH$3*CH$4),1))</f>
        <v>23.9663582977127</v>
      </c>
      <c r="CI78" s="10" t="n">
        <f aca="false">IF(Flows!CI48*CI$3*CI$4&lt;0.002,100,MAX($CM$2/(Flows!CI48*CI$3*CI$4),1))</f>
        <v>450.026294288232</v>
      </c>
      <c r="CJ78" s="10" t="n">
        <f aca="false">IF(Flows!CJ48*CJ$3*CJ$4&lt;0.002,100,MAX($CM$2/(Flows!CJ48*CJ$3*CJ$4),1))</f>
        <v>15975.7782869396</v>
      </c>
      <c r="CK78" s="10" t="n">
        <f aca="false">IF(Flows!CK48*CK$3*CK$4&lt;0.002,100,MAX($CM$2/(Flows!CK48*CK$3*CK$4),1))</f>
        <v>1533.20132665754</v>
      </c>
      <c r="CL78" s="7" t="s">
        <v>320</v>
      </c>
    </row>
    <row r="79" customFormat="false" ht="12.8" hidden="false" customHeight="false" outlineLevel="0" collapsed="false">
      <c r="A79" s="7" t="s">
        <v>156</v>
      </c>
      <c r="B79" s="7" t="s">
        <v>39</v>
      </c>
      <c r="C79" s="10" t="n">
        <f aca="false">IF(Flows!C49*C$3*C$4&lt;0.002,100,MAX($CM$2/(Flows!C49*C$3*C$4),1))</f>
        <v>20886.0957604733</v>
      </c>
      <c r="D79" s="10" t="n">
        <f aca="false">IF(Flows!D49*D$3*D$4&lt;0.002,100,MAX($CM$2/(Flows!D49*D$3*D$4),1))</f>
        <v>2.38262885619789</v>
      </c>
      <c r="E79" s="10" t="n">
        <f aca="false">IF(Flows!E49*E$3*E$4&lt;0.002,100,MAX($CM$2/(Flows!E49*E$3*E$4),1))</f>
        <v>3.74344488271804</v>
      </c>
      <c r="F79" s="10" t="n">
        <f aca="false">IF(Flows!F49*F$3*F$4&lt;0.002,100,MAX($CM$2/(Flows!F49*F$3*F$4),1))</f>
        <v>8.30008646969688</v>
      </c>
      <c r="G79" s="10" t="n">
        <f aca="false">IF(Flows!G49*G$3*G$4&lt;0.002,100,MAX($CM$2/(Flows!G49*G$3*G$4),1))</f>
        <v>2.00508392381394</v>
      </c>
      <c r="H79" s="10" t="n">
        <f aca="false">IF(Flows!H49*H$3*H$4&lt;0.002,100,MAX($CM$2/(Flows!H49*H$3*H$4),1))</f>
        <v>1025.6413028845</v>
      </c>
      <c r="I79" s="10" t="n">
        <f aca="false">IF(Flows!I49*I$3*I$4&lt;0.002,100,MAX($CM$2/(Flows!I49*I$3*I$4),1))</f>
        <v>3127.57553443368</v>
      </c>
      <c r="J79" s="10" t="n">
        <f aca="false">IF(Flows!J49*J$3*J$4&lt;0.002,100,MAX($CM$2/(Flows!J49*J$3*J$4),1))</f>
        <v>965.901155004887</v>
      </c>
      <c r="K79" s="10" t="n">
        <f aca="false">IF(Flows!K49*K$3*K$4&lt;0.002,100,MAX($CM$2/(Flows!K49*K$3*K$4),1))</f>
        <v>13047.7491748722</v>
      </c>
      <c r="L79" s="10" t="n">
        <f aca="false">IF(Flows!L49*L$3*L$4&lt;0.002,100,MAX($CM$2/(Flows!L49*L$3*L$4),1))</f>
        <v>66379.4434424713</v>
      </c>
      <c r="M79" s="10" t="n">
        <f aca="false">IF(Flows!M49*M$3*M$4&lt;0.002,100,MAX($CM$2/(Flows!M49*M$3*M$4),1))</f>
        <v>47773.4044120515</v>
      </c>
      <c r="N79" s="10" t="n">
        <f aca="false">IF(Flows!N49*N$3*N$4&lt;0.002,100,MAX($CM$2/(Flows!N49*N$3*N$4),1))</f>
        <v>1.93178305078575</v>
      </c>
      <c r="O79" s="10" t="n">
        <f aca="false">IF(Flows!O49*O$3*O$4&lt;0.002,100,MAX($CM$2/(Flows!O49*O$3*O$4),1))</f>
        <v>1.90610308495832</v>
      </c>
      <c r="P79" s="10" t="n">
        <f aca="false">IF(Flows!P49*P$3*P$4&lt;0.002,100,MAX($CM$2/(Flows!P49*P$3*P$4),1))</f>
        <v>1.14366185097499</v>
      </c>
      <c r="Q79" s="10" t="n">
        <f aca="false">IF(Flows!Q49*Q$3*Q$4&lt;0.002,100,MAX($CM$2/(Flows!Q49*Q$3*Q$4),1))</f>
        <v>156.366579025536</v>
      </c>
      <c r="R79" s="10" t="n">
        <f aca="false">IF(Flows!R49*R$3*R$4&lt;0.002,100,MAX($CM$2/(Flows!R49*R$3*R$4),1))</f>
        <v>52.5613936975388</v>
      </c>
      <c r="S79" s="10" t="n">
        <f aca="false">IF(Flows!S49*S$3*S$4&lt;0.002,100,MAX($CM$2/(Flows!S49*S$3*S$4),1))</f>
        <v>568.966658078324</v>
      </c>
      <c r="T79" s="10" t="n">
        <f aca="false">IF(Flows!T49*T$3*T$4&lt;0.002,100,MAX($CM$2/(Flows!T49*T$3*T$4),1))</f>
        <v>1018.00406960093</v>
      </c>
      <c r="U79" s="10" t="n">
        <f aca="false">IF(Flows!U49*U$3*U$4&lt;0.002,100,MAX($CM$2/(Flows!U49*U$3*U$4),1))</f>
        <v>3184.8936274701</v>
      </c>
      <c r="V79" s="10" t="n">
        <f aca="false">IF(Flows!V49*V$3*V$4&lt;0.002,100,MAX($CM$2/(Flows!V49*V$3*V$4),1))</f>
        <v>739.229385818138</v>
      </c>
      <c r="W79" s="10" t="n">
        <f aca="false">IF(Flows!W49*W$3*W$4&lt;0.002,100,MAX($CM$2/(Flows!W49*W$3*W$4),1))</f>
        <v>6.12128182004047</v>
      </c>
      <c r="X79" s="10" t="n">
        <f aca="false">IF(Flows!X49*X$3*X$4&lt;0.002,100,MAX($CM$2/(Flows!X49*X$3*X$4),1))</f>
        <v>158.916521832328</v>
      </c>
      <c r="Y79" s="10" t="n">
        <f aca="false">IF(Flows!Y49*Y$3*Y$4&lt;0.002,100,MAX($CM$2/(Flows!Y49*Y$3*Y$4),1))</f>
        <v>331.897217212357</v>
      </c>
      <c r="Z79" s="10" t="n">
        <f aca="false">IF(Flows!Z49*Z$3*Z$4&lt;0.002,100,MAX($CM$2/(Flows!Z49*Z$3*Z$4),1))</f>
        <v>2262.26603814256</v>
      </c>
      <c r="AA79" s="10" t="n">
        <f aca="false">IF(Flows!AA49*AA$3*AA$4&lt;0.002,100,MAX($CM$2/(Flows!AA49*AA$3*AA$4),1))</f>
        <v>3072.50586936035</v>
      </c>
      <c r="AB79" s="10" t="n">
        <f aca="false">IF(Flows!AB49*AB$3*AB$4&lt;0.002,100,MAX($CM$2/(Flows!AB49*AB$3*AB$4),1))</f>
        <v>4011.7295390618</v>
      </c>
      <c r="AC79" s="10" t="n">
        <f aca="false">IF(Flows!AC49*AC$3*AC$4&lt;0.002,100,MAX($CM$2/(Flows!AC49*AC$3*AC$4),1))</f>
        <v>14962.7777969604</v>
      </c>
      <c r="AD79" s="10" t="n">
        <f aca="false">IF(Flows!AD49*AD$3*AD$4&lt;0.002,100,MAX($CM$2/(Flows!AD49*AD$3*AD$4),1))</f>
        <v>25270.7797836426</v>
      </c>
      <c r="AE79" s="10" t="n">
        <f aca="false">IF(Flows!AE49*AE$3*AE$4&lt;0.002,100,MAX($CM$2/(Flows!AE49*AE$3*AE$4),1))</f>
        <v>68778.0803573288</v>
      </c>
      <c r="AF79" s="10" t="n">
        <f aca="false">IF(Flows!AF49*AF$3*AF$4&lt;0.002,100,MAX($CM$2/(Flows!AF49*AF$3*AF$4),1))</f>
        <v>723.303056145896</v>
      </c>
      <c r="AG79" s="10" t="n">
        <f aca="false">IF(Flows!AG49*AG$3*AG$4&lt;0.002,100,MAX($CM$2/(Flows!AG49*AG$3*AG$4),1))</f>
        <v>303.069427374252</v>
      </c>
      <c r="AH79" s="10" t="n">
        <f aca="false">IF(Flows!AH49*AH$3*AH$4&lt;0.002,100,MAX($CM$2/(Flows!AH49*AH$3*AH$4),1))</f>
        <v>186.849139941612</v>
      </c>
      <c r="AI79" s="10" t="n">
        <f aca="false">IF(Flows!AI49*AI$3*AI$4&lt;0.002,100,MAX($CM$2/(Flows!AI49*AI$3*AI$4),1))</f>
        <v>2316.60041715231</v>
      </c>
      <c r="AJ79" s="10" t="n">
        <f aca="false">IF(Flows!AJ49*AJ$3*AJ$4&lt;0.002,100,MAX($CM$2/(Flows!AJ49*AJ$3*AJ$4),1))</f>
        <v>538.151834437509</v>
      </c>
      <c r="AK79" s="10" t="n">
        <f aca="false">IF(Flows!AK49*AK$3*AK$4&lt;0.002,100,MAX($CM$2/(Flows!AK49*AK$3*AK$4),1))</f>
        <v>232.547053794934</v>
      </c>
      <c r="AL79" s="10" t="n">
        <f aca="false">IF(Flows!AL49*AL$3*AL$4&lt;0.002,100,MAX($CM$2/(Flows!AL49*AL$3*AL$4),1))</f>
        <v>748.881078727821</v>
      </c>
      <c r="AM79" s="10" t="n">
        <f aca="false">IF(Flows!AM49*AM$3*AM$4&lt;0.002,100,MAX($CM$2/(Flows!AM49*AM$3*AM$4),1))</f>
        <v>899.152680105021</v>
      </c>
      <c r="AN79" s="10" t="n">
        <f aca="false">IF(Flows!AN49*AN$3*AN$4&lt;0.002,100,MAX($CM$2/(Flows!AN49*AN$3*AN$4),1))</f>
        <v>1062.31931015705</v>
      </c>
      <c r="AO79" s="10" t="n">
        <f aca="false">IF(Flows!AO49*AO$3*AO$4&lt;0.002,100,MAX($CM$2/(Flows!AO49*AO$3*AO$4),1))</f>
        <v>14318.6124568789</v>
      </c>
      <c r="AP79" s="10" t="n">
        <f aca="false">IF(Flows!AP49*AP$3*AP$4&lt;0.002,100,MAX($CM$2/(Flows!AP49*AP$3*AP$4),1))</f>
        <v>16693.7477921846</v>
      </c>
      <c r="AQ79" s="10" t="n">
        <f aca="false">IF(Flows!AQ49*AQ$3*AQ$4&lt;0.002,100,MAX($CM$2/(Flows!AQ49*AQ$3*AQ$4),1))</f>
        <v>5502.20097828718</v>
      </c>
      <c r="AR79" s="10" t="n">
        <f aca="false">IF(Flows!AR49*AR$3*AR$4&lt;0.002,100,MAX($CM$2/(Flows!AR49*AR$3*AR$4),1))</f>
        <v>7940.79610100267</v>
      </c>
      <c r="AS79" s="10" t="n">
        <f aca="false">IF(Flows!AS49*AS$3*AS$4&lt;0.002,100,MAX($CM$2/(Flows!AS49*AS$3*AS$4),1))</f>
        <v>1329.0620468312</v>
      </c>
      <c r="AT79" s="10" t="n">
        <f aca="false">IF(Flows!AT49*AT$3*AT$4&lt;0.002,100,MAX($CM$2/(Flows!AT49*AT$3*AT$4),1))</f>
        <v>1045.62240691817</v>
      </c>
      <c r="AU79" s="10" t="n">
        <f aca="false">IF(Flows!AU49*AU$3*AU$4&lt;0.002,100,MAX($CM$2/(Flows!AU49*AU$3*AU$4),1))</f>
        <v>267.108239690195</v>
      </c>
      <c r="AV79" s="10" t="n">
        <f aca="false">IF(Flows!AV49*AV$3*AV$4&lt;0.002,100,MAX($CM$2/(Flows!AV49*AV$3*AV$4),1))</f>
        <v>8027.76097491443</v>
      </c>
      <c r="AW79" s="10" t="n">
        <f aca="false">IF(Flows!AW49*AW$3*AW$4&lt;0.002,100,MAX($CM$2/(Flows!AW49*AW$3*AW$4),1))</f>
        <v>4.84226533113715</v>
      </c>
      <c r="AX79" s="10" t="n">
        <f aca="false">IF(Flows!AX49*AX$3*AX$4&lt;0.002,100,MAX($CM$2/(Flows!AX49*AX$3*AX$4),1))</f>
        <v>1161.80101188344</v>
      </c>
      <c r="AY79" s="10" t="n">
        <f aca="false">IF(Flows!AY49*AY$3*AY$4&lt;0.002,100,MAX($CM$2/(Flows!AY49*AY$3*AY$4),1))</f>
        <v>148.141413711554</v>
      </c>
      <c r="AZ79" s="10" t="n">
        <f aca="false">IF(Flows!AZ49*AZ$3*AZ$4&lt;0.002,100,MAX($CM$2/(Flows!AZ49*AZ$3*AZ$4),1))</f>
        <v>51.8855444957579</v>
      </c>
      <c r="BA79" s="10" t="n">
        <f aca="false">IF(Flows!BA49*BA$3*BA$4&lt;0.002,100,MAX($CM$2/(Flows!BA49*BA$3*BA$4),1))</f>
        <v>3385.35161556604</v>
      </c>
      <c r="BB79" s="10" t="n">
        <f aca="false">IF(Flows!BB49*BB$3*BB$4&lt;0.002,100,MAX($CM$2/(Flows!BB49*BB$3*BB$4),1))</f>
        <v>1882.9127499705</v>
      </c>
      <c r="BC79" s="10" t="n">
        <f aca="false">IF(Flows!BC49*BC$3*BC$4&lt;0.002,100,MAX($CM$2/(Flows!BC49*BC$3*BC$4),1))</f>
        <v>1280.48180291635</v>
      </c>
      <c r="BD79" s="10" t="n">
        <f aca="false">IF(Flows!BD49*BD$3*BD$4&lt;0.002,100,MAX($CM$2/(Flows!BD49*BD$3*BD$4),1))</f>
        <v>7779.31950707425</v>
      </c>
      <c r="BE79" s="10" t="n">
        <f aca="false">IF(Flows!BE49*BE$3*BE$4&lt;0.002,100,MAX($CM$2/(Flows!BE49*BE$3*BE$4),1))</f>
        <v>7627.85161183871</v>
      </c>
      <c r="BF79" s="10" t="n">
        <f aca="false">IF(Flows!BF49*BF$3*BF$4&lt;0.002,100,MAX($CM$2/(Flows!BF49*BF$3*BF$4),1))</f>
        <v>1584.23901075522</v>
      </c>
      <c r="BG79" s="10" t="n">
        <f aca="false">IF(Flows!BG49*BG$3*BG$4&lt;0.002,100,MAX($CM$2/(Flows!BG49*BG$3*BG$4),1))</f>
        <v>172.318254841277</v>
      </c>
      <c r="BH79" s="10" t="n">
        <f aca="false">IF(Flows!BH49*BH$3*BH$4&lt;0.002,100,MAX($CM$2/(Flows!BH49*BH$3*BH$4),1))</f>
        <v>86.1591274206383</v>
      </c>
      <c r="BI79" s="10" t="n">
        <f aca="false">IF(Flows!BI49*BI$3*BI$4&lt;0.002,100,MAX($CM$2/(Flows!BI49*BI$3*BI$4),1))</f>
        <v>64.6193455654788</v>
      </c>
      <c r="BJ79" s="10" t="n">
        <f aca="false">IF(Flows!BJ49*BJ$3*BJ$4&lt;0.002,100,MAX($CM$2/(Flows!BJ49*BJ$3*BJ$4),1))</f>
        <v>4.82594725924199</v>
      </c>
      <c r="BK79" s="10" t="n">
        <f aca="false">IF(Flows!BK49*BK$3*BK$4&lt;0.002,100,MAX($CM$2/(Flows!BK49*BK$3*BK$4),1))</f>
        <v>129.238691130958</v>
      </c>
      <c r="BL79" s="10" t="n">
        <f aca="false">IF(Flows!BL49*BL$3*BL$4&lt;0.002,100,MAX($CM$2/(Flows!BL49*BL$3*BL$4),1))</f>
        <v>4571.26229726378</v>
      </c>
      <c r="BM79" s="10" t="n">
        <f aca="false">IF(Flows!BM49*BM$3*BM$4&lt;0.002,100,MAX($CM$2/(Flows!BM49*BM$3*BM$4),1))</f>
        <v>20.1529166796258</v>
      </c>
      <c r="BN79" s="10" t="n">
        <f aca="false">IF(Flows!BN49*BN$3*BN$4&lt;0.002,100,MAX($CM$2/(Flows!BN49*BN$3*BN$4),1))</f>
        <v>214996.275729121</v>
      </c>
      <c r="BO79" s="10" t="n">
        <f aca="false">IF(Flows!BO49*BO$3*BO$4&lt;0.002,100,MAX($CM$2/(Flows!BO49*BO$3*BO$4),1))</f>
        <v>4.61325712910418</v>
      </c>
      <c r="BP79" s="10" t="n">
        <f aca="false">IF(Flows!BP49*BP$3*BP$4&lt;0.002,100,MAX($CM$2/(Flows!BP49*BP$3*BP$4),1))</f>
        <v>12.9274841630434</v>
      </c>
      <c r="BQ79" s="10" t="n">
        <f aca="false">IF(Flows!BQ49*BQ$3*BQ$4&lt;0.002,100,MAX($CM$2/(Flows!BQ49*BQ$3*BQ$4),1))</f>
        <v>330763.501121724</v>
      </c>
      <c r="BR79" s="10" t="n">
        <f aca="false">IF(Flows!BR49*BR$3*BR$4&lt;0.002,100,MAX($CM$2/(Flows!BR49*BR$3*BR$4),1))</f>
        <v>138.397683053334</v>
      </c>
      <c r="BS79" s="10" t="n">
        <f aca="false">IF(Flows!BS49*BS$3*BS$4&lt;0.002,100,MAX($CM$2/(Flows!BS49*BS$3*BS$4),1))</f>
        <v>1383.97683053334</v>
      </c>
      <c r="BT79" s="10" t="n">
        <f aca="false">IF(Flows!BT49*BT$3*BT$4&lt;0.002,100,MAX($CM$2/(Flows!BT49*BT$3*BT$4),1))</f>
        <v>1</v>
      </c>
      <c r="BU79" s="10" t="n">
        <f aca="false">IF(Flows!BU49*BU$3*BU$4&lt;0.002,100,MAX($CM$2/(Flows!BU49*BU$3*BU$4),1))</f>
        <v>7.16071357429833</v>
      </c>
      <c r="BV79" s="10" t="n">
        <f aca="false">IF(Flows!BV49*BV$3*BV$4&lt;0.002,100,MAX($CM$2/(Flows!BV49*BV$3*BV$4),1))</f>
        <v>71.6071357429833</v>
      </c>
      <c r="BW79" s="10" t="n">
        <f aca="false">IF(Flows!BW49*BW$3*BW$4&lt;0.002,100,MAX($CM$2/(Flows!BW49*BW$3*BW$4),1))</f>
        <v>11.2303346481541</v>
      </c>
      <c r="BX79" s="10" t="n">
        <f aca="false">IF(Flows!BX49*BX$3*BX$4&lt;0.002,100,MAX($CM$2/(Flows!BX49*BX$3*BX$4),1))</f>
        <v>8.76399530233873</v>
      </c>
      <c r="BY79" s="10" t="n">
        <f aca="false">IF(Flows!BY49*BY$3*BY$4&lt;0.002,100,MAX($CM$2/(Flows!BY49*BY$3*BY$4),1))</f>
        <v>62.6287191789344</v>
      </c>
      <c r="BZ79" s="10" t="n">
        <f aca="false">IF(Flows!BZ49*BZ$3*BZ$4&lt;0.002,100,MAX($CM$2/(Flows!BZ49*BZ$3*BZ$4),1))</f>
        <v>1875185.84273674</v>
      </c>
      <c r="CA79" s="10" t="n">
        <f aca="false">IF(Flows!CA49*CA$3*CA$4&lt;0.002,100,MAX($CM$2/(Flows!CA49*CA$3*CA$4),1))</f>
        <v>932187.980277951</v>
      </c>
      <c r="CB79" s="10" t="n">
        <f aca="false">IF(Flows!CB49*CB$3*CB$4&lt;0.002,100,MAX($CM$2/(Flows!CB49*CB$3*CB$4),1))</f>
        <v>414.747613358223</v>
      </c>
      <c r="CC79" s="10" t="n">
        <f aca="false">IF(Flows!CC49*CC$3*CC$4&lt;0.002,100,MAX($CM$2/(Flows!CC49*CC$3*CC$4),1))</f>
        <v>445.87074158273</v>
      </c>
      <c r="CD79" s="10" t="n">
        <f aca="false">IF(Flows!CD49*CD$3*CD$4&lt;0.002,100,MAX($CM$2/(Flows!CD49*CD$3*CD$4),1))</f>
        <v>38.0572651106826</v>
      </c>
      <c r="CE79" s="10" t="n">
        <f aca="false">IF(Flows!CE49*CE$3*CE$4&lt;0.002,100,MAX($CM$2/(Flows!CE49*CE$3*CE$4),1))</f>
        <v>3.37389769971648</v>
      </c>
      <c r="CF79" s="10" t="n">
        <f aca="false">IF(Flows!CF49*CF$3*CF$4&lt;0.002,100,MAX($CM$2/(Flows!CF49*CF$3*CF$4),1))</f>
        <v>63.4991781322107</v>
      </c>
      <c r="CG79" s="10" t="n">
        <f aca="false">IF(Flows!CG49*CG$3*CG$4&lt;0.002,100,MAX($CM$2/(Flows!CG49*CG$3*CG$4),1))</f>
        <v>944.436549018606</v>
      </c>
      <c r="CH79" s="10" t="n">
        <f aca="false">IF(Flows!CH49*CH$3*CH$4&lt;0.002,100,MAX($CM$2/(Flows!CH49*CH$3*CH$4),1))</f>
        <v>942.740017604046</v>
      </c>
      <c r="CI79" s="10" t="n">
        <f aca="false">IF(Flows!CI49*CI$3*CI$4&lt;0.002,100,MAX($CM$2/(Flows!CI49*CI$3*CI$4),1))</f>
        <v>141.122785159406</v>
      </c>
      <c r="CJ79" s="10" t="n">
        <f aca="false">IF(Flows!CJ49*CJ$3*CJ$4&lt;0.002,100,MAX($CM$2/(Flows!CJ49*CJ$3*CJ$4),1))</f>
        <v>1300.48585400035</v>
      </c>
      <c r="CK79" s="10" t="n">
        <f aca="false">IF(Flows!CK49*CK$3*CK$4&lt;0.002,100,MAX($CM$2/(Flows!CK49*CK$3*CK$4),1))</f>
        <v>427.669549242846</v>
      </c>
      <c r="CL79" s="7" t="s">
        <v>320</v>
      </c>
    </row>
    <row r="80" customFormat="false" ht="12.8" hidden="false" customHeight="false" outlineLevel="0" collapsed="false">
      <c r="A80" s="7" t="s">
        <v>157</v>
      </c>
      <c r="B80" s="7" t="s">
        <v>39</v>
      </c>
      <c r="C80" s="10" t="n">
        <f aca="false">IF(Flows!C50*C$3*C$4&lt;0.002,100,MAX($CM$2/(Flows!C50*C$3*C$4),1))</f>
        <v>59804.8549129531</v>
      </c>
      <c r="D80" s="10" t="n">
        <f aca="false">IF(Flows!D50*D$3*D$4&lt;0.002,100,MAX($CM$2/(Flows!D50*D$3*D$4),1))</f>
        <v>10.8609067257562</v>
      </c>
      <c r="E80" s="10" t="n">
        <f aca="false">IF(Flows!E50*E$3*E$4&lt;0.002,100,MAX($CM$2/(Flows!E50*E$3*E$4),1))</f>
        <v>30.7743020591855</v>
      </c>
      <c r="F80" s="10" t="n">
        <f aca="false">IF(Flows!F50*F$3*F$4&lt;0.002,100,MAX($CM$2/(Flows!F50*F$3*F$4),1))</f>
        <v>87.450127024542</v>
      </c>
      <c r="G80" s="10" t="n">
        <f aca="false">IF(Flows!G50*G$3*G$4&lt;0.002,100,MAX($CM$2/(Flows!G50*G$3*G$4),1))</f>
        <v>23.81252298776</v>
      </c>
      <c r="H80" s="10" t="n">
        <f aca="false">IF(Flows!H50*H$3*H$4&lt;0.002,100,MAX($CM$2/(Flows!H50*H$3*H$4),1))</f>
        <v>24392.8363566842</v>
      </c>
      <c r="I80" s="10" t="n">
        <f aca="false">IF(Flows!I50*I$3*I$4&lt;0.002,100,MAX($CM$2/(Flows!I50*I$3*I$4),1))</f>
        <v>3842.7394322303</v>
      </c>
      <c r="J80" s="10" t="n">
        <f aca="false">IF(Flows!J50*J$3*J$4&lt;0.002,100,MAX($CM$2/(Flows!J50*J$3*J$4),1))</f>
        <v>2937.22373250252</v>
      </c>
      <c r="K80" s="10" t="n">
        <f aca="false">IF(Flows!K50*K$3*K$4&lt;0.002,100,MAX($CM$2/(Flows!K50*K$3*K$4),1))</f>
        <v>29662.5751118589</v>
      </c>
      <c r="L80" s="10" t="n">
        <f aca="false">IF(Flows!L50*L$3*L$4&lt;0.002,100,MAX($CM$2/(Flows!L50*L$3*L$4),1))</f>
        <v>189224.776302244</v>
      </c>
      <c r="M80" s="10" t="n">
        <f aca="false">IF(Flows!M50*M$3*M$4&lt;0.002,100,MAX($CM$2/(Flows!M50*M$3*M$4),1))</f>
        <v>142824.791570536</v>
      </c>
      <c r="N80" s="10" t="n">
        <f aca="false">IF(Flows!N50*N$3*N$4&lt;0.002,100,MAX($CM$2/(Flows!N50*N$3*N$4),1))</f>
        <v>30.4421742002458</v>
      </c>
      <c r="O80" s="10" t="n">
        <f aca="false">IF(Flows!O50*O$3*O$4&lt;0.002,100,MAX($CM$2/(Flows!O50*O$3*O$4),1))</f>
        <v>8.68872538060496</v>
      </c>
      <c r="P80" s="10" t="n">
        <f aca="false">IF(Flows!P50*P$3*P$4&lt;0.002,100,MAX($CM$2/(Flows!P50*P$3*P$4),1))</f>
        <v>5.21323522836297</v>
      </c>
      <c r="Q80" s="10" t="n">
        <f aca="false">IF(Flows!Q50*Q$3*Q$4&lt;0.002,100,MAX($CM$2/(Flows!Q50*Q$3*Q$4),1))</f>
        <v>287.693229524836</v>
      </c>
      <c r="R80" s="10" t="n">
        <f aca="false">IF(Flows!R50*R$3*R$4&lt;0.002,100,MAX($CM$2/(Flows!R50*R$3*R$4),1))</f>
        <v>44.7177035392773</v>
      </c>
      <c r="S80" s="10" t="n">
        <f aca="false">IF(Flows!S50*S$3*S$4&lt;0.002,100,MAX($CM$2/(Flows!S50*S$3*S$4),1))</f>
        <v>1621.92665401923</v>
      </c>
      <c r="T80" s="10" t="n">
        <f aca="false">IF(Flows!T50*T$3*T$4&lt;0.002,100,MAX($CM$2/(Flows!T50*T$3*T$4),1))</f>
        <v>2901.97661135793</v>
      </c>
      <c r="U80" s="10" t="n">
        <f aca="false">IF(Flows!U50*U$3*U$4&lt;0.002,100,MAX($CM$2/(Flows!U50*U$3*U$4),1))</f>
        <v>9521.65277136905</v>
      </c>
      <c r="V80" s="10" t="n">
        <f aca="false">IF(Flows!V50*V$3*V$4&lt;0.002,100,MAX($CM$2/(Flows!V50*V$3*V$4),1))</f>
        <v>2164.97101518714</v>
      </c>
      <c r="W80" s="10" t="n">
        <f aca="false">IF(Flows!W50*W$3*W$4&lt;0.002,100,MAX($CM$2/(Flows!W50*W$3*W$4),1))</f>
        <v>12.7077316867821</v>
      </c>
      <c r="X80" s="10" t="n">
        <f aca="false">IF(Flows!X50*X$3*X$4&lt;0.002,100,MAX($CM$2/(Flows!X50*X$3*X$4),1))</f>
        <v>4.44410030733832</v>
      </c>
      <c r="Y80" s="10" t="n">
        <f aca="false">IF(Flows!Y50*Y$3*Y$4&lt;0.002,100,MAX($CM$2/(Flows!Y50*Y$3*Y$4),1))</f>
        <v>946.123881511218</v>
      </c>
      <c r="Z80" s="10" t="n">
        <f aca="false">IF(Flows!Z50*Z$3*Z$4&lt;0.002,100,MAX($CM$2/(Flows!Z50*Z$3*Z$4),1))</f>
        <v>81450.4436974376</v>
      </c>
      <c r="AA80" s="10" t="n">
        <f aca="false">IF(Flows!AA50*AA$3*AA$4&lt;0.002,100,MAX($CM$2/(Flows!AA50*AA$3*AA$4),1))</f>
        <v>50212.59974908</v>
      </c>
      <c r="AB80" s="10" t="n">
        <f aca="false">IF(Flows!AB50*AB$3*AB$4&lt;0.002,100,MAX($CM$2/(Flows!AB50*AB$3*AB$4),1))</f>
        <v>32979.8302052746</v>
      </c>
      <c r="AC80" s="10" t="n">
        <f aca="false">IF(Flows!AC50*AC$3*AC$4&lt;0.002,100,MAX($CM$2/(Flows!AC50*AC$3*AC$4),1))</f>
        <v>471668.437404502</v>
      </c>
      <c r="AD80" s="10" t="n">
        <f aca="false">IF(Flows!AD50*AD$3*AD$4&lt;0.002,100,MAX($CM$2/(Flows!AD50*AD$3*AD$4),1))</f>
        <v>207747.311553392</v>
      </c>
      <c r="AE80" s="10" t="n">
        <f aca="false">IF(Flows!AE50*AE$3*AE$4&lt;0.002,100,MAX($CM$2/(Flows!AE50*AE$3*AE$4),1))</f>
        <v>354901.782310198</v>
      </c>
      <c r="AF80" s="10" t="n">
        <f aca="false">IF(Flows!AF50*AF$3*AF$4&lt;0.002,100,MAX($CM$2/(Flows!AF50*AF$3*AF$4),1))</f>
        <v>531.225413501401</v>
      </c>
      <c r="AG80" s="10" t="n">
        <f aca="false">IF(Flows!AG50*AG$3*AG$4&lt;0.002,100,MAX($CM$2/(Flows!AG50*AG$3*AG$4),1))</f>
        <v>963.825918157863</v>
      </c>
      <c r="AH80" s="10" t="n">
        <f aca="false">IF(Flows!AH50*AH$3*AH$4&lt;0.002,100,MAX($CM$2/(Flows!AH50*AH$3*AH$4),1))</f>
        <v>656.425267972457</v>
      </c>
      <c r="AI80" s="10" t="n">
        <f aca="false">IF(Flows!AI50*AI$3*AI$4&lt;0.002,100,MAX($CM$2/(Flows!AI50*AI$3*AI$4),1))</f>
        <v>4376.70814258766</v>
      </c>
      <c r="AJ80" s="10" t="n">
        <f aca="false">IF(Flows!AJ50*AJ$3*AJ$4&lt;0.002,100,MAX($CM$2/(Flows!AJ50*AJ$3*AJ$4),1))</f>
        <v>6115.83747133196</v>
      </c>
      <c r="AK80" s="10" t="n">
        <f aca="false">IF(Flows!AK50*AK$3*AK$4&lt;0.002,100,MAX($CM$2/(Flows!AK50*AK$3*AK$4),1))</f>
        <v>3530.89057398278</v>
      </c>
      <c r="AL80" s="10" t="n">
        <f aca="false">IF(Flows!AL50*AL$3*AL$4&lt;0.002,100,MAX($CM$2/(Flows!AL50*AL$3*AL$4),1))</f>
        <v>1580.83314964415</v>
      </c>
      <c r="AM80" s="10" t="n">
        <f aca="false">IF(Flows!AM50*AM$3*AM$4&lt;0.002,100,MAX($CM$2/(Flows!AM50*AM$3*AM$4),1))</f>
        <v>2580.81350514571</v>
      </c>
      <c r="AN80" s="10" t="n">
        <f aca="false">IF(Flows!AN50*AN$3*AN$4&lt;0.002,100,MAX($CM$2/(Flows!AN50*AN$3*AN$4),1))</f>
        <v>8996.27473217028</v>
      </c>
      <c r="AO80" s="10" t="n">
        <f aca="false">IF(Flows!AO50*AO$3*AO$4&lt;0.002,100,MAX($CM$2/(Flows!AO50*AO$3*AO$4),1))</f>
        <v>42111.3232019763</v>
      </c>
      <c r="AP80" s="10" t="n">
        <f aca="false">IF(Flows!AP50*AP$3*AP$4&lt;0.002,100,MAX($CM$2/(Flows!AP50*AP$3*AP$4),1))</f>
        <v>107130.888046724</v>
      </c>
      <c r="AQ80" s="10" t="n">
        <f aca="false">IF(Flows!AQ50*AQ$3*AQ$4&lt;0.002,100,MAX($CM$2/(Flows!AQ50*AQ$3*AQ$4),1))</f>
        <v>19459.0594860314</v>
      </c>
      <c r="AR80" s="10" t="n">
        <f aca="false">IF(Flows!AR50*AR$3*AR$4&lt;0.002,100,MAX($CM$2/(Flows!AR50*AR$3*AR$4),1))</f>
        <v>17173.2049799888</v>
      </c>
      <c r="AS80" s="10" t="n">
        <f aca="false">IF(Flows!AS50*AS$3*AS$4&lt;0.002,100,MAX($CM$2/(Flows!AS50*AS$3*AS$4),1))</f>
        <v>1781.44580730922</v>
      </c>
      <c r="AT80" s="10" t="n">
        <f aca="false">IF(Flows!AT50*AT$3*AT$4&lt;0.002,100,MAX($CM$2/(Flows!AT50*AT$3*AT$4),1))</f>
        <v>889.019076675029</v>
      </c>
      <c r="AU80" s="10" t="n">
        <f aca="false">IF(Flows!AU50*AU$3*AU$4&lt;0.002,100,MAX($CM$2/(Flows!AU50*AU$3*AU$4),1))</f>
        <v>3506.28872704792</v>
      </c>
      <c r="AV80" s="10" t="n">
        <f aca="false">IF(Flows!AV50*AV$3*AV$4&lt;0.002,100,MAX($CM$2/(Flows!AV50*AV$3*AV$4),1))</f>
        <v>8685.49510301167</v>
      </c>
      <c r="AW80" s="10" t="n">
        <f aca="false">IF(Flows!AW50*AW$3*AW$4&lt;0.002,100,MAX($CM$2/(Flows!AW50*AW$3*AW$4),1))</f>
        <v>138.467617251546</v>
      </c>
      <c r="AX80" s="10" t="n">
        <f aca="false">IF(Flows!AX50*AX$3*AX$4&lt;0.002,100,MAX($CM$2/(Flows!AX50*AX$3*AX$4),1))</f>
        <v>3720.47241294036</v>
      </c>
      <c r="AY80" s="10" t="n">
        <f aca="false">IF(Flows!AY50*AY$3*AY$4&lt;0.002,100,MAX($CM$2/(Flows!AY50*AY$3*AY$4),1))</f>
        <v>3554.58161158487</v>
      </c>
      <c r="AZ80" s="10" t="n">
        <f aca="false">IF(Flows!AZ50*AZ$3*AZ$4&lt;0.002,100,MAX($CM$2/(Flows!AZ50*AZ$3*AZ$4),1))</f>
        <v>811.35169293165</v>
      </c>
      <c r="BA80" s="10" t="n">
        <f aca="false">IF(Flows!BA50*BA$3*BA$4&lt;0.002,100,MAX($CM$2/(Flows!BA50*BA$3*BA$4),1))</f>
        <v>9650.46359141442</v>
      </c>
      <c r="BB80" s="10" t="n">
        <f aca="false">IF(Flows!BB50*BB$3*BB$4&lt;0.002,100,MAX($CM$2/(Flows!BB50*BB$3*BB$4),1))</f>
        <v>2905.69004195049</v>
      </c>
      <c r="BC80" s="10" t="n">
        <f aca="false">IF(Flows!BC50*BC$3*BC$4&lt;0.002,100,MAX($CM$2/(Flows!BC50*BC$3*BC$4),1))</f>
        <v>966.903035397625</v>
      </c>
      <c r="BD80" s="10" t="n">
        <f aca="false">IF(Flows!BD50*BD$3*BD$4&lt;0.002,100,MAX($CM$2/(Flows!BD50*BD$3*BD$4),1))</f>
        <v>7703.41723624727</v>
      </c>
      <c r="BE80" s="10" t="n">
        <f aca="false">IF(Flows!BE50*BE$3*BE$4&lt;0.002,100,MAX($CM$2/(Flows!BE50*BE$3*BE$4),1))</f>
        <v>48023.6222999265</v>
      </c>
      <c r="BF80" s="10" t="n">
        <f aca="false">IF(Flows!BF50*BF$3*BF$4&lt;0.002,100,MAX($CM$2/(Flows!BF50*BF$3*BF$4),1))</f>
        <v>1677.70715385509</v>
      </c>
      <c r="BG80" s="10" t="n">
        <f aca="false">IF(Flows!BG50*BG$3*BG$4&lt;0.002,100,MAX($CM$2/(Flows!BG50*BG$3*BG$4),1))</f>
        <v>1011.95436159836</v>
      </c>
      <c r="BH80" s="10" t="n">
        <f aca="false">IF(Flows!BH50*BH$3*BH$4&lt;0.002,100,MAX($CM$2/(Flows!BH50*BH$3*BH$4),1))</f>
        <v>2148686.05045032</v>
      </c>
      <c r="BI80" s="10" t="n">
        <f aca="false">IF(Flows!BI50*BI$3*BI$4&lt;0.002,100,MAX($CM$2/(Flows!BI50*BI$3*BI$4),1))</f>
        <v>379.482885599384</v>
      </c>
      <c r="BJ80" s="10" t="n">
        <f aca="false">IF(Flows!BJ50*BJ$3*BJ$4&lt;0.002,100,MAX($CM$2/(Flows!BJ50*BJ$3*BJ$4),1))</f>
        <v>8.85975275714075</v>
      </c>
      <c r="BK80" s="10" t="n">
        <f aca="false">IF(Flows!BK50*BK$3*BK$4&lt;0.002,100,MAX($CM$2/(Flows!BK50*BK$3*BK$4),1))</f>
        <v>758.965771198768</v>
      </c>
      <c r="BL80" s="10" t="n">
        <f aca="false">IF(Flows!BL50*BL$3*BL$4&lt;0.002,100,MAX($CM$2/(Flows!BL50*BL$3*BL$4),1))</f>
        <v>90.5938257606436</v>
      </c>
      <c r="BM80" s="10" t="n">
        <f aca="false">IF(Flows!BM50*BM$3*BM$4&lt;0.002,100,MAX($CM$2/(Flows!BM50*BM$3*BM$4),1))</f>
        <v>44.8710428681425</v>
      </c>
      <c r="BN80" s="10" t="n">
        <f aca="false">IF(Flows!BN50*BN$3*BN$4&lt;0.002,100,MAX($CM$2/(Flows!BN50*BN$3*BN$4),1))</f>
        <v>1</v>
      </c>
      <c r="BO80" s="10" t="n">
        <f aca="false">IF(Flows!BO50*BO$3*BO$4&lt;0.002,100,MAX($CM$2/(Flows!BO50*BO$3*BO$4),1))</f>
        <v>261.823774468689</v>
      </c>
      <c r="BP80" s="10" t="n">
        <f aca="false">IF(Flows!BP50*BP$3*BP$4&lt;0.002,100,MAX($CM$2/(Flows!BP50*BP$3*BP$4),1))</f>
        <v>370.777953322407</v>
      </c>
      <c r="BQ80" s="10" t="n">
        <f aca="false">IF(Flows!BQ50*BQ$3*BQ$4&lt;0.002,100,MAX($CM$2/(Flows!BQ50*BQ$3*BQ$4),1))</f>
        <v>1.19316052941588</v>
      </c>
      <c r="BR80" s="10" t="n">
        <f aca="false">IF(Flows!BR50*BR$3*BR$4&lt;0.002,100,MAX($CM$2/(Flows!BR50*BR$3*BR$4),1))</f>
        <v>7854.7118875698</v>
      </c>
      <c r="BS80" s="10" t="n">
        <f aca="false">IF(Flows!BS50*BS$3*BS$4&lt;0.002,100,MAX($CM$2/(Flows!BS50*BS$3*BS$4),1))</f>
        <v>78547.118875698</v>
      </c>
      <c r="BT80" s="10" t="n">
        <f aca="false">IF(Flows!BT50*BT$3*BT$4&lt;0.002,100,MAX($CM$2/(Flows!BT50*BT$3*BT$4),1))</f>
        <v>21.0694471358657</v>
      </c>
      <c r="BU80" s="10" t="n">
        <f aca="false">IF(Flows!BU50*BU$3*BU$4&lt;0.002,100,MAX($CM$2/(Flows!BU50*BU$3*BU$4),1))</f>
        <v>210.694471358657</v>
      </c>
      <c r="BV80" s="10" t="n">
        <f aca="false">IF(Flows!BV50*BV$3*BV$4&lt;0.002,100,MAX($CM$2/(Flows!BV50*BV$3*BV$4),1))</f>
        <v>2106.94471358657</v>
      </c>
      <c r="BW80" s="10" t="n">
        <f aca="false">IF(Flows!BW50*BW$3*BW$4&lt;0.002,100,MAX($CM$2/(Flows!BW50*BW$3*BW$4),1))</f>
        <v>92.3229061775565</v>
      </c>
      <c r="BX80" s="10" t="n">
        <f aca="false">IF(Flows!BX50*BX$3*BX$4&lt;0.002,100,MAX($CM$2/(Flows!BX50*BX$3*BX$4),1))</f>
        <v>63.6248359028828</v>
      </c>
      <c r="BY80" s="10" t="n">
        <f aca="false">IF(Flows!BY50*BY$3*BY$4&lt;0.002,100,MAX($CM$2/(Flows!BY50*BY$3*BY$4),1))</f>
        <v>286.130995436955</v>
      </c>
      <c r="BZ80" s="10" t="n">
        <f aca="false">IF(Flows!BZ50*BZ$3*BZ$4&lt;0.002,100,MAX($CM$2/(Flows!BZ50*BZ$3*BZ$4),1))</f>
        <v>35553.3071586242</v>
      </c>
      <c r="CA80" s="10" t="n">
        <f aca="false">IF(Flows!CA50*CA$3*CA$4&lt;0.002,100,MAX($CM$2/(Flows!CA50*CA$3*CA$4),1))</f>
        <v>108265.13891846</v>
      </c>
      <c r="CB80" s="10" t="n">
        <f aca="false">IF(Flows!CB50*CB$3*CB$4&lt;0.002,100,MAX($CM$2/(Flows!CB50*CB$3*CB$4),1))</f>
        <v>53.0005705904275</v>
      </c>
      <c r="CC80" s="10" t="n">
        <f aca="false">IF(Flows!CC50*CC$3*CC$4&lt;0.002,100,MAX($CM$2/(Flows!CC50*CC$3*CC$4),1))</f>
        <v>12.1858025761264</v>
      </c>
      <c r="CD80" s="10" t="n">
        <f aca="false">IF(Flows!CD50*CD$3*CD$4&lt;0.002,100,MAX($CM$2/(Flows!CD50*CD$3*CD$4),1))</f>
        <v>251.269483896839</v>
      </c>
      <c r="CE80" s="10" t="n">
        <f aca="false">IF(Flows!CE50*CE$3*CE$4&lt;0.002,100,MAX($CM$2/(Flows!CE50*CE$3*CE$4),1))</f>
        <v>52.3789244439842</v>
      </c>
      <c r="CF80" s="10" t="n">
        <f aca="false">IF(Flows!CF50*CF$3*CF$4&lt;0.002,100,MAX($CM$2/(Flows!CF50*CF$3*CF$4),1))</f>
        <v>1</v>
      </c>
      <c r="CG80" s="10" t="n">
        <f aca="false">IF(Flows!CG50*CG$3*CG$4&lt;0.002,100,MAX($CM$2/(Flows!CG50*CG$3*CG$4),1))</f>
        <v>79.5289432869886</v>
      </c>
      <c r="CH80" s="10" t="n">
        <f aca="false">IF(Flows!CH50*CH$3*CH$4&lt;0.002,100,MAX($CM$2/(Flows!CH50*CH$3*CH$4),1))</f>
        <v>31.8770845470096</v>
      </c>
      <c r="CI80" s="10" t="n">
        <f aca="false">IF(Flows!CI50*CI$3*CI$4&lt;0.002,100,MAX($CM$2/(Flows!CI50*CI$3*CI$4),1))</f>
        <v>141.373160958609</v>
      </c>
      <c r="CJ80" s="10" t="n">
        <f aca="false">IF(Flows!CJ50*CJ$3*CJ$4&lt;0.002,100,MAX($CM$2/(Flows!CJ50*CJ$3*CJ$4),1))</f>
        <v>8212.30397309212</v>
      </c>
      <c r="CK80" s="10" t="n">
        <f aca="false">IF(Flows!CK50*CK$3*CK$4&lt;0.002,100,MAX($CM$2/(Flows!CK50*CK$3*CK$4),1))</f>
        <v>529.218761392395</v>
      </c>
      <c r="CL80" s="7" t="s">
        <v>320</v>
      </c>
    </row>
    <row r="81" customFormat="false" ht="12.8" hidden="false" customHeight="false" outlineLevel="0" collapsed="false">
      <c r="A81" s="7" t="s">
        <v>158</v>
      </c>
      <c r="B81" s="7" t="s">
        <v>39</v>
      </c>
      <c r="C81" s="10" t="n">
        <f aca="false">IF(Flows!C51*C$3*C$4&lt;0.002,100,MAX($CM$2/(Flows!C51*C$3*C$4),1))</f>
        <v>20165.7975193182</v>
      </c>
      <c r="D81" s="10" t="n">
        <f aca="false">IF(Flows!D51*D$3*D$4&lt;0.002,100,MAX($CM$2/(Flows!D51*D$3*D$4),1))</f>
        <v>3.55957179063212</v>
      </c>
      <c r="E81" s="10" t="n">
        <f aca="false">IF(Flows!E51*E$3*E$4&lt;0.002,100,MAX($CM$2/(Flows!E51*E$3*E$4),1))</f>
        <v>6.01580914581684</v>
      </c>
      <c r="F81" s="10" t="n">
        <f aca="false">IF(Flows!F51*F$3*F$4&lt;0.002,100,MAX($CM$2/(Flows!F51*F$3*F$4),1))</f>
        <v>11.711074839403</v>
      </c>
      <c r="G81" s="10" t="n">
        <f aca="false">IF(Flows!G51*G$3*G$4&lt;0.002,100,MAX($CM$2/(Flows!G51*G$3*G$4),1))</f>
        <v>10.4987495106066</v>
      </c>
      <c r="H81" s="10" t="n">
        <f aca="false">IF(Flows!H51*H$3*H$4&lt;0.002,100,MAX($CM$2/(Flows!H51*H$3*H$4),1))</f>
        <v>1125.57287678869</v>
      </c>
      <c r="I81" s="10" t="n">
        <f aca="false">IF(Flows!I51*I$3*I$4&lt;0.002,100,MAX($CM$2/(Flows!I51*I$3*I$4),1))</f>
        <v>21307.6077718904</v>
      </c>
      <c r="J81" s="10" t="n">
        <f aca="false">IF(Flows!J51*J$3*J$4&lt;0.002,100,MAX($CM$2/(Flows!J51*J$3*J$4),1))</f>
        <v>2482.60416682403</v>
      </c>
      <c r="K81" s="10" t="n">
        <f aca="false">IF(Flows!K51*K$3*K$4&lt;0.002,100,MAX($CM$2/(Flows!K51*K$3*K$4),1))</f>
        <v>14149.6383410539</v>
      </c>
      <c r="L81" s="10" t="n">
        <f aca="false">IF(Flows!L51*L$3*L$4&lt;0.002,100,MAX($CM$2/(Flows!L51*L$3*L$4),1))</f>
        <v>89947.5816465517</v>
      </c>
      <c r="M81" s="10" t="n">
        <f aca="false">IF(Flows!M51*M$3*M$4&lt;0.002,100,MAX($CM$2/(Flows!M51*M$3*M$4),1))</f>
        <v>67834.2060413732</v>
      </c>
      <c r="N81" s="10" t="n">
        <f aca="false">IF(Flows!N51*N$3*N$4&lt;0.002,100,MAX($CM$2/(Flows!N51*N$3*N$4),1))</f>
        <v>4.30218414242358</v>
      </c>
      <c r="O81" s="10" t="n">
        <f aca="false">IF(Flows!O51*O$3*O$4&lt;0.002,100,MAX($CM$2/(Flows!O51*O$3*O$4),1))</f>
        <v>2.8476574325057</v>
      </c>
      <c r="P81" s="10" t="n">
        <f aca="false">IF(Flows!P51*P$3*P$4&lt;0.002,100,MAX($CM$2/(Flows!P51*P$3*P$4),1))</f>
        <v>1.70859445950342</v>
      </c>
      <c r="Q81" s="10" t="n">
        <f aca="false">IF(Flows!Q51*Q$3*Q$4&lt;0.002,100,MAX($CM$2/(Flows!Q51*Q$3*Q$4),1))</f>
        <v>391.27208461314</v>
      </c>
      <c r="R81" s="10" t="n">
        <f aca="false">IF(Flows!R51*R$3*R$4&lt;0.002,100,MAX($CM$2/(Flows!R51*R$3*R$4),1))</f>
        <v>50.5000193687026</v>
      </c>
      <c r="S81" s="10" t="n">
        <f aca="false">IF(Flows!S51*S$3*S$4&lt;0.002,100,MAX($CM$2/(Flows!S51*S$3*S$4),1))</f>
        <v>770.979271256156</v>
      </c>
      <c r="T81" s="10" t="n">
        <f aca="false">IF(Flows!T51*T$3*T$4&lt;0.002,100,MAX($CM$2/(Flows!T51*T$3*T$4),1))</f>
        <v>1379.448205924</v>
      </c>
      <c r="U81" s="10" t="n">
        <f aca="false">IF(Flows!U51*U$3*U$4&lt;0.002,100,MAX($CM$2/(Flows!U51*U$3*U$4),1))</f>
        <v>4522.28040275821</v>
      </c>
      <c r="V81" s="10" t="n">
        <f aca="false">IF(Flows!V51*V$3*V$4&lt;0.002,100,MAX($CM$2/(Flows!V51*V$3*V$4),1))</f>
        <v>244.149985447238</v>
      </c>
      <c r="W81" s="10" t="n">
        <f aca="false">IF(Flows!W51*W$3*W$4&lt;0.002,100,MAX($CM$2/(Flows!W51*W$3*W$4),1))</f>
        <v>4.1290108413432</v>
      </c>
      <c r="X81" s="10" t="n">
        <f aca="false">IF(Flows!X51*X$3*X$4&lt;0.002,100,MAX($CM$2/(Flows!X51*X$3*X$4),1))</f>
        <v>7.96790297461801</v>
      </c>
      <c r="Y81" s="10" t="n">
        <f aca="false">IF(Flows!Y51*Y$3*Y$4&lt;0.002,100,MAX($CM$2/(Flows!Y51*Y$3*Y$4),1))</f>
        <v>449.737908232759</v>
      </c>
      <c r="Z81" s="10" t="n">
        <f aca="false">IF(Flows!Z51*Z$3*Z$4&lt;0.002,100,MAX($CM$2/(Flows!Z51*Z$3*Z$4),1))</f>
        <v>5357.12865765377</v>
      </c>
      <c r="AA81" s="10" t="n">
        <f aca="false">IF(Flows!AA51*AA$3*AA$4&lt;0.002,100,MAX($CM$2/(Flows!AA51*AA$3*AA$4),1))</f>
        <v>6654.22918570695</v>
      </c>
      <c r="AB81" s="10" t="n">
        <f aca="false">IF(Flows!AB51*AB$3*AB$4&lt;0.002,100,MAX($CM$2/(Flows!AB51*AB$3*AB$4),1))</f>
        <v>6446.94926938755</v>
      </c>
      <c r="AC81" s="10" t="n">
        <f aca="false">IF(Flows!AC51*AC$3*AC$4&lt;0.002,100,MAX($CM$2/(Flows!AC51*AC$3*AC$4),1))</f>
        <v>35869.100297211</v>
      </c>
      <c r="AD81" s="10" t="n">
        <f aca="false">IF(Flows!AD51*AD$3*AD$4&lt;0.002,100,MAX($CM$2/(Flows!AD51*AD$3*AD$4),1))</f>
        <v>40610.7724054371</v>
      </c>
      <c r="AE81" s="10" t="n">
        <f aca="false">IF(Flows!AE51*AE$3*AE$4&lt;0.002,100,MAX($CM$2/(Flows!AE51*AE$3*AE$4),1))</f>
        <v>77080.0647756052</v>
      </c>
      <c r="AF81" s="10" t="n">
        <f aca="false">IF(Flows!AF51*AF$3*AF$4&lt;0.002,100,MAX($CM$2/(Flows!AF51*AF$3*AF$4),1))</f>
        <v>435.327797368223</v>
      </c>
      <c r="AG81" s="10" t="n">
        <f aca="false">IF(Flows!AG51*AG$3*AG$4&lt;0.002,100,MAX($CM$2/(Flows!AG51*AG$3*AG$4),1))</f>
        <v>287.155063806649</v>
      </c>
      <c r="AH81" s="10" t="n">
        <f aca="false">IF(Flows!AH51*AH$3*AH$4&lt;0.002,100,MAX($CM$2/(Flows!AH51*AH$3*AH$4),1))</f>
        <v>589.769438147233</v>
      </c>
      <c r="AI81" s="10" t="n">
        <f aca="false">IF(Flows!AI51*AI$3*AI$4&lt;0.002,100,MAX($CM$2/(Flows!AI51*AI$3*AI$4),1))</f>
        <v>1393.2675083841</v>
      </c>
      <c r="AJ81" s="10" t="n">
        <f aca="false">IF(Flows!AJ51*AJ$3*AJ$4&lt;0.002,100,MAX($CM$2/(Flows!AJ51*AJ$3*AJ$4),1))</f>
        <v>399.365600995996</v>
      </c>
      <c r="AK81" s="10" t="n">
        <f aca="false">IF(Flows!AK51*AK$3*AK$4&lt;0.002,100,MAX($CM$2/(Flows!AK51*AK$3*AK$4),1))</f>
        <v>614.348847039208</v>
      </c>
      <c r="AL81" s="10" t="n">
        <f aca="false">IF(Flows!AL51*AL$3*AL$4&lt;0.002,100,MAX($CM$2/(Flows!AL51*AL$3*AL$4),1))</f>
        <v>398.698420765288</v>
      </c>
      <c r="AM81" s="10" t="n">
        <f aca="false">IF(Flows!AM51*AM$3*AM$4&lt;0.002,100,MAX($CM$2/(Flows!AM51*AM$3*AM$4),1))</f>
        <v>627.547266328036</v>
      </c>
      <c r="AN81" s="10" t="n">
        <f aca="false">IF(Flows!AN51*AN$3*AN$4&lt;0.002,100,MAX($CM$2/(Flows!AN51*AN$3*AN$4),1))</f>
        <v>814.54660455607</v>
      </c>
      <c r="AO81" s="10" t="n">
        <f aca="false">IF(Flows!AO51*AO$3*AO$4&lt;0.002,100,MAX($CM$2/(Flows!AO51*AO$3*AO$4),1))</f>
        <v>8302.28911413884</v>
      </c>
      <c r="AP81" s="10" t="n">
        <f aca="false">IF(Flows!AP51*AP$3*AP$4&lt;0.002,100,MAX($CM$2/(Flows!AP51*AP$3*AP$4),1))</f>
        <v>17307.9176008461</v>
      </c>
      <c r="AQ81" s="10" t="n">
        <f aca="false">IF(Flows!AQ51*AQ$3*AQ$4&lt;0.002,100,MAX($CM$2/(Flows!AQ51*AQ$3*AQ$4),1))</f>
        <v>5663.4558818654</v>
      </c>
      <c r="AR81" s="10" t="n">
        <f aca="false">IF(Flows!AR51*AR$3*AR$4&lt;0.002,100,MAX($CM$2/(Flows!AR51*AR$3*AR$4),1))</f>
        <v>8149.47162601603</v>
      </c>
      <c r="AS81" s="10" t="n">
        <f aca="false">IF(Flows!AS51*AS$3*AS$4&lt;0.002,100,MAX($CM$2/(Flows!AS51*AS$3*AS$4),1))</f>
        <v>10545.6690542205</v>
      </c>
      <c r="AT81" s="10" t="n">
        <f aca="false">IF(Flows!AT51*AT$3*AT$4&lt;0.002,100,MAX($CM$2/(Flows!AT51*AT$3*AT$4),1))</f>
        <v>849.900456332573</v>
      </c>
      <c r="AU81" s="10" t="n">
        <f aca="false">IF(Flows!AU51*AU$3*AU$4&lt;0.002,100,MAX($CM$2/(Flows!AU51*AU$3*AU$4),1))</f>
        <v>1331.4321566213</v>
      </c>
      <c r="AV81" s="10" t="n">
        <f aca="false">IF(Flows!AV51*AV$3*AV$4&lt;0.002,100,MAX($CM$2/(Flows!AV51*AV$3*AV$4),1))</f>
        <v>6577.31788676519</v>
      </c>
      <c r="AW81" s="10" t="n">
        <f aca="false">IF(Flows!AW51*AW$3*AW$4&lt;0.002,100,MAX($CM$2/(Flows!AW51*AW$3*AW$4),1))</f>
        <v>10.9471223923442</v>
      </c>
      <c r="AX81" s="10" t="n">
        <f aca="false">IF(Flows!AX51*AX$3*AX$4&lt;0.002,100,MAX($CM$2/(Flows!AX51*AX$3*AX$4),1))</f>
        <v>1559.4516787669</v>
      </c>
      <c r="AY81" s="10" t="n">
        <f aca="false">IF(Flows!AY51*AY$3*AY$4&lt;0.002,100,MAX($CM$2/(Flows!AY51*AY$3*AY$4),1))</f>
        <v>375.011296048953</v>
      </c>
      <c r="AZ81" s="10" t="n">
        <f aca="false">IF(Flows!AZ51*AZ$3*AZ$4&lt;0.002,100,MAX($CM$2/(Flows!AZ51*AZ$3*AZ$4),1))</f>
        <v>93.6758854117669</v>
      </c>
      <c r="BA81" s="10" t="n">
        <f aca="false">IF(Flows!BA51*BA$3*BA$4&lt;0.002,100,MAX($CM$2/(Flows!BA51*BA$3*BA$4),1))</f>
        <v>4587.32666397414</v>
      </c>
      <c r="BB81" s="10" t="n">
        <f aca="false">IF(Flows!BB51*BB$3*BB$4&lt;0.002,100,MAX($CM$2/(Flows!BB51*BB$3*BB$4),1))</f>
        <v>5591.59430753632</v>
      </c>
      <c r="BC81" s="10" t="n">
        <f aca="false">IF(Flows!BC51*BC$3*BC$4&lt;0.002,100,MAX($CM$2/(Flows!BC51*BC$3*BC$4),1))</f>
        <v>1625.76214544264</v>
      </c>
      <c r="BD81" s="10" t="n">
        <f aca="false">IF(Flows!BD51*BD$3*BD$4&lt;0.002,100,MAX($CM$2/(Flows!BD51*BD$3*BD$4),1))</f>
        <v>4936.57166202978</v>
      </c>
      <c r="BE81" s="10" t="n">
        <f aca="false">IF(Flows!BE51*BE$3*BE$4&lt;0.002,100,MAX($CM$2/(Flows!BE51*BE$3*BE$4),1))</f>
        <v>11254.0454696725</v>
      </c>
      <c r="BF81" s="10" t="n">
        <f aca="false">IF(Flows!BF51*BF$3*BF$4&lt;0.002,100,MAX($CM$2/(Flows!BF51*BF$3*BF$4),1))</f>
        <v>4193.91445146295</v>
      </c>
      <c r="BG81" s="10" t="n">
        <f aca="false">IF(Flows!BG51*BG$3*BG$4&lt;0.002,100,MAX($CM$2/(Flows!BG51*BG$3*BG$4),1))</f>
        <v>276.919726600241</v>
      </c>
      <c r="BH81" s="10" t="n">
        <f aca="false">IF(Flows!BH51*BH$3*BH$4&lt;0.002,100,MAX($CM$2/(Flows!BH51*BH$3*BH$4),1))</f>
        <v>138.45986330012</v>
      </c>
      <c r="BI81" s="10" t="n">
        <f aca="false">IF(Flows!BI51*BI$3*BI$4&lt;0.002,100,MAX($CM$2/(Flows!BI51*BI$3*BI$4),1))</f>
        <v>103.84489747509</v>
      </c>
      <c r="BJ81" s="10" t="n">
        <f aca="false">IF(Flows!BJ51*BJ$3*BJ$4&lt;0.002,100,MAX($CM$2/(Flows!BJ51*BJ$3*BJ$4),1))</f>
        <v>2.28265449855701</v>
      </c>
      <c r="BK81" s="10" t="n">
        <f aca="false">IF(Flows!BK51*BK$3*BK$4&lt;0.002,100,MAX($CM$2/(Flows!BK51*BK$3*BK$4),1))</f>
        <v>207.689794950181</v>
      </c>
      <c r="BL81" s="10" t="n">
        <f aca="false">IF(Flows!BL51*BL$3*BL$4&lt;0.002,100,MAX($CM$2/(Flows!BL51*BL$3*BL$4),1))</f>
        <v>134.804745480984</v>
      </c>
      <c r="BM81" s="10" t="n">
        <f aca="false">IF(Flows!BM51*BM$3*BM$4&lt;0.002,100,MAX($CM$2/(Flows!BM51*BM$3*BM$4),1))</f>
        <v>24.282968672792</v>
      </c>
      <c r="BN81" s="10" t="n">
        <f aca="false">IF(Flows!BN51*BN$3*BN$4&lt;0.002,100,MAX($CM$2/(Flows!BN51*BN$3*BN$4),1))</f>
        <v>544007.553959007</v>
      </c>
      <c r="BO81" s="10" t="n">
        <f aca="false">IF(Flows!BO51*BO$3*BO$4&lt;0.002,100,MAX($CM$2/(Flows!BO51*BO$3*BO$4),1))</f>
        <v>15.9632885208572</v>
      </c>
      <c r="BP81" s="10" t="n">
        <f aca="false">IF(Flows!BP51*BP$3*BP$4&lt;0.002,100,MAX($CM$2/(Flows!BP51*BP$3*BP$4),1))</f>
        <v>31.3400248512522</v>
      </c>
      <c r="BQ81" s="10" t="n">
        <f aca="false">IF(Flows!BQ51*BQ$3*BQ$4&lt;0.002,100,MAX($CM$2/(Flows!BQ51*BQ$3*BQ$4),1))</f>
        <v>836934.698398472</v>
      </c>
      <c r="BR81" s="10" t="n">
        <f aca="false">IF(Flows!BR51*BR$3*BR$4&lt;0.002,100,MAX($CM$2/(Flows!BR51*BR$3*BR$4),1))</f>
        <v>478.898516402652</v>
      </c>
      <c r="BS81" s="10" t="n">
        <f aca="false">IF(Flows!BS51*BS$3*BS$4&lt;0.002,100,MAX($CM$2/(Flows!BS51*BS$3*BS$4),1))</f>
        <v>4788.98516402652</v>
      </c>
      <c r="BT81" s="10" t="n">
        <f aca="false">IF(Flows!BT51*BT$3*BT$4&lt;0.002,100,MAX($CM$2/(Flows!BT51*BT$3*BT$4),1))</f>
        <v>2.23855490753505</v>
      </c>
      <c r="BU81" s="10" t="n">
        <f aca="false">IF(Flows!BU51*BU$3*BU$4&lt;0.002,100,MAX($CM$2/(Flows!BU51*BU$3*BU$4),1))</f>
        <v>22.3855490753506</v>
      </c>
      <c r="BV81" s="10" t="n">
        <f aca="false">IF(Flows!BV51*BV$3*BV$4&lt;0.002,100,MAX($CM$2/(Flows!BV51*BV$3*BV$4),1))</f>
        <v>223.855490753506</v>
      </c>
      <c r="BW81" s="10" t="n">
        <f aca="false">IF(Flows!BW51*BW$3*BW$4&lt;0.002,100,MAX($CM$2/(Flows!BW51*BW$3*BW$4),1))</f>
        <v>18.0474274374505</v>
      </c>
      <c r="BX81" s="10" t="n">
        <f aca="false">IF(Flows!BX51*BX$3*BX$4&lt;0.002,100,MAX($CM$2/(Flows!BX51*BX$3*BX$4),1))</f>
        <v>27.1300339647143</v>
      </c>
      <c r="BY81" s="10" t="n">
        <f aca="false">IF(Flows!BY51*BY$3*BY$4&lt;0.002,100,MAX($CM$2/(Flows!BY51*BY$3*BY$4),1))</f>
        <v>37.579103867878</v>
      </c>
      <c r="BZ81" s="10" t="n">
        <f aca="false">IF(Flows!BZ51*BZ$3*BZ$4&lt;0.002,100,MAX($CM$2/(Flows!BZ51*BZ$3*BZ$4),1))</f>
        <v>29611.2812711732</v>
      </c>
      <c r="CA81" s="10" t="n">
        <f aca="false">IF(Flows!CA51*CA$3*CA$4&lt;0.002,100,MAX($CM$2/(Flows!CA51*CA$3*CA$4),1))</f>
        <v>46232.6992534294</v>
      </c>
      <c r="CB81" s="10" t="n">
        <f aca="false">IF(Flows!CB51*CB$3*CB$4&lt;0.002,100,MAX($CM$2/(Flows!CB51*CB$3*CB$4),1))</f>
        <v>107.44663033322</v>
      </c>
      <c r="CC81" s="10" t="n">
        <f aca="false">IF(Flows!CC51*CC$3*CC$4&lt;0.002,100,MAX($CM$2/(Flows!CC51*CC$3*CC$4),1))</f>
        <v>8.82058788624466</v>
      </c>
      <c r="CD81" s="10" t="n">
        <f aca="false">IF(Flows!CD51*CD$3*CD$4&lt;0.002,100,MAX($CM$2/(Flows!CD51*CD$3*CD$4),1))</f>
        <v>62.3682675999708</v>
      </c>
      <c r="CE81" s="10" t="n">
        <f aca="false">IF(Flows!CE51*CE$3*CE$4&lt;0.002,100,MAX($CM$2/(Flows!CE51*CE$3*CE$4),1))</f>
        <v>126.46834309662</v>
      </c>
      <c r="CF81" s="10" t="n">
        <f aca="false">IF(Flows!CF51*CF$3*CF$4&lt;0.002,100,MAX($CM$2/(Flows!CF51*CF$3*CF$4),1))</f>
        <v>1</v>
      </c>
      <c r="CG81" s="10" t="n">
        <f aca="false">IF(Flows!CG51*CG$3*CG$4&lt;0.002,100,MAX($CM$2/(Flows!CG51*CG$3*CG$4),1))</f>
        <v>54.4419983946261</v>
      </c>
      <c r="CH81" s="10" t="n">
        <f aca="false">IF(Flows!CH51*CH$3*CH$4&lt;0.002,100,MAX($CM$2/(Flows!CH51*CH$3*CH$4),1))</f>
        <v>88.2180152136258</v>
      </c>
      <c r="CI81" s="10" t="n">
        <f aca="false">IF(Flows!CI51*CI$3*CI$4&lt;0.002,100,MAX($CM$2/(Flows!CI51*CI$3*CI$4),1))</f>
        <v>111.664601428343</v>
      </c>
      <c r="CJ81" s="10" t="n">
        <f aca="false">IF(Flows!CJ51*CJ$3*CJ$4&lt;0.002,100,MAX($CM$2/(Flows!CJ51*CJ$3*CJ$4),1))</f>
        <v>620.384849708173</v>
      </c>
      <c r="CK81" s="10" t="n">
        <f aca="false">IF(Flows!CK51*CK$3*CK$4&lt;0.002,100,MAX($CM$2/(Flows!CK51*CK$3*CK$4),1))</f>
        <v>8497.12928416151</v>
      </c>
      <c r="CL81" s="7" t="s">
        <v>320</v>
      </c>
    </row>
    <row r="82" customFormat="false" ht="12.8" hidden="false" customHeight="false" outlineLevel="0" collapsed="false">
      <c r="A82" s="7" t="s">
        <v>159</v>
      </c>
      <c r="B82" s="7" t="s">
        <v>39</v>
      </c>
      <c r="C82" s="10" t="n">
        <f aca="false">IF(Flows!C52*C$3*C$4&lt;0.002,100,MAX($CM$2/(Flows!C52*C$3*C$4),1))</f>
        <v>74150.511782638</v>
      </c>
      <c r="D82" s="10" t="n">
        <f aca="false">IF(Flows!D52*D$3*D$4&lt;0.002,100,MAX($CM$2/(Flows!D52*D$3*D$4),1))</f>
        <v>16.6087180223466</v>
      </c>
      <c r="E82" s="10" t="n">
        <f aca="false">IF(Flows!E52*E$3*E$4&lt;0.002,100,MAX($CM$2/(Flows!E52*E$3*E$4),1))</f>
        <v>51.7940285185816</v>
      </c>
      <c r="F82" s="10" t="n">
        <f aca="false">IF(Flows!F52*F$3*F$4&lt;0.002,100,MAX($CM$2/(Flows!F52*F$3*F$4),1))</f>
        <v>252.653111378996</v>
      </c>
      <c r="G82" s="10" t="n">
        <f aca="false">IF(Flows!G52*G$3*G$4&lt;0.002,100,MAX($CM$2/(Flows!G52*G$3*G$4),1))</f>
        <v>70.6933793783254</v>
      </c>
      <c r="H82" s="10" t="n">
        <f aca="false">IF(Flows!H52*H$3*H$4&lt;0.002,100,MAX($CM$2/(Flows!H52*H$3*H$4),1))</f>
        <v>30977.9628043963</v>
      </c>
      <c r="I82" s="10" t="n">
        <f aca="false">IF(Flows!I52*I$3*I$4&lt;0.002,100,MAX($CM$2/(Flows!I52*I$3*I$4),1))</f>
        <v>5685.12481816152</v>
      </c>
      <c r="J82" s="10" t="n">
        <f aca="false">IF(Flows!J52*J$3*J$4&lt;0.002,100,MAX($CM$2/(Flows!J52*J$3*J$4),1))</f>
        <v>5064.13023838369</v>
      </c>
      <c r="K82" s="10" t="n">
        <f aca="false">IF(Flows!K52*K$3*K$4&lt;0.002,100,MAX($CM$2/(Flows!K52*K$3*K$4),1))</f>
        <v>41251.947174377</v>
      </c>
      <c r="L82" s="10" t="n">
        <f aca="false">IF(Flows!L52*L$3*L$4&lt;0.002,100,MAX($CM$2/(Flows!L52*L$3*L$4),1))</f>
        <v>375383.920454257</v>
      </c>
      <c r="M82" s="10" t="n">
        <f aca="false">IF(Flows!M52*M$3*M$4&lt;0.002,100,MAX($CM$2/(Flows!M52*M$3*M$4),1))</f>
        <v>315754.800595076</v>
      </c>
      <c r="N82" s="10" t="n">
        <f aca="false">IF(Flows!N52*N$3*N$4&lt;0.002,100,MAX($CM$2/(Flows!N52*N$3*N$4),1))</f>
        <v>42.980153167417</v>
      </c>
      <c r="O82" s="10" t="n">
        <f aca="false">IF(Flows!O52*O$3*O$4&lt;0.002,100,MAX($CM$2/(Flows!O52*O$3*O$4),1))</f>
        <v>13.2869744178773</v>
      </c>
      <c r="P82" s="10" t="n">
        <f aca="false">IF(Flows!P52*P$3*P$4&lt;0.002,100,MAX($CM$2/(Flows!P52*P$3*P$4),1))</f>
        <v>7.97218465072634</v>
      </c>
      <c r="Q82" s="10" t="n">
        <f aca="false">IF(Flows!Q52*Q$3*Q$4&lt;0.002,100,MAX($CM$2/(Flows!Q52*Q$3*Q$4),1))</f>
        <v>583.523812902306</v>
      </c>
      <c r="R82" s="10" t="n">
        <f aca="false">IF(Flows!R52*R$3*R$4&lt;0.002,100,MAX($CM$2/(Flows!R52*R$3*R$4),1))</f>
        <v>72.2581605129467</v>
      </c>
      <c r="S82" s="10" t="n">
        <f aca="false">IF(Flows!S52*S$3*S$4&lt;0.002,100,MAX($CM$2/(Flows!S52*S$3*S$4),1))</f>
        <v>3217.57646103648</v>
      </c>
      <c r="T82" s="10" t="n">
        <f aca="false">IF(Flows!T52*T$3*T$4&lt;0.002,100,MAX($CM$2/(Flows!T52*T$3*T$4),1))</f>
        <v>5756.93827587408</v>
      </c>
      <c r="U82" s="10" t="n">
        <f aca="false">IF(Flows!U52*U$3*U$4&lt;0.002,100,MAX($CM$2/(Flows!U52*U$3*U$4),1))</f>
        <v>21050.3200396718</v>
      </c>
      <c r="V82" s="10" t="n">
        <f aca="false">IF(Flows!V52*V$3*V$4&lt;0.002,100,MAX($CM$2/(Flows!V52*V$3*V$4),1))</f>
        <v>319.599901417523</v>
      </c>
      <c r="W82" s="10" t="n">
        <f aca="false">IF(Flows!W52*W$3*W$4&lt;0.002,100,MAX($CM$2/(Flows!W52*W$3*W$4),1))</f>
        <v>27.0980251005092</v>
      </c>
      <c r="X82" s="10" t="n">
        <f aca="false">IF(Flows!X52*X$3*X$4&lt;0.002,100,MAX($CM$2/(Flows!X52*X$3*X$4),1))</f>
        <v>17.346690732771</v>
      </c>
      <c r="Y82" s="10" t="n">
        <f aca="false">IF(Flows!Y52*Y$3*Y$4&lt;0.002,100,MAX($CM$2/(Flows!Y52*Y$3*Y$4),1))</f>
        <v>1876.91960227128</v>
      </c>
      <c r="Z82" s="10" t="n">
        <f aca="false">IF(Flows!Z52*Z$3*Z$4&lt;0.002,100,MAX($CM$2/(Flows!Z52*Z$3*Z$4),1))</f>
        <v>73440.8399958678</v>
      </c>
      <c r="AA82" s="10" t="n">
        <f aca="false">IF(Flows!AA52*AA$3*AA$4&lt;0.002,100,MAX($CM$2/(Flows!AA52*AA$3*AA$4),1))</f>
        <v>77175.9829189233</v>
      </c>
      <c r="AB82" s="10" t="n">
        <f aca="false">IF(Flows!AB52*AB$3*AB$4&lt;0.002,100,MAX($CM$2/(Flows!AB52*AB$3*AB$4),1))</f>
        <v>55505.9953237874</v>
      </c>
      <c r="AC82" s="10" t="n">
        <f aca="false">IF(Flows!AC52*AC$3*AC$4&lt;0.002,100,MAX($CM$2/(Flows!AC52*AC$3*AC$4),1))</f>
        <v>453246.597410649</v>
      </c>
      <c r="AD82" s="10" t="n">
        <f aca="false">IF(Flows!AD52*AD$3*AD$4&lt;0.002,100,MAX($CM$2/(Flows!AD52*AD$3*AD$4),1))</f>
        <v>349644.653469675</v>
      </c>
      <c r="AE82" s="10" t="n">
        <f aca="false">IF(Flows!AE52*AE$3*AE$4&lt;0.002,100,MAX($CM$2/(Flows!AE52*AE$3*AE$4),1))</f>
        <v>1906784.5995233</v>
      </c>
      <c r="AF82" s="10" t="n">
        <f aca="false">IF(Flows!AF52*AF$3*AF$4&lt;0.002,100,MAX($CM$2/(Flows!AF52*AF$3*AF$4),1))</f>
        <v>887.561089350194</v>
      </c>
      <c r="AG82" s="10" t="n">
        <f aca="false">IF(Flows!AG52*AG$3*AG$4&lt;0.002,100,MAX($CM$2/(Flows!AG52*AG$3*AG$4),1))</f>
        <v>652.185777854903</v>
      </c>
      <c r="AH82" s="10" t="n">
        <f aca="false">IF(Flows!AH52*AH$3*AH$4&lt;0.002,100,MAX($CM$2/(Flows!AH52*AH$3*AH$4),1))</f>
        <v>471.624623354241</v>
      </c>
      <c r="AI82" s="10" t="n">
        <f aca="false">IF(Flows!AI52*AI$3*AI$4&lt;0.002,100,MAX($CM$2/(Flows!AI52*AI$3*AI$4),1))</f>
        <v>36199.5569821287</v>
      </c>
      <c r="AJ82" s="10" t="n">
        <f aca="false">IF(Flows!AJ52*AJ$3*AJ$4&lt;0.002,100,MAX($CM$2/(Flows!AJ52*AJ$3*AJ$4),1))</f>
        <v>2729.22359428623</v>
      </c>
      <c r="AK82" s="10" t="n">
        <f aca="false">IF(Flows!AK52*AK$3*AK$4&lt;0.002,100,MAX($CM$2/(Flows!AK52*AK$3*AK$4),1))</f>
        <v>2747.04249120749</v>
      </c>
      <c r="AL82" s="10" t="n">
        <f aca="false">IF(Flows!AL52*AL$3*AL$4&lt;0.002,100,MAX($CM$2/(Flows!AL52*AL$3*AL$4),1))</f>
        <v>2991.74626935046</v>
      </c>
      <c r="AM82" s="10" t="n">
        <f aca="false">IF(Flows!AM52*AM$3*AM$4&lt;0.002,100,MAX($CM$2/(Flows!AM52*AM$3*AM$4),1))</f>
        <v>23541.1165889357</v>
      </c>
      <c r="AN82" s="10" t="n">
        <f aca="false">IF(Flows!AN52*AN$3*AN$4&lt;0.002,100,MAX($CM$2/(Flows!AN52*AN$3*AN$4),1))</f>
        <v>1426.57938011651</v>
      </c>
      <c r="AO82" s="10" t="n">
        <f aca="false">IF(Flows!AO52*AO$3*AO$4&lt;0.002,100,MAX($CM$2/(Flows!AO52*AO$3*AO$4),1))</f>
        <v>28279.4761287418</v>
      </c>
      <c r="AP82" s="10" t="n">
        <f aca="false">IF(Flows!AP52*AP$3*AP$4&lt;0.002,100,MAX($CM$2/(Flows!AP52*AP$3*AP$4),1))</f>
        <v>46978.5729024182</v>
      </c>
      <c r="AQ82" s="10" t="n">
        <f aca="false">IF(Flows!AQ52*AQ$3*AQ$4&lt;0.002,100,MAX($CM$2/(Flows!AQ52*AQ$3*AQ$4),1))</f>
        <v>19790.8464117675</v>
      </c>
      <c r="AR82" s="10" t="n">
        <f aca="false">IF(Flows!AR52*AR$3*AR$4&lt;0.002,100,MAX($CM$2/(Flows!AR52*AR$3*AR$4),1))</f>
        <v>68819.5434170365</v>
      </c>
      <c r="AS82" s="10" t="n">
        <f aca="false">IF(Flows!AS52*AS$3*AS$4&lt;0.002,100,MAX($CM$2/(Flows!AS52*AS$3*AS$4),1))</f>
        <v>2679.62970192533</v>
      </c>
      <c r="AT82" s="10" t="n">
        <f aca="false">IF(Flows!AT52*AT$3*AT$4&lt;0.002,100,MAX($CM$2/(Flows!AT52*AT$3*AT$4),1))</f>
        <v>720.102929304241</v>
      </c>
      <c r="AU82" s="10" t="n">
        <f aca="false">IF(Flows!AU52*AU$3*AU$4&lt;0.002,100,MAX($CM$2/(Flows!AU52*AU$3*AU$4),1))</f>
        <v>509.099382307532</v>
      </c>
      <c r="AV82" s="10" t="n">
        <f aca="false">IF(Flows!AV52*AV$3*AV$4&lt;0.002,100,MAX($CM$2/(Flows!AV52*AV$3*AV$4),1))</f>
        <v>45540.6855625809</v>
      </c>
      <c r="AW82" s="10" t="n">
        <f aca="false">IF(Flows!AW52*AW$3*AW$4&lt;0.002,100,MAX($CM$2/(Flows!AW52*AW$3*AW$4),1))</f>
        <v>132.202423620828</v>
      </c>
      <c r="AX82" s="10" t="n">
        <f aca="false">IF(Flows!AX52*AX$3*AX$4&lt;0.002,100,MAX($CM$2/(Flows!AX52*AX$3*AX$4),1))</f>
        <v>2748.24733512237</v>
      </c>
      <c r="AY82" s="10" t="n">
        <f aca="false">IF(Flows!AY52*AY$3*AY$4&lt;0.002,100,MAX($CM$2/(Flows!AY52*AY$3*AY$4),1))</f>
        <v>3784.99117570027</v>
      </c>
      <c r="AZ82" s="10" t="n">
        <f aca="false">IF(Flows!AZ52*AZ$3*AZ$4&lt;0.002,100,MAX($CM$2/(Flows!AZ52*AZ$3*AZ$4),1))</f>
        <v>869.821221075543</v>
      </c>
      <c r="BA82" s="10" t="n">
        <f aca="false">IF(Flows!BA52*BA$3*BA$4&lt;0.002,100,MAX($CM$2/(Flows!BA52*BA$3*BA$4),1))</f>
        <v>19144.5799431671</v>
      </c>
      <c r="BB82" s="10" t="n">
        <f aca="false">IF(Flows!BB52*BB$3*BB$4&lt;0.002,100,MAX($CM$2/(Flows!BB52*BB$3*BB$4),1))</f>
        <v>12377.8704543173</v>
      </c>
      <c r="BC82" s="10" t="n">
        <f aca="false">IF(Flows!BC52*BC$3*BC$4&lt;0.002,100,MAX($CM$2/(Flows!BC52*BC$3*BC$4),1))</f>
        <v>1866.92712002519</v>
      </c>
      <c r="BD82" s="10" t="n">
        <f aca="false">IF(Flows!BD52*BD$3*BD$4&lt;0.002,100,MAX($CM$2/(Flows!BD52*BD$3*BD$4),1))</f>
        <v>21262.5086184864</v>
      </c>
      <c r="BE82" s="10" t="n">
        <f aca="false">IF(Flows!BE52*BE$3*BE$4&lt;0.002,100,MAX($CM$2/(Flows!BE52*BE$3*BE$4),1))</f>
        <v>12117.6343573734</v>
      </c>
      <c r="BF82" s="10" t="n">
        <f aca="false">IF(Flows!BF52*BF$3*BF$4&lt;0.002,100,MAX($CM$2/(Flows!BF52*BF$3*BF$4),1))</f>
        <v>8403.8739442581</v>
      </c>
      <c r="BG82" s="10" t="n">
        <f aca="false">IF(Flows!BG52*BG$3*BG$4&lt;0.002,100,MAX($CM$2/(Flows!BG52*BG$3*BG$4),1))</f>
        <v>2384.18272076735</v>
      </c>
      <c r="BH82" s="10" t="n">
        <f aca="false">IF(Flows!BH52*BH$3*BH$4&lt;0.002,100,MAX($CM$2/(Flows!BH52*BH$3*BH$4),1))</f>
        <v>1192.09136038367</v>
      </c>
      <c r="BI82" s="10" t="n">
        <f aca="false">IF(Flows!BI52*BI$3*BI$4&lt;0.002,100,MAX($CM$2/(Flows!BI52*BI$3*BI$4),1))</f>
        <v>894.068520287756</v>
      </c>
      <c r="BJ82" s="10" t="n">
        <f aca="false">IF(Flows!BJ52*BJ$3*BJ$4&lt;0.002,100,MAX($CM$2/(Flows!BJ52*BJ$3*BJ$4),1))</f>
        <v>9.25800941497586</v>
      </c>
      <c r="BK82" s="10" t="n">
        <f aca="false">IF(Flows!BK52*BK$3*BK$4&lt;0.002,100,MAX($CM$2/(Flows!BK52*BK$3*BK$4),1))</f>
        <v>1788.13704057551</v>
      </c>
      <c r="BL82" s="10" t="n">
        <f aca="false">IF(Flows!BL52*BL$3*BL$4&lt;0.002,100,MAX($CM$2/(Flows!BL52*BL$3*BL$4),1))</f>
        <v>141.765662079736</v>
      </c>
      <c r="BM82" s="10" t="n">
        <f aca="false">IF(Flows!BM52*BM$3*BM$4&lt;0.002,100,MAX($CM$2/(Flows!BM52*BM$3*BM$4),1))</f>
        <v>157.632988539976</v>
      </c>
      <c r="BN82" s="10" t="n">
        <f aca="false">IF(Flows!BN52*BN$3*BN$4&lt;0.002,100,MAX($CM$2/(Flows!BN52*BN$3*BN$4),1))</f>
        <v>7467533.39440551</v>
      </c>
      <c r="BO82" s="10" t="n">
        <f aca="false">IF(Flows!BO52*BO$3*BO$4&lt;0.002,100,MAX($CM$2/(Flows!BO52*BO$3*BO$4),1))</f>
        <v>366.396957602554</v>
      </c>
      <c r="BP82" s="10" t="n">
        <f aca="false">IF(Flows!BP52*BP$3*BP$4&lt;0.002,100,MAX($CM$2/(Flows!BP52*BP$3*BP$4),1))</f>
        <v>329.499443581855</v>
      </c>
      <c r="BQ82" s="10" t="n">
        <f aca="false">IF(Flows!BQ52*BQ$3*BQ$4&lt;0.002,100,MAX($CM$2/(Flows!BQ52*BQ$3*BQ$4),1))</f>
        <v>11488512.91447</v>
      </c>
      <c r="BR82" s="10" t="n">
        <f aca="false">IF(Flows!BR52*BR$3*BR$4&lt;0.002,100,MAX($CM$2/(Flows!BR52*BR$3*BR$4),1))</f>
        <v>10991.9046096349</v>
      </c>
      <c r="BS82" s="10" t="n">
        <f aca="false">IF(Flows!BS52*BS$3*BS$4&lt;0.002,100,MAX($CM$2/(Flows!BS52*BS$3*BS$4),1))</f>
        <v>109919.046096349</v>
      </c>
      <c r="BT82" s="10" t="n">
        <f aca="false">IF(Flows!BT52*BT$3*BT$4&lt;0.002,100,MAX($CM$2/(Flows!BT52*BT$3*BT$4),1))</f>
        <v>47.1593223594299</v>
      </c>
      <c r="BU82" s="10" t="n">
        <f aca="false">IF(Flows!BU52*BU$3*BU$4&lt;0.002,100,MAX($CM$2/(Flows!BU52*BU$3*BU$4),1))</f>
        <v>471.593223594299</v>
      </c>
      <c r="BV82" s="10" t="n">
        <f aca="false">IF(Flows!BV52*BV$3*BV$4&lt;0.002,100,MAX($CM$2/(Flows!BV52*BV$3*BV$4),1))</f>
        <v>4715.93223594299</v>
      </c>
      <c r="BW82" s="10" t="n">
        <f aca="false">IF(Flows!BW52*BW$3*BW$4&lt;0.002,100,MAX($CM$2/(Flows!BW52*BW$3*BW$4),1))</f>
        <v>155.382085555745</v>
      </c>
      <c r="BX82" s="10" t="n">
        <f aca="false">IF(Flows!BX52*BX$3*BX$4&lt;0.002,100,MAX($CM$2/(Flows!BX52*BX$3*BX$4),1))</f>
        <v>23.6137234847343</v>
      </c>
      <c r="BY82" s="10" t="n">
        <f aca="false">IF(Flows!BY52*BY$3*BY$4&lt;0.002,100,MAX($CM$2/(Flows!BY52*BY$3*BY$4),1))</f>
        <v>27.3992865495134</v>
      </c>
      <c r="BZ82" s="10" t="n">
        <f aca="false">IF(Flows!BZ52*BZ$3*BZ$4&lt;0.002,100,MAX($CM$2/(Flows!BZ52*BZ$3*BZ$4),1))</f>
        <v>55830.7520735866</v>
      </c>
      <c r="CA82" s="10" t="n">
        <f aca="false">IF(Flows!CA52*CA$3*CA$4&lt;0.002,100,MAX($CM$2/(Flows!CA52*CA$3*CA$4),1))</f>
        <v>25087.5054389165</v>
      </c>
      <c r="CB82" s="10" t="n">
        <f aca="false">IF(Flows!CB52*CB$3*CB$4&lt;0.002,100,MAX($CM$2/(Flows!CB52*CB$3*CB$4),1))</f>
        <v>67.2363168328255</v>
      </c>
      <c r="CC82" s="10" t="n">
        <f aca="false">IF(Flows!CC52*CC$3*CC$4&lt;0.002,100,MAX($CM$2/(Flows!CC52*CC$3*CC$4),1))</f>
        <v>6.84725572624211</v>
      </c>
      <c r="CD82" s="10" t="n">
        <f aca="false">IF(Flows!CD52*CD$3*CD$4&lt;0.002,100,MAX($CM$2/(Flows!CD52*CD$3*CD$4),1))</f>
        <v>620.094151289603</v>
      </c>
      <c r="CE82" s="10" t="n">
        <f aca="false">IF(Flows!CE52*CE$3*CE$4&lt;0.002,100,MAX($CM$2/(Flows!CE52*CE$3*CE$4),1))</f>
        <v>1090.86847923406</v>
      </c>
      <c r="CF82" s="10" t="n">
        <f aca="false">IF(Flows!CF52*CF$3*CF$4&lt;0.002,100,MAX($CM$2/(Flows!CF52*CF$3*CF$4),1))</f>
        <v>1</v>
      </c>
      <c r="CG82" s="10" t="n">
        <f aca="false">IF(Flows!CG52*CG$3*CG$4&lt;0.002,100,MAX($CM$2/(Flows!CG52*CG$3*CG$4),1))</f>
        <v>611.380703585655</v>
      </c>
      <c r="CH82" s="10" t="n">
        <f aca="false">IF(Flows!CH52*CH$3*CH$4&lt;0.002,100,MAX($CM$2/(Flows!CH52*CH$3*CH$4),1))</f>
        <v>163.917715567247</v>
      </c>
      <c r="CI82" s="10" t="n">
        <f aca="false">IF(Flows!CI52*CI$3*CI$4&lt;0.002,100,MAX($CM$2/(Flows!CI52*CI$3*CI$4),1))</f>
        <v>200.202583173065</v>
      </c>
      <c r="CJ82" s="10" t="n">
        <f aca="false">IF(Flows!CJ52*CJ$3*CJ$4&lt;0.002,100,MAX($CM$2/(Flows!CJ52*CJ$3*CJ$4),1))</f>
        <v>1236.33078966659</v>
      </c>
      <c r="CK82" s="10" t="n">
        <f aca="false">IF(Flows!CK52*CK$3*CK$4&lt;0.002,100,MAX($CM$2/(Flows!CK52*CK$3*CK$4),1))</f>
        <v>13943.395334191</v>
      </c>
      <c r="CL82" s="7" t="s">
        <v>320</v>
      </c>
    </row>
    <row r="83" customFormat="false" ht="12.8" hidden="false" customHeight="false" outlineLevel="0" collapsed="false">
      <c r="A83" s="7" t="s">
        <v>160</v>
      </c>
      <c r="B83" s="7" t="s">
        <v>39</v>
      </c>
      <c r="C83" s="10" t="n">
        <f aca="false">IF(Flows!C53*C$3*C$4&lt;0.002,100,MAX($CM$2/(Flows!C53*C$3*C$4),1))</f>
        <v>47668.0956678359</v>
      </c>
      <c r="D83" s="10" t="n">
        <f aca="false">IF(Flows!D53*D$3*D$4&lt;0.002,100,MAX($CM$2/(Flows!D53*D$3*D$4),1))</f>
        <v>11.0885358903195</v>
      </c>
      <c r="E83" s="10" t="n">
        <f aca="false">IF(Flows!E53*E$3*E$4&lt;0.002,100,MAX($CM$2/(Flows!E53*E$3*E$4),1))</f>
        <v>33.9097285723822</v>
      </c>
      <c r="F83" s="10" t="n">
        <f aca="false">IF(Flows!F53*F$3*F$4&lt;0.002,100,MAX($CM$2/(Flows!F53*F$3*F$4),1))</f>
        <v>118.733652836997</v>
      </c>
      <c r="G83" s="10" t="n">
        <f aca="false">IF(Flows!G53*G$3*G$4&lt;0.002,100,MAX($CM$2/(Flows!G53*G$3*G$4),1))</f>
        <v>37.7046051321292</v>
      </c>
      <c r="H83" s="10" t="n">
        <f aca="false">IF(Flows!H53*H$3*H$4&lt;0.002,100,MAX($CM$2/(Flows!H53*H$3*H$4),1))</f>
        <v>25723.1442816345</v>
      </c>
      <c r="I83" s="10" t="n">
        <f aca="false">IF(Flows!I53*I$3*I$4&lt;0.002,100,MAX($CM$2/(Flows!I53*I$3*I$4),1))</f>
        <v>44307.6794821863</v>
      </c>
      <c r="J83" s="10" t="n">
        <f aca="false">IF(Flows!J53*J$3*J$4&lt;0.002,100,MAX($CM$2/(Flows!J53*J$3*J$4),1))</f>
        <v>1218.06511428641</v>
      </c>
      <c r="K83" s="10" t="n">
        <f aca="false">IF(Flows!K53*K$3*K$4&lt;0.002,100,MAX($CM$2/(Flows!K53*K$3*K$4),1))</f>
        <v>26652.2862768478</v>
      </c>
      <c r="L83" s="10" t="n">
        <f aca="false">IF(Flows!L53*L$3*L$4&lt;0.002,100,MAX($CM$2/(Flows!L53*L$3*L$4),1))</f>
        <v>244398.588151413</v>
      </c>
      <c r="M83" s="10" t="n">
        <f aca="false">IF(Flows!M53*M$3*M$4&lt;0.002,100,MAX($CM$2/(Flows!M53*M$3*M$4),1))</f>
        <v>206184.199583866</v>
      </c>
      <c r="N83" s="10" t="n">
        <f aca="false">IF(Flows!N53*N$3*N$4&lt;0.002,100,MAX($CM$2/(Flows!N53*N$3*N$4),1))</f>
        <v>24.8314064606852</v>
      </c>
      <c r="O83" s="10" t="n">
        <f aca="false">IF(Flows!O53*O$3*O$4&lt;0.002,100,MAX($CM$2/(Flows!O53*O$3*O$4),1))</f>
        <v>8.8708287122556</v>
      </c>
      <c r="P83" s="10" t="n">
        <f aca="false">IF(Flows!P53*P$3*P$4&lt;0.002,100,MAX($CM$2/(Flows!P53*P$3*P$4),1))</f>
        <v>5.32249722735336</v>
      </c>
      <c r="Q83" s="10" t="n">
        <f aca="false">IF(Flows!Q53*Q$3*Q$4&lt;0.002,100,MAX($CM$2/(Flows!Q53*Q$3*Q$4),1))</f>
        <v>491.13859712571</v>
      </c>
      <c r="R83" s="10" t="n">
        <f aca="false">IF(Flows!R53*R$3*R$4&lt;0.002,100,MAX($CM$2/(Flows!R53*R$3*R$4),1))</f>
        <v>65.6850559283162</v>
      </c>
      <c r="S83" s="10" t="n">
        <f aca="false">IF(Flows!S53*S$3*S$4&lt;0.002,100,MAX($CM$2/(Flows!S53*S$3*S$4),1))</f>
        <v>2094.84504129782</v>
      </c>
      <c r="T83" s="10" t="n">
        <f aca="false">IF(Flows!T53*T$3*T$4&lt;0.002,100,MAX($CM$2/(Flows!T53*T$3*T$4),1))</f>
        <v>3748.12960820443</v>
      </c>
      <c r="U83" s="10" t="n">
        <f aca="false">IF(Flows!U53*U$3*U$4&lt;0.002,100,MAX($CM$2/(Flows!U53*U$3*U$4),1))</f>
        <v>13745.6133055911</v>
      </c>
      <c r="V83" s="10" t="n">
        <f aca="false">IF(Flows!V53*V$3*V$4&lt;0.002,100,MAX($CM$2/(Flows!V53*V$3*V$4),1))</f>
        <v>267.487478226446</v>
      </c>
      <c r="W83" s="10" t="n">
        <f aca="false">IF(Flows!W53*W$3*W$4&lt;0.002,100,MAX($CM$2/(Flows!W53*W$3*W$4),1))</f>
        <v>11.0164983657727</v>
      </c>
      <c r="X83" s="10" t="n">
        <f aca="false">IF(Flows!X53*X$3*X$4&lt;0.002,100,MAX($CM$2/(Flows!X53*X$3*X$4),1))</f>
        <v>34.5020392001356</v>
      </c>
      <c r="Y83" s="10" t="n">
        <f aca="false">IF(Flows!Y53*Y$3*Y$4&lt;0.002,100,MAX($CM$2/(Flows!Y53*Y$3*Y$4),1))</f>
        <v>1221.99294075707</v>
      </c>
      <c r="Z83" s="10" t="n">
        <f aca="false">IF(Flows!Z53*Z$3*Z$4&lt;0.002,100,MAX($CM$2/(Flows!Z53*Z$3*Z$4),1))</f>
        <v>43641.2418861364</v>
      </c>
      <c r="AA83" s="10" t="n">
        <f aca="false">IF(Flows!AA53*AA$3*AA$4&lt;0.002,100,MAX($CM$2/(Flows!AA53*AA$3*AA$4),1))</f>
        <v>44552.3434272807</v>
      </c>
      <c r="AB83" s="10" t="n">
        <f aca="false">IF(Flows!AB53*AB$3*AB$4&lt;0.002,100,MAX($CM$2/(Flows!AB53*AB$3*AB$4),1))</f>
        <v>36339.9660038857</v>
      </c>
      <c r="AC83" s="10" t="n">
        <f aca="false">IF(Flows!AC53*AC$3*AC$4&lt;0.002,100,MAX($CM$2/(Flows!AC53*AC$3*AC$4),1))</f>
        <v>253090.88671673</v>
      </c>
      <c r="AD83" s="10" t="n">
        <f aca="false">IF(Flows!AD53*AD$3*AD$4&lt;0.002,100,MAX($CM$2/(Flows!AD53*AD$3*AD$4),1))</f>
        <v>228913.556930366</v>
      </c>
      <c r="AE83" s="10" t="n">
        <f aca="false">IF(Flows!AE53*AE$3*AE$4&lt;0.002,100,MAX($CM$2/(Flows!AE53*AE$3*AE$4),1))</f>
        <v>297276.169602642</v>
      </c>
      <c r="AF83" s="10" t="n">
        <f aca="false">IF(Flows!AF53*AF$3*AF$4&lt;0.002,100,MAX($CM$2/(Flows!AF53*AF$3*AF$4),1))</f>
        <v>1717.87125082874</v>
      </c>
      <c r="AG83" s="10" t="n">
        <f aca="false">IF(Flows!AG53*AG$3*AG$4&lt;0.002,100,MAX($CM$2/(Flows!AG53*AG$3*AG$4),1))</f>
        <v>708.955024466416</v>
      </c>
      <c r="AH83" s="10" t="n">
        <f aca="false">IF(Flows!AH53*AH$3*AH$4&lt;0.002,100,MAX($CM$2/(Flows!AH53*AH$3*AH$4),1))</f>
        <v>360.578707751921</v>
      </c>
      <c r="AI83" s="10" t="n">
        <f aca="false">IF(Flows!AI53*AI$3*AI$4&lt;0.002,100,MAX($CM$2/(Flows!AI53*AI$3*AI$4),1))</f>
        <v>7996.83342307191</v>
      </c>
      <c r="AJ83" s="10" t="n">
        <f aca="false">IF(Flows!AJ53*AJ$3*AJ$4&lt;0.002,100,MAX($CM$2/(Flows!AJ53*AJ$3*AJ$4),1))</f>
        <v>787.992883443928</v>
      </c>
      <c r="AK83" s="10" t="n">
        <f aca="false">IF(Flows!AK53*AK$3*AK$4&lt;0.002,100,MAX($CM$2/(Flows!AK53*AK$3*AK$4),1))</f>
        <v>321.871566647639</v>
      </c>
      <c r="AL83" s="10" t="n">
        <f aca="false">IF(Flows!AL53*AL$3*AL$4&lt;0.002,100,MAX($CM$2/(Flows!AL53*AL$3*AL$4),1))</f>
        <v>3257.10533915821</v>
      </c>
      <c r="AM83" s="10" t="n">
        <f aca="false">IF(Flows!AM53*AM$3*AM$4&lt;0.002,100,MAX($CM$2/(Flows!AM53*AM$3*AM$4),1))</f>
        <v>1197.21109749035</v>
      </c>
      <c r="AN83" s="10" t="n">
        <f aca="false">IF(Flows!AN53*AN$3*AN$4&lt;0.002,100,MAX($CM$2/(Flows!AN53*AN$3*AN$4),1))</f>
        <v>1246.90828848284</v>
      </c>
      <c r="AO83" s="10" t="n">
        <f aca="false">IF(Flows!AO53*AO$3*AO$4&lt;0.002,100,MAX($CM$2/(Flows!AO53*AO$3*AO$4),1))</f>
        <v>30147.7366691702</v>
      </c>
      <c r="AP83" s="10" t="n">
        <f aca="false">IF(Flows!AP53*AP$3*AP$4&lt;0.002,100,MAX($CM$2/(Flows!AP53*AP$3*AP$4),1))</f>
        <v>151869.87181841</v>
      </c>
      <c r="AQ83" s="10" t="n">
        <f aca="false">IF(Flows!AQ53*AQ$3*AQ$4&lt;0.002,100,MAX($CM$2/(Flows!AQ53*AQ$3*AQ$4),1))</f>
        <v>9875.88759019032</v>
      </c>
      <c r="AR83" s="10" t="n">
        <f aca="false">IF(Flows!AR53*AR$3*AR$4&lt;0.002,100,MAX($CM$2/(Flows!AR53*AR$3*AR$4),1))</f>
        <v>139606.33528607</v>
      </c>
      <c r="AS83" s="10" t="n">
        <f aca="false">IF(Flows!AS53*AS$3*AS$4&lt;0.002,100,MAX($CM$2/(Flows!AS53*AS$3*AS$4),1))</f>
        <v>2155.02575847613</v>
      </c>
      <c r="AT83" s="10" t="n">
        <f aca="false">IF(Flows!AT53*AT$3*AT$4&lt;0.002,100,MAX($CM$2/(Flows!AT53*AT$3*AT$4),1))</f>
        <v>521.950677391799</v>
      </c>
      <c r="AU83" s="10" t="n">
        <f aca="false">IF(Flows!AU53*AU$3*AU$4&lt;0.002,100,MAX($CM$2/(Flows!AU53*AU$3*AU$4),1))</f>
        <v>985.690060633849</v>
      </c>
      <c r="AV83" s="10" t="n">
        <f aca="false">IF(Flows!AV53*AV$3*AV$4&lt;0.002,100,MAX($CM$2/(Flows!AV53*AV$3*AV$4),1))</f>
        <v>4878.83610171904</v>
      </c>
      <c r="AW83" s="10" t="n">
        <f aca="false">IF(Flows!AW53*AW$3*AW$4&lt;0.002,100,MAX($CM$2/(Flows!AW53*AW$3*AW$4),1))</f>
        <v>76.1104194320771</v>
      </c>
      <c r="AX83" s="10" t="n">
        <f aca="false">IF(Flows!AX53*AX$3*AX$4&lt;0.002,100,MAX($CM$2/(Flows!AX53*AX$3*AX$4),1))</f>
        <v>2714.11187912036</v>
      </c>
      <c r="AY83" s="10" t="n">
        <f aca="false">IF(Flows!AY53*AY$3*AY$4&lt;0.002,100,MAX($CM$2/(Flows!AY53*AY$3*AY$4),1))</f>
        <v>2010.76740817715</v>
      </c>
      <c r="AZ83" s="10" t="n">
        <f aca="false">IF(Flows!AZ53*AZ$3*AZ$4&lt;0.002,100,MAX($CM$2/(Flows!AZ53*AZ$3*AZ$4),1))</f>
        <v>537.338986060015</v>
      </c>
      <c r="BA83" s="10" t="n">
        <f aca="false">IF(Flows!BA53*BA$3*BA$4&lt;0.002,100,MAX($CM$2/(Flows!BA53*BA$3*BA$4),1))</f>
        <v>12464.3279957221</v>
      </c>
      <c r="BB83" s="10" t="n">
        <f aca="false">IF(Flows!BB53*BB$3*BB$4&lt;0.002,100,MAX($CM$2/(Flows!BB53*BB$3*BB$4),1))</f>
        <v>2666.82264520589</v>
      </c>
      <c r="BC83" s="10" t="n">
        <f aca="false">IF(Flows!BC53*BC$3*BC$4&lt;0.002,100,MAX($CM$2/(Flows!BC53*BC$3*BC$4),1))</f>
        <v>1775.84604382681</v>
      </c>
      <c r="BD83" s="10" t="n">
        <f aca="false">IF(Flows!BD53*BD$3*BD$4&lt;0.002,100,MAX($CM$2/(Flows!BD53*BD$3*BD$4),1))</f>
        <v>28329.9522597124</v>
      </c>
      <c r="BE83" s="10" t="n">
        <f aca="false">IF(Flows!BE53*BE$3*BE$4&lt;0.002,100,MAX($CM$2/(Flows!BE53*BE$3*BE$4),1))</f>
        <v>15430.6708930279</v>
      </c>
      <c r="BF83" s="10" t="n">
        <f aca="false">IF(Flows!BF53*BF$3*BF$4&lt;0.002,100,MAX($CM$2/(Flows!BF53*BF$3*BF$4),1))</f>
        <v>100</v>
      </c>
      <c r="BG83" s="10" t="n">
        <f aca="false">IF(Flows!BG53*BG$3*BG$4&lt;0.002,100,MAX($CM$2/(Flows!BG53*BG$3*BG$4),1))</f>
        <v>1560.9326256439</v>
      </c>
      <c r="BH83" s="10" t="n">
        <f aca="false">IF(Flows!BH53*BH$3*BH$4&lt;0.002,100,MAX($CM$2/(Flows!BH53*BH$3*BH$4),1))</f>
        <v>780.466312821948</v>
      </c>
      <c r="BI83" s="10" t="n">
        <f aca="false">IF(Flows!BI53*BI$3*BI$4&lt;0.002,100,MAX($CM$2/(Flows!BI53*BI$3*BI$4),1))</f>
        <v>585.349734616461</v>
      </c>
      <c r="BJ83" s="10" t="n">
        <f aca="false">IF(Flows!BJ53*BJ$3*BJ$4&lt;0.002,100,MAX($CM$2/(Flows!BJ53*BJ$3*BJ$4),1))</f>
        <v>6.32813844642848</v>
      </c>
      <c r="BK83" s="10" t="n">
        <f aca="false">IF(Flows!BK53*BK$3*BK$4&lt;0.002,100,MAX($CM$2/(Flows!BK53*BK$3*BK$4),1))</f>
        <v>1170.69946923292</v>
      </c>
      <c r="BL83" s="10" t="n">
        <f aca="false">IF(Flows!BL53*BL$3*BL$4&lt;0.002,100,MAX($CM$2/(Flows!BL53*BL$3*BL$4),1))</f>
        <v>157.261114188777</v>
      </c>
      <c r="BM83" s="10" t="n">
        <f aca="false">IF(Flows!BM53*BM$3*BM$4&lt;0.002,100,MAX($CM$2/(Flows!BM53*BM$3*BM$4),1))</f>
        <v>88.1808422822463</v>
      </c>
      <c r="BN83" s="10" t="n">
        <f aca="false">IF(Flows!BN53*BN$3*BN$4&lt;0.002,100,MAX($CM$2/(Flows!BN53*BN$3*BN$4),1))</f>
        <v>3208083.05149239</v>
      </c>
      <c r="BO83" s="10" t="n">
        <f aca="false">IF(Flows!BO53*BO$3*BO$4&lt;0.002,100,MAX($CM$2/(Flows!BO53*BO$3*BO$4),1))</f>
        <v>149.938684602026</v>
      </c>
      <c r="BP83" s="10" t="n">
        <f aca="false">IF(Flows!BP53*BP$3*BP$4&lt;0.002,100,MAX($CM$2/(Flows!BP53*BP$3*BP$4),1))</f>
        <v>193.113556145955</v>
      </c>
      <c r="BQ83" s="10" t="n">
        <f aca="false">IF(Flows!BQ53*BQ$3*BQ$4&lt;0.002,100,MAX($CM$2/(Flows!BQ53*BQ$3*BQ$4),1))</f>
        <v>4935512.38691138</v>
      </c>
      <c r="BR83" s="10" t="n">
        <f aca="false">IF(Flows!BR53*BR$3*BR$4&lt;0.002,100,MAX($CM$2/(Flows!BR53*BR$3*BR$4),1))</f>
        <v>4498.15886427909</v>
      </c>
      <c r="BS83" s="10" t="n">
        <f aca="false">IF(Flows!BS53*BS$3*BS$4&lt;0.002,100,MAX($CM$2/(Flows!BS53*BS$3*BS$4),1))</f>
        <v>44981.5886427909</v>
      </c>
      <c r="BT83" s="10" t="n">
        <f aca="false">IF(Flows!BT53*BT$3*BT$4&lt;0.002,100,MAX($CM$2/(Flows!BT53*BT$3*BT$4),1))</f>
        <v>19.9515124309831</v>
      </c>
      <c r="BU83" s="10" t="n">
        <f aca="false">IF(Flows!BU53*BU$3*BU$4&lt;0.002,100,MAX($CM$2/(Flows!BU53*BU$3*BU$4),1))</f>
        <v>199.515124309831</v>
      </c>
      <c r="BV83" s="10" t="n">
        <f aca="false">IF(Flows!BV53*BV$3*BV$4&lt;0.002,100,MAX($CM$2/(Flows!BV53*BV$3*BV$4),1))</f>
        <v>1995.15124309831</v>
      </c>
      <c r="BW83" s="10" t="n">
        <f aca="false">IF(Flows!BW53*BW$3*BW$4&lt;0.002,100,MAX($CM$2/(Flows!BW53*BW$3*BW$4),1))</f>
        <v>101.729185717147</v>
      </c>
      <c r="BX83" s="10" t="n">
        <f aca="false">IF(Flows!BX53*BX$3*BX$4&lt;0.002,100,MAX($CM$2/(Flows!BX53*BX$3*BX$4),1))</f>
        <v>20.2348796486045</v>
      </c>
      <c r="BY83" s="10" t="n">
        <f aca="false">IF(Flows!BY53*BY$3*BY$4&lt;0.002,100,MAX($CM$2/(Flows!BY53*BY$3*BY$4),1))</f>
        <v>58.5289107621226</v>
      </c>
      <c r="BZ83" s="10" t="n">
        <f aca="false">IF(Flows!BZ53*BZ$3*BZ$4&lt;0.002,100,MAX($CM$2/(Flows!BZ53*BZ$3*BZ$4),1))</f>
        <v>35557.9810865648</v>
      </c>
      <c r="CA83" s="10" t="n">
        <f aca="false">IF(Flows!CA53*CA$3*CA$4&lt;0.002,100,MAX($CM$2/(Flows!CA53*CA$3*CA$4),1))</f>
        <v>56570.5453623245</v>
      </c>
      <c r="CB83" s="10" t="n">
        <f aca="false">IF(Flows!CB53*CB$3*CB$4&lt;0.002,100,MAX($CM$2/(Flows!CB53*CB$3*CB$4),1))</f>
        <v>112.879746967657</v>
      </c>
      <c r="CC83" s="10" t="n">
        <f aca="false">IF(Flows!CC53*CC$3*CC$4&lt;0.002,100,MAX($CM$2/(Flows!CC53*CC$3*CC$4),1))</f>
        <v>11.4456139114662</v>
      </c>
      <c r="CD83" s="10" t="n">
        <f aca="false">IF(Flows!CD53*CD$3*CD$4&lt;0.002,100,MAX($CM$2/(Flows!CD53*CD$3*CD$4),1))</f>
        <v>406.660912220931</v>
      </c>
      <c r="CE83" s="10" t="n">
        <f aca="false">IF(Flows!CE53*CE$3*CE$4&lt;0.002,100,MAX($CM$2/(Flows!CE53*CE$3*CE$4),1))</f>
        <v>122.672154666182</v>
      </c>
      <c r="CF83" s="10" t="n">
        <f aca="false">IF(Flows!CF53*CF$3*CF$4&lt;0.002,100,MAX($CM$2/(Flows!CF53*CF$3*CF$4),1))</f>
        <v>1</v>
      </c>
      <c r="CG83" s="10" t="n">
        <f aca="false">IF(Flows!CG53*CG$3*CG$4&lt;0.002,100,MAX($CM$2/(Flows!CG53*CG$3*CG$4),1))</f>
        <v>112.971023037213</v>
      </c>
      <c r="CH83" s="10" t="n">
        <f aca="false">IF(Flows!CH53*CH$3*CH$4&lt;0.002,100,MAX($CM$2/(Flows!CH53*CH$3*CH$4),1))</f>
        <v>40.001114063164</v>
      </c>
      <c r="CI83" s="10" t="n">
        <f aca="false">IF(Flows!CI53*CI$3*CI$4&lt;0.002,100,MAX($CM$2/(Flows!CI53*CI$3*CI$4),1))</f>
        <v>462.494088499529</v>
      </c>
      <c r="CJ83" s="10" t="n">
        <f aca="false">IF(Flows!CJ53*CJ$3*CJ$4&lt;0.002,100,MAX($CM$2/(Flows!CJ53*CJ$3*CJ$4),1))</f>
        <v>4292.95977098777</v>
      </c>
      <c r="CK83" s="10" t="n">
        <f aca="false">IF(Flows!CK53*CK$3*CK$4&lt;0.002,100,MAX($CM$2/(Flows!CK53*CK$3*CK$4),1))</f>
        <v>2213.54567219239</v>
      </c>
      <c r="CL83" s="7" t="s">
        <v>39</v>
      </c>
    </row>
    <row r="84" customFormat="false" ht="12.8" hidden="false" customHeight="false" outlineLevel="0" collapsed="false">
      <c r="B84" s="7" t="s">
        <v>39</v>
      </c>
      <c r="CL84" s="7" t="s">
        <v>39</v>
      </c>
    </row>
    <row r="85" customFormat="false" ht="12.8" hidden="false" customHeight="false" outlineLevel="0" collapsed="false">
      <c r="B85" s="7" t="s">
        <v>39</v>
      </c>
      <c r="CL85" s="7" t="s">
        <v>39</v>
      </c>
    </row>
    <row r="86" customFormat="false" ht="12.8" hidden="false" customHeight="false" outlineLevel="0" collapsed="false">
      <c r="B86" s="7" t="s">
        <v>39</v>
      </c>
      <c r="CL86" s="7" t="s">
        <v>39</v>
      </c>
    </row>
    <row r="87" customFormat="false" ht="12.8" hidden="false" customHeight="false" outlineLevel="0" collapsed="false">
      <c r="B87" s="7" t="s">
        <v>39</v>
      </c>
      <c r="CL87" s="7" t="s">
        <v>39</v>
      </c>
    </row>
    <row r="88" customFormat="false" ht="12.8" hidden="false" customHeight="false" outlineLevel="0" collapsed="false">
      <c r="B88" s="7" t="s">
        <v>39</v>
      </c>
      <c r="CL88" s="7" t="s">
        <v>39</v>
      </c>
    </row>
    <row r="89" customFormat="false" ht="12.8" hidden="false" customHeight="false" outlineLevel="0" collapsed="false">
      <c r="B89" s="7" t="s">
        <v>39</v>
      </c>
      <c r="CL89" s="7" t="s">
        <v>39</v>
      </c>
      <c r="CX89" s="1" t="s">
        <v>408</v>
      </c>
      <c r="DD89" s="1" t="s">
        <v>409</v>
      </c>
    </row>
    <row r="90" customFormat="false" ht="12.8" hidden="false" customHeight="false" outlineLevel="0" collapsed="false">
      <c r="A90" s="7" t="s">
        <v>426</v>
      </c>
      <c r="B90" s="7" t="s">
        <v>39</v>
      </c>
      <c r="C90" s="19" t="n">
        <v>1</v>
      </c>
      <c r="D90" s="19" t="n">
        <v>2</v>
      </c>
      <c r="E90" s="19" t="n">
        <v>3</v>
      </c>
      <c r="F90" s="19" t="n">
        <v>4</v>
      </c>
      <c r="G90" s="19" t="n">
        <v>5</v>
      </c>
      <c r="H90" s="19" t="n">
        <v>6</v>
      </c>
      <c r="I90" s="19" t="n">
        <v>7</v>
      </c>
      <c r="J90" s="19" t="n">
        <v>8</v>
      </c>
      <c r="K90" s="19" t="n">
        <v>9</v>
      </c>
      <c r="L90" s="19" t="n">
        <v>10</v>
      </c>
      <c r="M90" s="19" t="n">
        <v>11</v>
      </c>
      <c r="N90" s="19" t="n">
        <v>12</v>
      </c>
      <c r="O90" s="19" t="n">
        <v>13</v>
      </c>
      <c r="P90" s="19" t="n">
        <v>14</v>
      </c>
      <c r="Q90" s="19" t="n">
        <v>15</v>
      </c>
      <c r="R90" s="19" t="n">
        <v>16</v>
      </c>
      <c r="S90" s="19" t="n">
        <v>17</v>
      </c>
      <c r="T90" s="19" t="n">
        <v>18</v>
      </c>
      <c r="U90" s="19" t="n">
        <v>19</v>
      </c>
      <c r="V90" s="19" t="n">
        <v>20</v>
      </c>
      <c r="W90" s="19" t="n">
        <v>21</v>
      </c>
      <c r="X90" s="19" t="n">
        <v>22</v>
      </c>
      <c r="Y90" s="19" t="n">
        <v>23</v>
      </c>
      <c r="Z90" s="19" t="n">
        <v>24</v>
      </c>
      <c r="AA90" s="19" t="n">
        <v>25</v>
      </c>
      <c r="AB90" s="19" t="n">
        <v>26</v>
      </c>
      <c r="AC90" s="19" t="n">
        <v>27</v>
      </c>
      <c r="AD90" s="19" t="n">
        <v>28</v>
      </c>
      <c r="AE90" s="19" t="n">
        <v>29</v>
      </c>
      <c r="AF90" s="19" t="n">
        <v>30</v>
      </c>
      <c r="AG90" s="19" t="n">
        <v>31</v>
      </c>
      <c r="AH90" s="19" t="n">
        <v>32</v>
      </c>
      <c r="AI90" s="19" t="n">
        <v>33</v>
      </c>
      <c r="AJ90" s="19" t="n">
        <v>34</v>
      </c>
      <c r="AK90" s="19" t="n">
        <v>35</v>
      </c>
      <c r="AL90" s="19" t="n">
        <v>36</v>
      </c>
      <c r="AM90" s="19" t="n">
        <v>37</v>
      </c>
      <c r="AN90" s="19" t="n">
        <v>38</v>
      </c>
      <c r="AO90" s="19" t="n">
        <v>39</v>
      </c>
      <c r="AP90" s="19" t="n">
        <v>40</v>
      </c>
      <c r="AQ90" s="19" t="n">
        <v>41</v>
      </c>
      <c r="AR90" s="19" t="n">
        <v>42</v>
      </c>
      <c r="AS90" s="19" t="n">
        <v>43</v>
      </c>
      <c r="AT90" s="19" t="n">
        <v>44</v>
      </c>
      <c r="AU90" s="19" t="n">
        <v>45</v>
      </c>
      <c r="AV90" s="19" t="n">
        <v>46</v>
      </c>
      <c r="AW90" s="19" t="n">
        <v>47</v>
      </c>
      <c r="AX90" s="19" t="n">
        <v>48</v>
      </c>
      <c r="AY90" s="19" t="n">
        <v>49</v>
      </c>
      <c r="AZ90" s="19" t="n">
        <v>50</v>
      </c>
      <c r="BA90" s="19" t="n">
        <v>51</v>
      </c>
      <c r="BB90" s="19" t="n">
        <v>52</v>
      </c>
      <c r="BC90" s="19" t="n">
        <v>53</v>
      </c>
      <c r="BD90" s="19" t="n">
        <v>54</v>
      </c>
      <c r="BE90" s="19" t="n">
        <v>55</v>
      </c>
      <c r="BF90" s="19" t="n">
        <v>56</v>
      </c>
      <c r="BG90" s="19" t="n">
        <v>57</v>
      </c>
      <c r="BH90" s="19" t="n">
        <v>58</v>
      </c>
      <c r="BI90" s="19" t="n">
        <v>59</v>
      </c>
      <c r="BJ90" s="19" t="n">
        <v>60</v>
      </c>
      <c r="BK90" s="19" t="n">
        <v>61</v>
      </c>
      <c r="BL90" s="19" t="n">
        <v>62</v>
      </c>
      <c r="BM90" s="19" t="n">
        <v>63</v>
      </c>
      <c r="BN90" s="19" t="n">
        <v>64</v>
      </c>
      <c r="BO90" s="19" t="n">
        <v>65</v>
      </c>
      <c r="BP90" s="19" t="n">
        <v>66</v>
      </c>
      <c r="BQ90" s="19" t="n">
        <v>67</v>
      </c>
      <c r="BR90" s="19" t="n">
        <v>68</v>
      </c>
      <c r="BS90" s="19" t="n">
        <v>69</v>
      </c>
      <c r="BT90" s="19" t="n">
        <v>70</v>
      </c>
      <c r="BU90" s="19" t="n">
        <v>71</v>
      </c>
      <c r="BV90" s="19" t="n">
        <v>72</v>
      </c>
      <c r="BW90" s="19" t="n">
        <v>73</v>
      </c>
      <c r="BX90" s="19" t="n">
        <v>74</v>
      </c>
      <c r="BY90" s="19" t="n">
        <v>75</v>
      </c>
      <c r="BZ90" s="19" t="n">
        <v>76</v>
      </c>
      <c r="CA90" s="19" t="n">
        <v>77</v>
      </c>
      <c r="CB90" s="19" t="n">
        <v>78</v>
      </c>
      <c r="CC90" s="19" t="n">
        <v>79</v>
      </c>
      <c r="CD90" s="19" t="n">
        <v>80</v>
      </c>
      <c r="CE90" s="19" t="n">
        <v>81</v>
      </c>
      <c r="CF90" s="19" t="n">
        <v>82</v>
      </c>
      <c r="CG90" s="19" t="n">
        <v>83</v>
      </c>
      <c r="CH90" s="19" t="n">
        <v>84</v>
      </c>
      <c r="CI90" s="19" t="n">
        <v>85</v>
      </c>
      <c r="CJ90" s="19" t="n">
        <v>86</v>
      </c>
      <c r="CK90" s="19" t="n">
        <v>87</v>
      </c>
      <c r="CL90" s="7" t="s">
        <v>39</v>
      </c>
      <c r="CM90" s="1" t="s">
        <v>411</v>
      </c>
      <c r="CN90" s="1" t="s">
        <v>412</v>
      </c>
      <c r="CO90" s="1" t="s">
        <v>413</v>
      </c>
      <c r="CP90" s="1" t="s">
        <v>414</v>
      </c>
      <c r="CQ90" s="1" t="s">
        <v>415</v>
      </c>
      <c r="CR90" s="1" t="s">
        <v>416</v>
      </c>
      <c r="CS90" s="1" t="s">
        <v>417</v>
      </c>
      <c r="CT90" s="1" t="s">
        <v>418</v>
      </c>
      <c r="CU90" s="1" t="s">
        <v>282</v>
      </c>
      <c r="CV90" s="1" t="s">
        <v>419</v>
      </c>
      <c r="CX90" s="1" t="s">
        <v>427</v>
      </c>
      <c r="CY90" s="1" t="s">
        <v>428</v>
      </c>
      <c r="CZ90" s="1" t="s">
        <v>429</v>
      </c>
      <c r="DA90" s="1" t="s">
        <v>430</v>
      </c>
      <c r="DB90" s="1" t="s">
        <v>431</v>
      </c>
      <c r="DD90" s="1" t="s">
        <v>427</v>
      </c>
      <c r="DE90" s="1" t="s">
        <v>428</v>
      </c>
      <c r="DF90" s="1" t="s">
        <v>429</v>
      </c>
      <c r="DG90" s="1" t="s">
        <v>430</v>
      </c>
      <c r="DH90" s="1" t="s">
        <v>431</v>
      </c>
    </row>
    <row r="91" customFormat="false" ht="12.8" hidden="false" customHeight="false" outlineLevel="0" collapsed="false">
      <c r="A91" s="7" t="s">
        <v>131</v>
      </c>
      <c r="B91" s="7" t="s">
        <v>39</v>
      </c>
      <c r="C91" s="10" t="n">
        <f aca="false">MAX(-Flows!C61*C$4*C6/100,0)</f>
        <v>34062123.8679153</v>
      </c>
      <c r="D91" s="10" t="n">
        <f aca="false">MAX(-Flows!D61*D$4*D6/100,0)</f>
        <v>34977794.1113975</v>
      </c>
      <c r="E91" s="10" t="n">
        <f aca="false">MAX(-Flows!E61*E$4*E6/100,0)</f>
        <v>48449630.6647224</v>
      </c>
      <c r="F91" s="10" t="n">
        <f aca="false">MAX(-Flows!F61*F$4*F6/100,0)</f>
        <v>0</v>
      </c>
      <c r="G91" s="10" t="n">
        <f aca="false">MAX(-Flows!G61*G$4*G6/100,0)</f>
        <v>35180676.6963992</v>
      </c>
      <c r="H91" s="10" t="n">
        <f aca="false">MAX(-Flows!H61*H$4*H6/100,0)</f>
        <v>31076695.7464647</v>
      </c>
      <c r="I91" s="10" t="n">
        <f aca="false">MAX(-Flows!I61*I$4*I6/100,0)</f>
        <v>0</v>
      </c>
      <c r="J91" s="10" t="n">
        <f aca="false">MAX(-Flows!J61*J$4*J6/100,0)</f>
        <v>5710752.51059765</v>
      </c>
      <c r="K91" s="10" t="n">
        <f aca="false">MAX(-Flows!K61*K$4*K6/100,0)</f>
        <v>0</v>
      </c>
      <c r="L91" s="10" t="n">
        <f aca="false">MAX(-Flows!L61*L$4*L6/100,0)</f>
        <v>0</v>
      </c>
      <c r="M91" s="10" t="n">
        <f aca="false">MAX(-Flows!M61*M$4*M6/100,0)</f>
        <v>0</v>
      </c>
      <c r="N91" s="10" t="n">
        <f aca="false">MAX(-Flows!N61*N$4*N6/100,0)</f>
        <v>33146132.6398462</v>
      </c>
      <c r="O91" s="10" t="n">
        <f aca="false">MAX(-Flows!O61*O$4*O6/100,0)</f>
        <v>0</v>
      </c>
      <c r="P91" s="10" t="n">
        <f aca="false">MAX(-Flows!P61*P$4*P6/100,0)</f>
        <v>0</v>
      </c>
      <c r="Q91" s="10" t="n">
        <f aca="false">MAX(-Flows!Q61*Q$4*Q6/100,0)</f>
        <v>361527085.54392</v>
      </c>
      <c r="R91" s="10" t="n">
        <f aca="false">MAX(-Flows!R61*R$4*R6/100,0)</f>
        <v>44596191.8936851</v>
      </c>
      <c r="S91" s="10" t="n">
        <f aca="false">MAX(-Flows!S61*S$4*S6/100,0)</f>
        <v>0</v>
      </c>
      <c r="T91" s="10" t="n">
        <f aca="false">MAX(-Flows!T61*T$4*T6/100,0)</f>
        <v>0</v>
      </c>
      <c r="U91" s="10" t="n">
        <f aca="false">MAX(-Flows!U61*U$4*U6/100,0)</f>
        <v>0</v>
      </c>
      <c r="V91" s="10" t="n">
        <f aca="false">MAX(-Flows!V61*V$4*V6/100,0)</f>
        <v>106744334.16692</v>
      </c>
      <c r="W91" s="10" t="n">
        <f aca="false">MAX(-Flows!W61*W$4*W6/100,0)</f>
        <v>24201310.5744226</v>
      </c>
      <c r="X91" s="10" t="n">
        <f aca="false">MAX(-Flows!X61*X$4*X6/100,0)</f>
        <v>185543882.373663</v>
      </c>
      <c r="Y91" s="10" t="n">
        <f aca="false">MAX(-Flows!Y61*Y$4*Y6/100,0)</f>
        <v>0</v>
      </c>
      <c r="Z91" s="10" t="n">
        <f aca="false">MAX(-Flows!Z61*Z$4*Z6/100,0)</f>
        <v>0</v>
      </c>
      <c r="AA91" s="10" t="n">
        <f aca="false">MAX(-Flows!AA61*AA$4*AA6/100,0)</f>
        <v>165909.573608073</v>
      </c>
      <c r="AB91" s="10" t="n">
        <f aca="false">MAX(-Flows!AB61*AB$4*AB6/100,0)</f>
        <v>1135435.79715337</v>
      </c>
      <c r="AC91" s="10" t="n">
        <f aca="false">MAX(-Flows!AC61*AC$4*AC6/100,0)</f>
        <v>0</v>
      </c>
      <c r="AD91" s="10" t="n">
        <f aca="false">MAX(-Flows!AD61*AD$4*AD6/100,0)</f>
        <v>567717.898576684</v>
      </c>
      <c r="AE91" s="10" t="n">
        <f aca="false">MAX(-Flows!AE61*AE$4*AE6/100,0)</f>
        <v>8332713.04388283</v>
      </c>
      <c r="AF91" s="10" t="n">
        <f aca="false">MAX(-Flows!AF61*AF$4*AF6/100,0)</f>
        <v>27452918.7176968</v>
      </c>
      <c r="AG91" s="10" t="n">
        <f aca="false">MAX(-Flows!AG61*AG$4*AG6/100,0)</f>
        <v>29116516.8662813</v>
      </c>
      <c r="AH91" s="10" t="n">
        <f aca="false">MAX(-Flows!AH61*AH$4*AH6/100,0)</f>
        <v>104280544.917894</v>
      </c>
      <c r="AI91" s="10" t="n">
        <f aca="false">MAX(-Flows!AI61*AI$4*AI6/100,0)</f>
        <v>115366934.609354</v>
      </c>
      <c r="AJ91" s="10" t="n">
        <f aca="false">MAX(-Flows!AJ61*AJ$4*AJ6/100,0)</f>
        <v>89791897.137935</v>
      </c>
      <c r="AK91" s="10" t="n">
        <f aca="false">MAX(-Flows!AK61*AK$4*AK6/100,0)</f>
        <v>65835350.4764276</v>
      </c>
      <c r="AL91" s="10" t="n">
        <f aca="false">MAX(-Flows!AL61*AL$4*AL6/100,0)</f>
        <v>84282769.1565566</v>
      </c>
      <c r="AM91" s="10" t="n">
        <f aca="false">MAX(-Flows!AM61*AM$4*AM6/100,0)</f>
        <v>3309690.94493407</v>
      </c>
      <c r="AN91" s="10" t="n">
        <f aca="false">MAX(-Flows!AN61*AN$4*AN6/100,0)</f>
        <v>0</v>
      </c>
      <c r="AO91" s="10" t="n">
        <f aca="false">MAX(-Flows!AO61*AO$4*AO6/100,0)</f>
        <v>0</v>
      </c>
      <c r="AP91" s="10" t="n">
        <f aca="false">MAX(-Flows!AP61*AP$4*AP6/100,0)</f>
        <v>75409587.5408905</v>
      </c>
      <c r="AQ91" s="10" t="n">
        <f aca="false">MAX(-Flows!AQ61*AQ$4*AQ6/100,0)</f>
        <v>14460552.4546865</v>
      </c>
      <c r="AR91" s="10" t="n">
        <f aca="false">MAX(-Flows!AR61*AR$4*AR6/100,0)</f>
        <v>46685959.9519765</v>
      </c>
      <c r="AS91" s="10" t="n">
        <f aca="false">MAX(-Flows!AS61*AS$4*AS6/100,0)</f>
        <v>0</v>
      </c>
      <c r="AT91" s="10" t="n">
        <f aca="false">MAX(-Flows!AT61*AT$4*AT6/100,0)</f>
        <v>15932626.5956358</v>
      </c>
      <c r="AU91" s="10" t="n">
        <f aca="false">MAX(-Flows!AU61*AU$4*AU6/100,0)</f>
        <v>119599770.928158</v>
      </c>
      <c r="AV91" s="10" t="n">
        <f aca="false">MAX(-Flows!AV61*AV$4*AV6/100,0)</f>
        <v>95137398.7221041</v>
      </c>
      <c r="AW91" s="10" t="n">
        <f aca="false">MAX(-Flows!AW61*AW$4*AW6/100,0)</f>
        <v>0</v>
      </c>
      <c r="AX91" s="10" t="n">
        <f aca="false">MAX(-Flows!AX61*AX$4*AX6/100,0)</f>
        <v>35697315.7416584</v>
      </c>
      <c r="AY91" s="10" t="n">
        <f aca="false">MAX(-Flows!AY61*AY$4*AY6/100,0)</f>
        <v>4604188.11386838</v>
      </c>
      <c r="AZ91" s="10" t="n">
        <f aca="false">MAX(-Flows!AZ61*AZ$4*AZ6/100,0)</f>
        <v>9396116.56935389</v>
      </c>
      <c r="BA91" s="10" t="n">
        <f aca="false">MAX(-Flows!BA61*BA$4*BA6/100,0)</f>
        <v>0</v>
      </c>
      <c r="BB91" s="10" t="n">
        <f aca="false">MAX(-Flows!BB61*BB$4*BB6/100,0)</f>
        <v>75453601.1346673</v>
      </c>
      <c r="BC91" s="10" t="n">
        <f aca="false">MAX(-Flows!BC61*BC$4*BC6/100,0)</f>
        <v>50041358.3958035</v>
      </c>
      <c r="BD91" s="10" t="n">
        <f aca="false">MAX(-Flows!BD61*BD$4*BD6/100,0)</f>
        <v>96384590.5884078</v>
      </c>
      <c r="BE91" s="10" t="n">
        <f aca="false">MAX(-Flows!BE61*BE$4*BE6/100,0)</f>
        <v>13854855.8144136</v>
      </c>
      <c r="BF91" s="10" t="n">
        <f aca="false">MAX(-Flows!BF61*BF$4*BF6/100,0)</f>
        <v>26455254.9320944</v>
      </c>
      <c r="BG91" s="10" t="n">
        <f aca="false">MAX(-Flows!BG61*BG$4*BG6/100,0)</f>
        <v>0</v>
      </c>
      <c r="BH91" s="10" t="n">
        <f aca="false">MAX(-Flows!BH61*BH$4*BH6/100,0)</f>
        <v>0</v>
      </c>
      <c r="BI91" s="10" t="n">
        <f aca="false">MAX(-Flows!BI61*BI$4*BI6/100,0)</f>
        <v>202353722.111987</v>
      </c>
      <c r="BJ91" s="10" t="n">
        <f aca="false">MAX(-Flows!BJ61*BJ$4*BJ6/100,0)</f>
        <v>202353722.111987</v>
      </c>
      <c r="BK91" s="10" t="n">
        <f aca="false">MAX(-Flows!BK61*BK$4*BK6/100,0)</f>
        <v>202353722.111987</v>
      </c>
      <c r="BL91" s="10" t="n">
        <f aca="false">MAX(-Flows!BL61*BL$4*BL6/100,0)</f>
        <v>36152708.554392</v>
      </c>
      <c r="BM91" s="10" t="n">
        <f aca="false">MAX(-Flows!BM61*BM$4*BM6/100,0)</f>
        <v>36152708.554392</v>
      </c>
      <c r="BN91" s="10" t="n">
        <f aca="false">MAX(-Flows!BN61*BN$4*BN6/100,0)</f>
        <v>0</v>
      </c>
      <c r="BO91" s="10" t="n">
        <f aca="false">MAX(-Flows!BO61*BO$4*BO6/100,0)</f>
        <v>15599071627354.1</v>
      </c>
      <c r="BP91" s="10" t="n">
        <f aca="false">MAX(-Flows!BP61*BP$4*BP6/100,0)</f>
        <v>7279567589951450</v>
      </c>
      <c r="BQ91" s="10" t="n">
        <f aca="false">MAX(-Flows!BQ61*BQ$4*BQ6/100,0)</f>
        <v>0</v>
      </c>
      <c r="BR91" s="10" t="n">
        <f aca="false">MAX(-Flows!BR61*BR$4*BR6/100,0)</f>
        <v>5199689345737.31</v>
      </c>
      <c r="BS91" s="10" t="n">
        <f aca="false">MAX(-Flows!BS61*BS$4*BS6/100,0)</f>
        <v>2599843775333.12</v>
      </c>
      <c r="BT91" s="10" t="n">
        <f aca="false">MAX(-Flows!BT61*BT$4*BT6/100,0)</f>
        <v>0</v>
      </c>
      <c r="BU91" s="10" t="n">
        <f aca="false">MAX(-Flows!BU61*BU$4*BU6/100,0)</f>
        <v>0</v>
      </c>
      <c r="BV91" s="10" t="n">
        <f aca="false">MAX(-Flows!BV61*BV$4*BV6/100,0)</f>
        <v>0</v>
      </c>
      <c r="BW91" s="10" t="n">
        <f aca="false">MAX(-Flows!BW61*BW$4*BW6/100,0)</f>
        <v>0</v>
      </c>
      <c r="BX91" s="10" t="n">
        <f aca="false">MAX(-Flows!BX61*BX$4*BX6/100,0)</f>
        <v>72305417.1087841</v>
      </c>
      <c r="BY91" s="10" t="n">
        <f aca="false">MAX(-Flows!BY61*BY$4*BY6/100,0)</f>
        <v>72305417.1087841</v>
      </c>
      <c r="BZ91" s="10" t="n">
        <f aca="false">MAX(-Flows!BZ61*BZ$4*BZ6/100,0)</f>
        <v>237775377.066252</v>
      </c>
      <c r="CA91" s="10" t="n">
        <f aca="false">MAX(-Flows!CA61*CA$4*CA6/100,0)</f>
        <v>237775377.066252</v>
      </c>
      <c r="CB91" s="10" t="n">
        <f aca="false">MAX(-Flows!CB61*CB$4*CB6/100,0)</f>
        <v>361527085.54392</v>
      </c>
      <c r="CC91" s="10" t="n">
        <f aca="false">MAX(-Flows!CC61*CC$4*CC6/100,0)</f>
        <v>10117686.1055993</v>
      </c>
      <c r="CD91" s="10" t="n">
        <f aca="false">MAX(-Flows!CD61*CD$4*CD6/100,0)</f>
        <v>0</v>
      </c>
      <c r="CE91" s="10" t="n">
        <f aca="false">MAX(-Flows!CE61*CE$4*CE6/100,0)</f>
        <v>10117686.1055993</v>
      </c>
      <c r="CF91" s="10" t="n">
        <f aca="false">MAX(-Flows!CF61*CF$4*CF6/100,0)</f>
        <v>20235372.2111987</v>
      </c>
      <c r="CG91" s="10" t="n">
        <f aca="false">MAX(-Flows!CG61*CG$4*CG6/100,0)</f>
        <v>77993572041.0556</v>
      </c>
      <c r="CH91" s="10" t="n">
        <f aca="false">MAX(-Flows!CH61*CH$4*CH6/100,0)</f>
        <v>77993572041.0556</v>
      </c>
      <c r="CI91" s="10" t="n">
        <f aca="false">MAX(-Flows!CI61*CI$4*CI6/100,0)</f>
        <v>180763542.77196</v>
      </c>
      <c r="CJ91" s="10" t="n">
        <f aca="false">MAX(-Flows!CJ61*CJ$4*CJ6/100,0)</f>
        <v>18076354.277196</v>
      </c>
      <c r="CK91" s="10" t="n">
        <f aca="false">MAX(-Flows!CK61*CK$4*CK6/100,0)</f>
        <v>18076354.277196</v>
      </c>
      <c r="CL91" s="7" t="s">
        <v>39</v>
      </c>
      <c r="CM91" s="10" t="n">
        <f aca="false">-CM31</f>
        <v>337298116.486029</v>
      </c>
      <c r="CN91" s="10" t="n">
        <f aca="false">-CN31</f>
        <v>918868690.109735</v>
      </c>
      <c r="CO91" s="10" t="n">
        <f aca="false">-CO31</f>
        <v>1135011853.70277</v>
      </c>
      <c r="CP91" s="10" t="n">
        <f aca="false">-CP31</f>
        <v>453622129.827789</v>
      </c>
      <c r="CQ91" s="10" t="n">
        <f aca="false">-CQ31</f>
        <v>908443798.737222</v>
      </c>
      <c r="CR91" s="10" t="n">
        <f aca="false">-CR31</f>
        <v>7303122207856660</v>
      </c>
      <c r="CS91" s="10" t="n">
        <f aca="false">-CS31</f>
        <v>170904936.314122</v>
      </c>
      <c r="CT91" s="10" t="n">
        <f aca="false">-CT31</f>
        <v>56388080.7655907</v>
      </c>
      <c r="CU91" s="10" t="n">
        <f aca="false">-CU31</f>
        <v>-66669132.3530421</v>
      </c>
      <c r="CV91" s="10" t="n">
        <f aca="false">-CV31</f>
        <v>1703153.69573005</v>
      </c>
      <c r="CX91" s="0" t="str">
        <f aca="false">INDEX($C$1:$CK$1,MATCH(LARGE($C91:$CK91,1),$C91:$CK91,0))</f>
        <v>Iron (lb)</v>
      </c>
      <c r="CY91" s="0" t="str">
        <f aca="false">INDEX($C$1:$CK$1,MATCH(LARGE($C91:$CK91,2),$C91:$CK91,0))</f>
        <v>Cu (lb)</v>
      </c>
      <c r="CZ91" s="0" t="str">
        <f aca="false">INDEX($C$1:$CK$1,MATCH(LARGE($C91:$CK91,3),$C91:$CK91,0))</f>
        <v>Ag (lb)</v>
      </c>
      <c r="DA91" s="0" t="str">
        <f aca="false">INDEX($C$1:$CK$1,MATCH(LARGE($C91:$CK91,4),$C91:$CK91,0))</f>
        <v>Au (lb)</v>
      </c>
      <c r="DB91" s="0" t="str">
        <f aca="false">INDEX($C$1:$CK$1,MATCH(LARGE($C91:$CK91,5),$C91:$CK91,0))</f>
        <v>Diamonds (lb)</v>
      </c>
      <c r="DD91" s="0" t="str">
        <f aca="false">IF(LARGE($CM91:$CV91,1)&gt;0,INDEX($CM$30:$CV$30,MATCH(LARGE($CM91:$CV91,1),$CM91:$CV91,0)),"N/A")</f>
        <v>Mineral</v>
      </c>
      <c r="DE91" s="0" t="str">
        <f aca="false">IF(LARGE($CM91:$CV91,2)&gt;0,INDEX($CM$30:$CV$30,MATCH(LARGE($CM91:$CV91,2),$CM91:$CV91,0)),"N/A")</f>
        <v>Food Prod</v>
      </c>
      <c r="DF91" s="0" t="str">
        <f aca="false">IF(LARGE($CM91:$CV91,3)&gt;0,INDEX($CM$30:$CV$30,MATCH(LARGE($CM91:$CV91,3),$CM91:$CV91,0)),"N/A")</f>
        <v>Animal</v>
      </c>
      <c r="DG91" s="0" t="str">
        <f aca="false">IF(LARGE($CM91:$CV91,4)&gt;0,INDEX($CM$30:$CV$30,MATCH(LARGE($CM91:$CV91,4),$CM91:$CV91,0)),"N/A")</f>
        <v>Tools</v>
      </c>
      <c r="DH91" s="0" t="str">
        <f aca="false">IF(LARGE($CM91:$CV91,5)&gt;0,INDEX($CM$30:$CV$30,MATCH(LARGE($CM91:$CV91,5),$CM91:$CV91,0)),"N/A")</f>
        <v>Textile</v>
      </c>
    </row>
    <row r="92" customFormat="false" ht="12.8" hidden="false" customHeight="false" outlineLevel="0" collapsed="false">
      <c r="A92" s="7" t="s">
        <v>133</v>
      </c>
      <c r="B92" s="7" t="s">
        <v>39</v>
      </c>
      <c r="C92" s="10" t="n">
        <f aca="false">MAX(-Flows!C62*C$4*C7/100,0)</f>
        <v>21209280.2156921</v>
      </c>
      <c r="D92" s="10" t="n">
        <f aca="false">MAX(-Flows!D62*D$4*D7/100,0)</f>
        <v>66110958.8459064</v>
      </c>
      <c r="E92" s="10" t="n">
        <f aca="false">MAX(-Flows!E62*E$4*E7/100,0)</f>
        <v>0</v>
      </c>
      <c r="F92" s="10" t="n">
        <f aca="false">MAX(-Flows!F62*F$4*F7/100,0)</f>
        <v>0</v>
      </c>
      <c r="G92" s="10" t="n">
        <f aca="false">MAX(-Flows!G62*G$4*G7/100,0)</f>
        <v>81296253.7979712</v>
      </c>
      <c r="H92" s="10" t="n">
        <f aca="false">MAX(-Flows!H62*H$4*H7/100,0)</f>
        <v>198379997.564215</v>
      </c>
      <c r="I92" s="10" t="n">
        <f aca="false">MAX(-Flows!I62*I$4*I7/100,0)</f>
        <v>39941381.1532923</v>
      </c>
      <c r="J92" s="10" t="n">
        <f aca="false">MAX(-Flows!J62*J$4*J7/100,0)</f>
        <v>30095576.2396641</v>
      </c>
      <c r="K92" s="10" t="n">
        <f aca="false">MAX(-Flows!K62*K$4*K7/100,0)</f>
        <v>0</v>
      </c>
      <c r="L92" s="10" t="n">
        <f aca="false">MAX(-Flows!L62*L$4*L7/100,0)</f>
        <v>0</v>
      </c>
      <c r="M92" s="10" t="n">
        <f aca="false">MAX(-Flows!M62*M$4*M7/100,0)</f>
        <v>0</v>
      </c>
      <c r="N92" s="10" t="n">
        <f aca="false">MAX(-Flows!N62*N$4*N7/100,0)</f>
        <v>45849709.7497034</v>
      </c>
      <c r="O92" s="10" t="n">
        <f aca="false">MAX(-Flows!O62*O$4*O7/100,0)</f>
        <v>0</v>
      </c>
      <c r="P92" s="10" t="n">
        <f aca="false">MAX(-Flows!P62*P$4*P7/100,0)</f>
        <v>0</v>
      </c>
      <c r="Q92" s="10" t="n">
        <f aca="false">MAX(-Flows!Q62*Q$4*Q7/100,0)</f>
        <v>148770091.601853</v>
      </c>
      <c r="R92" s="10" t="n">
        <f aca="false">MAX(-Flows!R62*R$4*R7/100,0)</f>
        <v>13829377.8796488</v>
      </c>
      <c r="S92" s="10" t="n">
        <f aca="false">MAX(-Flows!S62*S$4*S7/100,0)</f>
        <v>0</v>
      </c>
      <c r="T92" s="10" t="n">
        <f aca="false">MAX(-Flows!T62*T$4*T7/100,0)</f>
        <v>0</v>
      </c>
      <c r="U92" s="10" t="n">
        <f aca="false">MAX(-Flows!U62*U$4*U7/100,0)</f>
        <v>0</v>
      </c>
      <c r="V92" s="10" t="n">
        <f aca="false">MAX(-Flows!V62*V$4*V7/100,0)</f>
        <v>405327306.638691</v>
      </c>
      <c r="W92" s="10" t="n">
        <f aca="false">MAX(-Flows!W62*W$4*W7/100,0)</f>
        <v>286265666.497196</v>
      </c>
      <c r="X92" s="10" t="n">
        <f aca="false">MAX(-Flows!X62*X$4*X7/100,0)</f>
        <v>54513580.3845799</v>
      </c>
      <c r="Y92" s="10" t="n">
        <f aca="false">MAX(-Flows!Y62*Y$4*Y7/100,0)</f>
        <v>0</v>
      </c>
      <c r="Z92" s="10" t="n">
        <f aca="false">MAX(-Flows!Z62*Z$4*Z7/100,0)</f>
        <v>13147248.5125761</v>
      </c>
      <c r="AA92" s="10" t="n">
        <f aca="false">MAX(-Flows!AA62*AA$4*AA7/100,0)</f>
        <v>443724.500334049</v>
      </c>
      <c r="AB92" s="10" t="n">
        <f aca="false">MAX(-Flows!AB62*AB$4*AB7/100,0)</f>
        <v>2218365.71550395</v>
      </c>
      <c r="AC92" s="10" t="n">
        <f aca="false">MAX(-Flows!AC62*AC$4*AC7/100,0)</f>
        <v>0</v>
      </c>
      <c r="AD92" s="10" t="n">
        <f aca="false">MAX(-Flows!AD62*AD$4*AD7/100,0)</f>
        <v>1109182.85775197</v>
      </c>
      <c r="AE92" s="10" t="n">
        <f aca="false">MAX(-Flows!AE62*AE$4*AE7/100,0)</f>
        <v>20493343.0299246</v>
      </c>
      <c r="AF92" s="10" t="n">
        <f aca="false">MAX(-Flows!AF62*AF$4*AF7/100,0)</f>
        <v>3699439.38206392</v>
      </c>
      <c r="AG92" s="10" t="n">
        <f aca="false">MAX(-Flows!AG62*AG$4*AG7/100,0)</f>
        <v>56080584.6391025</v>
      </c>
      <c r="AH92" s="10" t="n">
        <f aca="false">MAX(-Flows!AH62*AH$4*AH7/100,0)</f>
        <v>18389065.3028075</v>
      </c>
      <c r="AI92" s="10" t="n">
        <f aca="false">MAX(-Flows!AI62*AI$4*AI7/100,0)</f>
        <v>63855882.3029874</v>
      </c>
      <c r="AJ92" s="10" t="n">
        <f aca="false">MAX(-Flows!AJ62*AJ$4*AJ7/100,0)</f>
        <v>0</v>
      </c>
      <c r="AK92" s="10" t="n">
        <f aca="false">MAX(-Flows!AK62*AK$4*AK7/100,0)</f>
        <v>21458562.6576752</v>
      </c>
      <c r="AL92" s="10" t="n">
        <f aca="false">MAX(-Flows!AL62*AL$4*AL7/100,0)</f>
        <v>0</v>
      </c>
      <c r="AM92" s="10" t="n">
        <f aca="false">MAX(-Flows!AM62*AM$4*AM7/100,0)</f>
        <v>33705719.2305054</v>
      </c>
      <c r="AN92" s="10" t="n">
        <f aca="false">MAX(-Flows!AN62*AN$4*AN7/100,0)</f>
        <v>60380444.2903424</v>
      </c>
      <c r="AO92" s="10" t="n">
        <f aca="false">MAX(-Flows!AO62*AO$4*AO7/100,0)</f>
        <v>0</v>
      </c>
      <c r="AP92" s="10" t="n">
        <f aca="false">MAX(-Flows!AP62*AP$4*AP7/100,0)</f>
        <v>47684792.9720839</v>
      </c>
      <c r="AQ92" s="10" t="n">
        <f aca="false">MAX(-Flows!AQ62*AQ$4*AQ7/100,0)</f>
        <v>69157440.2991174</v>
      </c>
      <c r="AR92" s="10" t="n">
        <f aca="false">MAX(-Flows!AR62*AR$4*AR7/100,0)</f>
        <v>14192464.7597002</v>
      </c>
      <c r="AS92" s="10" t="n">
        <f aca="false">MAX(-Flows!AS62*AS$4*AS7/100,0)</f>
        <v>21108848.9947511</v>
      </c>
      <c r="AT92" s="10" t="n">
        <f aca="false">MAX(-Flows!AT62*AT$4*AT7/100,0)</f>
        <v>39775666.7497295</v>
      </c>
      <c r="AU92" s="10" t="n">
        <f aca="false">MAX(-Flows!AU62*AU$4*AU7/100,0)</f>
        <v>0</v>
      </c>
      <c r="AV92" s="10" t="n">
        <f aca="false">MAX(-Flows!AV62*AV$4*AV7/100,0)</f>
        <v>66118917.1300584</v>
      </c>
      <c r="AW92" s="10" t="n">
        <f aca="false">MAX(-Flows!AW62*AW$4*AW7/100,0)</f>
        <v>0</v>
      </c>
      <c r="AX92" s="10" t="n">
        <f aca="false">MAX(-Flows!AX62*AX$4*AX7/100,0)</f>
        <v>2540166.96720298</v>
      </c>
      <c r="AY92" s="10" t="n">
        <f aca="false">MAX(-Flows!AY62*AY$4*AY7/100,0)</f>
        <v>0</v>
      </c>
      <c r="AZ92" s="10" t="n">
        <f aca="false">MAX(-Flows!AZ62*AZ$4*AZ7/100,0)</f>
        <v>4658044.92271965</v>
      </c>
      <c r="BA92" s="10" t="n">
        <f aca="false">MAX(-Flows!BA62*BA$4*BA7/100,0)</f>
        <v>0</v>
      </c>
      <c r="BB92" s="10" t="n">
        <f aca="false">MAX(-Flows!BB62*BB$4*BB7/100,0)</f>
        <v>1667972.50090988</v>
      </c>
      <c r="BC92" s="10" t="n">
        <f aca="false">MAX(-Flows!BC62*BC$4*BC7/100,0)</f>
        <v>5380655.73243205</v>
      </c>
      <c r="BD92" s="10" t="n">
        <f aca="false">MAX(-Flows!BD62*BD$4*BD7/100,0)</f>
        <v>0</v>
      </c>
      <c r="BE92" s="10" t="n">
        <f aca="false">MAX(-Flows!BE62*BE$4*BE7/100,0)</f>
        <v>27380047.3347576</v>
      </c>
      <c r="BF92" s="10" t="n">
        <f aca="false">MAX(-Flows!BF62*BF$4*BF7/100,0)</f>
        <v>38783042.7080133</v>
      </c>
      <c r="BG92" s="10" t="n">
        <f aca="false">MAX(-Flows!BG62*BG$4*BG7/100,0)</f>
        <v>15493884.6613971</v>
      </c>
      <c r="BH92" s="10" t="n">
        <f aca="false">MAX(-Flows!BH62*BH$4*BH7/100,0)</f>
        <v>34188731.9539367</v>
      </c>
      <c r="BI92" s="10" t="n">
        <f aca="false">MAX(-Flows!BI62*BI$4*BI7/100,0)</f>
        <v>14850080.8335149</v>
      </c>
      <c r="BJ92" s="10" t="n">
        <f aca="false">MAX(-Flows!BJ62*BJ$4*BJ7/100,0)</f>
        <v>14850080.8335148</v>
      </c>
      <c r="BK92" s="10" t="n">
        <f aca="false">MAX(-Flows!BK62*BK$4*BK7/100,0)</f>
        <v>14850080.8335149</v>
      </c>
      <c r="BL92" s="10" t="n">
        <f aca="false">MAX(-Flows!BL62*BL$4*BL7/100,0)</f>
        <v>14877009.1601853</v>
      </c>
      <c r="BM92" s="10" t="n">
        <f aca="false">MAX(-Flows!BM62*BM$4*BM7/100,0)</f>
        <v>14877009.1601853</v>
      </c>
      <c r="BN92" s="10" t="n">
        <f aca="false">MAX(-Flows!BN62*BN$4*BN7/100,0)</f>
        <v>0</v>
      </c>
      <c r="BO92" s="10" t="n">
        <f aca="false">MAX(-Flows!BO62*BO$4*BO7/100,0)</f>
        <v>0</v>
      </c>
      <c r="BP92" s="10" t="n">
        <f aca="false">MAX(-Flows!BP62*BP$4*BP7/100,0)</f>
        <v>0</v>
      </c>
      <c r="BQ92" s="10" t="n">
        <f aca="false">MAX(-Flows!BQ62*BQ$4*BQ7/100,0)</f>
        <v>0</v>
      </c>
      <c r="BR92" s="10" t="n">
        <f aca="false">MAX(-Flows!BR62*BR$4*BR7/100,0)</f>
        <v>0</v>
      </c>
      <c r="BS92" s="10" t="n">
        <f aca="false">MAX(-Flows!BS62*BS$4*BS7/100,0)</f>
        <v>0</v>
      </c>
      <c r="BT92" s="10" t="n">
        <f aca="false">MAX(-Flows!BT62*BT$4*BT7/100,0)</f>
        <v>0</v>
      </c>
      <c r="BU92" s="10" t="n">
        <f aca="false">MAX(-Flows!BU62*BU$4*BU7/100,0)</f>
        <v>0</v>
      </c>
      <c r="BV92" s="10" t="n">
        <f aca="false">MAX(-Flows!BV62*BV$4*BV7/100,0)</f>
        <v>0</v>
      </c>
      <c r="BW92" s="10" t="n">
        <f aca="false">MAX(-Flows!BW62*BW$4*BW7/100,0)</f>
        <v>0</v>
      </c>
      <c r="BX92" s="10" t="n">
        <f aca="false">MAX(-Flows!BX62*BX$4*BX7/100,0)</f>
        <v>29754018.3203706</v>
      </c>
      <c r="BY92" s="10" t="n">
        <f aca="false">MAX(-Flows!BY62*BY$4*BY7/100,0)</f>
        <v>29754018.3203706</v>
      </c>
      <c r="BZ92" s="10" t="n">
        <f aca="false">MAX(-Flows!BZ62*BZ$4*BZ7/100,0)</f>
        <v>32093369.5976779</v>
      </c>
      <c r="CA92" s="10" t="n">
        <f aca="false">MAX(-Flows!CA62*CA$4*CA7/100,0)</f>
        <v>32093369.5976779</v>
      </c>
      <c r="CB92" s="10" t="n">
        <f aca="false">MAX(-Flows!CB62*CB$4*CB7/100,0)</f>
        <v>148770091.601853</v>
      </c>
      <c r="CC92" s="10" t="n">
        <f aca="false">MAX(-Flows!CC62*CC$4*CC7/100,0)</f>
        <v>742504.041675742</v>
      </c>
      <c r="CD92" s="10" t="n">
        <f aca="false">MAX(-Flows!CD62*CD$4*CD7/100,0)</f>
        <v>0</v>
      </c>
      <c r="CE92" s="10" t="n">
        <f aca="false">MAX(-Flows!CE62*CE$4*CE7/100,0)</f>
        <v>742504.041675743</v>
      </c>
      <c r="CF92" s="10" t="n">
        <f aca="false">MAX(-Flows!CF62*CF$4*CF7/100,0)</f>
        <v>3262233.05392352</v>
      </c>
      <c r="CG92" s="10" t="n">
        <f aca="false">MAX(-Flows!CG62*CG$4*CG7/100,0)</f>
        <v>0</v>
      </c>
      <c r="CH92" s="10" t="n">
        <f aca="false">MAX(-Flows!CH62*CH$4*CH7/100,0)</f>
        <v>0</v>
      </c>
      <c r="CI92" s="10" t="n">
        <f aca="false">MAX(-Flows!CI62*CI$4*CI7/100,0)</f>
        <v>74385045.8009265</v>
      </c>
      <c r="CJ92" s="10" t="n">
        <f aca="false">MAX(-Flows!CJ62*CJ$4*CJ7/100,0)</f>
        <v>7438504.58009265</v>
      </c>
      <c r="CK92" s="10" t="n">
        <f aca="false">MAX(-Flows!CK62*CK$4*CK7/100,0)</f>
        <v>7438504.58009265</v>
      </c>
      <c r="CL92" s="7" t="s">
        <v>39</v>
      </c>
      <c r="CM92" s="10" t="n">
        <f aca="false">-CM32</f>
        <v>239723155.429829</v>
      </c>
      <c r="CN92" s="10" t="n">
        <f aca="false">-CN32</f>
        <v>180424877.751181</v>
      </c>
      <c r="CO92" s="10" t="n">
        <f aca="false">-CO32</f>
        <v>1039021895.26845</v>
      </c>
      <c r="CP92" s="10" t="n">
        <f aca="false">-CP32</f>
        <v>268564360.316997</v>
      </c>
      <c r="CQ92" s="10" t="n">
        <f aca="false">-CQ32</f>
        <v>510741681.048064</v>
      </c>
      <c r="CR92" s="10" t="n">
        <f aca="false">-CR32</f>
        <v>5186246.09381799</v>
      </c>
      <c r="CS92" s="10" t="n">
        <f aca="false">-CS32</f>
        <v>46089411.3036898</v>
      </c>
      <c r="CT92" s="10" t="n">
        <f aca="false">-CT32</f>
        <v>18139242.2141088</v>
      </c>
      <c r="CU92" s="10" t="n">
        <f aca="false">-CU32</f>
        <v>70036957.3929564</v>
      </c>
      <c r="CV92" s="10" t="n">
        <f aca="false">-CV32</f>
        <v>3327548.57325592</v>
      </c>
      <c r="CX92" s="0" t="str">
        <f aca="false">INDEX($C$1:$CK$1,MATCH(LARGE($C92:$CK92,1),$C92:$CK92,0))</f>
        <v>Cider (gal)</v>
      </c>
      <c r="CY92" s="0" t="str">
        <f aca="false">INDEX($C$1:$CK$1,MATCH(LARGE($C92:$CK92,2),$C92:$CK92,0))</f>
        <v>Sauce (lb)</v>
      </c>
      <c r="CZ92" s="0" t="str">
        <f aca="false">INDEX($C$1:$CK$1,MATCH(LARGE($C92:$CK92,3),$C92:$CK92,0))</f>
        <v>Jax (lb)</v>
      </c>
      <c r="DA92" s="0" t="str">
        <f aca="false">INDEX($C$1:$CK$1,MATCH(LARGE($C92:$CK92,4),$C92:$CK92,0))</f>
        <v>Veg Oil (lb)</v>
      </c>
      <c r="DB92" s="27" t="s">
        <v>399</v>
      </c>
      <c r="DD92" s="0" t="str">
        <f aca="false">IF(LARGE($CM92:$CV92,1)&gt;0,INDEX($CM$30:$CV$30,MATCH(LARGE($CM92:$CV92,1),$CM92:$CV92,0)),"N/A")</f>
        <v>Food Prod</v>
      </c>
      <c r="DE92" s="0" t="str">
        <f aca="false">IF(LARGE($CM92:$CV92,2)&gt;0,INDEX($CM$30:$CV$30,MATCH(LARGE($CM92:$CV92,2),$CM92:$CV92,0)),"N/A")</f>
        <v>Tools</v>
      </c>
      <c r="DF92" s="0" t="str">
        <f aca="false">IF(LARGE($CM92:$CV92,3)&gt;0,INDEX($CM$30:$CV$30,MATCH(LARGE($CM92:$CV92,3),$CM92:$CV92,0)),"N/A")</f>
        <v>Textile</v>
      </c>
      <c r="DG92" s="0" t="str">
        <f aca="false">IF(LARGE($CM92:$CV92,4)&gt;0,INDEX($CM$30:$CV$30,MATCH(LARGE($CM92:$CV92,4),$CM92:$CV92,0)),"N/A")</f>
        <v>Produce</v>
      </c>
      <c r="DH92" s="0" t="str">
        <f aca="false">IF(LARGE($CM92:$CV92,5)&gt;0,INDEX($CM$30:$CV$30,MATCH(LARGE($CM92:$CV92,5),$CM92:$CV92,0)),"N/A")</f>
        <v>Animal</v>
      </c>
    </row>
    <row r="93" customFormat="false" ht="12.8" hidden="false" customHeight="false" outlineLevel="0" collapsed="false">
      <c r="A93" s="7" t="s">
        <v>135</v>
      </c>
      <c r="B93" s="7" t="s">
        <v>39</v>
      </c>
      <c r="C93" s="10" t="n">
        <f aca="false">MAX(-Flows!C63*C$4*C8/100,0)</f>
        <v>19077954.0025148</v>
      </c>
      <c r="D93" s="10" t="n">
        <f aca="false">MAX(-Flows!D63*D$4*D8/100,0)</f>
        <v>2572800.54304283</v>
      </c>
      <c r="E93" s="10" t="n">
        <f aca="false">MAX(-Flows!E63*E$4*E8/100,0)</f>
        <v>20327857.6119529</v>
      </c>
      <c r="F93" s="10" t="n">
        <f aca="false">MAX(-Flows!F63*F$4*F8/100,0)</f>
        <v>0</v>
      </c>
      <c r="G93" s="10" t="n">
        <f aca="false">MAX(-Flows!G63*G$4*G8/100,0)</f>
        <v>0</v>
      </c>
      <c r="H93" s="10" t="n">
        <f aca="false">MAX(-Flows!H63*H$4*H8/100,0)</f>
        <v>0</v>
      </c>
      <c r="I93" s="10" t="n">
        <f aca="false">MAX(-Flows!I63*I$4*I8/100,0)</f>
        <v>0</v>
      </c>
      <c r="J93" s="10" t="n">
        <f aca="false">MAX(-Flows!J63*J$4*J8/100,0)</f>
        <v>0</v>
      </c>
      <c r="K93" s="10" t="n">
        <f aca="false">MAX(-Flows!K63*K$4*K8/100,0)</f>
        <v>0</v>
      </c>
      <c r="L93" s="10" t="n">
        <f aca="false">MAX(-Flows!L63*L$4*L8/100,0)</f>
        <v>0</v>
      </c>
      <c r="M93" s="10" t="n">
        <f aca="false">MAX(-Flows!M63*M$4*M8/100,0)</f>
        <v>0</v>
      </c>
      <c r="N93" s="10" t="n">
        <f aca="false">MAX(-Flows!N63*N$4*N8/100,0)</f>
        <v>3040697.40601082</v>
      </c>
      <c r="O93" s="10" t="n">
        <f aca="false">MAX(-Flows!O63*O$4*O8/100,0)</f>
        <v>0</v>
      </c>
      <c r="P93" s="10" t="n">
        <f aca="false">MAX(-Flows!P63*P$4*P8/100,0)</f>
        <v>0</v>
      </c>
      <c r="Q93" s="10" t="n">
        <f aca="false">MAX(-Flows!Q63*Q$4*Q8/100,0)</f>
        <v>16500573.9987748</v>
      </c>
      <c r="R93" s="10" t="n">
        <f aca="false">MAX(-Flows!R63*R$4*R8/100,0)</f>
        <v>7983010.32224202</v>
      </c>
      <c r="S93" s="10" t="n">
        <f aca="false">MAX(-Flows!S63*S$4*S8/100,0)</f>
        <v>0</v>
      </c>
      <c r="T93" s="10" t="n">
        <f aca="false">MAX(-Flows!T63*T$4*T8/100,0)</f>
        <v>0</v>
      </c>
      <c r="U93" s="10" t="n">
        <f aca="false">MAX(-Flows!U63*U$4*U8/100,0)</f>
        <v>0</v>
      </c>
      <c r="V93" s="10" t="n">
        <f aca="false">MAX(-Flows!V63*V$4*V8/100,0)</f>
        <v>0</v>
      </c>
      <c r="W93" s="10" t="n">
        <f aca="false">MAX(-Flows!W63*W$4*W8/100,0)</f>
        <v>50215896.187986</v>
      </c>
      <c r="X93" s="10" t="n">
        <f aca="false">MAX(-Flows!X63*X$4*X8/100,0)</f>
        <v>48634622.1298393</v>
      </c>
      <c r="Y93" s="10" t="n">
        <f aca="false">MAX(-Flows!Y63*Y$4*Y8/100,0)</f>
        <v>0</v>
      </c>
      <c r="Z93" s="10" t="n">
        <f aca="false">MAX(-Flows!Z63*Z$4*Z8/100,0)</f>
        <v>0</v>
      </c>
      <c r="AA93" s="10" t="n">
        <f aca="false">MAX(-Flows!AA63*AA$4*AA8/100,0)</f>
        <v>94019.6623037362</v>
      </c>
      <c r="AB93" s="10" t="n">
        <f aca="false">MAX(-Flows!AB63*AB$4*AB8/100,0)</f>
        <v>0</v>
      </c>
      <c r="AC93" s="10" t="n">
        <f aca="false">MAX(-Flows!AC63*AC$4*AC8/100,0)</f>
        <v>0</v>
      </c>
      <c r="AD93" s="10" t="n">
        <f aca="false">MAX(-Flows!AD63*AD$4*AD8/100,0)</f>
        <v>0</v>
      </c>
      <c r="AE93" s="10" t="n">
        <f aca="false">MAX(-Flows!AE63*AE$4*AE8/100,0)</f>
        <v>1252494.56228193</v>
      </c>
      <c r="AF93" s="10" t="n">
        <f aca="false">MAX(-Flows!AF63*AF$4*AF8/100,0)</f>
        <v>0</v>
      </c>
      <c r="AG93" s="10" t="n">
        <f aca="false">MAX(-Flows!AG63*AG$4*AG8/100,0)</f>
        <v>17989312.3263896</v>
      </c>
      <c r="AH93" s="10" t="n">
        <f aca="false">MAX(-Flows!AH63*AH$4*AH8/100,0)</f>
        <v>14246424.6119649</v>
      </c>
      <c r="AI93" s="10" t="n">
        <f aca="false">MAX(-Flows!AI63*AI$4*AI8/100,0)</f>
        <v>0</v>
      </c>
      <c r="AJ93" s="10" t="n">
        <f aca="false">MAX(-Flows!AJ63*AJ$4*AJ8/100,0)</f>
        <v>1905957.57266736</v>
      </c>
      <c r="AK93" s="10" t="n">
        <f aca="false">MAX(-Flows!AK63*AK$4*AK8/100,0)</f>
        <v>0</v>
      </c>
      <c r="AL93" s="10" t="n">
        <f aca="false">MAX(-Flows!AL63*AL$4*AL8/100,0)</f>
        <v>0</v>
      </c>
      <c r="AM93" s="10" t="n">
        <f aca="false">MAX(-Flows!AM63*AM$4*AM8/100,0)</f>
        <v>0</v>
      </c>
      <c r="AN93" s="10" t="n">
        <f aca="false">MAX(-Flows!AN63*AN$4*AN8/100,0)</f>
        <v>3900126.1460217</v>
      </c>
      <c r="AO93" s="10" t="n">
        <f aca="false">MAX(-Flows!AO63*AO$4*AO8/100,0)</f>
        <v>0</v>
      </c>
      <c r="AP93" s="10" t="n">
        <f aca="false">MAX(-Flows!AP63*AP$4*AP8/100,0)</f>
        <v>13616277.846178</v>
      </c>
      <c r="AQ93" s="10" t="n">
        <f aca="false">MAX(-Flows!AQ63*AQ$4*AQ8/100,0)</f>
        <v>4281812.72552788</v>
      </c>
      <c r="AR93" s="10" t="n">
        <f aca="false">MAX(-Flows!AR63*AR$4*AR8/100,0)</f>
        <v>0</v>
      </c>
      <c r="AS93" s="10" t="n">
        <f aca="false">MAX(-Flows!AS63*AS$4*AS8/100,0)</f>
        <v>19663335.1849315</v>
      </c>
      <c r="AT93" s="10" t="n">
        <f aca="false">MAX(-Flows!AT63*AT$4*AT8/100,0)</f>
        <v>0</v>
      </c>
      <c r="AU93" s="10" t="n">
        <f aca="false">MAX(-Flows!AU63*AU$4*AU8/100,0)</f>
        <v>0</v>
      </c>
      <c r="AV93" s="10" t="n">
        <f aca="false">MAX(-Flows!AV63*AV$4*AV8/100,0)</f>
        <v>0</v>
      </c>
      <c r="AW93" s="10" t="n">
        <f aca="false">MAX(-Flows!AW63*AW$4*AW8/100,0)</f>
        <v>0</v>
      </c>
      <c r="AX93" s="10" t="n">
        <f aca="false">MAX(-Flows!AX63*AX$4*AX8/100,0)</f>
        <v>4387733.29051976</v>
      </c>
      <c r="AY93" s="10" t="n">
        <f aca="false">MAX(-Flows!AY63*AY$4*AY8/100,0)</f>
        <v>194761.662276058</v>
      </c>
      <c r="AZ93" s="10" t="n">
        <f aca="false">MAX(-Flows!AZ63*AZ$4*AZ8/100,0)</f>
        <v>0</v>
      </c>
      <c r="BA93" s="10" t="n">
        <f aca="false">MAX(-Flows!BA63*BA$4*BA8/100,0)</f>
        <v>0</v>
      </c>
      <c r="BB93" s="10" t="n">
        <f aca="false">MAX(-Flows!BB63*BB$4*BB8/100,0)</f>
        <v>9427551.92559017</v>
      </c>
      <c r="BC93" s="10" t="n">
        <f aca="false">MAX(-Flows!BC63*BC$4*BC8/100,0)</f>
        <v>3703591.54170279</v>
      </c>
      <c r="BD93" s="10" t="n">
        <f aca="false">MAX(-Flows!BD63*BD$4*BD8/100,0)</f>
        <v>1056959.8667145</v>
      </c>
      <c r="BE93" s="10" t="n">
        <f aca="false">MAX(-Flows!BE63*BE$4*BE8/100,0)</f>
        <v>5596797.62415212</v>
      </c>
      <c r="BF93" s="10" t="n">
        <f aca="false">MAX(-Flows!BF63*BF$4*BF8/100,0)</f>
        <v>206715357.710623</v>
      </c>
      <c r="BG93" s="10" t="n">
        <f aca="false">MAX(-Flows!BG63*BG$4*BG8/100,0)</f>
        <v>0</v>
      </c>
      <c r="BH93" s="10" t="n">
        <f aca="false">MAX(-Flows!BH63*BH$4*BH8/100,0)</f>
        <v>0</v>
      </c>
      <c r="BI93" s="10" t="n">
        <f aca="false">MAX(-Flows!BI63*BI$4*BI8/100,0)</f>
        <v>16330549.0692282</v>
      </c>
      <c r="BJ93" s="10" t="n">
        <f aca="false">MAX(-Flows!BJ63*BJ$4*BJ8/100,0)</f>
        <v>16330549.0692283</v>
      </c>
      <c r="BK93" s="10" t="n">
        <f aca="false">MAX(-Flows!BK63*BK$4*BK8/100,0)</f>
        <v>16330549.0692282</v>
      </c>
      <c r="BL93" s="10" t="n">
        <f aca="false">MAX(-Flows!BL63*BL$4*BL8/100,0)</f>
        <v>1650057.39987749</v>
      </c>
      <c r="BM93" s="10" t="n">
        <f aca="false">MAX(-Flows!BM63*BM$4*BM8/100,0)</f>
        <v>1650057.39987748</v>
      </c>
      <c r="BN93" s="10" t="n">
        <f aca="false">MAX(-Flows!BN63*BN$4*BN8/100,0)</f>
        <v>0</v>
      </c>
      <c r="BO93" s="10" t="n">
        <f aca="false">MAX(-Flows!BO63*BO$4*BO8/100,0)</f>
        <v>17508197322512.4</v>
      </c>
      <c r="BP93" s="10" t="n">
        <f aca="false">MAX(-Flows!BP63*BP$4*BP8/100,0)</f>
        <v>8170492361229250</v>
      </c>
      <c r="BQ93" s="10" t="n">
        <f aca="false">MAX(-Flows!BQ63*BQ$4*BQ8/100,0)</f>
        <v>0</v>
      </c>
      <c r="BR93" s="10" t="n">
        <f aca="false">MAX(-Flows!BR63*BR$4*BR8/100,0)</f>
        <v>5836065374473.17</v>
      </c>
      <c r="BS93" s="10" t="n">
        <f aca="false">MAX(-Flows!BS63*BS$4*BS8/100,0)</f>
        <v>2918032387463.37</v>
      </c>
      <c r="BT93" s="10" t="n">
        <f aca="false">MAX(-Flows!BT63*BT$4*BT8/100,0)</f>
        <v>0</v>
      </c>
      <c r="BU93" s="10" t="n">
        <f aca="false">MAX(-Flows!BU63*BU$4*BU8/100,0)</f>
        <v>0</v>
      </c>
      <c r="BV93" s="10" t="n">
        <f aca="false">MAX(-Flows!BV63*BV$4*BV8/100,0)</f>
        <v>0</v>
      </c>
      <c r="BW93" s="10" t="n">
        <f aca="false">MAX(-Flows!BW63*BW$4*BW8/100,0)</f>
        <v>0</v>
      </c>
      <c r="BX93" s="10" t="n">
        <f aca="false">MAX(-Flows!BX63*BX$4*BX8/100,0)</f>
        <v>3300114.79975496</v>
      </c>
      <c r="BY93" s="10" t="n">
        <f aca="false">MAX(-Flows!BY63*BY$4*BY8/100,0)</f>
        <v>3300114.79975496</v>
      </c>
      <c r="BZ93" s="10" t="n">
        <f aca="false">MAX(-Flows!BZ63*BZ$4*BZ8/100,0)</f>
        <v>10590560.5438452</v>
      </c>
      <c r="CA93" s="10" t="n">
        <f aca="false">MAX(-Flows!CA63*CA$4*CA8/100,0)</f>
        <v>10590560.5438452</v>
      </c>
      <c r="CB93" s="10" t="n">
        <f aca="false">MAX(-Flows!CB63*CB$4*CB8/100,0)</f>
        <v>16500573.9987749</v>
      </c>
      <c r="CC93" s="10" t="n">
        <f aca="false">MAX(-Flows!CC63*CC$4*CC8/100,0)</f>
        <v>816527.45346141</v>
      </c>
      <c r="CD93" s="10" t="n">
        <f aca="false">MAX(-Flows!CD63*CD$4*CD8/100,0)</f>
        <v>0</v>
      </c>
      <c r="CE93" s="10" t="n">
        <f aca="false">MAX(-Flows!CE63*CE$4*CE8/100,0)</f>
        <v>816527.453461412</v>
      </c>
      <c r="CF93" s="10" t="n">
        <f aca="false">MAX(-Flows!CF63*CF$4*CF8/100,0)</f>
        <v>5760819.03299885</v>
      </c>
      <c r="CG93" s="10" t="n">
        <f aca="false">MAX(-Flows!CG63*CG$4*CG8/100,0)</f>
        <v>87540390063.8662</v>
      </c>
      <c r="CH93" s="10" t="n">
        <f aca="false">MAX(-Flows!CH63*CH$4*CH8/100,0)</f>
        <v>87540390063.8661</v>
      </c>
      <c r="CI93" s="10" t="n">
        <f aca="false">MAX(-Flows!CI63*CI$4*CI8/100,0)</f>
        <v>8250286.99938741</v>
      </c>
      <c r="CJ93" s="10" t="n">
        <f aca="false">MAX(-Flows!CJ63*CJ$4*CJ8/100,0)</f>
        <v>825028.69993874</v>
      </c>
      <c r="CK93" s="10" t="n">
        <f aca="false">MAX(-Flows!CK63*CK$4*CK8/100,0)</f>
        <v>825028.699938742</v>
      </c>
      <c r="CL93" s="7" t="s">
        <v>320</v>
      </c>
      <c r="CM93" s="10" t="n">
        <f aca="false">-CM33</f>
        <v>74018584.3634781</v>
      </c>
      <c r="CN93" s="10" t="n">
        <f aca="false">-CN33</f>
        <v>32771259.414791</v>
      </c>
      <c r="CO93" s="10" t="n">
        <f aca="false">-CO33</f>
        <v>47055349.2592209</v>
      </c>
      <c r="CP93" s="10" t="n">
        <f aca="false">-CP33</f>
        <v>7440395.00123063</v>
      </c>
      <c r="CQ93" s="10" t="n">
        <f aca="false">-CQ33</f>
        <v>-16214952.4377196</v>
      </c>
      <c r="CR93" s="10" t="n">
        <f aca="false">-CR33</f>
        <v>8196929943735860</v>
      </c>
      <c r="CS93" s="10" t="n">
        <f aca="false">-CS33</f>
        <v>-16182627.7264048</v>
      </c>
      <c r="CT93" s="10" t="n">
        <f aca="false">-CT33</f>
        <v>7410876.43287633</v>
      </c>
      <c r="CU93" s="10" t="n">
        <f aca="false">-CU33</f>
        <v>-131451716.734952</v>
      </c>
      <c r="CV93" s="10" t="n">
        <f aca="false">-CV33</f>
        <v>-32823.9237157348</v>
      </c>
      <c r="CX93" s="0" t="str">
        <f aca="false">INDEX($C$1:$CK$1,MATCH(LARGE($C93:$CK93,1),$C93:$CK93,0))</f>
        <v>Iron (lb)</v>
      </c>
      <c r="CY93" s="0" t="str">
        <f aca="false">INDEX($C$1:$CK$1,MATCH(LARGE($C93:$CK93,2),$C93:$CK93,0))</f>
        <v>Cu (lb)</v>
      </c>
      <c r="CZ93" s="0" t="str">
        <f aca="false">INDEX($C$1:$CK$1,MATCH(LARGE($C93:$CK93,3),$C93:$CK93,0))</f>
        <v>Ag (lb)</v>
      </c>
      <c r="DA93" s="0" t="str">
        <f aca="false">INDEX($C$1:$CK$1,MATCH(LARGE($C93:$CK93,4),$C93:$CK93,0))</f>
        <v>Au (lb)</v>
      </c>
      <c r="DB93" s="0" t="str">
        <f aca="false">INDEX($C$1:$CK$1,MATCH(LARGE($C93:$CK93,5),$C93:$CK93,0))</f>
        <v>Diamonds (lb)</v>
      </c>
      <c r="DD93" s="0" t="str">
        <f aca="false">IF(LARGE($CM93:$CV93,1)&gt;0,INDEX($CM$30:$CV$30,MATCH(LARGE($CM93:$CV93,1),$CM93:$CV93,0)),"N/A")</f>
        <v>Mineral</v>
      </c>
      <c r="DE93" s="0" t="str">
        <f aca="false">IF(LARGE($CM93:$CV93,2)&gt;0,INDEX($CM$30:$CV$30,MATCH(LARGE($CM93:$CV93,2),$CM93:$CV93,0)),"N/A")</f>
        <v>Produce</v>
      </c>
      <c r="DF93" s="0" t="str">
        <f aca="false">IF(LARGE($CM93:$CV93,3)&gt;0,INDEX($CM$30:$CV$30,MATCH(LARGE($CM93:$CV93,3),$CM93:$CV93,0)),"N/A")</f>
        <v>Food Prod</v>
      </c>
      <c r="DG93" s="0" t="str">
        <f aca="false">IF(LARGE($CM93:$CV93,4)&gt;0,INDEX($CM$30:$CV$30,MATCH(LARGE($CM93:$CV93,4),$CM93:$CV93,0)),"N/A")</f>
        <v>Animal</v>
      </c>
      <c r="DH93" s="0" t="str">
        <f aca="false">IF(LARGE($CM93:$CV93,5)&gt;0,INDEX($CM$30:$CV$30,MATCH(LARGE($CM93:$CV93,5),$CM93:$CV93,0)),"N/A")</f>
        <v>Textile</v>
      </c>
    </row>
    <row r="94" customFormat="false" ht="12.8" hidden="false" customHeight="false" outlineLevel="0" collapsed="false">
      <c r="A94" s="7" t="s">
        <v>137</v>
      </c>
      <c r="B94" s="7" t="s">
        <v>39</v>
      </c>
      <c r="C94" s="10" t="n">
        <f aca="false">MAX(-Flows!C64*C$4*C9/100,0)</f>
        <v>0</v>
      </c>
      <c r="D94" s="10" t="n">
        <f aca="false">MAX(-Flows!D64*D$4*D9/100,0)</f>
        <v>0</v>
      </c>
      <c r="E94" s="10" t="n">
        <f aca="false">MAX(-Flows!E64*E$4*E9/100,0)</f>
        <v>0</v>
      </c>
      <c r="F94" s="10" t="n">
        <f aca="false">MAX(-Flows!F64*F$4*F9/100,0)</f>
        <v>0</v>
      </c>
      <c r="G94" s="10" t="n">
        <f aca="false">MAX(-Flows!G64*G$4*G9/100,0)</f>
        <v>0</v>
      </c>
      <c r="H94" s="10" t="n">
        <f aca="false">MAX(-Flows!H64*H$4*H9/100,0)</f>
        <v>0</v>
      </c>
      <c r="I94" s="10" t="n">
        <f aca="false">MAX(-Flows!I64*I$4*I9/100,0)</f>
        <v>134793842.409554</v>
      </c>
      <c r="J94" s="10" t="n">
        <f aca="false">MAX(-Flows!J64*J$4*J9/100,0)</f>
        <v>77758939.0775714</v>
      </c>
      <c r="K94" s="10" t="n">
        <f aca="false">MAX(-Flows!K64*K$4*K9/100,0)</f>
        <v>0</v>
      </c>
      <c r="L94" s="10" t="n">
        <f aca="false">MAX(-Flows!L64*L$4*L9/100,0)</f>
        <v>0</v>
      </c>
      <c r="M94" s="10" t="n">
        <f aca="false">MAX(-Flows!M64*M$4*M9/100,0)</f>
        <v>0</v>
      </c>
      <c r="N94" s="10" t="n">
        <f aca="false">MAX(-Flows!N64*N$4*N9/100,0)</f>
        <v>0</v>
      </c>
      <c r="O94" s="10" t="n">
        <f aca="false">MAX(-Flows!O64*O$4*O9/100,0)</f>
        <v>0</v>
      </c>
      <c r="P94" s="10" t="n">
        <f aca="false">MAX(-Flows!P64*P$4*P9/100,0)</f>
        <v>0</v>
      </c>
      <c r="Q94" s="10" t="n">
        <f aca="false">MAX(-Flows!Q64*Q$4*Q9/100,0)</f>
        <v>0</v>
      </c>
      <c r="R94" s="10" t="n">
        <f aca="false">MAX(-Flows!R64*R$4*R9/100,0)</f>
        <v>0</v>
      </c>
      <c r="S94" s="10" t="n">
        <f aca="false">MAX(-Flows!S64*S$4*S9/100,0)</f>
        <v>0</v>
      </c>
      <c r="T94" s="10" t="n">
        <f aca="false">MAX(-Flows!T64*T$4*T9/100,0)</f>
        <v>0</v>
      </c>
      <c r="U94" s="10" t="n">
        <f aca="false">MAX(-Flows!U64*U$4*U9/100,0)</f>
        <v>0</v>
      </c>
      <c r="V94" s="10" t="n">
        <f aca="false">MAX(-Flows!V64*V$4*V9/100,0)</f>
        <v>0</v>
      </c>
      <c r="W94" s="10" t="n">
        <f aca="false">MAX(-Flows!W64*W$4*W9/100,0)</f>
        <v>0</v>
      </c>
      <c r="X94" s="10" t="n">
        <f aca="false">MAX(-Flows!X64*X$4*X9/100,0)</f>
        <v>0</v>
      </c>
      <c r="Y94" s="10" t="n">
        <f aca="false">MAX(-Flows!Y64*Y$4*Y9/100,0)</f>
        <v>0</v>
      </c>
      <c r="Z94" s="10" t="n">
        <f aca="false">MAX(-Flows!Z64*Z$4*Z9/100,0)</f>
        <v>13064025.067472</v>
      </c>
      <c r="AA94" s="10" t="n">
        <f aca="false">MAX(-Flows!AA64*AA$4*AA9/100,0)</f>
        <v>40722.1861046541</v>
      </c>
      <c r="AB94" s="10" t="n">
        <f aca="false">MAX(-Flows!AB64*AB$4*AB9/100,0)</f>
        <v>154893.453458973</v>
      </c>
      <c r="AC94" s="10" t="n">
        <f aca="false">MAX(-Flows!AC64*AC$4*AC9/100,0)</f>
        <v>0</v>
      </c>
      <c r="AD94" s="10" t="n">
        <f aca="false">MAX(-Flows!AD64*AD$4*AD9/100,0)</f>
        <v>77446.7267294867</v>
      </c>
      <c r="AE94" s="10" t="n">
        <f aca="false">MAX(-Flows!AE64*AE$4*AE9/100,0)</f>
        <v>0</v>
      </c>
      <c r="AF94" s="10" t="n">
        <f aca="false">MAX(-Flows!AF64*AF$4*AF9/100,0)</f>
        <v>0</v>
      </c>
      <c r="AG94" s="10" t="n">
        <f aca="false">MAX(-Flows!AG64*AG$4*AG9/100,0)</f>
        <v>0</v>
      </c>
      <c r="AH94" s="10" t="n">
        <f aca="false">MAX(-Flows!AH64*AH$4*AH9/100,0)</f>
        <v>0</v>
      </c>
      <c r="AI94" s="10" t="n">
        <f aca="false">MAX(-Flows!AI64*AI$4*AI9/100,0)</f>
        <v>0</v>
      </c>
      <c r="AJ94" s="10" t="n">
        <f aca="false">MAX(-Flows!AJ64*AJ$4*AJ9/100,0)</f>
        <v>0</v>
      </c>
      <c r="AK94" s="10" t="n">
        <f aca="false">MAX(-Flows!AK64*AK$4*AK9/100,0)</f>
        <v>0</v>
      </c>
      <c r="AL94" s="10" t="n">
        <f aca="false">MAX(-Flows!AL64*AL$4*AL9/100,0)</f>
        <v>0</v>
      </c>
      <c r="AM94" s="10" t="n">
        <f aca="false">MAX(-Flows!AM64*AM$4*AM9/100,0)</f>
        <v>17864.4705246614</v>
      </c>
      <c r="AN94" s="10" t="n">
        <f aca="false">MAX(-Flows!AN64*AN$4*AN9/100,0)</f>
        <v>0</v>
      </c>
      <c r="AO94" s="10" t="n">
        <f aca="false">MAX(-Flows!AO64*AO$4*AO9/100,0)</f>
        <v>0</v>
      </c>
      <c r="AP94" s="10" t="n">
        <f aca="false">MAX(-Flows!AP64*AP$4*AP9/100,0)</f>
        <v>0</v>
      </c>
      <c r="AQ94" s="10" t="n">
        <f aca="false">MAX(-Flows!AQ64*AQ$4*AQ9/100,0)</f>
        <v>0</v>
      </c>
      <c r="AR94" s="10" t="n">
        <f aca="false">MAX(-Flows!AR64*AR$4*AR9/100,0)</f>
        <v>0</v>
      </c>
      <c r="AS94" s="10" t="n">
        <f aca="false">MAX(-Flows!AS64*AS$4*AS9/100,0)</f>
        <v>0</v>
      </c>
      <c r="AT94" s="10" t="n">
        <f aca="false">MAX(-Flows!AT64*AT$4*AT9/100,0)</f>
        <v>0</v>
      </c>
      <c r="AU94" s="10" t="n">
        <f aca="false">MAX(-Flows!AU64*AU$4*AU9/100,0)</f>
        <v>0</v>
      </c>
      <c r="AV94" s="10" t="n">
        <f aca="false">MAX(-Flows!AV64*AV$4*AV9/100,0)</f>
        <v>9379404.86458659</v>
      </c>
      <c r="AW94" s="10" t="n">
        <f aca="false">MAX(-Flows!AW64*AW$4*AW9/100,0)</f>
        <v>0</v>
      </c>
      <c r="AX94" s="10" t="n">
        <f aca="false">MAX(-Flows!AX64*AX$4*AX9/100,0)</f>
        <v>0</v>
      </c>
      <c r="AY94" s="10" t="n">
        <f aca="false">MAX(-Flows!AY64*AY$4*AY9/100,0)</f>
        <v>513715.961085597</v>
      </c>
      <c r="AZ94" s="10" t="n">
        <f aca="false">MAX(-Flows!AZ64*AZ$4*AZ9/100,0)</f>
        <v>1877029.99849928</v>
      </c>
      <c r="BA94" s="10" t="n">
        <f aca="false">MAX(-Flows!BA64*BA$4*BA9/100,0)</f>
        <v>0</v>
      </c>
      <c r="BB94" s="10" t="n">
        <f aca="false">MAX(-Flows!BB64*BB$4*BB9/100,0)</f>
        <v>0</v>
      </c>
      <c r="BC94" s="10" t="n">
        <f aca="false">MAX(-Flows!BC64*BC$4*BC9/100,0)</f>
        <v>0</v>
      </c>
      <c r="BD94" s="10" t="n">
        <f aca="false">MAX(-Flows!BD64*BD$4*BD9/100,0)</f>
        <v>0</v>
      </c>
      <c r="BE94" s="10" t="n">
        <f aca="false">MAX(-Flows!BE64*BE$4*BE9/100,0)</f>
        <v>0</v>
      </c>
      <c r="BF94" s="10" t="n">
        <f aca="false">MAX(-Flows!BF64*BF$4*BF9/100,0)</f>
        <v>0</v>
      </c>
      <c r="BG94" s="10" t="n">
        <f aca="false">MAX(-Flows!BG64*BG$4*BG9/100,0)</f>
        <v>0</v>
      </c>
      <c r="BH94" s="10" t="n">
        <f aca="false">MAX(-Flows!BH64*BH$4*BH9/100,0)</f>
        <v>4628931.10832753</v>
      </c>
      <c r="BI94" s="10" t="n">
        <f aca="false">MAX(-Flows!BI64*BI$4*BI9/100,0)</f>
        <v>0</v>
      </c>
      <c r="BJ94" s="10" t="n">
        <f aca="false">MAX(-Flows!BJ64*BJ$4*BJ9/100,0)</f>
        <v>0</v>
      </c>
      <c r="BK94" s="10" t="n">
        <f aca="false">MAX(-Flows!BK64*BK$4*BK9/100,0)</f>
        <v>0</v>
      </c>
      <c r="BL94" s="10" t="n">
        <f aca="false">MAX(-Flows!BL64*BL$4*BL9/100,0)</f>
        <v>0</v>
      </c>
      <c r="BM94" s="10" t="n">
        <f aca="false">MAX(-Flows!BM64*BM$4*BM9/100,0)</f>
        <v>0</v>
      </c>
      <c r="BN94" s="10" t="n">
        <f aca="false">MAX(-Flows!BN64*BN$4*BN9/100,0)</f>
        <v>0</v>
      </c>
      <c r="BO94" s="10" t="n">
        <f aca="false">MAX(-Flows!BO64*BO$4*BO9/100,0)</f>
        <v>27467712630554.4</v>
      </c>
      <c r="BP94" s="10" t="n">
        <f aca="false">MAX(-Flows!BP64*BP$4*BP9/100,0)</f>
        <v>12818266022689800</v>
      </c>
      <c r="BQ94" s="10" t="n">
        <f aca="false">MAX(-Flows!BQ64*BQ$4*BQ9/100,0)</f>
        <v>0</v>
      </c>
      <c r="BR94" s="10" t="n">
        <f aca="false">MAX(-Flows!BR64*BR$4*BR9/100,0)</f>
        <v>9155904025125.66</v>
      </c>
      <c r="BS94" s="10" t="n">
        <f aca="false">MAX(-Flows!BS64*BS$4*BS9/100,0)</f>
        <v>4577951873768.46</v>
      </c>
      <c r="BT94" s="10" t="n">
        <f aca="false">MAX(-Flows!BT64*BT$4*BT9/100,0)</f>
        <v>0</v>
      </c>
      <c r="BU94" s="10" t="n">
        <f aca="false">MAX(-Flows!BU64*BU$4*BU9/100,0)</f>
        <v>0</v>
      </c>
      <c r="BV94" s="10" t="n">
        <f aca="false">MAX(-Flows!BV64*BV$4*BV9/100,0)</f>
        <v>0</v>
      </c>
      <c r="BW94" s="10" t="n">
        <f aca="false">MAX(-Flows!BW64*BW$4*BW9/100,0)</f>
        <v>0</v>
      </c>
      <c r="BX94" s="10" t="n">
        <f aca="false">MAX(-Flows!BX64*BX$4*BX9/100,0)</f>
        <v>0</v>
      </c>
      <c r="BY94" s="10" t="n">
        <f aca="false">MAX(-Flows!BY64*BY$4*BY9/100,0)</f>
        <v>0</v>
      </c>
      <c r="BZ94" s="10" t="n">
        <f aca="false">MAX(-Flows!BZ64*BZ$4*BZ9/100,0)</f>
        <v>0</v>
      </c>
      <c r="CA94" s="10" t="n">
        <f aca="false">MAX(-Flows!CA64*CA$4*CA9/100,0)</f>
        <v>0</v>
      </c>
      <c r="CB94" s="10" t="n">
        <f aca="false">MAX(-Flows!CB64*CB$4*CB9/100,0)</f>
        <v>0</v>
      </c>
      <c r="CC94" s="10" t="n">
        <f aca="false">MAX(-Flows!CC64*CC$4*CC9/100,0)</f>
        <v>0</v>
      </c>
      <c r="CD94" s="10" t="n">
        <f aca="false">MAX(-Flows!CD64*CD$4*CD9/100,0)</f>
        <v>0</v>
      </c>
      <c r="CE94" s="10" t="n">
        <f aca="false">MAX(-Flows!CE64*CE$4*CE9/100,0)</f>
        <v>0</v>
      </c>
      <c r="CF94" s="10" t="n">
        <f aca="false">MAX(-Flows!CF64*CF$4*CF9/100,0)</f>
        <v>0</v>
      </c>
      <c r="CG94" s="10" t="n">
        <f aca="false">MAX(-Flows!CG64*CG$4*CG9/100,0)</f>
        <v>137338286951.983</v>
      </c>
      <c r="CH94" s="10" t="n">
        <f aca="false">MAX(-Flows!CH64*CH$4*CH9/100,0)</f>
        <v>137338286951.983</v>
      </c>
      <c r="CI94" s="10" t="n">
        <f aca="false">MAX(-Flows!CI64*CI$4*CI9/100,0)</f>
        <v>0</v>
      </c>
      <c r="CJ94" s="10" t="n">
        <f aca="false">MAX(-Flows!CJ64*CJ$4*CJ9/100,0)</f>
        <v>0</v>
      </c>
      <c r="CK94" s="10" t="n">
        <f aca="false">MAX(-Flows!CK64*CK$4*CK9/100,0)</f>
        <v>0</v>
      </c>
      <c r="CL94" s="7" t="s">
        <v>320</v>
      </c>
      <c r="CM94" s="10" t="n">
        <f aca="false">-CM34</f>
        <v>-490689454.063961</v>
      </c>
      <c r="CN94" s="10" t="n">
        <f aca="false">-CN34</f>
        <v>-272155357.979682</v>
      </c>
      <c r="CO94" s="10" t="n">
        <f aca="false">-CO34</f>
        <v>-480568594.28649</v>
      </c>
      <c r="CP94" s="10" t="n">
        <f aca="false">-CP34</f>
        <v>-114655072.936918</v>
      </c>
      <c r="CQ94" s="10" t="n">
        <f aca="false">-CQ34</f>
        <v>-135851071.116776</v>
      </c>
      <c r="CR94" s="10" t="n">
        <f aca="false">-CR34</f>
        <v>12859742177401400</v>
      </c>
      <c r="CS94" s="10" t="n">
        <f aca="false">-CS34</f>
        <v>-3473430.35129715</v>
      </c>
      <c r="CT94" s="10" t="n">
        <f aca="false">-CT34</f>
        <v>-19218561.6197669</v>
      </c>
      <c r="CU94" s="10" t="n">
        <f aca="false">-CU34</f>
        <v>212552781.487125</v>
      </c>
      <c r="CV94" s="10" t="n">
        <f aca="false">-CV34</f>
        <v>232340.18018846</v>
      </c>
      <c r="CX94" s="0" t="str">
        <f aca="false">INDEX($C$1:$CK$1,MATCH(LARGE($C94:$CK94,1),$C94:$CK94,0))</f>
        <v>Iron (lb)</v>
      </c>
      <c r="CY94" s="0" t="str">
        <f aca="false">INDEX($C$1:$CK$1,MATCH(LARGE($C94:$CK94,2),$C94:$CK94,0))</f>
        <v>Cu (lb)</v>
      </c>
      <c r="CZ94" s="0" t="str">
        <f aca="false">INDEX($C$1:$CK$1,MATCH(LARGE($C94:$CK94,3),$C94:$CK94,0))</f>
        <v>Ag (lb)</v>
      </c>
      <c r="DA94" s="0" t="str">
        <f aca="false">INDEX($C$1:$CK$1,MATCH(LARGE($C94:$CK94,4),$C94:$CK94,0))</f>
        <v>Au (lb)</v>
      </c>
      <c r="DB94" s="0" t="str">
        <f aca="false">INDEX($C$1:$CK$1,MATCH(LARGE($C94:$CK94,5),$C94:$CK94,0))</f>
        <v>Diamonds (lb)</v>
      </c>
      <c r="DD94" s="0" t="str">
        <f aca="false">IF(LARGE($CM94:$CV94,1)&gt;0,INDEX($CM$30:$CV$30,MATCH(LARGE($CM94:$CV94,1),$CM94:$CV94,0)),"N/A")</f>
        <v>Mineral</v>
      </c>
      <c r="DE94" s="0" t="str">
        <f aca="false">IF(LARGE($CM94:$CV94,2)&gt;0,INDEX($CM$30:$CV$30,MATCH(LARGE($CM94:$CV94,2),$CM94:$CV94,0)),"N/A")</f>
        <v>Honey</v>
      </c>
      <c r="DF94" s="0" t="str">
        <f aca="false">IF(LARGE($CM94:$CV94,3)&gt;0,INDEX($CM$30:$CV$30,MATCH(LARGE($CM94:$CV94,3),$CM94:$CV94,0)),"N/A")</f>
        <v>Service</v>
      </c>
      <c r="DG94" s="0" t="str">
        <f aca="false">IF(LARGE($CM94:$CV94,4)&gt;0,INDEX($CM$30:$CV$30,MATCH(LARGE($CM94:$CV94,4),$CM94:$CV94,0)),"N/A")</f>
        <v>N/A</v>
      </c>
      <c r="DH94" s="0" t="str">
        <f aca="false">IF(LARGE($CM94:$CV94,5)&gt;0,INDEX($CM$30:$CV$30,MATCH(LARGE($CM94:$CV94,5),$CM94:$CV94,0)),"N/A")</f>
        <v>N/A</v>
      </c>
    </row>
    <row r="95" customFormat="false" ht="12.8" hidden="false" customHeight="false" outlineLevel="0" collapsed="false">
      <c r="A95" s="7" t="s">
        <v>139</v>
      </c>
      <c r="B95" s="7" t="s">
        <v>39</v>
      </c>
      <c r="C95" s="10" t="n">
        <f aca="false">MAX(-Flows!C65*C$4*C10/100,0)</f>
        <v>132322342.794459</v>
      </c>
      <c r="D95" s="10" t="n">
        <f aca="false">MAX(-Flows!D65*D$4*D10/100,0)</f>
        <v>215302576.861897</v>
      </c>
      <c r="E95" s="10" t="n">
        <f aca="false">MAX(-Flows!E65*E$4*E10/100,0)</f>
        <v>74280833.5741024</v>
      </c>
      <c r="F95" s="10" t="n">
        <f aca="false">MAX(-Flows!F65*F$4*F10/100,0)</f>
        <v>0</v>
      </c>
      <c r="G95" s="10" t="n">
        <f aca="false">MAX(-Flows!G65*G$4*G10/100,0)</f>
        <v>243365424.348405</v>
      </c>
      <c r="H95" s="10" t="n">
        <f aca="false">MAX(-Flows!H65*H$4*H10/100,0)</f>
        <v>0</v>
      </c>
      <c r="I95" s="10" t="n">
        <f aca="false">MAX(-Flows!I65*I$4*I10/100,0)</f>
        <v>0</v>
      </c>
      <c r="J95" s="10" t="n">
        <f aca="false">MAX(-Flows!J65*J$4*J10/100,0)</f>
        <v>0</v>
      </c>
      <c r="K95" s="10" t="n">
        <f aca="false">MAX(-Flows!K65*K$4*K10/100,0)</f>
        <v>0</v>
      </c>
      <c r="L95" s="10" t="n">
        <f aca="false">MAX(-Flows!L65*L$4*L10/100,0)</f>
        <v>0</v>
      </c>
      <c r="M95" s="10" t="n">
        <f aca="false">MAX(-Flows!M65*M$4*M10/100,0)</f>
        <v>0</v>
      </c>
      <c r="N95" s="10" t="n">
        <f aca="false">MAX(-Flows!N65*N$4*N10/100,0)</f>
        <v>179260576.500351</v>
      </c>
      <c r="O95" s="10" t="n">
        <f aca="false">MAX(-Flows!O65*O$4*O10/100,0)</f>
        <v>0</v>
      </c>
      <c r="P95" s="10" t="n">
        <f aca="false">MAX(-Flows!P65*P$4*P10/100,0)</f>
        <v>0</v>
      </c>
      <c r="Q95" s="10" t="n">
        <f aca="false">MAX(-Flows!Q65*Q$4*Q10/100,0)</f>
        <v>292286797.021926</v>
      </c>
      <c r="R95" s="10" t="n">
        <f aca="false">MAX(-Flows!R65*R$4*R10/100,0)</f>
        <v>115067501.254218</v>
      </c>
      <c r="S95" s="10" t="n">
        <f aca="false">MAX(-Flows!S65*S$4*S10/100,0)</f>
        <v>0</v>
      </c>
      <c r="T95" s="10" t="n">
        <f aca="false">MAX(-Flows!T65*T$4*T10/100,0)</f>
        <v>0</v>
      </c>
      <c r="U95" s="10" t="n">
        <f aca="false">MAX(-Flows!U65*U$4*U10/100,0)</f>
        <v>0</v>
      </c>
      <c r="V95" s="10" t="n">
        <f aca="false">MAX(-Flows!V65*V$4*V10/100,0)</f>
        <v>0</v>
      </c>
      <c r="W95" s="10" t="n">
        <f aca="false">MAX(-Flows!W65*W$4*W10/100,0)</f>
        <v>380105005.12036</v>
      </c>
      <c r="X95" s="10" t="n">
        <f aca="false">MAX(-Flows!X65*X$4*X10/100,0)</f>
        <v>33069022.2238377</v>
      </c>
      <c r="Y95" s="10" t="n">
        <f aca="false">MAX(-Flows!Y65*Y$4*Y10/100,0)</f>
        <v>0</v>
      </c>
      <c r="Z95" s="10" t="n">
        <f aca="false">MAX(-Flows!Z65*Z$4*Z10/100,0)</f>
        <v>15529825.9289966</v>
      </c>
      <c r="AA95" s="10" t="n">
        <f aca="false">MAX(-Flows!AA65*AA$4*AA10/100,0)</f>
        <v>403929.962601193</v>
      </c>
      <c r="AB95" s="10" t="n">
        <f aca="false">MAX(-Flows!AB65*AB$4*AB10/100,0)</f>
        <v>1809817.99975624</v>
      </c>
      <c r="AC95" s="10" t="n">
        <f aca="false">MAX(-Flows!AC65*AC$4*AC10/100,0)</f>
        <v>0</v>
      </c>
      <c r="AD95" s="10" t="n">
        <f aca="false">MAX(-Flows!AD65*AD$4*AD10/100,0)</f>
        <v>904908.999878118</v>
      </c>
      <c r="AE95" s="10" t="n">
        <f aca="false">MAX(-Flows!AE65*AE$4*AE10/100,0)</f>
        <v>14668369.8243973</v>
      </c>
      <c r="AF95" s="10" t="n">
        <f aca="false">MAX(-Flows!AF65*AF$4*AF10/100,0)</f>
        <v>1411365.25270204</v>
      </c>
      <c r="AG95" s="10" t="n">
        <f aca="false">MAX(-Flows!AG65*AG$4*AG10/100,0)</f>
        <v>78060200.0205103</v>
      </c>
      <c r="AH95" s="10" t="n">
        <f aca="false">MAX(-Flows!AH65*AH$4*AH10/100,0)</f>
        <v>34164698.6746545</v>
      </c>
      <c r="AI95" s="10" t="n">
        <f aca="false">MAX(-Flows!AI65*AI$4*AI10/100,0)</f>
        <v>99842423.382804</v>
      </c>
      <c r="AJ95" s="10" t="n">
        <f aca="false">MAX(-Flows!AJ65*AJ$4*AJ10/100,0)</f>
        <v>75232585.2196897</v>
      </c>
      <c r="AK95" s="10" t="n">
        <f aca="false">MAX(-Flows!AK65*AK$4*AK10/100,0)</f>
        <v>0</v>
      </c>
      <c r="AL95" s="10" t="n">
        <f aca="false">MAX(-Flows!AL65*AL$4*AL10/100,0)</f>
        <v>59179868.5258341</v>
      </c>
      <c r="AM95" s="10" t="n">
        <f aca="false">MAX(-Flows!AM65*AM$4*AM10/100,0)</f>
        <v>113291041.480873</v>
      </c>
      <c r="AN95" s="10" t="n">
        <f aca="false">MAX(-Flows!AN65*AN$4*AN10/100,0)</f>
        <v>11490000.7396537</v>
      </c>
      <c r="AO95" s="10" t="n">
        <f aca="false">MAX(-Flows!AO65*AO$4*AO10/100,0)</f>
        <v>39157345.9705103</v>
      </c>
      <c r="AP95" s="10" t="n">
        <f aca="false">MAX(-Flows!AP65*AP$4*AP10/100,0)</f>
        <v>86476026.8907243</v>
      </c>
      <c r="AQ95" s="10" t="n">
        <f aca="false">MAX(-Flows!AQ65*AQ$4*AQ10/100,0)</f>
        <v>16862438.1761116</v>
      </c>
      <c r="AR95" s="10" t="n">
        <f aca="false">MAX(-Flows!AR65*AR$4*AR10/100,0)</f>
        <v>32119112.8617649</v>
      </c>
      <c r="AS95" s="10" t="n">
        <f aca="false">MAX(-Flows!AS65*AS$4*AS10/100,0)</f>
        <v>112204749.016806</v>
      </c>
      <c r="AT95" s="10" t="n">
        <f aca="false">MAX(-Flows!AT65*AT$4*AT10/100,0)</f>
        <v>1860365.36893306</v>
      </c>
      <c r="AU95" s="10" t="n">
        <f aca="false">MAX(-Flows!AU65*AU$4*AU10/100,0)</f>
        <v>155320532.284093</v>
      </c>
      <c r="AV95" s="10" t="n">
        <f aca="false">MAX(-Flows!AV65*AV$4*AV10/100,0)</f>
        <v>129332236.857134</v>
      </c>
      <c r="AW95" s="10" t="n">
        <f aca="false">MAX(-Flows!AW65*AW$4*AW10/100,0)</f>
        <v>0</v>
      </c>
      <c r="AX95" s="10" t="n">
        <f aca="false">MAX(-Flows!AX65*AX$4*AX10/100,0)</f>
        <v>0</v>
      </c>
      <c r="AY95" s="10" t="n">
        <f aca="false">MAX(-Flows!AY65*AY$4*AY10/100,0)</f>
        <v>0</v>
      </c>
      <c r="AZ95" s="10" t="n">
        <f aca="false">MAX(-Flows!AZ65*AZ$4*AZ10/100,0)</f>
        <v>2288391.0899036</v>
      </c>
      <c r="BA95" s="10" t="n">
        <f aca="false">MAX(-Flows!BA65*BA$4*BA10/100,0)</f>
        <v>0</v>
      </c>
      <c r="BB95" s="10" t="n">
        <f aca="false">MAX(-Flows!BB65*BB$4*BB10/100,0)</f>
        <v>72193146.8940698</v>
      </c>
      <c r="BC95" s="10" t="n">
        <f aca="false">MAX(-Flows!BC65*BC$4*BC10/100,0)</f>
        <v>61152904.4311494</v>
      </c>
      <c r="BD95" s="10" t="n">
        <f aca="false">MAX(-Flows!BD65*BD$4*BD10/100,0)</f>
        <v>56404445.6361588</v>
      </c>
      <c r="BE95" s="10" t="n">
        <f aca="false">MAX(-Flows!BE65*BE$4*BE10/100,0)</f>
        <v>41334356.1331427</v>
      </c>
      <c r="BF95" s="10" t="n">
        <f aca="false">MAX(-Flows!BF65*BF$4*BF10/100,0)</f>
        <v>23931901.6144999</v>
      </c>
      <c r="BG95" s="10" t="n">
        <f aca="false">MAX(-Flows!BG65*BG$4*BG10/100,0)</f>
        <v>22963901.5430437</v>
      </c>
      <c r="BH95" s="10" t="n">
        <f aca="false">MAX(-Flows!BH65*BH$4*BH10/100,0)</f>
        <v>45456278.8253689</v>
      </c>
      <c r="BI95" s="10" t="n">
        <f aca="false">MAX(-Flows!BI65*BI$4*BI10/100,0)</f>
        <v>119146950.19188</v>
      </c>
      <c r="BJ95" s="10" t="n">
        <f aca="false">MAX(-Flows!BJ65*BJ$4*BJ10/100,0)</f>
        <v>119146950.19188</v>
      </c>
      <c r="BK95" s="10" t="n">
        <f aca="false">MAX(-Flows!BK65*BK$4*BK10/100,0)</f>
        <v>119146950.19188</v>
      </c>
      <c r="BL95" s="10" t="n">
        <f aca="false">MAX(-Flows!BL65*BL$4*BL10/100,0)</f>
        <v>29228679.7021925</v>
      </c>
      <c r="BM95" s="10" t="n">
        <f aca="false">MAX(-Flows!BM65*BM$4*BM10/100,0)</f>
        <v>29228679.7021926</v>
      </c>
      <c r="BN95" s="10" t="n">
        <f aca="false">MAX(-Flows!BN65*BN$4*BN10/100,0)</f>
        <v>0</v>
      </c>
      <c r="BO95" s="10" t="n">
        <f aca="false">MAX(-Flows!BO65*BO$4*BO10/100,0)</f>
        <v>0</v>
      </c>
      <c r="BP95" s="10" t="n">
        <f aca="false">MAX(-Flows!BP65*BP$4*BP10/100,0)</f>
        <v>0</v>
      </c>
      <c r="BQ95" s="10" t="n">
        <f aca="false">MAX(-Flows!BQ65*BQ$4*BQ10/100,0)</f>
        <v>0</v>
      </c>
      <c r="BR95" s="10" t="n">
        <f aca="false">MAX(-Flows!BR65*BR$4*BR10/100,0)</f>
        <v>0</v>
      </c>
      <c r="BS95" s="10" t="n">
        <f aca="false">MAX(-Flows!BS65*BS$4*BS10/100,0)</f>
        <v>0</v>
      </c>
      <c r="BT95" s="10" t="n">
        <f aca="false">MAX(-Flows!BT65*BT$4*BT10/100,0)</f>
        <v>0</v>
      </c>
      <c r="BU95" s="10" t="n">
        <f aca="false">MAX(-Flows!BU65*BU$4*BU10/100,0)</f>
        <v>0</v>
      </c>
      <c r="BV95" s="10" t="n">
        <f aca="false">MAX(-Flows!BV65*BV$4*BV10/100,0)</f>
        <v>0</v>
      </c>
      <c r="BW95" s="10" t="n">
        <f aca="false">MAX(-Flows!BW65*BW$4*BW10/100,0)</f>
        <v>0</v>
      </c>
      <c r="BX95" s="10" t="n">
        <f aca="false">MAX(-Flows!BX65*BX$4*BX10/100,0)</f>
        <v>58457359.4043852</v>
      </c>
      <c r="BY95" s="10" t="n">
        <f aca="false">MAX(-Flows!BY65*BY$4*BY10/100,0)</f>
        <v>58457359.4043852</v>
      </c>
      <c r="BZ95" s="10" t="n">
        <f aca="false">MAX(-Flows!BZ65*BZ$4*BZ10/100,0)</f>
        <v>148616389.478399</v>
      </c>
      <c r="CA95" s="10" t="n">
        <f aca="false">MAX(-Flows!CA65*CA$4*CA10/100,0)</f>
        <v>148616389.478399</v>
      </c>
      <c r="CB95" s="10" t="n">
        <f aca="false">MAX(-Flows!CB65*CB$4*CB10/100,0)</f>
        <v>292286797.021926</v>
      </c>
      <c r="CC95" s="10" t="n">
        <f aca="false">MAX(-Flows!CC65*CC$4*CC10/100,0)</f>
        <v>5957347.50959399</v>
      </c>
      <c r="CD95" s="10" t="n">
        <f aca="false">MAX(-Flows!CD65*CD$4*CD10/100,0)</f>
        <v>0</v>
      </c>
      <c r="CE95" s="10" t="n">
        <f aca="false">MAX(-Flows!CE65*CE$4*CE10/100,0)</f>
        <v>5957347.509594</v>
      </c>
      <c r="CF95" s="10" t="n">
        <f aca="false">MAX(-Flows!CF65*CF$4*CF10/100,0)</f>
        <v>16155481.1987652</v>
      </c>
      <c r="CG95" s="10" t="n">
        <f aca="false">MAX(-Flows!CG65*CG$4*CG10/100,0)</f>
        <v>0</v>
      </c>
      <c r="CH95" s="10" t="n">
        <f aca="false">MAX(-Flows!CH65*CH$4*CH10/100,0)</f>
        <v>0</v>
      </c>
      <c r="CI95" s="10" t="n">
        <f aca="false">MAX(-Flows!CI65*CI$4*CI10/100,0)</f>
        <v>146143398.510963</v>
      </c>
      <c r="CJ95" s="10" t="n">
        <f aca="false">MAX(-Flows!CJ65*CJ$4*CJ10/100,0)</f>
        <v>14614339.8510963</v>
      </c>
      <c r="CK95" s="10" t="n">
        <f aca="false">MAX(-Flows!CK65*CK$4*CK10/100,0)</f>
        <v>14614339.8510963</v>
      </c>
      <c r="CL95" s="7" t="s">
        <v>320</v>
      </c>
      <c r="CM95" s="10" t="n">
        <f aca="false">-CM35</f>
        <v>745278433.508594</v>
      </c>
      <c r="CN95" s="10" t="n">
        <f aca="false">-CN35</f>
        <v>659758604.254749</v>
      </c>
      <c r="CO95" s="10" t="n">
        <f aca="false">-CO35</f>
        <v>1309261661.72347</v>
      </c>
      <c r="CP95" s="10" t="n">
        <f aca="false">-CP35</f>
        <v>326072673.350221</v>
      </c>
      <c r="CQ95" s="10" t="n">
        <f aca="false">-CQ35</f>
        <v>1019919201.00076</v>
      </c>
      <c r="CR95" s="10" t="n">
        <f aca="false">-CR35</f>
        <v>841543.651272632</v>
      </c>
      <c r="CS95" s="10" t="n">
        <f aca="false">-CS35</f>
        <v>202343333.246816</v>
      </c>
      <c r="CT95" s="10" t="n">
        <f aca="false">-CT35</f>
        <v>45384160.9009578</v>
      </c>
      <c r="CU95" s="10" t="n">
        <f aca="false">-CU35</f>
        <v>-80941508.9740023</v>
      </c>
      <c r="CV95" s="10" t="n">
        <f aca="false">-CV35</f>
        <v>2714726.99963435</v>
      </c>
      <c r="CX95" s="0" t="str">
        <f aca="false">INDEX($C$1:$CK$1,MATCH(LARGE($C95:$CK95,1),$C95:$CK95,0))</f>
        <v>Sauce (lb)</v>
      </c>
      <c r="CY95" s="0" t="str">
        <f aca="false">INDEX($C$1:$CK$1,MATCH(LARGE($C95:$CK95,2),$C95:$CK95,0))</f>
        <v>Veg Oil (lb)</v>
      </c>
      <c r="CZ95" s="27" t="s">
        <v>399</v>
      </c>
      <c r="DA95" s="0" t="str">
        <f aca="false">INDEX($C$1:$CK$1,MATCH(LARGE($C95:$CK95,4),$C95:$CK95,0))</f>
        <v>Nunives (lb)</v>
      </c>
      <c r="DB95" s="0" t="str">
        <f aca="false">INDEX($C$1:$CK$1,MATCH(LARGE($C95:$CK95,5),$C95:$CK95,0))</f>
        <v>Jeet (lb)</v>
      </c>
      <c r="DD95" s="0" t="str">
        <f aca="false">IF(LARGE($CM95:$CV95,1)&gt;0,INDEX($CM$30:$CV$30,MATCH(LARGE($CM95:$CV95,1),$CM95:$CV95,0)),"N/A")</f>
        <v>Food Prod</v>
      </c>
      <c r="DE95" s="0" t="str">
        <f aca="false">IF(LARGE($CM95:$CV95,2)&gt;0,INDEX($CM$30:$CV$30,MATCH(LARGE($CM95:$CV95,2),$CM95:$CV95,0)),"N/A")</f>
        <v>Tools</v>
      </c>
      <c r="DF95" s="0" t="str">
        <f aca="false">IF(LARGE($CM95:$CV95,3)&gt;0,INDEX($CM$30:$CV$30,MATCH(LARGE($CM95:$CV95,3),$CM95:$CV95,0)),"N/A")</f>
        <v>Produce</v>
      </c>
      <c r="DG95" s="0" t="str">
        <f aca="false">IF(LARGE($CM95:$CV95,4)&gt;0,INDEX($CM$30:$CV$30,MATCH(LARGE($CM95:$CV95,4),$CM95:$CV95,0)),"N/A")</f>
        <v>Animal</v>
      </c>
      <c r="DH95" s="0" t="str">
        <f aca="false">IF(LARGE($CM95:$CV95,5)&gt;0,INDEX($CM$30:$CV$30,MATCH(LARGE($CM95:$CV95,5),$CM95:$CV95,0)),"N/A")</f>
        <v>Textile</v>
      </c>
    </row>
    <row r="96" customFormat="false" ht="12.8" hidden="false" customHeight="false" outlineLevel="0" collapsed="false">
      <c r="A96" s="7" t="s">
        <v>140</v>
      </c>
      <c r="B96" s="7" t="s">
        <v>39</v>
      </c>
      <c r="C96" s="10" t="n">
        <f aca="false">MAX(-Flows!C66*C$4*C11/100,0)</f>
        <v>0</v>
      </c>
      <c r="D96" s="10" t="n">
        <f aca="false">MAX(-Flows!D66*D$4*D11/100,0)</f>
        <v>0</v>
      </c>
      <c r="E96" s="10" t="n">
        <f aca="false">MAX(-Flows!E66*E$4*E11/100,0)</f>
        <v>5622076.23209506</v>
      </c>
      <c r="F96" s="10" t="n">
        <f aca="false">MAX(-Flows!F66*F$4*F11/100,0)</f>
        <v>0</v>
      </c>
      <c r="G96" s="10" t="n">
        <f aca="false">MAX(-Flows!G66*G$4*G11/100,0)</f>
        <v>0</v>
      </c>
      <c r="H96" s="10" t="n">
        <f aca="false">MAX(-Flows!H66*H$4*H11/100,0)</f>
        <v>0</v>
      </c>
      <c r="I96" s="10" t="n">
        <f aca="false">MAX(-Flows!I66*I$4*I11/100,0)</f>
        <v>0</v>
      </c>
      <c r="J96" s="10" t="n">
        <f aca="false">MAX(-Flows!J66*J$4*J11/100,0)</f>
        <v>0</v>
      </c>
      <c r="K96" s="10" t="n">
        <f aca="false">MAX(-Flows!K66*K$4*K11/100,0)</f>
        <v>0</v>
      </c>
      <c r="L96" s="10" t="n">
        <f aca="false">MAX(-Flows!L66*L$4*L11/100,0)</f>
        <v>0</v>
      </c>
      <c r="M96" s="10" t="n">
        <f aca="false">MAX(-Flows!M66*M$4*M11/100,0)</f>
        <v>0</v>
      </c>
      <c r="N96" s="10" t="n">
        <f aca="false">MAX(-Flows!N66*N$4*N11/100,0)</f>
        <v>0</v>
      </c>
      <c r="O96" s="10" t="n">
        <f aca="false">MAX(-Flows!O66*O$4*O11/100,0)</f>
        <v>0</v>
      </c>
      <c r="P96" s="10" t="n">
        <f aca="false">MAX(-Flows!P66*P$4*P11/100,0)</f>
        <v>0</v>
      </c>
      <c r="Q96" s="10" t="n">
        <f aca="false">MAX(-Flows!Q66*Q$4*Q11/100,0)</f>
        <v>11051090.2950308</v>
      </c>
      <c r="R96" s="10" t="n">
        <f aca="false">MAX(-Flows!R66*R$4*R11/100,0)</f>
        <v>0</v>
      </c>
      <c r="S96" s="10" t="n">
        <f aca="false">MAX(-Flows!S66*S$4*S11/100,0)</f>
        <v>0</v>
      </c>
      <c r="T96" s="10" t="n">
        <f aca="false">MAX(-Flows!T66*T$4*T11/100,0)</f>
        <v>0</v>
      </c>
      <c r="U96" s="10" t="n">
        <f aca="false">MAX(-Flows!U66*U$4*U11/100,0)</f>
        <v>0</v>
      </c>
      <c r="V96" s="10" t="n">
        <f aca="false">MAX(-Flows!V66*V$4*V11/100,0)</f>
        <v>334331.510540781</v>
      </c>
      <c r="W96" s="10" t="n">
        <f aca="false">MAX(-Flows!W66*W$4*W11/100,0)</f>
        <v>0</v>
      </c>
      <c r="X96" s="10" t="n">
        <f aca="false">MAX(-Flows!X66*X$4*X11/100,0)</f>
        <v>18625346.3899879</v>
      </c>
      <c r="Y96" s="10" t="n">
        <f aca="false">MAX(-Flows!Y66*Y$4*Y11/100,0)</f>
        <v>0</v>
      </c>
      <c r="Z96" s="10" t="n">
        <f aca="false">MAX(-Flows!Z66*Z$4*Z11/100,0)</f>
        <v>0</v>
      </c>
      <c r="AA96" s="10" t="n">
        <f aca="false">MAX(-Flows!AA66*AA$4*AA11/100,0)</f>
        <v>451447.308340063</v>
      </c>
      <c r="AB96" s="10" t="n">
        <f aca="false">MAX(-Flows!AB66*AB$4*AB11/100,0)</f>
        <v>632517.98627428</v>
      </c>
      <c r="AC96" s="10" t="n">
        <f aca="false">MAX(-Flows!AC66*AC$4*AC11/100,0)</f>
        <v>282613.961326778</v>
      </c>
      <c r="AD96" s="10" t="n">
        <f aca="false">MAX(-Flows!AD66*AD$4*AD11/100,0)</f>
        <v>316258.993137139</v>
      </c>
      <c r="AE96" s="10" t="n">
        <f aca="false">MAX(-Flows!AE66*AE$4*AE11/100,0)</f>
        <v>0</v>
      </c>
      <c r="AF96" s="10" t="n">
        <f aca="false">MAX(-Flows!AF66*AF$4*AF11/100,0)</f>
        <v>3119772.08309025</v>
      </c>
      <c r="AG96" s="10" t="n">
        <f aca="false">MAX(-Flows!AG66*AG$4*AG11/100,0)</f>
        <v>0</v>
      </c>
      <c r="AH96" s="10" t="n">
        <f aca="false">MAX(-Flows!AH66*AH$4*AH11/100,0)</f>
        <v>6977982.78195414</v>
      </c>
      <c r="AI96" s="10" t="n">
        <f aca="false">MAX(-Flows!AI66*AI$4*AI11/100,0)</f>
        <v>1606465.32538785</v>
      </c>
      <c r="AJ96" s="10" t="n">
        <f aca="false">MAX(-Flows!AJ66*AJ$4*AJ11/100,0)</f>
        <v>6263174.94899758</v>
      </c>
      <c r="AK96" s="10" t="n">
        <f aca="false">MAX(-Flows!AK66*AK$4*AK11/100,0)</f>
        <v>0</v>
      </c>
      <c r="AL96" s="10" t="n">
        <f aca="false">MAX(-Flows!AL66*AL$4*AL11/100,0)</f>
        <v>19241012.625727</v>
      </c>
      <c r="AM96" s="10" t="n">
        <f aca="false">MAX(-Flows!AM66*AM$4*AM11/100,0)</f>
        <v>0</v>
      </c>
      <c r="AN96" s="10" t="n">
        <f aca="false">MAX(-Flows!AN66*AN$4*AN11/100,0)</f>
        <v>0</v>
      </c>
      <c r="AO96" s="10" t="n">
        <f aca="false">MAX(-Flows!AO66*AO$4*AO11/100,0)</f>
        <v>12835228.7061616</v>
      </c>
      <c r="AP96" s="10" t="n">
        <f aca="false">MAX(-Flows!AP66*AP$4*AP11/100,0)</f>
        <v>0</v>
      </c>
      <c r="AQ96" s="10" t="n">
        <f aca="false">MAX(-Flows!AQ66*AQ$4*AQ11/100,0)</f>
        <v>0</v>
      </c>
      <c r="AR96" s="10" t="n">
        <f aca="false">MAX(-Flows!AR66*AR$4*AR11/100,0)</f>
        <v>19694935.8889806</v>
      </c>
      <c r="AS96" s="10" t="n">
        <f aca="false">MAX(-Flows!AS66*AS$4*AS11/100,0)</f>
        <v>0</v>
      </c>
      <c r="AT96" s="10" t="n">
        <f aca="false">MAX(-Flows!AT66*AT$4*AT11/100,0)</f>
        <v>8939916.5600739</v>
      </c>
      <c r="AU96" s="10" t="n">
        <f aca="false">MAX(-Flows!AU66*AU$4*AU11/100,0)</f>
        <v>0</v>
      </c>
      <c r="AV96" s="10" t="n">
        <f aca="false">MAX(-Flows!AV66*AV$4*AV11/100,0)</f>
        <v>0</v>
      </c>
      <c r="AW96" s="10" t="n">
        <f aca="false">MAX(-Flows!AW66*AW$4*AW11/100,0)</f>
        <v>5962202.31170743</v>
      </c>
      <c r="AX96" s="10" t="n">
        <f aca="false">MAX(-Flows!AX66*AX$4*AX11/100,0)</f>
        <v>3322223.36615433</v>
      </c>
      <c r="AY96" s="10" t="n">
        <f aca="false">MAX(-Flows!AY66*AY$4*AY11/100,0)</f>
        <v>9115751.56376324</v>
      </c>
      <c r="AZ96" s="10" t="n">
        <f aca="false">MAX(-Flows!AZ66*AZ$4*AZ11/100,0)</f>
        <v>11313407.0365413</v>
      </c>
      <c r="BA96" s="10" t="n">
        <f aca="false">MAX(-Flows!BA66*BA$4*BA11/100,0)</f>
        <v>0</v>
      </c>
      <c r="BB96" s="10" t="n">
        <f aca="false">MAX(-Flows!BB66*BB$4*BB11/100,0)</f>
        <v>0</v>
      </c>
      <c r="BC96" s="10" t="n">
        <f aca="false">MAX(-Flows!BC66*BC$4*BC11/100,0)</f>
        <v>0</v>
      </c>
      <c r="BD96" s="10" t="n">
        <f aca="false">MAX(-Flows!BD66*BD$4*BD11/100,0)</f>
        <v>10435490.4626476</v>
      </c>
      <c r="BE96" s="10" t="n">
        <f aca="false">MAX(-Flows!BE66*BE$4*BE11/100,0)</f>
        <v>0</v>
      </c>
      <c r="BF96" s="10" t="n">
        <f aca="false">MAX(-Flows!BF66*BF$4*BF11/100,0)</f>
        <v>61535741.5381981</v>
      </c>
      <c r="BG96" s="10" t="n">
        <f aca="false">MAX(-Flows!BG66*BG$4*BG11/100,0)</f>
        <v>6547719.47423595</v>
      </c>
      <c r="BH96" s="10" t="n">
        <f aca="false">MAX(-Flows!BH66*BH$4*BH11/100,0)</f>
        <v>16215972.4429754</v>
      </c>
      <c r="BI96" s="10" t="n">
        <f aca="false">MAX(-Flows!BI66*BI$4*BI11/100,0)</f>
        <v>7623765.00105529</v>
      </c>
      <c r="BJ96" s="10" t="n">
        <f aca="false">MAX(-Flows!BJ66*BJ$4*BJ11/100,0)</f>
        <v>7623765.00105524</v>
      </c>
      <c r="BK96" s="10" t="n">
        <f aca="false">MAX(-Flows!BK66*BK$4*BK11/100,0)</f>
        <v>7623765.00105529</v>
      </c>
      <c r="BL96" s="10" t="n">
        <f aca="false">MAX(-Flows!BL66*BL$4*BL11/100,0)</f>
        <v>1105109.02950308</v>
      </c>
      <c r="BM96" s="10" t="n">
        <f aca="false">MAX(-Flows!BM66*BM$4*BM11/100,0)</f>
        <v>1105109.02950309</v>
      </c>
      <c r="BN96" s="10" t="n">
        <f aca="false">MAX(-Flows!BN66*BN$4*BN11/100,0)</f>
        <v>0</v>
      </c>
      <c r="BO96" s="10" t="n">
        <f aca="false">MAX(-Flows!BO66*BO$4*BO11/100,0)</f>
        <v>37204975725701.4</v>
      </c>
      <c r="BP96" s="10" t="n">
        <f aca="false">MAX(-Flows!BP66*BP$4*BP11/100,0)</f>
        <v>17362322928649000</v>
      </c>
      <c r="BQ96" s="10" t="n">
        <f aca="false">MAX(-Flows!BQ66*BQ$4*BQ11/100,0)</f>
        <v>0</v>
      </c>
      <c r="BR96" s="10" t="n">
        <f aca="false">MAX(-Flows!BR66*BR$4*BR11/100,0)</f>
        <v>12401657244799.1</v>
      </c>
      <c r="BS96" s="10" t="n">
        <f aca="false">MAX(-Flows!BS66*BS$4*BS11/100,0)</f>
        <v>6200827624573.55</v>
      </c>
      <c r="BT96" s="10" t="n">
        <f aca="false">MAX(-Flows!BT66*BT$4*BT11/100,0)</f>
        <v>0</v>
      </c>
      <c r="BU96" s="10" t="n">
        <f aca="false">MAX(-Flows!BU66*BU$4*BU11/100,0)</f>
        <v>0</v>
      </c>
      <c r="BV96" s="10" t="n">
        <f aca="false">MAX(-Flows!BV66*BV$4*BV11/100,0)</f>
        <v>0</v>
      </c>
      <c r="BW96" s="10" t="n">
        <f aca="false">MAX(-Flows!BW66*BW$4*BW11/100,0)</f>
        <v>0</v>
      </c>
      <c r="BX96" s="10" t="n">
        <f aca="false">MAX(-Flows!BX66*BX$4*BX11/100,0)</f>
        <v>2210218.05900617</v>
      </c>
      <c r="BY96" s="10" t="n">
        <f aca="false">MAX(-Flows!BY66*BY$4*BY11/100,0)</f>
        <v>2210218.05900616</v>
      </c>
      <c r="BZ96" s="10" t="n">
        <f aca="false">MAX(-Flows!BZ66*BZ$4*BZ11/100,0)</f>
        <v>6069228.49467314</v>
      </c>
      <c r="CA96" s="10" t="n">
        <f aca="false">MAX(-Flows!CA66*CA$4*CA11/100,0)</f>
        <v>6069228.49467313</v>
      </c>
      <c r="CB96" s="10" t="n">
        <f aca="false">MAX(-Flows!CB66*CB$4*CB11/100,0)</f>
        <v>11051090.2950308</v>
      </c>
      <c r="CC96" s="10" t="n">
        <f aca="false">MAX(-Flows!CC66*CC$4*CC11/100,0)</f>
        <v>381188.250052763</v>
      </c>
      <c r="CD96" s="10" t="n">
        <f aca="false">MAX(-Flows!CD66*CD$4*CD11/100,0)</f>
        <v>0</v>
      </c>
      <c r="CE96" s="10" t="n">
        <f aca="false">MAX(-Flows!CE66*CE$4*CE11/100,0)</f>
        <v>381188.250052761</v>
      </c>
      <c r="CF96" s="10" t="n">
        <f aca="false">MAX(-Flows!CF66*CF$4*CF11/100,0)</f>
        <v>1428345.04630291</v>
      </c>
      <c r="CG96" s="10" t="n">
        <f aca="false">MAX(-Flows!CG66*CG$4*CG11/100,0)</f>
        <v>186022892954.759</v>
      </c>
      <c r="CH96" s="10" t="n">
        <f aca="false">MAX(-Flows!CH66*CH$4*CH11/100,0)</f>
        <v>186022892954.759</v>
      </c>
      <c r="CI96" s="10" t="n">
        <f aca="false">MAX(-Flows!CI66*CI$4*CI11/100,0)</f>
        <v>5525545.1475154</v>
      </c>
      <c r="CJ96" s="10" t="n">
        <f aca="false">MAX(-Flows!CJ66*CJ$4*CJ11/100,0)</f>
        <v>552554.514751541</v>
      </c>
      <c r="CK96" s="10" t="n">
        <f aca="false">MAX(-Flows!CK66*CK$4*CK11/100,0)</f>
        <v>552554.514751543</v>
      </c>
      <c r="CL96" s="7" t="s">
        <v>320</v>
      </c>
      <c r="CM96" s="10" t="n">
        <f aca="false">-CM36</f>
        <v>-52001663.7610084</v>
      </c>
      <c r="CN96" s="10" t="n">
        <f aca="false">-CN36</f>
        <v>47215138.4651066</v>
      </c>
      <c r="CO96" s="10" t="n">
        <f aca="false">-CO36</f>
        <v>-26205385.9664662</v>
      </c>
      <c r="CP96" s="10" t="n">
        <f aca="false">-CP36</f>
        <v>-27229270.0325141</v>
      </c>
      <c r="CQ96" s="10" t="n">
        <f aca="false">-CQ36</f>
        <v>-13159566.881993</v>
      </c>
      <c r="CR96" s="10" t="n">
        <f aca="false">-CR36</f>
        <v>17418502496848300</v>
      </c>
      <c r="CS96" s="10" t="n">
        <f aca="false">-CS36</f>
        <v>-4051306.5348191</v>
      </c>
      <c r="CT96" s="10" t="n">
        <f aca="false">-CT36</f>
        <v>2533454.07580599</v>
      </c>
      <c r="CU96" s="10" t="n">
        <f aca="false">-CU36</f>
        <v>-131074574.659926</v>
      </c>
      <c r="CV96" s="10" t="n">
        <f aca="false">-CV36</f>
        <v>948776.979411419</v>
      </c>
      <c r="CX96" s="0" t="str">
        <f aca="false">INDEX($C$1:$CK$1,MATCH(LARGE($C96:$CK96,1),$C96:$CK96,0))</f>
        <v>Iron (lb)</v>
      </c>
      <c r="CY96" s="0" t="str">
        <f aca="false">INDEX($C$1:$CK$1,MATCH(LARGE($C96:$CK96,2),$C96:$CK96,0))</f>
        <v>Cu (lb)</v>
      </c>
      <c r="CZ96" s="0" t="str">
        <f aca="false">INDEX($C$1:$CK$1,MATCH(LARGE($C96:$CK96,3),$C96:$CK96,0))</f>
        <v>Ag (lb)</v>
      </c>
      <c r="DA96" s="0" t="str">
        <f aca="false">INDEX($C$1:$CK$1,MATCH(LARGE($C96:$CK96,4),$C96:$CK96,0))</f>
        <v>Au (lb)</v>
      </c>
      <c r="DB96" s="0" t="str">
        <f aca="false">INDEX($C$1:$CK$1,MATCH(LARGE($C96:$CK96,5),$C96:$CK96,0))</f>
        <v>Diamonds (lb)</v>
      </c>
      <c r="DD96" s="0" t="str">
        <f aca="false">IF(LARGE($CM96:$CV96,1)&gt;0,INDEX($CM$30:$CV$30,MATCH(LARGE($CM96:$CV96,1),$CM96:$CV96,0)),"N/A")</f>
        <v>Mineral</v>
      </c>
      <c r="DE96" s="0" t="str">
        <f aca="false">IF(LARGE($CM96:$CV96,2)&gt;0,INDEX($CM$30:$CV$30,MATCH(LARGE($CM96:$CV96,2),$CM96:$CV96,0)),"N/A")</f>
        <v>Animal</v>
      </c>
      <c r="DF96" s="0" t="str">
        <f aca="false">IF(LARGE($CM96:$CV96,3)&gt;0,INDEX($CM$30:$CV$30,MATCH(LARGE($CM96:$CV96,3),$CM96:$CV96,0)),"N/A")</f>
        <v>Pottery</v>
      </c>
      <c r="DG96" s="0" t="str">
        <f aca="false">IF(LARGE($CM96:$CV96,4)&gt;0,INDEX($CM$30:$CV$30,MATCH(LARGE($CM96:$CV96,4),$CM96:$CV96,0)),"N/A")</f>
        <v>Service</v>
      </c>
      <c r="DH96" s="0" t="str">
        <f aca="false">IF(LARGE($CM96:$CV96,5)&gt;0,INDEX($CM$30:$CV$30,MATCH(LARGE($CM96:$CV96,5),$CM96:$CV96,0)),"N/A")</f>
        <v>N/A</v>
      </c>
    </row>
    <row r="97" customFormat="false" ht="12.8" hidden="false" customHeight="false" outlineLevel="0" collapsed="false">
      <c r="A97" s="7" t="s">
        <v>141</v>
      </c>
      <c r="B97" s="7" t="s">
        <v>39</v>
      </c>
      <c r="C97" s="10" t="n">
        <f aca="false">MAX(-Flows!C67*C$4*C12/100,0)</f>
        <v>21867079.2571729</v>
      </c>
      <c r="D97" s="10" t="n">
        <f aca="false">MAX(-Flows!D67*D$4*D12/100,0)</f>
        <v>9018019.50626763</v>
      </c>
      <c r="E97" s="10" t="n">
        <f aca="false">MAX(-Flows!E67*E$4*E12/100,0)</f>
        <v>24912680.5808281</v>
      </c>
      <c r="F97" s="10" t="n">
        <f aca="false">MAX(-Flows!F67*F$4*F12/100,0)</f>
        <v>0</v>
      </c>
      <c r="G97" s="10" t="n">
        <f aca="false">MAX(-Flows!G67*G$4*G12/100,0)</f>
        <v>6581241.37926669</v>
      </c>
      <c r="H97" s="10" t="n">
        <f aca="false">MAX(-Flows!H67*H$4*H12/100,0)</f>
        <v>0</v>
      </c>
      <c r="I97" s="10" t="n">
        <f aca="false">MAX(-Flows!I67*I$4*I12/100,0)</f>
        <v>0</v>
      </c>
      <c r="J97" s="10" t="n">
        <f aca="false">MAX(-Flows!J67*J$4*J12/100,0)</f>
        <v>0</v>
      </c>
      <c r="K97" s="10" t="n">
        <f aca="false">MAX(-Flows!K67*K$4*K12/100,0)</f>
        <v>0</v>
      </c>
      <c r="L97" s="10" t="n">
        <f aca="false">MAX(-Flows!L67*L$4*L12/100,0)</f>
        <v>0</v>
      </c>
      <c r="M97" s="10" t="n">
        <f aca="false">MAX(-Flows!M67*M$4*M12/100,0)</f>
        <v>0</v>
      </c>
      <c r="N97" s="10" t="n">
        <f aca="false">MAX(-Flows!N67*N$4*N12/100,0)</f>
        <v>7497076.77602826</v>
      </c>
      <c r="O97" s="10" t="n">
        <f aca="false">MAX(-Flows!O67*O$4*O12/100,0)</f>
        <v>0</v>
      </c>
      <c r="P97" s="10" t="n">
        <f aca="false">MAX(-Flows!P67*P$4*P12/100,0)</f>
        <v>0</v>
      </c>
      <c r="Q97" s="10" t="n">
        <f aca="false">MAX(-Flows!Q67*Q$4*Q12/100,0)</f>
        <v>37968867.1951335</v>
      </c>
      <c r="R97" s="10" t="n">
        <f aca="false">MAX(-Flows!R67*R$4*R12/100,0)</f>
        <v>14553105.1340058</v>
      </c>
      <c r="S97" s="10" t="n">
        <f aca="false">MAX(-Flows!S67*S$4*S12/100,0)</f>
        <v>0</v>
      </c>
      <c r="T97" s="10" t="n">
        <f aca="false">MAX(-Flows!T67*T$4*T12/100,0)</f>
        <v>0</v>
      </c>
      <c r="U97" s="10" t="n">
        <f aca="false">MAX(-Flows!U67*U$4*U12/100,0)</f>
        <v>0</v>
      </c>
      <c r="V97" s="10" t="n">
        <f aca="false">MAX(-Flows!V67*V$4*V12/100,0)</f>
        <v>86287732.4455254</v>
      </c>
      <c r="W97" s="10" t="n">
        <f aca="false">MAX(-Flows!W67*W$4*W12/100,0)</f>
        <v>96979769.5154984</v>
      </c>
      <c r="X97" s="10" t="n">
        <f aca="false">MAX(-Flows!X67*X$4*X12/100,0)</f>
        <v>0</v>
      </c>
      <c r="Y97" s="10" t="n">
        <f aca="false">MAX(-Flows!Y67*Y$4*Y12/100,0)</f>
        <v>0</v>
      </c>
      <c r="Z97" s="10" t="n">
        <f aca="false">MAX(-Flows!Z67*Z$4*Z12/100,0)</f>
        <v>0</v>
      </c>
      <c r="AA97" s="10" t="n">
        <f aca="false">MAX(-Flows!AA67*AA$4*AA12/100,0)</f>
        <v>209729.562197309</v>
      </c>
      <c r="AB97" s="10" t="n">
        <f aca="false">MAX(-Flows!AB67*AB$4*AB12/100,0)</f>
        <v>472349.579865527</v>
      </c>
      <c r="AC97" s="10" t="n">
        <f aca="false">MAX(-Flows!AC67*AC$4*AC12/100,0)</f>
        <v>0</v>
      </c>
      <c r="AD97" s="10" t="n">
        <f aca="false">MAX(-Flows!AD67*AD$4*AD12/100,0)</f>
        <v>236174.789932763</v>
      </c>
      <c r="AE97" s="10" t="n">
        <f aca="false">MAX(-Flows!AE67*AE$4*AE12/100,0)</f>
        <v>3068703.33062342</v>
      </c>
      <c r="AF97" s="10" t="n">
        <f aca="false">MAX(-Flows!AF67*AF$4*AF12/100,0)</f>
        <v>0</v>
      </c>
      <c r="AG97" s="10" t="n">
        <f aca="false">MAX(-Flows!AG67*AG$4*AG12/100,0)</f>
        <v>8382042.98072441</v>
      </c>
      <c r="AH97" s="10" t="n">
        <f aca="false">MAX(-Flows!AH67*AH$4*AH12/100,0)</f>
        <v>17923438.6695069</v>
      </c>
      <c r="AI97" s="10" t="n">
        <f aca="false">MAX(-Flows!AI67*AI$4*AI12/100,0)</f>
        <v>0</v>
      </c>
      <c r="AJ97" s="10" t="n">
        <f aca="false">MAX(-Flows!AJ67*AJ$4*AJ12/100,0)</f>
        <v>0</v>
      </c>
      <c r="AK97" s="10" t="n">
        <f aca="false">MAX(-Flows!AK67*AK$4*AK12/100,0)</f>
        <v>0</v>
      </c>
      <c r="AL97" s="10" t="n">
        <f aca="false">MAX(-Flows!AL67*AL$4*AL12/100,0)</f>
        <v>0</v>
      </c>
      <c r="AM97" s="10" t="n">
        <f aca="false">MAX(-Flows!AM67*AM$4*AM12/100,0)</f>
        <v>28976288.1121096</v>
      </c>
      <c r="AN97" s="10" t="n">
        <f aca="false">MAX(-Flows!AN67*AN$4*AN12/100,0)</f>
        <v>0</v>
      </c>
      <c r="AO97" s="10" t="n">
        <f aca="false">MAX(-Flows!AO67*AO$4*AO12/100,0)</f>
        <v>0</v>
      </c>
      <c r="AP97" s="10" t="n">
        <f aca="false">MAX(-Flows!AP67*AP$4*AP12/100,0)</f>
        <v>18651381.5363139</v>
      </c>
      <c r="AQ97" s="10" t="n">
        <f aca="false">MAX(-Flows!AQ67*AQ$4*AQ12/100,0)</f>
        <v>14258690.3561212</v>
      </c>
      <c r="AR97" s="10" t="n">
        <f aca="false">MAX(-Flows!AR67*AR$4*AR12/100,0)</f>
        <v>10092864.5581085</v>
      </c>
      <c r="AS97" s="10" t="n">
        <f aca="false">MAX(-Flows!AS67*AS$4*AS12/100,0)</f>
        <v>0</v>
      </c>
      <c r="AT97" s="10" t="n">
        <f aca="false">MAX(-Flows!AT67*AT$4*AT12/100,0)</f>
        <v>0</v>
      </c>
      <c r="AU97" s="10" t="n">
        <f aca="false">MAX(-Flows!AU67*AU$4*AU12/100,0)</f>
        <v>14372360.8288149</v>
      </c>
      <c r="AV97" s="10" t="n">
        <f aca="false">MAX(-Flows!AV67*AV$4*AV12/100,0)</f>
        <v>8490296.31239631</v>
      </c>
      <c r="AW97" s="10" t="n">
        <f aca="false">MAX(-Flows!AW67*AW$4*AW12/100,0)</f>
        <v>0</v>
      </c>
      <c r="AX97" s="10" t="n">
        <f aca="false">MAX(-Flows!AX67*AX$4*AX12/100,0)</f>
        <v>10332680.6818439</v>
      </c>
      <c r="AY97" s="10" t="n">
        <f aca="false">MAX(-Flows!AY67*AY$4*AY12/100,0)</f>
        <v>457948.981148814</v>
      </c>
      <c r="AZ97" s="10" t="n">
        <f aca="false">MAX(-Flows!AZ67*AZ$4*AZ12/100,0)</f>
        <v>3697282.59958297</v>
      </c>
      <c r="BA97" s="10" t="n">
        <f aca="false">MAX(-Flows!BA67*BA$4*BA12/100,0)</f>
        <v>0</v>
      </c>
      <c r="BB97" s="10" t="n">
        <f aca="false">MAX(-Flows!BB67*BB$4*BB12/100,0)</f>
        <v>635690.743178505</v>
      </c>
      <c r="BC97" s="10" t="n">
        <f aca="false">MAX(-Flows!BC67*BC$4*BC12/100,0)</f>
        <v>0</v>
      </c>
      <c r="BD97" s="10" t="n">
        <f aca="false">MAX(-Flows!BD67*BD$4*BD12/100,0)</f>
        <v>0</v>
      </c>
      <c r="BE97" s="10" t="n">
        <f aca="false">MAX(-Flows!BE67*BE$4*BE12/100,0)</f>
        <v>0</v>
      </c>
      <c r="BF97" s="10" t="n">
        <f aca="false">MAX(-Flows!BF67*BF$4*BF12/100,0)</f>
        <v>0</v>
      </c>
      <c r="BG97" s="10" t="n">
        <f aca="false">MAX(-Flows!BG67*BG$4*BG12/100,0)</f>
        <v>0</v>
      </c>
      <c r="BH97" s="10" t="n">
        <f aca="false">MAX(-Flows!BH67*BH$4*BH12/100,0)</f>
        <v>0</v>
      </c>
      <c r="BI97" s="10" t="n">
        <f aca="false">MAX(-Flows!BI67*BI$4*BI12/100,0)</f>
        <v>21252922.0407794</v>
      </c>
      <c r="BJ97" s="10" t="n">
        <f aca="false">MAX(-Flows!BJ67*BJ$4*BJ12/100,0)</f>
        <v>21252922.0407793</v>
      </c>
      <c r="BK97" s="10" t="n">
        <f aca="false">MAX(-Flows!BK67*BK$4*BK12/100,0)</f>
        <v>21252922.0407794</v>
      </c>
      <c r="BL97" s="10" t="n">
        <f aca="false">MAX(-Flows!BL67*BL$4*BL12/100,0)</f>
        <v>3796886.71951335</v>
      </c>
      <c r="BM97" s="10" t="n">
        <f aca="false">MAX(-Flows!BM67*BM$4*BM12/100,0)</f>
        <v>3796886.71951335</v>
      </c>
      <c r="BN97" s="10" t="n">
        <f aca="false">MAX(-Flows!BN67*BN$4*BN12/100,0)</f>
        <v>0</v>
      </c>
      <c r="BO97" s="10" t="n">
        <f aca="false">MAX(-Flows!BO67*BO$4*BO12/100,0)</f>
        <v>13889409067677</v>
      </c>
      <c r="BP97" s="10" t="n">
        <f aca="false">MAX(-Flows!BP67*BP$4*BP12/100,0)</f>
        <v>6481724548279280</v>
      </c>
      <c r="BQ97" s="10" t="n">
        <f aca="false">MAX(-Flows!BQ67*BQ$4*BQ12/100,0)</f>
        <v>0</v>
      </c>
      <c r="BR97" s="10" t="n">
        <f aca="false">MAX(-Flows!BR67*BR$4*BR12/100,0)</f>
        <v>4629802566223.72</v>
      </c>
      <c r="BS97" s="10" t="n">
        <f aca="false">MAX(-Flows!BS67*BS$4*BS12/100,0)</f>
        <v>2314900940860.41</v>
      </c>
      <c r="BT97" s="10" t="n">
        <f aca="false">MAX(-Flows!BT67*BT$4*BT12/100,0)</f>
        <v>0</v>
      </c>
      <c r="BU97" s="10" t="n">
        <f aca="false">MAX(-Flows!BU67*BU$4*BU12/100,0)</f>
        <v>0</v>
      </c>
      <c r="BV97" s="10" t="n">
        <f aca="false">MAX(-Flows!BV67*BV$4*BV12/100,0)</f>
        <v>0</v>
      </c>
      <c r="BW97" s="10" t="n">
        <f aca="false">MAX(-Flows!BW67*BW$4*BW12/100,0)</f>
        <v>0</v>
      </c>
      <c r="BX97" s="10" t="n">
        <f aca="false">MAX(-Flows!BX67*BX$4*BX12/100,0)</f>
        <v>7593773.4390267</v>
      </c>
      <c r="BY97" s="10" t="n">
        <f aca="false">MAX(-Flows!BY67*BY$4*BY12/100,0)</f>
        <v>7593773.43902671</v>
      </c>
      <c r="BZ97" s="10" t="n">
        <f aca="false">MAX(-Flows!BZ67*BZ$4*BZ12/100,0)</f>
        <v>19611094.1574908</v>
      </c>
      <c r="CA97" s="10" t="n">
        <f aca="false">MAX(-Flows!CA67*CA$4*CA12/100,0)</f>
        <v>19611094.1574908</v>
      </c>
      <c r="CB97" s="10" t="n">
        <f aca="false">MAX(-Flows!CB67*CB$4*CB12/100,0)</f>
        <v>37968867.1951335</v>
      </c>
      <c r="CC97" s="10" t="n">
        <f aca="false">MAX(-Flows!CC67*CC$4*CC12/100,0)</f>
        <v>1062646.10203897</v>
      </c>
      <c r="CD97" s="10" t="n">
        <f aca="false">MAX(-Flows!CD67*CD$4*CD12/100,0)</f>
        <v>0</v>
      </c>
      <c r="CE97" s="10" t="n">
        <f aca="false">MAX(-Flows!CE67*CE$4*CE12/100,0)</f>
        <v>1062646.10203897</v>
      </c>
      <c r="CF97" s="10" t="n">
        <f aca="false">MAX(-Flows!CF67*CF$4*CF12/100,0)</f>
        <v>5632235.16292024</v>
      </c>
      <c r="CG97" s="10" t="n">
        <f aca="false">MAX(-Flows!CG67*CG$4*CG12/100,0)</f>
        <v>69446364257.9872</v>
      </c>
      <c r="CH97" s="10" t="n">
        <f aca="false">MAX(-Flows!CH67*CH$4*CH12/100,0)</f>
        <v>69446364257.9872</v>
      </c>
      <c r="CI97" s="10" t="n">
        <f aca="false">MAX(-Flows!CI67*CI$4*CI12/100,0)</f>
        <v>18984433.5975668</v>
      </c>
      <c r="CJ97" s="10" t="n">
        <f aca="false">MAX(-Flows!CJ67*CJ$4*CJ12/100,0)</f>
        <v>1898443.35975667</v>
      </c>
      <c r="CK97" s="10" t="n">
        <f aca="false">MAX(-Flows!CK67*CK$4*CK12/100,0)</f>
        <v>1898443.35975667</v>
      </c>
      <c r="CL97" s="7" t="s">
        <v>320</v>
      </c>
      <c r="CM97" s="10" t="n">
        <f aca="false">-CM37</f>
        <v>1958214.23705547</v>
      </c>
      <c r="CN97" s="10" t="n">
        <f aca="false">-CN37</f>
        <v>74987899.17713</v>
      </c>
      <c r="CO97" s="10" t="n">
        <f aca="false">-CO37</f>
        <v>316878342.783249</v>
      </c>
      <c r="CP97" s="10" t="n">
        <f aca="false">-CP37</f>
        <v>-5635992.59095085</v>
      </c>
      <c r="CQ97" s="10" t="n">
        <f aca="false">-CQ37</f>
        <v>75570383.5904859</v>
      </c>
      <c r="CR97" s="10" t="n">
        <f aca="false">-CR37</f>
        <v>6502697490001090</v>
      </c>
      <c r="CS97" s="10" t="n">
        <f aca="false">-CS37</f>
        <v>14127194.9677561</v>
      </c>
      <c r="CT97" s="10" t="n">
        <f aca="false">-CT37</f>
        <v>9429121.88243359</v>
      </c>
      <c r="CU97" s="10" t="n">
        <f aca="false">-CU37</f>
        <v>-135973093.204641</v>
      </c>
      <c r="CV97" s="10" t="n">
        <f aca="false">-CV37</f>
        <v>708524.36979829</v>
      </c>
      <c r="CX97" s="0" t="str">
        <f aca="false">INDEX($C$1:$CK$1,MATCH(LARGE($C97:$CK97,1),$C97:$CK97,0))</f>
        <v>Iron (lb)</v>
      </c>
      <c r="CY97" s="0" t="str">
        <f aca="false">INDEX($C$1:$CK$1,MATCH(LARGE($C97:$CK97,2),$C97:$CK97,0))</f>
        <v>Cu (lb)</v>
      </c>
      <c r="CZ97" s="0" t="str">
        <f aca="false">INDEX($C$1:$CK$1,MATCH(LARGE($C97:$CK97,3),$C97:$CK97,0))</f>
        <v>Ag (lb)</v>
      </c>
      <c r="DA97" s="0" t="str">
        <f aca="false">INDEX($C$1:$CK$1,MATCH(LARGE($C97:$CK97,4),$C97:$CK97,0))</f>
        <v>Au (lb)</v>
      </c>
      <c r="DB97" s="0" t="str">
        <f aca="false">INDEX($C$1:$CK$1,MATCH(LARGE($C97:$CK97,5),$C97:$CK97,0))</f>
        <v>Diamonds (lb)</v>
      </c>
      <c r="DD97" s="0" t="str">
        <f aca="false">IF(LARGE($CM97:$CV97,1)&gt;0,INDEX($CM$30:$CV$30,MATCH(LARGE($CM97:$CV97,1),$CM97:$CV97,0)),"N/A")</f>
        <v>Mineral</v>
      </c>
      <c r="DE97" s="0" t="str">
        <f aca="false">IF(LARGE($CM97:$CV97,2)&gt;0,INDEX($CM$30:$CV$30,MATCH(LARGE($CM97:$CV97,2),$CM97:$CV97,0)),"N/A")</f>
        <v>Food Prod</v>
      </c>
      <c r="DF97" s="0" t="str">
        <f aca="false">IF(LARGE($CM97:$CV97,3)&gt;0,INDEX($CM$30:$CV$30,MATCH(LARGE($CM97:$CV97,3),$CM97:$CV97,0)),"N/A")</f>
        <v>Tools</v>
      </c>
      <c r="DG97" s="0" t="str">
        <f aca="false">IF(LARGE($CM97:$CV97,4)&gt;0,INDEX($CM$30:$CV$30,MATCH(LARGE($CM97:$CV97,4),$CM97:$CV97,0)),"N/A")</f>
        <v>Animal</v>
      </c>
      <c r="DH97" s="0" t="str">
        <f aca="false">IF(LARGE($CM97:$CV97,5)&gt;0,INDEX($CM$30:$CV$30,MATCH(LARGE($CM97:$CV97,5),$CM97:$CV97,0)),"N/A")</f>
        <v>Wood</v>
      </c>
    </row>
    <row r="98" customFormat="false" ht="12.8" hidden="false" customHeight="false" outlineLevel="0" collapsed="false">
      <c r="A98" s="7" t="s">
        <v>142</v>
      </c>
      <c r="B98" s="7" t="s">
        <v>39</v>
      </c>
      <c r="C98" s="10" t="n">
        <f aca="false">MAX(-Flows!C68*C$4*C13/100,0)</f>
        <v>110384258.634061</v>
      </c>
      <c r="D98" s="10" t="n">
        <f aca="false">MAX(-Flows!D68*D$4*D13/100,0)</f>
        <v>197289164.800617</v>
      </c>
      <c r="E98" s="10" t="n">
        <f aca="false">MAX(-Flows!E68*E$4*E13/100,0)</f>
        <v>49278485.0265686</v>
      </c>
      <c r="F98" s="10" t="n">
        <f aca="false">MAX(-Flows!F68*F$4*F13/100,0)</f>
        <v>0</v>
      </c>
      <c r="G98" s="10" t="n">
        <f aca="false">MAX(-Flows!G68*G$4*G13/100,0)</f>
        <v>226679086.698586</v>
      </c>
      <c r="H98" s="10" t="n">
        <f aca="false">MAX(-Flows!H68*H$4*H13/100,0)</f>
        <v>442334089.872416</v>
      </c>
      <c r="I98" s="10" t="n">
        <f aca="false">MAX(-Flows!I68*I$4*I13/100,0)</f>
        <v>30137284.6595523</v>
      </c>
      <c r="J98" s="10" t="n">
        <f aca="false">MAX(-Flows!J68*J$4*J13/100,0)</f>
        <v>0</v>
      </c>
      <c r="K98" s="10" t="n">
        <f aca="false">MAX(-Flows!K68*K$4*K13/100,0)</f>
        <v>0</v>
      </c>
      <c r="L98" s="10" t="n">
        <f aca="false">MAX(-Flows!L68*L$4*L13/100,0)</f>
        <v>0</v>
      </c>
      <c r="M98" s="10" t="n">
        <f aca="false">MAX(-Flows!M68*M$4*M13/100,0)</f>
        <v>0</v>
      </c>
      <c r="N98" s="10" t="n">
        <f aca="false">MAX(-Flows!N68*N$4*N13/100,0)</f>
        <v>156551043.384746</v>
      </c>
      <c r="O98" s="10" t="n">
        <f aca="false">MAX(-Flows!O68*O$4*O13/100,0)</f>
        <v>0</v>
      </c>
      <c r="P98" s="10" t="n">
        <f aca="false">MAX(-Flows!P68*P$4*P13/100,0)</f>
        <v>0</v>
      </c>
      <c r="Q98" s="10" t="n">
        <f aca="false">MAX(-Flows!Q68*Q$4*Q13/100,0)</f>
        <v>233359175.135528</v>
      </c>
      <c r="R98" s="10" t="n">
        <f aca="false">MAX(-Flows!R68*R$4*R13/100,0)</f>
        <v>92022863.8970995</v>
      </c>
      <c r="S98" s="10" t="n">
        <f aca="false">MAX(-Flows!S68*S$4*S13/100,0)</f>
        <v>0</v>
      </c>
      <c r="T98" s="10" t="n">
        <f aca="false">MAX(-Flows!T68*T$4*T13/100,0)</f>
        <v>0</v>
      </c>
      <c r="U98" s="10" t="n">
        <f aca="false">MAX(-Flows!U68*U$4*U13/100,0)</f>
        <v>0</v>
      </c>
      <c r="V98" s="10" t="n">
        <f aca="false">MAX(-Flows!V68*V$4*V13/100,0)</f>
        <v>218694078.622067</v>
      </c>
      <c r="W98" s="10" t="n">
        <f aca="false">MAX(-Flows!W68*W$4*W13/100,0)</f>
        <v>630869567.976573</v>
      </c>
      <c r="X98" s="10" t="n">
        <f aca="false">MAX(-Flows!X68*X$4*X13/100,0)</f>
        <v>68299468.497373</v>
      </c>
      <c r="Y98" s="10" t="n">
        <f aca="false">MAX(-Flows!Y68*Y$4*Y13/100,0)</f>
        <v>0</v>
      </c>
      <c r="Z98" s="10" t="n">
        <f aca="false">MAX(-Flows!Z68*Z$4*Z13/100,0)</f>
        <v>19153924.5058429</v>
      </c>
      <c r="AA98" s="10" t="n">
        <f aca="false">MAX(-Flows!AA68*AA$4*AA13/100,0)</f>
        <v>45174.9314302815</v>
      </c>
      <c r="AB98" s="10" t="n">
        <f aca="false">MAX(-Flows!AB68*AB$4*AB13/100,0)</f>
        <v>739611.319233522</v>
      </c>
      <c r="AC98" s="10" t="n">
        <f aca="false">MAX(-Flows!AC68*AC$4*AC13/100,0)</f>
        <v>0</v>
      </c>
      <c r="AD98" s="10" t="n">
        <f aca="false">MAX(-Flows!AD68*AD$4*AD13/100,0)</f>
        <v>369805.659616761</v>
      </c>
      <c r="AE98" s="10" t="n">
        <f aca="false">MAX(-Flows!AE68*AE$4*AE13/100,0)</f>
        <v>2617752.59349889</v>
      </c>
      <c r="AF98" s="10" t="n">
        <f aca="false">MAX(-Flows!AF68*AF$4*AF13/100,0)</f>
        <v>12303749.0715788</v>
      </c>
      <c r="AG98" s="10" t="n">
        <f aca="false">MAX(-Flows!AG68*AG$4*AG13/100,0)</f>
        <v>2886948.92718109</v>
      </c>
      <c r="AH98" s="10" t="n">
        <f aca="false">MAX(-Flows!AH68*AH$4*AH13/100,0)</f>
        <v>29938224.6072199</v>
      </c>
      <c r="AI98" s="10" t="n">
        <f aca="false">MAX(-Flows!AI68*AI$4*AI13/100,0)</f>
        <v>0</v>
      </c>
      <c r="AJ98" s="10" t="n">
        <f aca="false">MAX(-Flows!AJ68*AJ$4*AJ13/100,0)</f>
        <v>66984368.8101164</v>
      </c>
      <c r="AK98" s="10" t="n">
        <f aca="false">MAX(-Flows!AK68*AK$4*AK13/100,0)</f>
        <v>56000319.3944095</v>
      </c>
      <c r="AL98" s="10" t="n">
        <f aca="false">MAX(-Flows!AL68*AL$4*AL13/100,0)</f>
        <v>47626300.114137</v>
      </c>
      <c r="AM98" s="10" t="n">
        <f aca="false">MAX(-Flows!AM68*AM$4*AM13/100,0)</f>
        <v>14356538.0365407</v>
      </c>
      <c r="AN98" s="10" t="n">
        <f aca="false">MAX(-Flows!AN68*AN$4*AN13/100,0)</f>
        <v>5070470.72100931</v>
      </c>
      <c r="AO98" s="10" t="n">
        <f aca="false">MAX(-Flows!AO68*AO$4*AO13/100,0)</f>
        <v>38878240.8752435</v>
      </c>
      <c r="AP98" s="10" t="n">
        <f aca="false">MAX(-Flows!AP68*AP$4*AP13/100,0)</f>
        <v>67650847.4579726</v>
      </c>
      <c r="AQ98" s="10" t="n">
        <f aca="false">MAX(-Flows!AQ68*AQ$4*AQ13/100,0)</f>
        <v>88761566.1856182</v>
      </c>
      <c r="AR98" s="10" t="n">
        <f aca="false">MAX(-Flows!AR68*AR$4*AR13/100,0)</f>
        <v>65709323.477696</v>
      </c>
      <c r="AS98" s="10" t="n">
        <f aca="false">MAX(-Flows!AS68*AS$4*AS13/100,0)</f>
        <v>13743651.2392768</v>
      </c>
      <c r="AT98" s="10" t="n">
        <f aca="false">MAX(-Flows!AT68*AT$4*AT13/100,0)</f>
        <v>19142881.5541769</v>
      </c>
      <c r="AU98" s="10" t="n">
        <f aca="false">MAX(-Flows!AU68*AU$4*AU13/100,0)</f>
        <v>73752255.4492116</v>
      </c>
      <c r="AV98" s="10" t="n">
        <f aca="false">MAX(-Flows!AV68*AV$4*AV13/100,0)</f>
        <v>114027694.888642</v>
      </c>
      <c r="AW98" s="10" t="n">
        <f aca="false">MAX(-Flows!AW68*AW$4*AW13/100,0)</f>
        <v>0</v>
      </c>
      <c r="AX98" s="10" t="n">
        <f aca="false">MAX(-Flows!AX68*AX$4*AX13/100,0)</f>
        <v>10211308.9365149</v>
      </c>
      <c r="AY98" s="10" t="n">
        <f aca="false">MAX(-Flows!AY68*AY$4*AY13/100,0)</f>
        <v>0</v>
      </c>
      <c r="AZ98" s="10" t="n">
        <f aca="false">MAX(-Flows!AZ68*AZ$4*AZ13/100,0)</f>
        <v>0</v>
      </c>
      <c r="BA98" s="10" t="n">
        <f aca="false">MAX(-Flows!BA68*BA$4*BA13/100,0)</f>
        <v>0</v>
      </c>
      <c r="BB98" s="10" t="n">
        <f aca="false">MAX(-Flows!BB68*BB$4*BB13/100,0)</f>
        <v>87781202.0412976</v>
      </c>
      <c r="BC98" s="10" t="n">
        <f aca="false">MAX(-Flows!BC68*BC$4*BC13/100,0)</f>
        <v>13685120.8136506</v>
      </c>
      <c r="BD98" s="10" t="n">
        <f aca="false">MAX(-Flows!BD68*BD$4*BD13/100,0)</f>
        <v>2721206.67464501</v>
      </c>
      <c r="BE98" s="10" t="n">
        <f aca="false">MAX(-Flows!BE68*BE$4*BE13/100,0)</f>
        <v>34337902.2916246</v>
      </c>
      <c r="BF98" s="10" t="n">
        <f aca="false">MAX(-Flows!BF68*BF$4*BF13/100,0)</f>
        <v>108980239.008071</v>
      </c>
      <c r="BG98" s="10" t="n">
        <f aca="false">MAX(-Flows!BG68*BG$4*BG13/100,0)</f>
        <v>13402342.8819976</v>
      </c>
      <c r="BH98" s="10" t="n">
        <f aca="false">MAX(-Flows!BH68*BH$4*BH13/100,0)</f>
        <v>26391040.8889443</v>
      </c>
      <c r="BI98" s="10" t="n">
        <f aca="false">MAX(-Flows!BI68*BI$4*BI13/100,0)</f>
        <v>114244405.682779</v>
      </c>
      <c r="BJ98" s="10" t="n">
        <f aca="false">MAX(-Flows!BJ68*BJ$4*BJ13/100,0)</f>
        <v>114244405.682779</v>
      </c>
      <c r="BK98" s="10" t="n">
        <f aca="false">MAX(-Flows!BK68*BK$4*BK13/100,0)</f>
        <v>114244405.682779</v>
      </c>
      <c r="BL98" s="10" t="n">
        <f aca="false">MAX(-Flows!BL68*BL$4*BL13/100,0)</f>
        <v>23335917.5135528</v>
      </c>
      <c r="BM98" s="10" t="n">
        <f aca="false">MAX(-Flows!BM68*BM$4*BM13/100,0)</f>
        <v>23335917.5135528</v>
      </c>
      <c r="BN98" s="10" t="n">
        <f aca="false">MAX(-Flows!BN68*BN$4*BN13/100,0)</f>
        <v>0</v>
      </c>
      <c r="BO98" s="10" t="n">
        <f aca="false">MAX(-Flows!BO68*BO$4*BO13/100,0)</f>
        <v>0</v>
      </c>
      <c r="BP98" s="10" t="n">
        <f aca="false">MAX(-Flows!BP68*BP$4*BP13/100,0)</f>
        <v>0</v>
      </c>
      <c r="BQ98" s="10" t="n">
        <f aca="false">MAX(-Flows!BQ68*BQ$4*BQ13/100,0)</f>
        <v>0</v>
      </c>
      <c r="BR98" s="10" t="n">
        <f aca="false">MAX(-Flows!BR68*BR$4*BR13/100,0)</f>
        <v>0</v>
      </c>
      <c r="BS98" s="10" t="n">
        <f aca="false">MAX(-Flows!BS68*BS$4*BS13/100,0)</f>
        <v>0</v>
      </c>
      <c r="BT98" s="10" t="n">
        <f aca="false">MAX(-Flows!BT68*BT$4*BT13/100,0)</f>
        <v>0</v>
      </c>
      <c r="BU98" s="10" t="n">
        <f aca="false">MAX(-Flows!BU68*BU$4*BU13/100,0)</f>
        <v>0</v>
      </c>
      <c r="BV98" s="10" t="n">
        <f aca="false">MAX(-Flows!BV68*BV$4*BV13/100,0)</f>
        <v>0</v>
      </c>
      <c r="BW98" s="10" t="n">
        <f aca="false">MAX(-Flows!BW68*BW$4*BW13/100,0)</f>
        <v>0</v>
      </c>
      <c r="BX98" s="10" t="n">
        <f aca="false">MAX(-Flows!BX68*BX$4*BX13/100,0)</f>
        <v>46671835.0271056</v>
      </c>
      <c r="BY98" s="10" t="n">
        <f aca="false">MAX(-Flows!BY68*BY$4*BY13/100,0)</f>
        <v>46671835.0271056</v>
      </c>
      <c r="BZ98" s="10" t="n">
        <f aca="false">MAX(-Flows!BZ68*BZ$4*BZ13/100,0)</f>
        <v>147780452.812438</v>
      </c>
      <c r="CA98" s="10" t="n">
        <f aca="false">MAX(-Flows!CA68*CA$4*CA13/100,0)</f>
        <v>147780452.812438</v>
      </c>
      <c r="CB98" s="10" t="n">
        <f aca="false">MAX(-Flows!CB68*CB$4*CB13/100,0)</f>
        <v>233359175.135528</v>
      </c>
      <c r="CC98" s="10" t="n">
        <f aca="false">MAX(-Flows!CC68*CC$4*CC13/100,0)</f>
        <v>5712220.28413893</v>
      </c>
      <c r="CD98" s="10" t="n">
        <f aca="false">MAX(-Flows!CD68*CD$4*CD13/100,0)</f>
        <v>0</v>
      </c>
      <c r="CE98" s="10" t="n">
        <f aca="false">MAX(-Flows!CE68*CE$4*CE13/100,0)</f>
        <v>5712220.28413893</v>
      </c>
      <c r="CF98" s="10" t="n">
        <f aca="false">MAX(-Flows!CF68*CF$4*CF13/100,0)</f>
        <v>28228529.4311672</v>
      </c>
      <c r="CG98" s="10" t="n">
        <f aca="false">MAX(-Flows!CG68*CG$4*CG13/100,0)</f>
        <v>0</v>
      </c>
      <c r="CH98" s="10" t="n">
        <f aca="false">MAX(-Flows!CH68*CH$4*CH13/100,0)</f>
        <v>0</v>
      </c>
      <c r="CI98" s="10" t="n">
        <f aca="false">MAX(-Flows!CI68*CI$4*CI13/100,0)</f>
        <v>116679587.567764</v>
      </c>
      <c r="CJ98" s="10" t="n">
        <f aca="false">MAX(-Flows!CJ68*CJ$4*CJ13/100,0)</f>
        <v>11667958.7567764</v>
      </c>
      <c r="CK98" s="10" t="n">
        <f aca="false">MAX(-Flows!CK68*CK$4*CK13/100,0)</f>
        <v>11667958.7567764</v>
      </c>
      <c r="CL98" s="7" t="s">
        <v>320</v>
      </c>
      <c r="CM98" s="10" t="n">
        <f aca="false">-CM38</f>
        <v>698097248.407891</v>
      </c>
      <c r="CN98" s="10" t="n">
        <f aca="false">-CN38</f>
        <v>601221211.436705</v>
      </c>
      <c r="CO98" s="10" t="n">
        <f aca="false">-CO38</f>
        <v>1632933525.08364</v>
      </c>
      <c r="CP98" s="10" t="n">
        <f aca="false">-CP38</f>
        <v>660580861.990498</v>
      </c>
      <c r="CQ98" s="10" t="n">
        <f aca="false">-CQ38</f>
        <v>733123847.051702</v>
      </c>
      <c r="CR98" s="10" t="n">
        <f aca="false">-CR38</f>
        <v>84953567.2227511</v>
      </c>
      <c r="CS98" s="10" t="n">
        <f aca="false">-CS38</f>
        <v>135430153.954215</v>
      </c>
      <c r="CT98" s="10" t="n">
        <f aca="false">-CT38</f>
        <v>51564446.94472</v>
      </c>
      <c r="CU98" s="10" t="n">
        <f aca="false">-CU38</f>
        <v>-65245627.8761066</v>
      </c>
      <c r="CV98" s="10" t="n">
        <f aca="false">-CV38</f>
        <v>1109416.97885028</v>
      </c>
      <c r="CX98" s="0" t="str">
        <f aca="false">INDEX($C$1:$CK$1,MATCH(LARGE($C98:$CK98,1),$C98:$CK98,0))</f>
        <v>Sauce (lb)</v>
      </c>
      <c r="CY98" s="0" t="str">
        <f aca="false">INDEX($C$1:$CK$1,MATCH(LARGE($C98:$CK98,2),$C98:$CK98,0))</f>
        <v>Jax (lb)</v>
      </c>
      <c r="CZ98" s="0" t="str">
        <f aca="false">INDEX($C$1:$CK$1,MATCH(LARGE($C98:$CK98,3),$C98:$CK98,0))</f>
        <v>Veg Oil (lb)</v>
      </c>
      <c r="DA98" s="27" t="s">
        <v>399</v>
      </c>
      <c r="DB98" s="0" t="str">
        <f aca="false">INDEX($C$1:$CK$1,MATCH(LARGE($C98:$CK98,5),$C98:$CK98,0))</f>
        <v>Nunives (lb)</v>
      </c>
      <c r="DD98" s="0" t="str">
        <f aca="false">IF(LARGE($CM98:$CV98,1)&gt;0,INDEX($CM$30:$CV$30,MATCH(LARGE($CM98:$CV98,1),$CM98:$CV98,0)),"N/A")</f>
        <v>Food Prod</v>
      </c>
      <c r="DE98" s="0" t="str">
        <f aca="false">IF(LARGE($CM98:$CV98,2)&gt;0,INDEX($CM$30:$CV$30,MATCH(LARGE($CM98:$CV98,2),$CM98:$CV98,0)),"N/A")</f>
        <v>Tools</v>
      </c>
      <c r="DF98" s="0" t="str">
        <f aca="false">IF(LARGE($CM98:$CV98,3)&gt;0,INDEX($CM$30:$CV$30,MATCH(LARGE($CM98:$CV98,3),$CM98:$CV98,0)),"N/A")</f>
        <v>Produce</v>
      </c>
      <c r="DG98" s="0" t="str">
        <f aca="false">IF(LARGE($CM98:$CV98,4)&gt;0,INDEX($CM$30:$CV$30,MATCH(LARGE($CM98:$CV98,4),$CM98:$CV98,0)),"N/A")</f>
        <v>Textile</v>
      </c>
      <c r="DH98" s="0" t="str">
        <f aca="false">IF(LARGE($CM98:$CV98,5)&gt;0,INDEX($CM$30:$CV$30,MATCH(LARGE($CM98:$CV98,5),$CM98:$CV98,0)),"N/A")</f>
        <v>Animal</v>
      </c>
    </row>
    <row r="99" customFormat="false" ht="12.8" hidden="false" customHeight="false" outlineLevel="0" collapsed="false">
      <c r="A99" s="7" t="s">
        <v>143</v>
      </c>
      <c r="B99" s="7" t="s">
        <v>39</v>
      </c>
      <c r="C99" s="10" t="n">
        <f aca="false">MAX(-Flows!C69*C$4*C14/100,0)</f>
        <v>0</v>
      </c>
      <c r="D99" s="10" t="n">
        <f aca="false">MAX(-Flows!D69*D$4*D14/100,0)</f>
        <v>0</v>
      </c>
      <c r="E99" s="10" t="n">
        <f aca="false">MAX(-Flows!E69*E$4*E14/100,0)</f>
        <v>0</v>
      </c>
      <c r="F99" s="10" t="n">
        <f aca="false">MAX(-Flows!F69*F$4*F14/100,0)</f>
        <v>0</v>
      </c>
      <c r="G99" s="10" t="n">
        <f aca="false">MAX(-Flows!G69*G$4*G14/100,0)</f>
        <v>0</v>
      </c>
      <c r="H99" s="10" t="n">
        <f aca="false">MAX(-Flows!H69*H$4*H14/100,0)</f>
        <v>0</v>
      </c>
      <c r="I99" s="10" t="n">
        <f aca="false">MAX(-Flows!I69*I$4*I14/100,0)</f>
        <v>0</v>
      </c>
      <c r="J99" s="10" t="n">
        <f aca="false">MAX(-Flows!J69*J$4*J14/100,0)</f>
        <v>625317.130742876</v>
      </c>
      <c r="K99" s="10" t="n">
        <f aca="false">MAX(-Flows!K69*K$4*K14/100,0)</f>
        <v>0</v>
      </c>
      <c r="L99" s="10" t="n">
        <f aca="false">MAX(-Flows!L69*L$4*L14/100,0)</f>
        <v>0</v>
      </c>
      <c r="M99" s="10" t="n">
        <f aca="false">MAX(-Flows!M69*M$4*M14/100,0)</f>
        <v>0</v>
      </c>
      <c r="N99" s="10" t="n">
        <f aca="false">MAX(-Flows!N69*N$4*N14/100,0)</f>
        <v>0</v>
      </c>
      <c r="O99" s="10" t="n">
        <f aca="false">MAX(-Flows!O69*O$4*O14/100,0)</f>
        <v>0</v>
      </c>
      <c r="P99" s="10" t="n">
        <f aca="false">MAX(-Flows!P69*P$4*P14/100,0)</f>
        <v>0</v>
      </c>
      <c r="Q99" s="10" t="n">
        <f aca="false">MAX(-Flows!Q69*Q$4*Q14/100,0)</f>
        <v>0</v>
      </c>
      <c r="R99" s="10" t="n">
        <f aca="false">MAX(-Flows!R69*R$4*R14/100,0)</f>
        <v>0</v>
      </c>
      <c r="S99" s="10" t="n">
        <f aca="false">MAX(-Flows!S69*S$4*S14/100,0)</f>
        <v>0</v>
      </c>
      <c r="T99" s="10" t="n">
        <f aca="false">MAX(-Flows!T69*T$4*T14/100,0)</f>
        <v>0</v>
      </c>
      <c r="U99" s="10" t="n">
        <f aca="false">MAX(-Flows!U69*U$4*U14/100,0)</f>
        <v>0</v>
      </c>
      <c r="V99" s="10" t="n">
        <f aca="false">MAX(-Flows!V69*V$4*V14/100,0)</f>
        <v>0</v>
      </c>
      <c r="W99" s="10" t="n">
        <f aca="false">MAX(-Flows!W69*W$4*W14/100,0)</f>
        <v>0</v>
      </c>
      <c r="X99" s="10" t="n">
        <f aca="false">MAX(-Flows!X69*X$4*X14/100,0)</f>
        <v>0</v>
      </c>
      <c r="Y99" s="10" t="n">
        <f aca="false">MAX(-Flows!Y69*Y$4*Y14/100,0)</f>
        <v>0</v>
      </c>
      <c r="Z99" s="10" t="n">
        <f aca="false">MAX(-Flows!Z69*Z$4*Z14/100,0)</f>
        <v>0</v>
      </c>
      <c r="AA99" s="10" t="n">
        <f aca="false">MAX(-Flows!AA69*AA$4*AA14/100,0)</f>
        <v>0</v>
      </c>
      <c r="AB99" s="10" t="n">
        <f aca="false">MAX(-Flows!AB69*AB$4*AB14/100,0)</f>
        <v>0</v>
      </c>
      <c r="AC99" s="10" t="n">
        <f aca="false">MAX(-Flows!AC69*AC$4*AC14/100,0)</f>
        <v>258788.507479038</v>
      </c>
      <c r="AD99" s="10" t="n">
        <f aca="false">MAX(-Flows!AD69*AD$4*AD14/100,0)</f>
        <v>0</v>
      </c>
      <c r="AE99" s="10" t="n">
        <f aca="false">MAX(-Flows!AE69*AE$4*AE14/100,0)</f>
        <v>0</v>
      </c>
      <c r="AF99" s="10" t="n">
        <f aca="false">MAX(-Flows!AF69*AF$4*AF14/100,0)</f>
        <v>0</v>
      </c>
      <c r="AG99" s="10" t="n">
        <f aca="false">MAX(-Flows!AG69*AG$4*AG14/100,0)</f>
        <v>0</v>
      </c>
      <c r="AH99" s="10" t="n">
        <f aca="false">MAX(-Flows!AH69*AH$4*AH14/100,0)</f>
        <v>0</v>
      </c>
      <c r="AI99" s="10" t="n">
        <f aca="false">MAX(-Flows!AI69*AI$4*AI14/100,0)</f>
        <v>0</v>
      </c>
      <c r="AJ99" s="10" t="n">
        <f aca="false">MAX(-Flows!AJ69*AJ$4*AJ14/100,0)</f>
        <v>0</v>
      </c>
      <c r="AK99" s="10" t="n">
        <f aca="false">MAX(-Flows!AK69*AK$4*AK14/100,0)</f>
        <v>0</v>
      </c>
      <c r="AL99" s="10" t="n">
        <f aca="false">MAX(-Flows!AL69*AL$4*AL14/100,0)</f>
        <v>0</v>
      </c>
      <c r="AM99" s="10" t="n">
        <f aca="false">MAX(-Flows!AM69*AM$4*AM14/100,0)</f>
        <v>0</v>
      </c>
      <c r="AN99" s="10" t="n">
        <f aca="false">MAX(-Flows!AN69*AN$4*AN14/100,0)</f>
        <v>4536445.6281618</v>
      </c>
      <c r="AO99" s="10" t="n">
        <f aca="false">MAX(-Flows!AO69*AO$4*AO14/100,0)</f>
        <v>0</v>
      </c>
      <c r="AP99" s="10" t="n">
        <f aca="false">MAX(-Flows!AP69*AP$4*AP14/100,0)</f>
        <v>0</v>
      </c>
      <c r="AQ99" s="10" t="n">
        <f aca="false">MAX(-Flows!AQ69*AQ$4*AQ14/100,0)</f>
        <v>0</v>
      </c>
      <c r="AR99" s="10" t="n">
        <f aca="false">MAX(-Flows!AR69*AR$4*AR14/100,0)</f>
        <v>3064204.50935727</v>
      </c>
      <c r="AS99" s="10" t="n">
        <f aca="false">MAX(-Flows!AS69*AS$4*AS14/100,0)</f>
        <v>0</v>
      </c>
      <c r="AT99" s="10" t="n">
        <f aca="false">MAX(-Flows!AT69*AT$4*AT14/100,0)</f>
        <v>0</v>
      </c>
      <c r="AU99" s="10" t="n">
        <f aca="false">MAX(-Flows!AU69*AU$4*AU14/100,0)</f>
        <v>0</v>
      </c>
      <c r="AV99" s="10" t="n">
        <f aca="false">MAX(-Flows!AV69*AV$4*AV14/100,0)</f>
        <v>0</v>
      </c>
      <c r="AW99" s="10" t="n">
        <f aca="false">MAX(-Flows!AW69*AW$4*AW14/100,0)</f>
        <v>4763049.04850998</v>
      </c>
      <c r="AX99" s="10" t="n">
        <f aca="false">MAX(-Flows!AX69*AX$4*AX14/100,0)</f>
        <v>0</v>
      </c>
      <c r="AY99" s="10" t="n">
        <f aca="false">MAX(-Flows!AY69*AY$4*AY14/100,0)</f>
        <v>1470677.15508354</v>
      </c>
      <c r="AZ99" s="10" t="n">
        <f aca="false">MAX(-Flows!AZ69*AZ$4*AZ14/100,0)</f>
        <v>0</v>
      </c>
      <c r="BA99" s="10" t="n">
        <f aca="false">MAX(-Flows!BA69*BA$4*BA14/100,0)</f>
        <v>0</v>
      </c>
      <c r="BB99" s="10" t="n">
        <f aca="false">MAX(-Flows!BB69*BB$4*BB14/100,0)</f>
        <v>0</v>
      </c>
      <c r="BC99" s="10" t="n">
        <f aca="false">MAX(-Flows!BC69*BC$4*BC14/100,0)</f>
        <v>0</v>
      </c>
      <c r="BD99" s="10" t="n">
        <f aca="false">MAX(-Flows!BD69*BD$4*BD14/100,0)</f>
        <v>0</v>
      </c>
      <c r="BE99" s="10" t="n">
        <f aca="false">MAX(-Flows!BE69*BE$4*BE14/100,0)</f>
        <v>0</v>
      </c>
      <c r="BF99" s="10" t="n">
        <f aca="false">MAX(-Flows!BF69*BF$4*BF14/100,0)</f>
        <v>0</v>
      </c>
      <c r="BG99" s="10" t="n">
        <f aca="false">MAX(-Flows!BG69*BG$4*BG14/100,0)</f>
        <v>0</v>
      </c>
      <c r="BH99" s="10" t="n">
        <f aca="false">MAX(-Flows!BH69*BH$4*BH14/100,0)</f>
        <v>0</v>
      </c>
      <c r="BI99" s="10" t="n">
        <f aca="false">MAX(-Flows!BI69*BI$4*BI14/100,0)</f>
        <v>0</v>
      </c>
      <c r="BJ99" s="10" t="n">
        <f aca="false">MAX(-Flows!BJ69*BJ$4*BJ14/100,0)</f>
        <v>0</v>
      </c>
      <c r="BK99" s="10" t="n">
        <f aca="false">MAX(-Flows!BK69*BK$4*BK14/100,0)</f>
        <v>0</v>
      </c>
      <c r="BL99" s="10" t="n">
        <f aca="false">MAX(-Flows!BL69*BL$4*BL14/100,0)</f>
        <v>0</v>
      </c>
      <c r="BM99" s="10" t="n">
        <f aca="false">MAX(-Flows!BM69*BM$4*BM14/100,0)</f>
        <v>0</v>
      </c>
      <c r="BN99" s="10" t="n">
        <f aca="false">MAX(-Flows!BN69*BN$4*BN14/100,0)</f>
        <v>0</v>
      </c>
      <c r="BO99" s="10" t="n">
        <f aca="false">MAX(-Flows!BO69*BO$4*BO14/100,0)</f>
        <v>39437993429636.7</v>
      </c>
      <c r="BP99" s="10" t="n">
        <f aca="false">MAX(-Flows!BP69*BP$4*BP14/100,0)</f>
        <v>18404397352936900</v>
      </c>
      <c r="BQ99" s="10" t="n">
        <f aca="false">MAX(-Flows!BQ69*BQ$4*BQ14/100,0)</f>
        <v>0</v>
      </c>
      <c r="BR99" s="10" t="n">
        <f aca="false">MAX(-Flows!BR69*BR$4*BR14/100,0)</f>
        <v>13145997205979.2</v>
      </c>
      <c r="BS99" s="10" t="n">
        <f aca="false">MAX(-Flows!BS69*BS$4*BS14/100,0)</f>
        <v>6572998150064.76</v>
      </c>
      <c r="BT99" s="10" t="n">
        <f aca="false">MAX(-Flows!BT69*BT$4*BT14/100,0)</f>
        <v>0</v>
      </c>
      <c r="BU99" s="10" t="n">
        <f aca="false">MAX(-Flows!BU69*BU$4*BU14/100,0)</f>
        <v>0</v>
      </c>
      <c r="BV99" s="10" t="n">
        <f aca="false">MAX(-Flows!BV69*BV$4*BV14/100,0)</f>
        <v>0</v>
      </c>
      <c r="BW99" s="10" t="n">
        <f aca="false">MAX(-Flows!BW69*BW$4*BW14/100,0)</f>
        <v>0</v>
      </c>
      <c r="BX99" s="10" t="n">
        <f aca="false">MAX(-Flows!BX69*BX$4*BX14/100,0)</f>
        <v>0</v>
      </c>
      <c r="BY99" s="10" t="n">
        <f aca="false">MAX(-Flows!BY69*BY$4*BY14/100,0)</f>
        <v>0</v>
      </c>
      <c r="BZ99" s="10" t="n">
        <f aca="false">MAX(-Flows!BZ69*BZ$4*BZ14/100,0)</f>
        <v>0</v>
      </c>
      <c r="CA99" s="10" t="n">
        <f aca="false">MAX(-Flows!CA69*CA$4*CA14/100,0)</f>
        <v>0</v>
      </c>
      <c r="CB99" s="10" t="n">
        <f aca="false">MAX(-Flows!CB69*CB$4*CB14/100,0)</f>
        <v>0</v>
      </c>
      <c r="CC99" s="10" t="n">
        <f aca="false">MAX(-Flows!CC69*CC$4*CC14/100,0)</f>
        <v>0</v>
      </c>
      <c r="CD99" s="10" t="n">
        <f aca="false">MAX(-Flows!CD69*CD$4*CD14/100,0)</f>
        <v>0</v>
      </c>
      <c r="CE99" s="10" t="n">
        <f aca="false">MAX(-Flows!CE69*CE$4*CE14/100,0)</f>
        <v>0</v>
      </c>
      <c r="CF99" s="10" t="n">
        <f aca="false">MAX(-Flows!CF69*CF$4*CF14/100,0)</f>
        <v>0</v>
      </c>
      <c r="CG99" s="10" t="n">
        <f aca="false">MAX(-Flows!CG69*CG$4*CG14/100,0)</f>
        <v>197189065827.796</v>
      </c>
      <c r="CH99" s="10" t="n">
        <f aca="false">MAX(-Flows!CH69*CH$4*CH14/100,0)</f>
        <v>197189065827.796</v>
      </c>
      <c r="CI99" s="10" t="n">
        <f aca="false">MAX(-Flows!CI69*CI$4*CI14/100,0)</f>
        <v>0</v>
      </c>
      <c r="CJ99" s="10" t="n">
        <f aca="false">MAX(-Flows!CJ69*CJ$4*CJ14/100,0)</f>
        <v>0</v>
      </c>
      <c r="CK99" s="10" t="n">
        <f aca="false">MAX(-Flows!CK69*CK$4*CK14/100,0)</f>
        <v>0</v>
      </c>
      <c r="CL99" s="7" t="s">
        <v>320</v>
      </c>
      <c r="CM99" s="10" t="n">
        <f aca="false">-CM39</f>
        <v>-169042954.961881</v>
      </c>
      <c r="CN99" s="10" t="n">
        <f aca="false">-CN39</f>
        <v>-90844667.8851939</v>
      </c>
      <c r="CO99" s="10" t="n">
        <f aca="false">-CO39</f>
        <v>-217816213.771707</v>
      </c>
      <c r="CP99" s="10" t="n">
        <f aca="false">-CP39</f>
        <v>-89098966.9216794</v>
      </c>
      <c r="CQ99" s="10" t="n">
        <f aca="false">-CQ39</f>
        <v>-135471056.813303</v>
      </c>
      <c r="CR99" s="10" t="n">
        <f aca="false">-CR39</f>
        <v>18463948662588500</v>
      </c>
      <c r="CS99" s="10" t="n">
        <f aca="false">-CS39</f>
        <v>-23898032.9862739</v>
      </c>
      <c r="CT99" s="10" t="n">
        <f aca="false">-CT39</f>
        <v>-6443992.65517814</v>
      </c>
      <c r="CU99" s="10" t="n">
        <f aca="false">-CU39</f>
        <v>-56424867.5775516</v>
      </c>
      <c r="CV99" s="10" t="n">
        <f aca="false">-CV39</f>
        <v>-455348.099496295</v>
      </c>
      <c r="CX99" s="0" t="str">
        <f aca="false">INDEX($C$1:$CK$1,MATCH(LARGE($C99:$CK99,1),$C99:$CK99,0))</f>
        <v>Iron (lb)</v>
      </c>
      <c r="CY99" s="0" t="str">
        <f aca="false">INDEX($C$1:$CK$1,MATCH(LARGE($C99:$CK99,2),$C99:$CK99,0))</f>
        <v>Cu (lb)</v>
      </c>
      <c r="CZ99" s="0" t="str">
        <f aca="false">INDEX($C$1:$CK$1,MATCH(LARGE($C99:$CK99,3),$C99:$CK99,0))</f>
        <v>Ag (lb)</v>
      </c>
      <c r="DA99" s="0" t="str">
        <f aca="false">INDEX($C$1:$CK$1,MATCH(LARGE($C99:$CK99,4),$C99:$CK99,0))</f>
        <v>Au (lb)</v>
      </c>
      <c r="DB99" s="0" t="str">
        <f aca="false">INDEX($C$1:$CK$1,MATCH(LARGE($C99:$CK99,5),$C99:$CK99,0))</f>
        <v>Diamonds (lb)</v>
      </c>
      <c r="DD99" s="0" t="str">
        <f aca="false">IF(LARGE($CM99:$CV99,1)&gt;0,INDEX($CM$30:$CV$30,MATCH(LARGE($CM99:$CV99,1),$CM99:$CV99,0)),"N/A")</f>
        <v>Mineral</v>
      </c>
      <c r="DE99" s="0" t="str">
        <f aca="false">IF(LARGE($CM99:$CV99,2)&gt;0,INDEX($CM$30:$CV$30,MATCH(LARGE($CM99:$CV99,2),$CM99:$CV99,0)),"N/A")</f>
        <v>N/A</v>
      </c>
      <c r="DF99" s="0" t="str">
        <f aca="false">IF(LARGE($CM99:$CV99,3)&gt;0,INDEX($CM$30:$CV$30,MATCH(LARGE($CM99:$CV99,3),$CM99:$CV99,0)),"N/A")</f>
        <v>N/A</v>
      </c>
      <c r="DG99" s="0" t="str">
        <f aca="false">IF(LARGE($CM99:$CV99,4)&gt;0,INDEX($CM$30:$CV$30,MATCH(LARGE($CM99:$CV99,4),$CM99:$CV99,0)),"N/A")</f>
        <v>N/A</v>
      </c>
      <c r="DH99" s="0" t="str">
        <f aca="false">IF(LARGE($CM99:$CV99,5)&gt;0,INDEX($CM$30:$CV$30,MATCH(LARGE($CM99:$CV99,5),$CM99:$CV99,0)),"N/A")</f>
        <v>N/A</v>
      </c>
    </row>
    <row r="100" customFormat="false" ht="12.8" hidden="false" customHeight="false" outlineLevel="0" collapsed="false">
      <c r="A100" s="7" t="s">
        <v>144</v>
      </c>
      <c r="B100" s="7" t="s">
        <v>39</v>
      </c>
      <c r="C100" s="10" t="n">
        <f aca="false">MAX(-Flows!C70*C$4*C15/100,0)</f>
        <v>95661696.8661535</v>
      </c>
      <c r="D100" s="10" t="n">
        <f aca="false">MAX(-Flows!D70*D$4*D15/100,0)</f>
        <v>178746733.825367</v>
      </c>
      <c r="E100" s="10" t="n">
        <f aca="false">MAX(-Flows!E70*E$4*E15/100,0)</f>
        <v>38977001.1173012</v>
      </c>
      <c r="F100" s="10" t="n">
        <f aca="false">MAX(-Flows!F70*F$4*F15/100,0)</f>
        <v>0</v>
      </c>
      <c r="G100" s="10" t="n">
        <f aca="false">MAX(-Flows!G70*G$4*G15/100,0)</f>
        <v>206844880.401033</v>
      </c>
      <c r="H100" s="10" t="n">
        <f aca="false">MAX(-Flows!H70*H$4*H15/100,0)</f>
        <v>387581950.385369</v>
      </c>
      <c r="I100" s="10" t="n">
        <f aca="false">MAX(-Flows!I70*I$4*I15/100,0)</f>
        <v>0</v>
      </c>
      <c r="J100" s="10" t="n">
        <f aca="false">MAX(-Flows!J70*J$4*J15/100,0)</f>
        <v>5245518.36396736</v>
      </c>
      <c r="K100" s="10" t="n">
        <f aca="false">MAX(-Flows!K70*K$4*K15/100,0)</f>
        <v>0</v>
      </c>
      <c r="L100" s="10" t="n">
        <f aca="false">MAX(-Flows!L70*L$4*L15/100,0)</f>
        <v>0</v>
      </c>
      <c r="M100" s="10" t="n">
        <f aca="false">MAX(-Flows!M70*M$4*M15/100,0)</f>
        <v>0</v>
      </c>
      <c r="N100" s="10" t="n">
        <f aca="false">MAX(-Flows!N70*N$4*N15/100,0)</f>
        <v>136261263.972421</v>
      </c>
      <c r="O100" s="10" t="n">
        <f aca="false">MAX(-Flows!O70*O$4*O15/100,0)</f>
        <v>0</v>
      </c>
      <c r="P100" s="10" t="n">
        <f aca="false">MAX(-Flows!P70*P$4*P15/100,0)</f>
        <v>0</v>
      </c>
      <c r="Q100" s="10" t="n">
        <f aca="false">MAX(-Flows!Q70*Q$4*Q15/100,0)</f>
        <v>175705696.120496</v>
      </c>
      <c r="R100" s="10" t="n">
        <f aca="false">MAX(-Flows!R70*R$4*R15/100,0)</f>
        <v>79686393.0728976</v>
      </c>
      <c r="S100" s="10" t="n">
        <f aca="false">MAX(-Flows!S70*S$4*S15/100,0)</f>
        <v>0</v>
      </c>
      <c r="T100" s="10" t="n">
        <f aca="false">MAX(-Flows!T70*T$4*T15/100,0)</f>
        <v>0</v>
      </c>
      <c r="U100" s="10" t="n">
        <f aca="false">MAX(-Flows!U70*U$4*U15/100,0)</f>
        <v>0</v>
      </c>
      <c r="V100" s="10" t="n">
        <f aca="false">MAX(-Flows!V70*V$4*V15/100,0)</f>
        <v>541876709.09171</v>
      </c>
      <c r="W100" s="10" t="n">
        <f aca="false">MAX(-Flows!W70*W$4*W15/100,0)</f>
        <v>485804762.711839</v>
      </c>
      <c r="X100" s="10" t="n">
        <f aca="false">MAX(-Flows!X70*X$4*X15/100,0)</f>
        <v>145900358.448258</v>
      </c>
      <c r="Y100" s="10" t="n">
        <f aca="false">MAX(-Flows!Y70*Y$4*Y15/100,0)</f>
        <v>0</v>
      </c>
      <c r="Z100" s="10" t="n">
        <f aca="false">MAX(-Flows!Z70*Z$4*Z15/100,0)</f>
        <v>21139333.942133</v>
      </c>
      <c r="AA100" s="10" t="n">
        <f aca="false">MAX(-Flows!AA70*AA$4*AA15/100,0)</f>
        <v>64076.0010497628</v>
      </c>
      <c r="AB100" s="10" t="n">
        <f aca="false">MAX(-Flows!AB70*AB$4*AB15/100,0)</f>
        <v>403508.432559615</v>
      </c>
      <c r="AC100" s="10" t="n">
        <f aca="false">MAX(-Flows!AC70*AC$4*AC15/100,0)</f>
        <v>0</v>
      </c>
      <c r="AD100" s="10" t="n">
        <f aca="false">MAX(-Flows!AD70*AD$4*AD15/100,0)</f>
        <v>201754.216279807</v>
      </c>
      <c r="AE100" s="10" t="n">
        <f aca="false">MAX(-Flows!AE70*AE$4*AE15/100,0)</f>
        <v>1828971.8088264</v>
      </c>
      <c r="AF100" s="10" t="n">
        <f aca="false">MAX(-Flows!AF70*AF$4*AF15/100,0)</f>
        <v>16528062.8662561</v>
      </c>
      <c r="AG100" s="10" t="n">
        <f aca="false">MAX(-Flows!AG70*AG$4*AG15/100,0)</f>
        <v>6575920.01158747</v>
      </c>
      <c r="AH100" s="10" t="n">
        <f aca="false">MAX(-Flows!AH70*AH$4*AH15/100,0)</f>
        <v>0</v>
      </c>
      <c r="AI100" s="10" t="n">
        <f aca="false">MAX(-Flows!AI70*AI$4*AI15/100,0)</f>
        <v>51323395.3904895</v>
      </c>
      <c r="AJ100" s="10" t="n">
        <f aca="false">MAX(-Flows!AJ70*AJ$4*AJ15/100,0)</f>
        <v>13969576.8278742</v>
      </c>
      <c r="AK100" s="10" t="n">
        <f aca="false">MAX(-Flows!AK70*AK$4*AK15/100,0)</f>
        <v>44903334.0271786</v>
      </c>
      <c r="AL100" s="10" t="n">
        <f aca="false">MAX(-Flows!AL70*AL$4*AL15/100,0)</f>
        <v>75595294.5947991</v>
      </c>
      <c r="AM100" s="10" t="n">
        <f aca="false">MAX(-Flows!AM70*AM$4*AM15/100,0)</f>
        <v>58214669.4294483</v>
      </c>
      <c r="AN100" s="10" t="n">
        <f aca="false">MAX(-Flows!AN70*AN$4*AN15/100,0)</f>
        <v>56919015.8811062</v>
      </c>
      <c r="AO100" s="10" t="n">
        <f aca="false">MAX(-Flows!AO70*AO$4*AO15/100,0)</f>
        <v>67681553.4544465</v>
      </c>
      <c r="AP100" s="10" t="n">
        <f aca="false">MAX(-Flows!AP70*AP$4*AP15/100,0)</f>
        <v>53866501.5049623</v>
      </c>
      <c r="AQ100" s="10" t="n">
        <f aca="false">MAX(-Flows!AQ70*AQ$4*AQ15/100,0)</f>
        <v>0</v>
      </c>
      <c r="AR100" s="10" t="n">
        <f aca="false">MAX(-Flows!AR70*AR$4*AR15/100,0)</f>
        <v>1478928.35523172</v>
      </c>
      <c r="AS100" s="10" t="n">
        <f aca="false">MAX(-Flows!AS70*AS$4*AS15/100,0)</f>
        <v>22199278.2695695</v>
      </c>
      <c r="AT100" s="10" t="n">
        <f aca="false">MAX(-Flows!AT70*AT$4*AT15/100,0)</f>
        <v>23236347.7159315</v>
      </c>
      <c r="AU100" s="10" t="n">
        <f aca="false">MAX(-Flows!AU70*AU$4*AU15/100,0)</f>
        <v>38589425.6298468</v>
      </c>
      <c r="AV100" s="10" t="n">
        <f aca="false">MAX(-Flows!AV70*AV$4*AV15/100,0)</f>
        <v>0</v>
      </c>
      <c r="AW100" s="10" t="n">
        <f aca="false">MAX(-Flows!AW70*AW$4*AW15/100,0)</f>
        <v>0</v>
      </c>
      <c r="AX100" s="10" t="n">
        <f aca="false">MAX(-Flows!AX70*AX$4*AX15/100,0)</f>
        <v>7242096.0301884</v>
      </c>
      <c r="AY100" s="10" t="n">
        <f aca="false">MAX(-Flows!AY70*AY$4*AY15/100,0)</f>
        <v>0</v>
      </c>
      <c r="AZ100" s="10" t="n">
        <f aca="false">MAX(-Flows!AZ70*AZ$4*AZ15/100,0)</f>
        <v>0</v>
      </c>
      <c r="BA100" s="10" t="n">
        <f aca="false">MAX(-Flows!BA70*BA$4*BA15/100,0)</f>
        <v>0</v>
      </c>
      <c r="BB100" s="10" t="n">
        <f aca="false">MAX(-Flows!BB70*BB$4*BB15/100,0)</f>
        <v>0</v>
      </c>
      <c r="BC100" s="10" t="n">
        <f aca="false">MAX(-Flows!BC70*BC$4*BC15/100,0)</f>
        <v>22353010.5015215</v>
      </c>
      <c r="BD100" s="10" t="n">
        <f aca="false">MAX(-Flows!BD70*BD$4*BD15/100,0)</f>
        <v>27486358.6121715</v>
      </c>
      <c r="BE100" s="10" t="n">
        <f aca="false">MAX(-Flows!BE70*BE$4*BE15/100,0)</f>
        <v>10963371.5863255</v>
      </c>
      <c r="BF100" s="10" t="n">
        <f aca="false">MAX(-Flows!BF70*BF$4*BF15/100,0)</f>
        <v>15686332.5347857</v>
      </c>
      <c r="BG100" s="10" t="n">
        <f aca="false">MAX(-Flows!BG70*BG$4*BG15/100,0)</f>
        <v>18048792.5657876</v>
      </c>
      <c r="BH100" s="10" t="n">
        <f aca="false">MAX(-Flows!BH70*BH$4*BH15/100,0)</f>
        <v>25776868.0551689</v>
      </c>
      <c r="BI100" s="10" t="n">
        <f aca="false">MAX(-Flows!BI70*BI$4*BI15/100,0)</f>
        <v>104207324.291424</v>
      </c>
      <c r="BJ100" s="10" t="n">
        <f aca="false">MAX(-Flows!BJ70*BJ$4*BJ15/100,0)</f>
        <v>104207324.291424</v>
      </c>
      <c r="BK100" s="10" t="n">
        <f aca="false">MAX(-Flows!BK70*BK$4*BK15/100,0)</f>
        <v>104207324.291424</v>
      </c>
      <c r="BL100" s="10" t="n">
        <f aca="false">MAX(-Flows!BL70*BL$4*BL15/100,0)</f>
        <v>17570569.6120496</v>
      </c>
      <c r="BM100" s="10" t="n">
        <f aca="false">MAX(-Flows!BM70*BM$4*BM15/100,0)</f>
        <v>17570569.6120496</v>
      </c>
      <c r="BN100" s="10" t="n">
        <f aca="false">MAX(-Flows!BN70*BN$4*BN15/100,0)</f>
        <v>0</v>
      </c>
      <c r="BO100" s="10" t="n">
        <f aca="false">MAX(-Flows!BO70*BO$4*BO15/100,0)</f>
        <v>0</v>
      </c>
      <c r="BP100" s="10" t="n">
        <f aca="false">MAX(-Flows!BP70*BP$4*BP15/100,0)</f>
        <v>0</v>
      </c>
      <c r="BQ100" s="10" t="n">
        <f aca="false">MAX(-Flows!BQ70*BQ$4*BQ15/100,0)</f>
        <v>0</v>
      </c>
      <c r="BR100" s="10" t="n">
        <f aca="false">MAX(-Flows!BR70*BR$4*BR15/100,0)</f>
        <v>0</v>
      </c>
      <c r="BS100" s="10" t="n">
        <f aca="false">MAX(-Flows!BS70*BS$4*BS15/100,0)</f>
        <v>0</v>
      </c>
      <c r="BT100" s="10" t="n">
        <f aca="false">MAX(-Flows!BT70*BT$4*BT15/100,0)</f>
        <v>0</v>
      </c>
      <c r="BU100" s="10" t="n">
        <f aca="false">MAX(-Flows!BU70*BU$4*BU15/100,0)</f>
        <v>0</v>
      </c>
      <c r="BV100" s="10" t="n">
        <f aca="false">MAX(-Flows!BV70*BV$4*BV15/100,0)</f>
        <v>0</v>
      </c>
      <c r="BW100" s="10" t="n">
        <f aca="false">MAX(-Flows!BW70*BW$4*BW15/100,0)</f>
        <v>0</v>
      </c>
      <c r="BX100" s="10" t="n">
        <f aca="false">MAX(-Flows!BX70*BX$4*BX15/100,0)</f>
        <v>35141139.2240992</v>
      </c>
      <c r="BY100" s="10" t="n">
        <f aca="false">MAX(-Flows!BY70*BY$4*BY15/100,0)</f>
        <v>35141139.2240992</v>
      </c>
      <c r="BZ100" s="10" t="n">
        <f aca="false">MAX(-Flows!BZ70*BZ$4*BZ15/100,0)</f>
        <v>135244947.229663</v>
      </c>
      <c r="CA100" s="10" t="n">
        <f aca="false">MAX(-Flows!CA70*CA$4*CA15/100,0)</f>
        <v>135244947.229663</v>
      </c>
      <c r="CB100" s="10" t="n">
        <f aca="false">MAX(-Flows!CB70*CB$4*CB15/100,0)</f>
        <v>175705696.120496</v>
      </c>
      <c r="CC100" s="10" t="n">
        <f aca="false">MAX(-Flows!CC70*CC$4*CC15/100,0)</f>
        <v>5210366.21457121</v>
      </c>
      <c r="CD100" s="10" t="n">
        <f aca="false">MAX(-Flows!CD70*CD$4*CD15/100,0)</f>
        <v>0</v>
      </c>
      <c r="CE100" s="10" t="n">
        <f aca="false">MAX(-Flows!CE70*CE$4*CE15/100,0)</f>
        <v>5210366.21457122</v>
      </c>
      <c r="CF100" s="10" t="n">
        <f aca="false">MAX(-Flows!CF70*CF$4*CF15/100,0)</f>
        <v>29519592.6836855</v>
      </c>
      <c r="CG100" s="10" t="n">
        <f aca="false">MAX(-Flows!CG70*CG$4*CG15/100,0)</f>
        <v>0</v>
      </c>
      <c r="CH100" s="10" t="n">
        <f aca="false">MAX(-Flows!CH70*CH$4*CH15/100,0)</f>
        <v>0</v>
      </c>
      <c r="CI100" s="10" t="n">
        <f aca="false">MAX(-Flows!CI70*CI$4*CI15/100,0)</f>
        <v>87852848.0602479</v>
      </c>
      <c r="CJ100" s="10" t="n">
        <f aca="false">MAX(-Flows!CJ70*CJ$4*CJ15/100,0)</f>
        <v>8785284.80602479</v>
      </c>
      <c r="CK100" s="10" t="n">
        <f aca="false">MAX(-Flows!CK70*CK$4*CK15/100,0)</f>
        <v>8785284.80602479</v>
      </c>
      <c r="CL100" s="7" t="s">
        <v>320</v>
      </c>
      <c r="CM100" s="10" t="n">
        <f aca="false">-CM40</f>
        <v>706730237.764381</v>
      </c>
      <c r="CN100" s="10" t="n">
        <f aca="false">-CN40</f>
        <v>552550477.513149</v>
      </c>
      <c r="CO100" s="10" t="n">
        <f aca="false">-CO40</f>
        <v>1658648278.27502</v>
      </c>
      <c r="CP100" s="10" t="n">
        <f aca="false">-CP40</f>
        <v>490838031.915228</v>
      </c>
      <c r="CQ100" s="10" t="n">
        <f aca="false">-CQ40</f>
        <v>523029967.871758</v>
      </c>
      <c r="CR100" s="10" t="n">
        <f aca="false">-CR40</f>
        <v>-14633179.9700915</v>
      </c>
      <c r="CS100" s="10" t="n">
        <f aca="false">-CS40</f>
        <v>100599752.901011</v>
      </c>
      <c r="CT100" s="10" t="n">
        <f aca="false">-CT40</f>
        <v>47090162.2957351</v>
      </c>
      <c r="CU100" s="10" t="n">
        <f aca="false">-CU40</f>
        <v>-21005718.0657498</v>
      </c>
      <c r="CV100" s="10" t="n">
        <f aca="false">-CV40</f>
        <v>605262.648839422</v>
      </c>
      <c r="CX100" s="0" t="str">
        <f aca="false">INDEX($C$1:$CK$1,MATCH(LARGE($C100:$CK100,1),$C100:$CK100,0))</f>
        <v>Cider (gal)</v>
      </c>
      <c r="CY100" s="0" t="str">
        <f aca="false">INDEX($C$1:$CK$1,MATCH(LARGE($C100:$CK100,2),$C100:$CK100,0))</f>
        <v>Sauce (lb)</v>
      </c>
      <c r="CZ100" s="0" t="str">
        <f aca="false">INDEX($C$1:$CK$1,MATCH(LARGE($C100:$CK100,3),$C100:$CK100,0))</f>
        <v>Jax (lb)</v>
      </c>
      <c r="DA100" s="0" t="str">
        <f aca="false">INDEX($C$1:$CK$1,MATCH(LARGE($C100:$CK100,4),$C100:$CK100,0))</f>
        <v>Nunives (lb)</v>
      </c>
      <c r="DB100" s="0" t="str">
        <f aca="false">INDEX($C$1:$CK$1,MATCH(LARGE($C100:$CK100,5),$C100:$CK100,0))</f>
        <v>Jeet (lb)</v>
      </c>
      <c r="DD100" s="0" t="str">
        <f aca="false">IF(LARGE($CM100:$CV100,1)&gt;0,INDEX($CM$30:$CV$30,MATCH(LARGE($CM100:$CV100,1),$CM100:$CV100,0)),"N/A")</f>
        <v>Food Prod</v>
      </c>
      <c r="DE100" s="0" t="str">
        <f aca="false">IF(LARGE($CM100:$CV100,2)&gt;0,INDEX($CM$30:$CV$30,MATCH(LARGE($CM100:$CV100,2),$CM100:$CV100,0)),"N/A")</f>
        <v>Produce</v>
      </c>
      <c r="DF100" s="0" t="str">
        <f aca="false">IF(LARGE($CM100:$CV100,3)&gt;0,INDEX($CM$30:$CV$30,MATCH(LARGE($CM100:$CV100,3),$CM100:$CV100,0)),"N/A")</f>
        <v>Animal</v>
      </c>
      <c r="DG100" s="0" t="str">
        <f aca="false">IF(LARGE($CM100:$CV100,4)&gt;0,INDEX($CM$30:$CV$30,MATCH(LARGE($CM100:$CV100,4),$CM100:$CV100,0)),"N/A")</f>
        <v>Tools</v>
      </c>
      <c r="DH100" s="0" t="str">
        <f aca="false">IF(LARGE($CM100:$CV100,5)&gt;0,INDEX($CM$30:$CV$30,MATCH(LARGE($CM100:$CV100,5),$CM100:$CV100,0)),"N/A")</f>
        <v>Textile</v>
      </c>
    </row>
    <row r="101" customFormat="false" ht="12.8" hidden="false" customHeight="false" outlineLevel="0" collapsed="false">
      <c r="A101" s="7" t="s">
        <v>145</v>
      </c>
      <c r="B101" s="7" t="s">
        <v>39</v>
      </c>
      <c r="C101" s="10" t="n">
        <f aca="false">MAX(-Flows!C71*C$4*C16/100,0)</f>
        <v>12325796.8605217</v>
      </c>
      <c r="D101" s="10" t="n">
        <f aca="false">MAX(-Flows!D71*D$4*D16/100,0)</f>
        <v>13807365.9441829</v>
      </c>
      <c r="E101" s="10" t="n">
        <f aca="false">MAX(-Flows!E71*E$4*E16/100,0)</f>
        <v>24099331.3595633</v>
      </c>
      <c r="F101" s="10" t="n">
        <f aca="false">MAX(-Flows!F71*F$4*F16/100,0)</f>
        <v>0</v>
      </c>
      <c r="G101" s="10" t="n">
        <f aca="false">MAX(-Flows!G71*G$4*G16/100,0)</f>
        <v>14149042.815515</v>
      </c>
      <c r="H101" s="10" t="n">
        <f aca="false">MAX(-Flows!H71*H$4*H16/100,0)</f>
        <v>146475228.979524</v>
      </c>
      <c r="I101" s="10" t="n">
        <f aca="false">MAX(-Flows!I71*I$4*I16/100,0)</f>
        <v>0</v>
      </c>
      <c r="J101" s="10" t="n">
        <f aca="false">MAX(-Flows!J71*J$4*J16/100,0)</f>
        <v>0</v>
      </c>
      <c r="K101" s="10" t="n">
        <f aca="false">MAX(-Flows!K71*K$4*K16/100,0)</f>
        <v>0</v>
      </c>
      <c r="L101" s="10" t="n">
        <f aca="false">MAX(-Flows!L71*L$4*L16/100,0)</f>
        <v>0</v>
      </c>
      <c r="M101" s="10" t="n">
        <f aca="false">MAX(-Flows!M71*M$4*M16/100,0)</f>
        <v>0</v>
      </c>
      <c r="N101" s="10" t="n">
        <f aca="false">MAX(-Flows!N71*N$4*N16/100,0)</f>
        <v>32878527.317497</v>
      </c>
      <c r="O101" s="10" t="n">
        <f aca="false">MAX(-Flows!O71*O$4*O16/100,0)</f>
        <v>0</v>
      </c>
      <c r="P101" s="10" t="n">
        <f aca="false">MAX(-Flows!P71*P$4*P16/100,0)</f>
        <v>0</v>
      </c>
      <c r="Q101" s="10" t="n">
        <f aca="false">MAX(-Flows!Q71*Q$4*Q16/100,0)</f>
        <v>20012690.2944982</v>
      </c>
      <c r="R101" s="10" t="n">
        <f aca="false">MAX(-Flows!R71*R$4*R16/100,0)</f>
        <v>21784292.7655967</v>
      </c>
      <c r="S101" s="10" t="n">
        <f aca="false">MAX(-Flows!S71*S$4*S16/100,0)</f>
        <v>0</v>
      </c>
      <c r="T101" s="10" t="n">
        <f aca="false">MAX(-Flows!T71*T$4*T16/100,0)</f>
        <v>0</v>
      </c>
      <c r="U101" s="10" t="n">
        <f aca="false">MAX(-Flows!U71*U$4*U16/100,0)</f>
        <v>0</v>
      </c>
      <c r="V101" s="10" t="n">
        <f aca="false">MAX(-Flows!V71*V$4*V16/100,0)</f>
        <v>19638760.2667623</v>
      </c>
      <c r="W101" s="10" t="n">
        <f aca="false">MAX(-Flows!W71*W$4*W16/100,0)</f>
        <v>16978686.8623569</v>
      </c>
      <c r="X101" s="10" t="n">
        <f aca="false">MAX(-Flows!X71*X$4*X16/100,0)</f>
        <v>0</v>
      </c>
      <c r="Y101" s="10" t="n">
        <f aca="false">MAX(-Flows!Y71*Y$4*Y16/100,0)</f>
        <v>0</v>
      </c>
      <c r="Z101" s="10" t="n">
        <f aca="false">MAX(-Flows!Z71*Z$4*Z16/100,0)</f>
        <v>0</v>
      </c>
      <c r="AA101" s="10" t="n">
        <f aca="false">MAX(-Flows!AA71*AA$4*AA16/100,0)</f>
        <v>304862.147051323</v>
      </c>
      <c r="AB101" s="10" t="n">
        <f aca="false">MAX(-Flows!AB71*AB$4*AB16/100,0)</f>
        <v>1166300.16369968</v>
      </c>
      <c r="AC101" s="10" t="n">
        <f aca="false">MAX(-Flows!AC71*AC$4*AC16/100,0)</f>
        <v>265342.070204226</v>
      </c>
      <c r="AD101" s="10" t="n">
        <f aca="false">MAX(-Flows!AD71*AD$4*AD16/100,0)</f>
        <v>583150.081849838</v>
      </c>
      <c r="AE101" s="10" t="n">
        <f aca="false">MAX(-Flows!AE71*AE$4*AE16/100,0)</f>
        <v>2444673.18439171</v>
      </c>
      <c r="AF101" s="10" t="n">
        <f aca="false">MAX(-Flows!AF71*AF$4*AF16/100,0)</f>
        <v>791320.703230764</v>
      </c>
      <c r="AG101" s="10" t="n">
        <f aca="false">MAX(-Flows!AG71*AG$4*AG16/100,0)</f>
        <v>0</v>
      </c>
      <c r="AH101" s="10" t="n">
        <f aca="false">MAX(-Flows!AH71*AH$4*AH16/100,0)</f>
        <v>726170.756110428</v>
      </c>
      <c r="AI101" s="10" t="n">
        <f aca="false">MAX(-Flows!AI71*AI$4*AI16/100,0)</f>
        <v>0</v>
      </c>
      <c r="AJ101" s="10" t="n">
        <f aca="false">MAX(-Flows!AJ71*AJ$4*AJ16/100,0)</f>
        <v>15571379.5800625</v>
      </c>
      <c r="AK101" s="10" t="n">
        <f aca="false">MAX(-Flows!AK71*AK$4*AK16/100,0)</f>
        <v>18541904.1804956</v>
      </c>
      <c r="AL101" s="10" t="n">
        <f aca="false">MAX(-Flows!AL71*AL$4*AL16/100,0)</f>
        <v>3395088.10007028</v>
      </c>
      <c r="AM101" s="10" t="n">
        <f aca="false">MAX(-Flows!AM71*AM$4*AM16/100,0)</f>
        <v>20153187.7327093</v>
      </c>
      <c r="AN101" s="10" t="n">
        <f aca="false">MAX(-Flows!AN71*AN$4*AN16/100,0)</f>
        <v>16276685.1150494</v>
      </c>
      <c r="AO101" s="10" t="n">
        <f aca="false">MAX(-Flows!AO71*AO$4*AO16/100,0)</f>
        <v>11209759.4495604</v>
      </c>
      <c r="AP101" s="10" t="n">
        <f aca="false">MAX(-Flows!AP71*AP$4*AP16/100,0)</f>
        <v>14608263.1171301</v>
      </c>
      <c r="AQ101" s="10" t="n">
        <f aca="false">MAX(-Flows!AQ71*AQ$4*AQ16/100,0)</f>
        <v>0</v>
      </c>
      <c r="AR101" s="10" t="n">
        <f aca="false">MAX(-Flows!AR71*AR$4*AR16/100,0)</f>
        <v>0</v>
      </c>
      <c r="AS101" s="10" t="n">
        <f aca="false">MAX(-Flows!AS71*AS$4*AS16/100,0)</f>
        <v>10178091.7816913</v>
      </c>
      <c r="AT101" s="10" t="n">
        <f aca="false">MAX(-Flows!AT71*AT$4*AT16/100,0)</f>
        <v>619610.609212301</v>
      </c>
      <c r="AU101" s="10" t="n">
        <f aca="false">MAX(-Flows!AU71*AU$4*AU16/100,0)</f>
        <v>0</v>
      </c>
      <c r="AV101" s="10" t="n">
        <f aca="false">MAX(-Flows!AV71*AV$4*AV16/100,0)</f>
        <v>3305305.03041709</v>
      </c>
      <c r="AW101" s="10" t="n">
        <f aca="false">MAX(-Flows!AW71*AW$4*AW16/100,0)</f>
        <v>5704737.79329181</v>
      </c>
      <c r="AX101" s="10" t="n">
        <f aca="false">MAX(-Flows!AX71*AX$4*AX16/100,0)</f>
        <v>0</v>
      </c>
      <c r="AY101" s="10" t="n">
        <f aca="false">MAX(-Flows!AY71*AY$4*AY16/100,0)</f>
        <v>10075280.5796235</v>
      </c>
      <c r="AZ101" s="10" t="n">
        <f aca="false">MAX(-Flows!AZ71*AZ$4*AZ16/100,0)</f>
        <v>16128739.7961564</v>
      </c>
      <c r="BA101" s="10" t="n">
        <f aca="false">MAX(-Flows!BA71*BA$4*BA16/100,0)</f>
        <v>0</v>
      </c>
      <c r="BB101" s="10" t="n">
        <f aca="false">MAX(-Flows!BB71*BB$4*BB16/100,0)</f>
        <v>12538692.3278141</v>
      </c>
      <c r="BC101" s="10" t="n">
        <f aca="false">MAX(-Flows!BC71*BC$4*BC16/100,0)</f>
        <v>0</v>
      </c>
      <c r="BD101" s="10" t="n">
        <f aca="false">MAX(-Flows!BD71*BD$4*BD16/100,0)</f>
        <v>17357820.4931447</v>
      </c>
      <c r="BE101" s="10" t="n">
        <f aca="false">MAX(-Flows!BE71*BE$4*BE16/100,0)</f>
        <v>1972901.39199733</v>
      </c>
      <c r="BF101" s="10" t="n">
        <f aca="false">MAX(-Flows!BF71*BF$4*BF16/100,0)</f>
        <v>38553005.9635993</v>
      </c>
      <c r="BG101" s="10" t="n">
        <f aca="false">MAX(-Flows!BG71*BG$4*BG16/100,0)</f>
        <v>36252777.086535</v>
      </c>
      <c r="BH101" s="10" t="n">
        <f aca="false">MAX(-Flows!BH71*BH$4*BH16/100,0)</f>
        <v>42473223.9658301</v>
      </c>
      <c r="BI101" s="10" t="n">
        <f aca="false">MAX(-Flows!BI71*BI$4*BI16/100,0)</f>
        <v>15658258.6462027</v>
      </c>
      <c r="BJ101" s="10" t="n">
        <f aca="false">MAX(-Flows!BJ71*BJ$4*BJ16/100,0)</f>
        <v>15658258.6462027</v>
      </c>
      <c r="BK101" s="10" t="n">
        <f aca="false">MAX(-Flows!BK71*BK$4*BK16/100,0)</f>
        <v>15658258.6462027</v>
      </c>
      <c r="BL101" s="10" t="n">
        <f aca="false">MAX(-Flows!BL71*BL$4*BL16/100,0)</f>
        <v>2001269.02944982</v>
      </c>
      <c r="BM101" s="10" t="n">
        <f aca="false">MAX(-Flows!BM71*BM$4*BM16/100,0)</f>
        <v>2001269.02944982</v>
      </c>
      <c r="BN101" s="10" t="n">
        <f aca="false">MAX(-Flows!BN71*BN$4*BN16/100,0)</f>
        <v>0</v>
      </c>
      <c r="BO101" s="10" t="n">
        <f aca="false">MAX(-Flows!BO71*BO$4*BO16/100,0)</f>
        <v>34149363301964</v>
      </c>
      <c r="BP101" s="10" t="n">
        <f aca="false">MAX(-Flows!BP71*BP$4*BP16/100,0)</f>
        <v>15936370371234000</v>
      </c>
      <c r="BQ101" s="10" t="n">
        <f aca="false">MAX(-Flows!BQ71*BQ$4*BQ16/100,0)</f>
        <v>0</v>
      </c>
      <c r="BR101" s="10" t="n">
        <f aca="false">MAX(-Flows!BR71*BR$4*BR16/100,0)</f>
        <v>11383119904231.8</v>
      </c>
      <c r="BS101" s="10" t="n">
        <f aca="false">MAX(-Flows!BS71*BS$4*BS16/100,0)</f>
        <v>5691559054798.74</v>
      </c>
      <c r="BT101" s="10" t="n">
        <f aca="false">MAX(-Flows!BT71*BT$4*BT16/100,0)</f>
        <v>0</v>
      </c>
      <c r="BU101" s="10" t="n">
        <f aca="false">MAX(-Flows!BU71*BU$4*BU16/100,0)</f>
        <v>0</v>
      </c>
      <c r="BV101" s="10" t="n">
        <f aca="false">MAX(-Flows!BV71*BV$4*BV16/100,0)</f>
        <v>0</v>
      </c>
      <c r="BW101" s="10" t="n">
        <f aca="false">MAX(-Flows!BW71*BW$4*BW16/100,0)</f>
        <v>0</v>
      </c>
      <c r="BX101" s="10" t="n">
        <f aca="false">MAX(-Flows!BX71*BX$4*BX16/100,0)</f>
        <v>4002538.05889963</v>
      </c>
      <c r="BY101" s="10" t="n">
        <f aca="false">MAX(-Flows!BY71*BY$4*BY16/100,0)</f>
        <v>4002538.05889964</v>
      </c>
      <c r="BZ101" s="10" t="n">
        <f aca="false">MAX(-Flows!BZ71*BZ$4*BZ16/100,0)</f>
        <v>0</v>
      </c>
      <c r="CA101" s="10" t="n">
        <f aca="false">MAX(-Flows!CA71*CA$4*CA16/100,0)</f>
        <v>0</v>
      </c>
      <c r="CB101" s="10" t="n">
        <f aca="false">MAX(-Flows!CB71*CB$4*CB16/100,0)</f>
        <v>20012690.2944982</v>
      </c>
      <c r="CC101" s="10" t="n">
        <f aca="false">MAX(-Flows!CC71*CC$4*CC16/100,0)</f>
        <v>782912.932310135</v>
      </c>
      <c r="CD101" s="10" t="n">
        <f aca="false">MAX(-Flows!CD71*CD$4*CD16/100,0)</f>
        <v>0</v>
      </c>
      <c r="CE101" s="10" t="n">
        <f aca="false">MAX(-Flows!CE71*CE$4*CE16/100,0)</f>
        <v>782912.932310134</v>
      </c>
      <c r="CF101" s="10" t="n">
        <f aca="false">MAX(-Flows!CF71*CF$4*CF16/100,0)</f>
        <v>2485440.36060286</v>
      </c>
      <c r="CG101" s="10" t="n">
        <f aca="false">MAX(-Flows!CG71*CG$4*CG16/100,0)</f>
        <v>170745030848.689</v>
      </c>
      <c r="CH101" s="10" t="n">
        <f aca="false">MAX(-Flows!CH71*CH$4*CH16/100,0)</f>
        <v>170745030848.689</v>
      </c>
      <c r="CI101" s="10" t="n">
        <f aca="false">MAX(-Flows!CI71*CI$4*CI16/100,0)</f>
        <v>10006345.1472491</v>
      </c>
      <c r="CJ101" s="10" t="n">
        <f aca="false">MAX(-Flows!CJ71*CJ$4*CJ16/100,0)</f>
        <v>1000634.51472491</v>
      </c>
      <c r="CK101" s="10" t="n">
        <f aca="false">MAX(-Flows!CK71*CK$4*CK16/100,0)</f>
        <v>1000634.51472491</v>
      </c>
      <c r="CL101" s="7" t="s">
        <v>320</v>
      </c>
      <c r="CM101" s="10" t="n">
        <f aca="false">-CM41</f>
        <v>75218023.624345</v>
      </c>
      <c r="CN101" s="10" t="n">
        <f aca="false">-CN41</f>
        <v>94884692.1472271</v>
      </c>
      <c r="CO101" s="10" t="n">
        <f aca="false">-CO41</f>
        <v>126411175.990437</v>
      </c>
      <c r="CP101" s="10" t="n">
        <f aca="false">-CP41</f>
        <v>212702120.065527</v>
      </c>
      <c r="CQ101" s="10" t="n">
        <f aca="false">-CQ41</f>
        <v>79255440.2639269</v>
      </c>
      <c r="CR101" s="10" t="n">
        <f aca="false">-CR41</f>
        <v>15987935942375000</v>
      </c>
      <c r="CS101" s="10" t="n">
        <f aca="false">-CS41</f>
        <v>-15396665.1685454</v>
      </c>
      <c r="CT101" s="10" t="n">
        <f aca="false">-CT41</f>
        <v>4486709.39005268</v>
      </c>
      <c r="CU101" s="10" t="n">
        <f aca="false">-CU41</f>
        <v>-51557890.0709963</v>
      </c>
      <c r="CV101" s="10" t="n">
        <f aca="false">-CV41</f>
        <v>1749450.24554951</v>
      </c>
      <c r="CX101" s="0" t="str">
        <f aca="false">INDEX($C$1:$CK$1,MATCH(LARGE($C101:$CK101,1),$C101:$CK101,0))</f>
        <v>Iron (lb)</v>
      </c>
      <c r="CY101" s="0" t="str">
        <f aca="false">INDEX($C$1:$CK$1,MATCH(LARGE($C101:$CK101,2),$C101:$CK101,0))</f>
        <v>Cu (lb)</v>
      </c>
      <c r="CZ101" s="0" t="str">
        <f aca="false">INDEX($C$1:$CK$1,MATCH(LARGE($C101:$CK101,3),$C101:$CK101,0))</f>
        <v>Ag (lb)</v>
      </c>
      <c r="DA101" s="0" t="str">
        <f aca="false">INDEX($C$1:$CK$1,MATCH(LARGE($C101:$CK101,4),$C101:$CK101,0))</f>
        <v>Au (lb)</v>
      </c>
      <c r="DB101" s="0" t="str">
        <f aca="false">INDEX($C$1:$CK$1,MATCH(LARGE($C101:$CK101,5),$C101:$CK101,0))</f>
        <v>Diamonds (lb)</v>
      </c>
      <c r="DD101" s="0" t="str">
        <f aca="false">IF(LARGE($CM101:$CV101,1)&gt;0,INDEX($CM$30:$CV$30,MATCH(LARGE($CM101:$CV101,1),$CM101:$CV101,0)),"N/A")</f>
        <v>Mineral</v>
      </c>
      <c r="DE101" s="0" t="str">
        <f aca="false">IF(LARGE($CM101:$CV101,2)&gt;0,INDEX($CM$30:$CV$30,MATCH(LARGE($CM101:$CV101,2),$CM101:$CV101,0)),"N/A")</f>
        <v>Textile</v>
      </c>
      <c r="DF101" s="0" t="str">
        <f aca="false">IF(LARGE($CM101:$CV101,3)&gt;0,INDEX($CM$30:$CV$30,MATCH(LARGE($CM101:$CV101,3),$CM101:$CV101,0)),"N/A")</f>
        <v>Food Prod</v>
      </c>
      <c r="DG101" s="0" t="str">
        <f aca="false">IF(LARGE($CM101:$CV101,4)&gt;0,INDEX($CM$30:$CV$30,MATCH(LARGE($CM101:$CV101,4),$CM101:$CV101,0)),"N/A")</f>
        <v>Animal</v>
      </c>
      <c r="DH101" s="0" t="str">
        <f aca="false">IF(LARGE($CM101:$CV101,5)&gt;0,INDEX($CM$30:$CV$30,MATCH(LARGE($CM101:$CV101,5),$CM101:$CV101,0)),"N/A")</f>
        <v>Tools</v>
      </c>
    </row>
    <row r="102" customFormat="false" ht="12.8" hidden="false" customHeight="false" outlineLevel="0" collapsed="false">
      <c r="A102" s="7" t="s">
        <v>147</v>
      </c>
      <c r="B102" s="7" t="s">
        <v>39</v>
      </c>
      <c r="C102" s="10" t="n">
        <f aca="false">MAX(-Flows!C72*C$4*C17/100,0)</f>
        <v>82215740.3990023</v>
      </c>
      <c r="D102" s="10" t="n">
        <f aca="false">MAX(-Flows!D72*D$4*D17/100,0)</f>
        <v>93424554.8295295</v>
      </c>
      <c r="E102" s="10" t="n">
        <f aca="false">MAX(-Flows!E72*E$4*E17/100,0)</f>
        <v>85645944.3655452</v>
      </c>
      <c r="F102" s="10" t="n">
        <f aca="false">MAX(-Flows!F72*F$4*F17/100,0)</f>
        <v>0</v>
      </c>
      <c r="G102" s="10" t="n">
        <f aca="false">MAX(-Flows!G72*G$4*G17/100,0)</f>
        <v>96004304.2546215</v>
      </c>
      <c r="H102" s="10" t="n">
        <f aca="false">MAX(-Flows!H72*H$4*H17/100,0)</f>
        <v>349041491.962544</v>
      </c>
      <c r="I102" s="10" t="n">
        <f aca="false">MAX(-Flows!I72*I$4*I17/100,0)</f>
        <v>0</v>
      </c>
      <c r="J102" s="10" t="n">
        <f aca="false">MAX(-Flows!J72*J$4*J17/100,0)</f>
        <v>0</v>
      </c>
      <c r="K102" s="10" t="n">
        <f aca="false">MAX(-Flows!K72*K$4*K17/100,0)</f>
        <v>0</v>
      </c>
      <c r="L102" s="10" t="n">
        <f aca="false">MAX(-Flows!L72*L$4*L17/100,0)</f>
        <v>0</v>
      </c>
      <c r="M102" s="10" t="n">
        <f aca="false">MAX(-Flows!M72*M$4*M17/100,0)</f>
        <v>0</v>
      </c>
      <c r="N102" s="10" t="n">
        <f aca="false">MAX(-Flows!N72*N$4*N17/100,0)</f>
        <v>123095625.599648</v>
      </c>
      <c r="O102" s="10" t="n">
        <f aca="false">MAX(-Flows!O72*O$4*O17/100,0)</f>
        <v>0</v>
      </c>
      <c r="P102" s="10" t="n">
        <f aca="false">MAX(-Flows!P72*P$4*P17/100,0)</f>
        <v>0</v>
      </c>
      <c r="Q102" s="10" t="n">
        <f aca="false">MAX(-Flows!Q72*Q$4*Q17/100,0)</f>
        <v>98935274.6835446</v>
      </c>
      <c r="R102" s="10" t="n">
        <f aca="false">MAX(-Flows!R72*R$4*R17/100,0)</f>
        <v>92290196.3619513</v>
      </c>
      <c r="S102" s="10" t="n">
        <f aca="false">MAX(-Flows!S72*S$4*S17/100,0)</f>
        <v>0</v>
      </c>
      <c r="T102" s="10" t="n">
        <f aca="false">MAX(-Flows!T72*T$4*T17/100,0)</f>
        <v>0</v>
      </c>
      <c r="U102" s="10" t="n">
        <f aca="false">MAX(-Flows!U72*U$4*U17/100,0)</f>
        <v>0</v>
      </c>
      <c r="V102" s="10" t="n">
        <f aca="false">MAX(-Flows!V72*V$4*V17/100,0)</f>
        <v>120295304.579087</v>
      </c>
      <c r="W102" s="10" t="n">
        <f aca="false">MAX(-Flows!W72*W$4*W17/100,0)</f>
        <v>0</v>
      </c>
      <c r="X102" s="10" t="n">
        <f aca="false">MAX(-Flows!X72*X$4*X17/100,0)</f>
        <v>230157696.911709</v>
      </c>
      <c r="Y102" s="10" t="n">
        <f aca="false">MAX(-Flows!Y72*Y$4*Y17/100,0)</f>
        <v>0</v>
      </c>
      <c r="Z102" s="10" t="n">
        <f aca="false">MAX(-Flows!Z72*Z$4*Z17/100,0)</f>
        <v>0</v>
      </c>
      <c r="AA102" s="10" t="n">
        <f aca="false">MAX(-Flows!AA72*AA$4*AA17/100,0)</f>
        <v>272828.173261301</v>
      </c>
      <c r="AB102" s="10" t="n">
        <f aca="false">MAX(-Flows!AB72*AB$4*AB17/100,0)</f>
        <v>1407077.07151124</v>
      </c>
      <c r="AC102" s="10" t="n">
        <f aca="false">MAX(-Flows!AC72*AC$4*AC17/100,0)</f>
        <v>0</v>
      </c>
      <c r="AD102" s="10" t="n">
        <f aca="false">MAX(-Flows!AD72*AD$4*AD17/100,0)</f>
        <v>703538.535755618</v>
      </c>
      <c r="AE102" s="10" t="n">
        <f aca="false">MAX(-Flows!AE72*AE$4*AE17/100,0)</f>
        <v>10833426.9948024</v>
      </c>
      <c r="AF102" s="10" t="n">
        <f aca="false">MAX(-Flows!AF72*AF$4*AF17/100,0)</f>
        <v>5724594.18267649</v>
      </c>
      <c r="AG102" s="10" t="n">
        <f aca="false">MAX(-Flows!AG72*AG$4*AG17/100,0)</f>
        <v>30938339.8411216</v>
      </c>
      <c r="AH102" s="10" t="n">
        <f aca="false">MAX(-Flows!AH72*AH$4*AH17/100,0)</f>
        <v>12639592.1157551</v>
      </c>
      <c r="AI102" s="10" t="n">
        <f aca="false">MAX(-Flows!AI72*AI$4*AI17/100,0)</f>
        <v>468867.681074332</v>
      </c>
      <c r="AJ102" s="10" t="n">
        <f aca="false">MAX(-Flows!AJ72*AJ$4*AJ17/100,0)</f>
        <v>848582.275115712</v>
      </c>
      <c r="AK102" s="10" t="n">
        <f aca="false">MAX(-Flows!AK72*AK$4*AK17/100,0)</f>
        <v>38436668.160312</v>
      </c>
      <c r="AL102" s="10" t="n">
        <f aca="false">MAX(-Flows!AL72*AL$4*AL17/100,0)</f>
        <v>23911121.0038665</v>
      </c>
      <c r="AM102" s="10" t="n">
        <f aca="false">MAX(-Flows!AM72*AM$4*AM17/100,0)</f>
        <v>2991421.23891269</v>
      </c>
      <c r="AN102" s="10" t="n">
        <f aca="false">MAX(-Flows!AN72*AN$4*AN17/100,0)</f>
        <v>42752107.4821385</v>
      </c>
      <c r="AO102" s="10" t="n">
        <f aca="false">MAX(-Flows!AO72*AO$4*AO17/100,0)</f>
        <v>14415691.9295582</v>
      </c>
      <c r="AP102" s="10" t="n">
        <f aca="false">MAX(-Flows!AP72*AP$4*AP17/100,0)</f>
        <v>0</v>
      </c>
      <c r="AQ102" s="10" t="n">
        <f aca="false">MAX(-Flows!AQ72*AQ$4*AQ17/100,0)</f>
        <v>10891289.8469984</v>
      </c>
      <c r="AR102" s="10" t="n">
        <f aca="false">MAX(-Flows!AR72*AR$4*AR17/100,0)</f>
        <v>19209476.8663308</v>
      </c>
      <c r="AS102" s="10" t="n">
        <f aca="false">MAX(-Flows!AS72*AS$4*AS17/100,0)</f>
        <v>56759003.2085975</v>
      </c>
      <c r="AT102" s="10" t="n">
        <f aca="false">MAX(-Flows!AT72*AT$4*AT17/100,0)</f>
        <v>0</v>
      </c>
      <c r="AU102" s="10" t="n">
        <f aca="false">MAX(-Flows!AU72*AU$4*AU17/100,0)</f>
        <v>38710498.7828378</v>
      </c>
      <c r="AV102" s="10" t="n">
        <f aca="false">MAX(-Flows!AV72*AV$4*AV17/100,0)</f>
        <v>0</v>
      </c>
      <c r="AW102" s="10" t="n">
        <f aca="false">MAX(-Flows!AW72*AW$4*AW17/100,0)</f>
        <v>0</v>
      </c>
      <c r="AX102" s="10" t="n">
        <f aca="false">MAX(-Flows!AX72*AX$4*AX17/100,0)</f>
        <v>1682579.33305438</v>
      </c>
      <c r="AY102" s="10" t="n">
        <f aca="false">MAX(-Flows!AY72*AY$4*AY17/100,0)</f>
        <v>3192891.15890791</v>
      </c>
      <c r="AZ102" s="10" t="n">
        <f aca="false">MAX(-Flows!AZ72*AZ$4*AZ17/100,0)</f>
        <v>13116030.5746393</v>
      </c>
      <c r="BA102" s="10" t="n">
        <f aca="false">MAX(-Flows!BA72*BA$4*BA17/100,0)</f>
        <v>0</v>
      </c>
      <c r="BB102" s="10" t="n">
        <f aca="false">MAX(-Flows!BB72*BB$4*BB17/100,0)</f>
        <v>23965600.4296708</v>
      </c>
      <c r="BC102" s="10" t="n">
        <f aca="false">MAX(-Flows!BC72*BC$4*BC17/100,0)</f>
        <v>4764872.39708757</v>
      </c>
      <c r="BD102" s="10" t="n">
        <f aca="false">MAX(-Flows!BD72*BD$4*BD17/100,0)</f>
        <v>29099948.6738984</v>
      </c>
      <c r="BE102" s="10" t="n">
        <f aca="false">MAX(-Flows!BE72*BE$4*BE17/100,0)</f>
        <v>8858978.07837327</v>
      </c>
      <c r="BF102" s="10" t="n">
        <f aca="false">MAX(-Flows!BF72*BF$4*BF17/100,0)</f>
        <v>90281425.6338427</v>
      </c>
      <c r="BG102" s="10" t="n">
        <f aca="false">MAX(-Flows!BG72*BG$4*BG17/100,0)</f>
        <v>22178539.9093911</v>
      </c>
      <c r="BH102" s="10" t="n">
        <f aca="false">MAX(-Flows!BH72*BH$4*BH17/100,0)</f>
        <v>23690788.2334407</v>
      </c>
      <c r="BI102" s="10" t="n">
        <f aca="false">MAX(-Flows!BI72*BI$4*BI17/100,0)</f>
        <v>64253142.7706339</v>
      </c>
      <c r="BJ102" s="10" t="n">
        <f aca="false">MAX(-Flows!BJ72*BJ$4*BJ17/100,0)</f>
        <v>64253142.770634</v>
      </c>
      <c r="BK102" s="10" t="n">
        <f aca="false">MAX(-Flows!BK72*BK$4*BK17/100,0)</f>
        <v>64253142.7706339</v>
      </c>
      <c r="BL102" s="10" t="n">
        <f aca="false">MAX(-Flows!BL72*BL$4*BL17/100,0)</f>
        <v>9893527.46835445</v>
      </c>
      <c r="BM102" s="10" t="n">
        <f aca="false">MAX(-Flows!BM72*BM$4*BM17/100,0)</f>
        <v>9893527.46835444</v>
      </c>
      <c r="BN102" s="10" t="n">
        <f aca="false">MAX(-Flows!BN72*BN$4*BN17/100,0)</f>
        <v>0</v>
      </c>
      <c r="BO102" s="10" t="n">
        <f aca="false">MAX(-Flows!BO72*BO$4*BO17/100,0)</f>
        <v>16119415129895.6</v>
      </c>
      <c r="BP102" s="10" t="n">
        <f aca="false">MAX(-Flows!BP72*BP$4*BP17/100,0)</f>
        <v>7522394227940230</v>
      </c>
      <c r="BQ102" s="10" t="n">
        <f aca="false">MAX(-Flows!BQ72*BQ$4*BQ17/100,0)</f>
        <v>0</v>
      </c>
      <c r="BR102" s="10" t="n">
        <f aca="false">MAX(-Flows!BR72*BR$4*BR17/100,0)</f>
        <v>5373137655226.13</v>
      </c>
      <c r="BS102" s="10" t="n">
        <f aca="false">MAX(-Flows!BS72*BS$4*BS17/100,0)</f>
        <v>2686568286558.75</v>
      </c>
      <c r="BT102" s="10" t="n">
        <f aca="false">MAX(-Flows!BT72*BT$4*BT17/100,0)</f>
        <v>0</v>
      </c>
      <c r="BU102" s="10" t="n">
        <f aca="false">MAX(-Flows!BU72*BU$4*BU17/100,0)</f>
        <v>0</v>
      </c>
      <c r="BV102" s="10" t="n">
        <f aca="false">MAX(-Flows!BV72*BV$4*BV17/100,0)</f>
        <v>0</v>
      </c>
      <c r="BW102" s="10" t="n">
        <f aca="false">MAX(-Flows!BW72*BW$4*BW17/100,0)</f>
        <v>0</v>
      </c>
      <c r="BX102" s="10" t="n">
        <f aca="false">MAX(-Flows!BX72*BX$4*BX17/100,0)</f>
        <v>19787054.9367089</v>
      </c>
      <c r="BY102" s="10" t="n">
        <f aca="false">MAX(-Flows!BY72*BY$4*BY17/100,0)</f>
        <v>19787054.9367089</v>
      </c>
      <c r="BZ102" s="10" t="n">
        <f aca="false">MAX(-Flows!BZ72*BZ$4*BZ17/100,0)</f>
        <v>27985325.438472</v>
      </c>
      <c r="CA102" s="10" t="n">
        <f aca="false">MAX(-Flows!CA72*CA$4*CA17/100,0)</f>
        <v>27985325.4384721</v>
      </c>
      <c r="CB102" s="10" t="n">
        <f aca="false">MAX(-Flows!CB72*CB$4*CB17/100,0)</f>
        <v>98935274.6835445</v>
      </c>
      <c r="CC102" s="10" t="n">
        <f aca="false">MAX(-Flows!CC72*CC$4*CC17/100,0)</f>
        <v>3212657.1385317</v>
      </c>
      <c r="CD102" s="10" t="n">
        <f aca="false">MAX(-Flows!CD72*CD$4*CD17/100,0)</f>
        <v>0</v>
      </c>
      <c r="CE102" s="10" t="n">
        <f aca="false">MAX(-Flows!CE72*CE$4*CE17/100,0)</f>
        <v>3212657.1385317</v>
      </c>
      <c r="CF102" s="10" t="n">
        <f aca="false">MAX(-Flows!CF72*CF$4*CF17/100,0)</f>
        <v>10793289.7687787</v>
      </c>
      <c r="CG102" s="10" t="n">
        <f aca="false">MAX(-Flows!CG72*CG$4*CG17/100,0)</f>
        <v>80595998951.3972</v>
      </c>
      <c r="CH102" s="10" t="n">
        <f aca="false">MAX(-Flows!CH72*CH$4*CH17/100,0)</f>
        <v>80595998951.3972</v>
      </c>
      <c r="CI102" s="10" t="n">
        <f aca="false">MAX(-Flows!CI72*CI$4*CI17/100,0)</f>
        <v>49467637.3417723</v>
      </c>
      <c r="CJ102" s="10" t="n">
        <f aca="false">MAX(-Flows!CJ72*CJ$4*CJ17/100,0)</f>
        <v>4946763.73417723</v>
      </c>
      <c r="CK102" s="10" t="n">
        <f aca="false">MAX(-Flows!CK72*CK$4*CK17/100,0)</f>
        <v>4946763.73417723</v>
      </c>
      <c r="CL102" s="7" t="s">
        <v>320</v>
      </c>
      <c r="CM102" s="10" t="n">
        <f aca="false">-CM42</f>
        <v>628328125.961053</v>
      </c>
      <c r="CN102" s="10" t="n">
        <f aca="false">-CN42</f>
        <v>257498533.301264</v>
      </c>
      <c r="CO102" s="10" t="n">
        <f aca="false">-CO42</f>
        <v>480470050.775048</v>
      </c>
      <c r="CP102" s="10" t="n">
        <f aca="false">-CP42</f>
        <v>471103273.637679</v>
      </c>
      <c r="CQ102" s="10" t="n">
        <f aca="false">-CQ42</f>
        <v>295857876.418224</v>
      </c>
      <c r="CR102" s="10" t="n">
        <f aca="false">-CR42</f>
        <v>7546734631162670</v>
      </c>
      <c r="CS102" s="10" t="n">
        <f aca="false">-CS42</f>
        <v>47457168.4426977</v>
      </c>
      <c r="CT102" s="10" t="n">
        <f aca="false">-CT42</f>
        <v>20686817.2371331</v>
      </c>
      <c r="CU102" s="10" t="n">
        <f aca="false">-CU42</f>
        <v>-101720692.666129</v>
      </c>
      <c r="CV102" s="10" t="n">
        <f aca="false">-CV42</f>
        <v>2110615.60726686</v>
      </c>
      <c r="CX102" s="0" t="str">
        <f aca="false">INDEX($C$1:$CK$1,MATCH(LARGE($C102:$CK102,1),$C102:$CK102,0))</f>
        <v>Iron (lb)</v>
      </c>
      <c r="CY102" s="0" t="str">
        <f aca="false">INDEX($C$1:$CK$1,MATCH(LARGE($C102:$CK102,2),$C102:$CK102,0))</f>
        <v>Cu (lb)</v>
      </c>
      <c r="CZ102" s="0" t="str">
        <f aca="false">INDEX($C$1:$CK$1,MATCH(LARGE($C102:$CK102,3),$C102:$CK102,0))</f>
        <v>Ag (lb)</v>
      </c>
      <c r="DA102" s="0" t="str">
        <f aca="false">INDEX($C$1:$CK$1,MATCH(LARGE($C102:$CK102,4),$C102:$CK102,0))</f>
        <v>Au (lb)</v>
      </c>
      <c r="DB102" s="0" t="str">
        <f aca="false">INDEX($C$1:$CK$1,MATCH(LARGE($C102:$CK102,5),$C102:$CK102,0))</f>
        <v>Diamonds (lb)</v>
      </c>
      <c r="DD102" s="0" t="str">
        <f aca="false">IF(LARGE($CM102:$CV102,1)&gt;0,INDEX($CM$30:$CV$30,MATCH(LARGE($CM102:$CV102,1),$CM102:$CV102,0)),"N/A")</f>
        <v>Mineral</v>
      </c>
      <c r="DE102" s="0" t="str">
        <f aca="false">IF(LARGE($CM102:$CV102,2)&gt;0,INDEX($CM$30:$CV$30,MATCH(LARGE($CM102:$CV102,2),$CM102:$CV102,0)),"N/A")</f>
        <v>Produce</v>
      </c>
      <c r="DF102" s="0" t="str">
        <f aca="false">IF(LARGE($CM102:$CV102,3)&gt;0,INDEX($CM$30:$CV$30,MATCH(LARGE($CM102:$CV102,3),$CM102:$CV102,0)),"N/A")</f>
        <v>Food Prod</v>
      </c>
      <c r="DG102" s="0" t="str">
        <f aca="false">IF(LARGE($CM102:$CV102,4)&gt;0,INDEX($CM$30:$CV$30,MATCH(LARGE($CM102:$CV102,4),$CM102:$CV102,0)),"N/A")</f>
        <v>Textile</v>
      </c>
      <c r="DH102" s="0" t="str">
        <f aca="false">IF(LARGE($CM102:$CV102,5)&gt;0,INDEX($CM$30:$CV$30,MATCH(LARGE($CM102:$CV102,5),$CM102:$CV102,0)),"N/A")</f>
        <v>Tools</v>
      </c>
    </row>
    <row r="103" customFormat="false" ht="12.8" hidden="false" customHeight="false" outlineLevel="0" collapsed="false">
      <c r="A103" s="7" t="s">
        <v>148</v>
      </c>
      <c r="B103" s="7" t="s">
        <v>39</v>
      </c>
      <c r="C103" s="10" t="n">
        <f aca="false">MAX(-Flows!C73*C$4*C18/100,0)</f>
        <v>0</v>
      </c>
      <c r="D103" s="10" t="n">
        <f aca="false">MAX(-Flows!D73*D$4*D18/100,0)</f>
        <v>0</v>
      </c>
      <c r="E103" s="10" t="n">
        <f aca="false">MAX(-Flows!E73*E$4*E18/100,0)</f>
        <v>0</v>
      </c>
      <c r="F103" s="10" t="n">
        <f aca="false">MAX(-Flows!F73*F$4*F18/100,0)</f>
        <v>0</v>
      </c>
      <c r="G103" s="10" t="n">
        <f aca="false">MAX(-Flows!G73*G$4*G18/100,0)</f>
        <v>0</v>
      </c>
      <c r="H103" s="10" t="n">
        <f aca="false">MAX(-Flows!H73*H$4*H18/100,0)</f>
        <v>33849106.5632976</v>
      </c>
      <c r="I103" s="10" t="n">
        <f aca="false">MAX(-Flows!I73*I$4*I18/100,0)</f>
        <v>0</v>
      </c>
      <c r="J103" s="10" t="n">
        <f aca="false">MAX(-Flows!J73*J$4*J18/100,0)</f>
        <v>0</v>
      </c>
      <c r="K103" s="10" t="n">
        <f aca="false">MAX(-Flows!K73*K$4*K18/100,0)</f>
        <v>0</v>
      </c>
      <c r="L103" s="10" t="n">
        <f aca="false">MAX(-Flows!L73*L$4*L18/100,0)</f>
        <v>0</v>
      </c>
      <c r="M103" s="10" t="n">
        <f aca="false">MAX(-Flows!M73*M$4*M18/100,0)</f>
        <v>0</v>
      </c>
      <c r="N103" s="10" t="n">
        <f aca="false">MAX(-Flows!N73*N$4*N18/100,0)</f>
        <v>2336884.23118863</v>
      </c>
      <c r="O103" s="10" t="n">
        <f aca="false">MAX(-Flows!O73*O$4*O18/100,0)</f>
        <v>0</v>
      </c>
      <c r="P103" s="10" t="n">
        <f aca="false">MAX(-Flows!P73*P$4*P18/100,0)</f>
        <v>0</v>
      </c>
      <c r="Q103" s="10" t="n">
        <f aca="false">MAX(-Flows!Q73*Q$4*Q18/100,0)</f>
        <v>28765672.4767984</v>
      </c>
      <c r="R103" s="10" t="n">
        <f aca="false">MAX(-Flows!R73*R$4*R18/100,0)</f>
        <v>0</v>
      </c>
      <c r="S103" s="10" t="n">
        <f aca="false">MAX(-Flows!S73*S$4*S18/100,0)</f>
        <v>0</v>
      </c>
      <c r="T103" s="10" t="n">
        <f aca="false">MAX(-Flows!T73*T$4*T18/100,0)</f>
        <v>0</v>
      </c>
      <c r="U103" s="10" t="n">
        <f aca="false">MAX(-Flows!U73*U$4*U18/100,0)</f>
        <v>0</v>
      </c>
      <c r="V103" s="10" t="n">
        <f aca="false">MAX(-Flows!V73*V$4*V18/100,0)</f>
        <v>42095636.6720383</v>
      </c>
      <c r="W103" s="10" t="n">
        <f aca="false">MAX(-Flows!W73*W$4*W18/100,0)</f>
        <v>0</v>
      </c>
      <c r="X103" s="10" t="n">
        <f aca="false">MAX(-Flows!X73*X$4*X18/100,0)</f>
        <v>0</v>
      </c>
      <c r="Y103" s="10" t="n">
        <f aca="false">MAX(-Flows!Y73*Y$4*Y18/100,0)</f>
        <v>0</v>
      </c>
      <c r="Z103" s="10" t="n">
        <f aca="false">MAX(-Flows!Z73*Z$4*Z18/100,0)</f>
        <v>1228725.44232976</v>
      </c>
      <c r="AA103" s="10" t="n">
        <f aca="false">MAX(-Flows!AA73*AA$4*AA18/100,0)</f>
        <v>295267.813588674</v>
      </c>
      <c r="AB103" s="10" t="n">
        <f aca="false">MAX(-Flows!AB73*AB$4*AB18/100,0)</f>
        <v>809219.066912232</v>
      </c>
      <c r="AC103" s="10" t="n">
        <f aca="false">MAX(-Flows!AC73*AC$4*AC18/100,0)</f>
        <v>0</v>
      </c>
      <c r="AD103" s="10" t="n">
        <f aca="false">MAX(-Flows!AD73*AD$4*AD18/100,0)</f>
        <v>404609.533456116</v>
      </c>
      <c r="AE103" s="10" t="n">
        <f aca="false">MAX(-Flows!AE73*AE$4*AE18/100,0)</f>
        <v>1174973.87344394</v>
      </c>
      <c r="AF103" s="10" t="n">
        <f aca="false">MAX(-Flows!AF73*AF$4*AF18/100,0)</f>
        <v>1148377.36282844</v>
      </c>
      <c r="AG103" s="10" t="n">
        <f aca="false">MAX(-Flows!AG73*AG$4*AG18/100,0)</f>
        <v>15512430.8752495</v>
      </c>
      <c r="AH103" s="10" t="n">
        <f aca="false">MAX(-Flows!AH73*AH$4*AH18/100,0)</f>
        <v>10921224.2679894</v>
      </c>
      <c r="AI103" s="10" t="n">
        <f aca="false">MAX(-Flows!AI73*AI$4*AI18/100,0)</f>
        <v>13778458.9480745</v>
      </c>
      <c r="AJ103" s="10" t="n">
        <f aca="false">MAX(-Flows!AJ73*AJ$4*AJ18/100,0)</f>
        <v>0</v>
      </c>
      <c r="AK103" s="10" t="n">
        <f aca="false">MAX(-Flows!AK73*AK$4*AK18/100,0)</f>
        <v>0</v>
      </c>
      <c r="AL103" s="10" t="n">
        <f aca="false">MAX(-Flows!AL73*AL$4*AL18/100,0)</f>
        <v>0</v>
      </c>
      <c r="AM103" s="10" t="n">
        <f aca="false">MAX(-Flows!AM73*AM$4*AM18/100,0)</f>
        <v>0</v>
      </c>
      <c r="AN103" s="10" t="n">
        <f aca="false">MAX(-Flows!AN73*AN$4*AN18/100,0)</f>
        <v>8778109.94046836</v>
      </c>
      <c r="AO103" s="10" t="n">
        <f aca="false">MAX(-Flows!AO73*AO$4*AO18/100,0)</f>
        <v>0</v>
      </c>
      <c r="AP103" s="10" t="n">
        <f aca="false">MAX(-Flows!AP73*AP$4*AP18/100,0)</f>
        <v>13309509.4855543</v>
      </c>
      <c r="AQ103" s="10" t="n">
        <f aca="false">MAX(-Flows!AQ73*AQ$4*AQ18/100,0)</f>
        <v>0</v>
      </c>
      <c r="AR103" s="10" t="n">
        <f aca="false">MAX(-Flows!AR73*AR$4*AR18/100,0)</f>
        <v>18255282.3145608</v>
      </c>
      <c r="AS103" s="10" t="n">
        <f aca="false">MAX(-Flows!AS73*AS$4*AS18/100,0)</f>
        <v>0</v>
      </c>
      <c r="AT103" s="10" t="n">
        <f aca="false">MAX(-Flows!AT73*AT$4*AT18/100,0)</f>
        <v>13648746.7713576</v>
      </c>
      <c r="AU103" s="10" t="n">
        <f aca="false">MAX(-Flows!AU73*AU$4*AU18/100,0)</f>
        <v>0</v>
      </c>
      <c r="AV103" s="10" t="n">
        <f aca="false">MAX(-Flows!AV73*AV$4*AV18/100,0)</f>
        <v>3709040.68726082</v>
      </c>
      <c r="AW103" s="10" t="n">
        <f aca="false">MAX(-Flows!AW73*AW$4*AW18/100,0)</f>
        <v>0</v>
      </c>
      <c r="AX103" s="10" t="n">
        <f aca="false">MAX(-Flows!AX73*AX$4*AX18/100,0)</f>
        <v>0</v>
      </c>
      <c r="AY103" s="10" t="n">
        <f aca="false">MAX(-Flows!AY73*AY$4*AY18/100,0)</f>
        <v>4235045.87471528</v>
      </c>
      <c r="AZ103" s="10" t="n">
        <f aca="false">MAX(-Flows!AZ73*AZ$4*AZ18/100,0)</f>
        <v>7931476.58519486</v>
      </c>
      <c r="BA103" s="10" t="n">
        <f aca="false">MAX(-Flows!BA73*BA$4*BA18/100,0)</f>
        <v>0</v>
      </c>
      <c r="BB103" s="10" t="n">
        <f aca="false">MAX(-Flows!BB73*BB$4*BB18/100,0)</f>
        <v>11671057.342672</v>
      </c>
      <c r="BC103" s="10" t="n">
        <f aca="false">MAX(-Flows!BC73*BC$4*BC18/100,0)</f>
        <v>2284204.03315821</v>
      </c>
      <c r="BD103" s="10" t="n">
        <f aca="false">MAX(-Flows!BD73*BD$4*BD18/100,0)</f>
        <v>16914791.0873102</v>
      </c>
      <c r="BE103" s="10" t="n">
        <f aca="false">MAX(-Flows!BE73*BE$4*BE18/100,0)</f>
        <v>3633110.02476924</v>
      </c>
      <c r="BF103" s="10" t="n">
        <f aca="false">MAX(-Flows!BF73*BF$4*BF18/100,0)</f>
        <v>0</v>
      </c>
      <c r="BG103" s="10" t="n">
        <f aca="false">MAX(-Flows!BG73*BG$4*BG18/100,0)</f>
        <v>12504113.7373052</v>
      </c>
      <c r="BH103" s="10" t="n">
        <f aca="false">MAX(-Flows!BH73*BH$4*BH18/100,0)</f>
        <v>90417583.3684441</v>
      </c>
      <c r="BI103" s="10" t="n">
        <f aca="false">MAX(-Flows!BI73*BI$4*BI18/100,0)</f>
        <v>0</v>
      </c>
      <c r="BJ103" s="10" t="n">
        <f aca="false">MAX(-Flows!BJ73*BJ$4*BJ18/100,0)</f>
        <v>0</v>
      </c>
      <c r="BK103" s="10" t="n">
        <f aca="false">MAX(-Flows!BK73*BK$4*BK18/100,0)</f>
        <v>0</v>
      </c>
      <c r="BL103" s="10" t="n">
        <f aca="false">MAX(-Flows!BL73*BL$4*BL18/100,0)</f>
        <v>2876567.24767983</v>
      </c>
      <c r="BM103" s="10" t="n">
        <f aca="false">MAX(-Flows!BM73*BM$4*BM18/100,0)</f>
        <v>2876567.24767983</v>
      </c>
      <c r="BN103" s="10" t="n">
        <f aca="false">MAX(-Flows!BN73*BN$4*BN18/100,0)</f>
        <v>0</v>
      </c>
      <c r="BO103" s="10" t="n">
        <f aca="false">MAX(-Flows!BO73*BO$4*BO18/100,0)</f>
        <v>18628696217430.6</v>
      </c>
      <c r="BP103" s="10" t="n">
        <f aca="false">MAX(-Flows!BP73*BP$4*BP18/100,0)</f>
        <v>8693392036706010</v>
      </c>
      <c r="BQ103" s="10" t="n">
        <f aca="false">MAX(-Flows!BQ73*BQ$4*BQ18/100,0)</f>
        <v>0</v>
      </c>
      <c r="BR103" s="10" t="n">
        <f aca="false">MAX(-Flows!BR73*BR$4*BR18/100,0)</f>
        <v>6209564730634.83</v>
      </c>
      <c r="BS103" s="10" t="n">
        <f aca="false">MAX(-Flows!BS73*BS$4*BS18/100,0)</f>
        <v>3104781858935.87</v>
      </c>
      <c r="BT103" s="10" t="n">
        <f aca="false">MAX(-Flows!BT73*BT$4*BT18/100,0)</f>
        <v>0</v>
      </c>
      <c r="BU103" s="10" t="n">
        <f aca="false">MAX(-Flows!BU73*BU$4*BU18/100,0)</f>
        <v>0</v>
      </c>
      <c r="BV103" s="10" t="n">
        <f aca="false">MAX(-Flows!BV73*BV$4*BV18/100,0)</f>
        <v>0</v>
      </c>
      <c r="BW103" s="10" t="n">
        <f aca="false">MAX(-Flows!BW73*BW$4*BW18/100,0)</f>
        <v>0</v>
      </c>
      <c r="BX103" s="10" t="n">
        <f aca="false">MAX(-Flows!BX73*BX$4*BX18/100,0)</f>
        <v>5753134.49535967</v>
      </c>
      <c r="BY103" s="10" t="n">
        <f aca="false">MAX(-Flows!BY73*BY$4*BY18/100,0)</f>
        <v>5753134.49535968</v>
      </c>
      <c r="BZ103" s="10" t="n">
        <f aca="false">MAX(-Flows!BZ73*BZ$4*BZ18/100,0)</f>
        <v>0</v>
      </c>
      <c r="CA103" s="10" t="n">
        <f aca="false">MAX(-Flows!CA73*CA$4*CA18/100,0)</f>
        <v>0</v>
      </c>
      <c r="CB103" s="10" t="n">
        <f aca="false">MAX(-Flows!CB73*CB$4*CB18/100,0)</f>
        <v>28765672.4767984</v>
      </c>
      <c r="CC103" s="10" t="n">
        <f aca="false">MAX(-Flows!CC73*CC$4*CC18/100,0)</f>
        <v>0</v>
      </c>
      <c r="CD103" s="10" t="n">
        <f aca="false">MAX(-Flows!CD73*CD$4*CD18/100,0)</f>
        <v>0</v>
      </c>
      <c r="CE103" s="10" t="n">
        <f aca="false">MAX(-Flows!CE73*CE$4*CE18/100,0)</f>
        <v>0</v>
      </c>
      <c r="CF103" s="10" t="n">
        <f aca="false">MAX(-Flows!CF73*CF$4*CF18/100,0)</f>
        <v>0</v>
      </c>
      <c r="CG103" s="10" t="n">
        <f aca="false">MAX(-Flows!CG73*CG$4*CG18/100,0)</f>
        <v>93142473387.8947</v>
      </c>
      <c r="CH103" s="10" t="n">
        <f aca="false">MAX(-Flows!CH73*CH$4*CH18/100,0)</f>
        <v>93142473387.8948</v>
      </c>
      <c r="CI103" s="10" t="n">
        <f aca="false">MAX(-Flows!CI73*CI$4*CI18/100,0)</f>
        <v>14382836.2383992</v>
      </c>
      <c r="CJ103" s="10" t="n">
        <f aca="false">MAX(-Flows!CJ73*CJ$4*CJ18/100,0)</f>
        <v>1438283.62383992</v>
      </c>
      <c r="CK103" s="10" t="n">
        <f aca="false">MAX(-Flows!CK73*CK$4*CK18/100,0)</f>
        <v>1438283.62383992</v>
      </c>
      <c r="CL103" s="7" t="s">
        <v>320</v>
      </c>
      <c r="CM103" s="10" t="n">
        <f aca="false">-CM43</f>
        <v>-125129827.701517</v>
      </c>
      <c r="CN103" s="10" t="n">
        <f aca="false">-CN43</f>
        <v>84584760.571588</v>
      </c>
      <c r="CO103" s="10" t="n">
        <f aca="false">-CO43</f>
        <v>34341622.9706661</v>
      </c>
      <c r="CP103" s="10" t="n">
        <f aca="false">-CP43</f>
        <v>84580396.8931339</v>
      </c>
      <c r="CQ103" s="10" t="n">
        <f aca="false">-CQ43</f>
        <v>57741840.8226767</v>
      </c>
      <c r="CR103" s="10" t="n">
        <f aca="false">-CR43</f>
        <v>8721521358146080</v>
      </c>
      <c r="CS103" s="10" t="n">
        <f aca="false">-CS43</f>
        <v>2380257.62159364</v>
      </c>
      <c r="CT103" s="10" t="n">
        <f aca="false">-CT43</f>
        <v>2068177.82827265</v>
      </c>
      <c r="CU103" s="10" t="n">
        <f aca="false">-CU43</f>
        <v>-112142216.839257</v>
      </c>
      <c r="CV103" s="10" t="n">
        <f aca="false">-CV43</f>
        <v>1213828.60036835</v>
      </c>
      <c r="CX103" s="0" t="str">
        <f aca="false">INDEX($C$1:$CK$1,MATCH(LARGE($C103:$CK103,1),$C103:$CK103,0))</f>
        <v>Iron (lb)</v>
      </c>
      <c r="CY103" s="0" t="str">
        <f aca="false">INDEX($C$1:$CK$1,MATCH(LARGE($C103:$CK103,2),$C103:$CK103,0))</f>
        <v>Cu (lb)</v>
      </c>
      <c r="CZ103" s="0" t="str">
        <f aca="false">INDEX($C$1:$CK$1,MATCH(LARGE($C103:$CK103,3),$C103:$CK103,0))</f>
        <v>Ag (lb)</v>
      </c>
      <c r="DA103" s="0" t="str">
        <f aca="false">INDEX($C$1:$CK$1,MATCH(LARGE($C103:$CK103,4),$C103:$CK103,0))</f>
        <v>Au (lb)</v>
      </c>
      <c r="DB103" s="0" t="str">
        <f aca="false">INDEX($C$1:$CK$1,MATCH(LARGE($C103:$CK103,5),$C103:$CK103,0))</f>
        <v>Diamonds (lb)</v>
      </c>
      <c r="DD103" s="0" t="str">
        <f aca="false">IF(LARGE($CM103:$CV103,1)&gt;0,INDEX($CM$30:$CV$30,MATCH(LARGE($CM103:$CV103,1),$CM103:$CV103,0)),"N/A")</f>
        <v>Mineral</v>
      </c>
      <c r="DE103" s="0" t="str">
        <f aca="false">IF(LARGE($CM103:$CV103,2)&gt;0,INDEX($CM$30:$CV$30,MATCH(LARGE($CM103:$CV103,2),$CM103:$CV103,0)),"N/A")</f>
        <v>Animal</v>
      </c>
      <c r="DF103" s="0" t="str">
        <f aca="false">IF(LARGE($CM103:$CV103,3)&gt;0,INDEX($CM$30:$CV$30,MATCH(LARGE($CM103:$CV103,3),$CM103:$CV103,0)),"N/A")</f>
        <v>Textile</v>
      </c>
      <c r="DG103" s="0" t="str">
        <f aca="false">IF(LARGE($CM103:$CV103,4)&gt;0,INDEX($CM$30:$CV$30,MATCH(LARGE($CM103:$CV103,4),$CM103:$CV103,0)),"N/A")</f>
        <v>Tools</v>
      </c>
      <c r="DH103" s="0" t="str">
        <f aca="false">IF(LARGE($CM103:$CV103,5)&gt;0,INDEX($CM$30:$CV$30,MATCH(LARGE($CM103:$CV103,5),$CM103:$CV103,0)),"N/A")</f>
        <v>Food Prod</v>
      </c>
    </row>
    <row r="104" customFormat="false" ht="12.8" hidden="false" customHeight="false" outlineLevel="0" collapsed="false">
      <c r="A104" s="7" t="s">
        <v>150</v>
      </c>
      <c r="B104" s="7" t="s">
        <v>39</v>
      </c>
      <c r="C104" s="10" t="n">
        <f aca="false">MAX(-Flows!C74*C$4*C19/100,0)</f>
        <v>55455857.7932414</v>
      </c>
      <c r="D104" s="10" t="n">
        <f aca="false">MAX(-Flows!D74*D$4*D19/100,0)</f>
        <v>67131412.3727429</v>
      </c>
      <c r="E104" s="10" t="n">
        <f aca="false">MAX(-Flows!E74*E$4*E19/100,0)</f>
        <v>61925411.4747327</v>
      </c>
      <c r="F104" s="10" t="n">
        <f aca="false">MAX(-Flows!F74*F$4*F19/100,0)</f>
        <v>0</v>
      </c>
      <c r="G104" s="10" t="n">
        <f aca="false">MAX(-Flows!G74*G$4*G19/100,0)</f>
        <v>69818511.6512734</v>
      </c>
      <c r="H104" s="10" t="n">
        <f aca="false">MAX(-Flows!H74*H$4*H19/100,0)</f>
        <v>298744581.322799</v>
      </c>
      <c r="I104" s="10" t="n">
        <f aca="false">MAX(-Flows!I74*I$4*I19/100,0)</f>
        <v>0</v>
      </c>
      <c r="J104" s="10" t="n">
        <f aca="false">MAX(-Flows!J74*J$4*J19/100,0)</f>
        <v>0</v>
      </c>
      <c r="K104" s="10" t="n">
        <f aca="false">MAX(-Flows!K74*K$4*K19/100,0)</f>
        <v>0</v>
      </c>
      <c r="L104" s="10" t="n">
        <f aca="false">MAX(-Flows!L74*L$4*L19/100,0)</f>
        <v>0</v>
      </c>
      <c r="M104" s="10" t="n">
        <f aca="false">MAX(-Flows!M74*M$4*M19/100,0)</f>
        <v>0</v>
      </c>
      <c r="N104" s="10" t="n">
        <f aca="false">MAX(-Flows!N74*N$4*N19/100,0)</f>
        <v>92729638.6830425</v>
      </c>
      <c r="O104" s="10" t="n">
        <f aca="false">MAX(-Flows!O74*O$4*O19/100,0)</f>
        <v>0</v>
      </c>
      <c r="P104" s="10" t="n">
        <f aca="false">MAX(-Flows!P74*P$4*P19/100,0)</f>
        <v>0</v>
      </c>
      <c r="Q104" s="10" t="n">
        <f aca="false">MAX(-Flows!Q74*Q$4*Q19/100,0)</f>
        <v>64149597.6568003</v>
      </c>
      <c r="R104" s="10" t="n">
        <f aca="false">MAX(-Flows!R74*R$4*R19/100,0)</f>
        <v>68029348.8909013</v>
      </c>
      <c r="S104" s="10" t="n">
        <f aca="false">MAX(-Flows!S74*S$4*S19/100,0)</f>
        <v>0</v>
      </c>
      <c r="T104" s="10" t="n">
        <f aca="false">MAX(-Flows!T74*T$4*T19/100,0)</f>
        <v>0</v>
      </c>
      <c r="U104" s="10" t="n">
        <f aca="false">MAX(-Flows!U74*U$4*U19/100,0)</f>
        <v>0</v>
      </c>
      <c r="V104" s="10" t="n">
        <f aca="false">MAX(-Flows!V74*V$4*V19/100,0)</f>
        <v>60919129.8096749</v>
      </c>
      <c r="W104" s="10" t="n">
        <f aca="false">MAX(-Flows!W74*W$4*W19/100,0)</f>
        <v>37520724.7592493</v>
      </c>
      <c r="X104" s="10" t="n">
        <f aca="false">MAX(-Flows!X74*X$4*X19/100,0)</f>
        <v>238379496.469866</v>
      </c>
      <c r="Y104" s="10" t="n">
        <f aca="false">MAX(-Flows!Y74*Y$4*Y19/100,0)</f>
        <v>0</v>
      </c>
      <c r="Z104" s="10" t="n">
        <f aca="false">MAX(-Flows!Z74*Z$4*Z19/100,0)</f>
        <v>0</v>
      </c>
      <c r="AA104" s="10" t="n">
        <f aca="false">MAX(-Flows!AA74*AA$4*AA19/100,0)</f>
        <v>0</v>
      </c>
      <c r="AB104" s="10" t="n">
        <f aca="false">MAX(-Flows!AB74*AB$4*AB19/100,0)</f>
        <v>452233.675433874</v>
      </c>
      <c r="AC104" s="10" t="n">
        <f aca="false">MAX(-Flows!AC74*AC$4*AC19/100,0)</f>
        <v>264280.840656691</v>
      </c>
      <c r="AD104" s="10" t="n">
        <f aca="false">MAX(-Flows!AD74*AD$4*AD19/100,0)</f>
        <v>226116.837716937</v>
      </c>
      <c r="AE104" s="10" t="n">
        <f aca="false">MAX(-Flows!AE74*AE$4*AE19/100,0)</f>
        <v>2008810.61956735</v>
      </c>
      <c r="AF104" s="10" t="n">
        <f aca="false">MAX(-Flows!AF74*AF$4*AF19/100,0)</f>
        <v>0</v>
      </c>
      <c r="AG104" s="10" t="n">
        <f aca="false">MAX(-Flows!AG74*AG$4*AG19/100,0)</f>
        <v>26766266.8860138</v>
      </c>
      <c r="AH104" s="10" t="n">
        <f aca="false">MAX(-Flows!AH74*AH$4*AH19/100,0)</f>
        <v>22301872.8804362</v>
      </c>
      <c r="AI104" s="10" t="n">
        <f aca="false">MAX(-Flows!AI74*AI$4*AI19/100,0)</f>
        <v>18526242.6040137</v>
      </c>
      <c r="AJ104" s="10" t="n">
        <f aca="false">MAX(-Flows!AJ74*AJ$4*AJ19/100,0)</f>
        <v>10622299.460102</v>
      </c>
      <c r="AK104" s="10" t="n">
        <f aca="false">MAX(-Flows!AK74*AK$4*AK19/100,0)</f>
        <v>13966169.184354</v>
      </c>
      <c r="AL104" s="10" t="n">
        <f aca="false">MAX(-Flows!AL74*AL$4*AL19/100,0)</f>
        <v>17519448.4848701</v>
      </c>
      <c r="AM104" s="10" t="n">
        <f aca="false">MAX(-Flows!AM74*AM$4*AM19/100,0)</f>
        <v>44550268.7571581</v>
      </c>
      <c r="AN104" s="10" t="n">
        <f aca="false">MAX(-Flows!AN74*AN$4*AN19/100,0)</f>
        <v>0</v>
      </c>
      <c r="AO104" s="10" t="n">
        <f aca="false">MAX(-Flows!AO74*AO$4*AO19/100,0)</f>
        <v>22675226.8376217</v>
      </c>
      <c r="AP104" s="10" t="n">
        <f aca="false">MAX(-Flows!AP74*AP$4*AP19/100,0)</f>
        <v>24801460.2168996</v>
      </c>
      <c r="AQ104" s="10" t="n">
        <f aca="false">MAX(-Flows!AQ74*AQ$4*AQ19/100,0)</f>
        <v>8747980.99827374</v>
      </c>
      <c r="AR104" s="10" t="n">
        <f aca="false">MAX(-Flows!AR74*AR$4*AR19/100,0)</f>
        <v>3072458.10778809</v>
      </c>
      <c r="AS104" s="10" t="n">
        <f aca="false">MAX(-Flows!AS74*AS$4*AS19/100,0)</f>
        <v>3802427.10152236</v>
      </c>
      <c r="AT104" s="10" t="n">
        <f aca="false">MAX(-Flows!AT74*AT$4*AT19/100,0)</f>
        <v>16594544.7735325</v>
      </c>
      <c r="AU104" s="10" t="n">
        <f aca="false">MAX(-Flows!AU74*AU$4*AU19/100,0)</f>
        <v>10441893.1088894</v>
      </c>
      <c r="AV104" s="10" t="n">
        <f aca="false">MAX(-Flows!AV74*AV$4*AV19/100,0)</f>
        <v>33574925.9543129</v>
      </c>
      <c r="AW104" s="10" t="n">
        <f aca="false">MAX(-Flows!AW74*AW$4*AW19/100,0)</f>
        <v>4429382.39262706</v>
      </c>
      <c r="AX104" s="10" t="n">
        <f aca="false">MAX(-Flows!AX74*AX$4*AX19/100,0)</f>
        <v>0</v>
      </c>
      <c r="AY104" s="10" t="n">
        <f aca="false">MAX(-Flows!AY74*AY$4*AY19/100,0)</f>
        <v>4261937.72468625</v>
      </c>
      <c r="AZ104" s="10" t="n">
        <f aca="false">MAX(-Flows!AZ74*AZ$4*AZ19/100,0)</f>
        <v>8297957.05168417</v>
      </c>
      <c r="BA104" s="10" t="n">
        <f aca="false">MAX(-Flows!BA74*BA$4*BA19/100,0)</f>
        <v>0</v>
      </c>
      <c r="BB104" s="10" t="n">
        <f aca="false">MAX(-Flows!BB74*BB$4*BB19/100,0)</f>
        <v>19170052.4108254</v>
      </c>
      <c r="BC104" s="10" t="n">
        <f aca="false">MAX(-Flows!BC74*BC$4*BC19/100,0)</f>
        <v>14902172.2809864</v>
      </c>
      <c r="BD104" s="10" t="n">
        <f aca="false">MAX(-Flows!BD74*BD$4*BD19/100,0)</f>
        <v>30194312.8439063</v>
      </c>
      <c r="BE104" s="10" t="n">
        <f aca="false">MAX(-Flows!BE74*BE$4*BE19/100,0)</f>
        <v>10812490.4316914</v>
      </c>
      <c r="BF104" s="10" t="n">
        <f aca="false">MAX(-Flows!BF74*BF$4*BF19/100,0)</f>
        <v>282592732.503422</v>
      </c>
      <c r="BG104" s="10" t="n">
        <f aca="false">MAX(-Flows!BG74*BG$4*BG19/100,0)</f>
        <v>24375036.2367842</v>
      </c>
      <c r="BH104" s="10" t="n">
        <f aca="false">MAX(-Flows!BH74*BH$4*BH19/100,0)</f>
        <v>23633811.0297105</v>
      </c>
      <c r="BI104" s="10" t="n">
        <f aca="false">MAX(-Flows!BI74*BI$4*BI19/100,0)</f>
        <v>69595712.075628</v>
      </c>
      <c r="BJ104" s="10" t="n">
        <f aca="false">MAX(-Flows!BJ74*BJ$4*BJ19/100,0)</f>
        <v>69595712.075628</v>
      </c>
      <c r="BK104" s="10" t="n">
        <f aca="false">MAX(-Flows!BK74*BK$4*BK19/100,0)</f>
        <v>69595712.075628</v>
      </c>
      <c r="BL104" s="10" t="n">
        <f aca="false">MAX(-Flows!BL74*BL$4*BL19/100,0)</f>
        <v>6414959.76568004</v>
      </c>
      <c r="BM104" s="10" t="n">
        <f aca="false">MAX(-Flows!BM74*BM$4*BM19/100,0)</f>
        <v>6414959.76568004</v>
      </c>
      <c r="BN104" s="10" t="n">
        <f aca="false">MAX(-Flows!BN74*BN$4*BN19/100,0)</f>
        <v>0</v>
      </c>
      <c r="BO104" s="10" t="n">
        <f aca="false">MAX(-Flows!BO74*BO$4*BO19/100,0)</f>
        <v>48280287537603.6</v>
      </c>
      <c r="BP104" s="10" t="n">
        <f aca="false">MAX(-Flows!BP74*BP$4*BP19/100,0)</f>
        <v>22530801722468200</v>
      </c>
      <c r="BQ104" s="10" t="n">
        <f aca="false">MAX(-Flows!BQ74*BQ$4*BQ19/100,0)</f>
        <v>0</v>
      </c>
      <c r="BR104" s="10" t="n">
        <f aca="false">MAX(-Flows!BR74*BR$4*BR19/100,0)</f>
        <v>16093427923312.9</v>
      </c>
      <c r="BS104" s="10" t="n">
        <f aca="false">MAX(-Flows!BS74*BS$4*BS19/100,0)</f>
        <v>8046713019740.17</v>
      </c>
      <c r="BT104" s="10" t="n">
        <f aca="false">MAX(-Flows!BT74*BT$4*BT19/100,0)</f>
        <v>0</v>
      </c>
      <c r="BU104" s="10" t="n">
        <f aca="false">MAX(-Flows!BU74*BU$4*BU19/100,0)</f>
        <v>0</v>
      </c>
      <c r="BV104" s="10" t="n">
        <f aca="false">MAX(-Flows!BV74*BV$4*BV19/100,0)</f>
        <v>0</v>
      </c>
      <c r="BW104" s="10" t="n">
        <f aca="false">MAX(-Flows!BW74*BW$4*BW19/100,0)</f>
        <v>0</v>
      </c>
      <c r="BX104" s="10" t="n">
        <f aca="false">MAX(-Flows!BX74*BX$4*BX19/100,0)</f>
        <v>12829919.5313601</v>
      </c>
      <c r="BY104" s="10" t="n">
        <f aca="false">MAX(-Flows!BY74*BY$4*BY19/100,0)</f>
        <v>12829919.5313601</v>
      </c>
      <c r="BZ104" s="10" t="n">
        <f aca="false">MAX(-Flows!BZ74*BZ$4*BZ19/100,0)</f>
        <v>29859729.6040929</v>
      </c>
      <c r="CA104" s="10" t="n">
        <f aca="false">MAX(-Flows!CA74*CA$4*CA19/100,0)</f>
        <v>29859729.6040929</v>
      </c>
      <c r="CB104" s="10" t="n">
        <f aca="false">MAX(-Flows!CB74*CB$4*CB19/100,0)</f>
        <v>64149597.6568004</v>
      </c>
      <c r="CC104" s="10" t="n">
        <f aca="false">MAX(-Flows!CC74*CC$4*CC19/100,0)</f>
        <v>3479785.6037814</v>
      </c>
      <c r="CD104" s="10" t="n">
        <f aca="false">MAX(-Flows!CD74*CD$4*CD19/100,0)</f>
        <v>0</v>
      </c>
      <c r="CE104" s="10" t="n">
        <f aca="false">MAX(-Flows!CE74*CE$4*CE19/100,0)</f>
        <v>3479785.6037814</v>
      </c>
      <c r="CF104" s="10" t="n">
        <f aca="false">MAX(-Flows!CF74*CF$4*CF19/100,0)</f>
        <v>6959571.2075628</v>
      </c>
      <c r="CG104" s="10" t="n">
        <f aca="false">MAX(-Flows!CG74*CG$4*CG19/100,0)</f>
        <v>241399563274.652</v>
      </c>
      <c r="CH104" s="10" t="n">
        <f aca="false">MAX(-Flows!CH74*CH$4*CH19/100,0)</f>
        <v>241399563274.652</v>
      </c>
      <c r="CI104" s="10" t="n">
        <f aca="false">MAX(-Flows!CI74*CI$4*CI19/100,0)</f>
        <v>32074798.8284002</v>
      </c>
      <c r="CJ104" s="10" t="n">
        <f aca="false">MAX(-Flows!CJ74*CJ$4*CJ19/100,0)</f>
        <v>3207479.88284002</v>
      </c>
      <c r="CK104" s="10" t="n">
        <f aca="false">MAX(-Flows!CK74*CK$4*CK19/100,0)</f>
        <v>3207479.88284002</v>
      </c>
      <c r="CL104" s="7" t="s">
        <v>320</v>
      </c>
      <c r="CM104" s="10" t="n">
        <f aca="false">-CM44</f>
        <v>529984470.651658</v>
      </c>
      <c r="CN104" s="10" t="n">
        <f aca="false">-CN44</f>
        <v>262303072.218747</v>
      </c>
      <c r="CO104" s="10" t="n">
        <f aca="false">-CO44</f>
        <v>419819968.642296</v>
      </c>
      <c r="CP104" s="10" t="n">
        <f aca="false">-CP44</f>
        <v>410964571.492823</v>
      </c>
      <c r="CQ104" s="10" t="n">
        <f aca="false">-CQ44</f>
        <v>275641467.786834</v>
      </c>
      <c r="CR104" s="10" t="n">
        <f aca="false">-CR44</f>
        <v>22603705232932400</v>
      </c>
      <c r="CS104" s="10" t="n">
        <f aca="false">-CS44</f>
        <v>32841829.5495269</v>
      </c>
      <c r="CT104" s="10" t="n">
        <f aca="false">-CT44</f>
        <v>13374530.9732428</v>
      </c>
      <c r="CU104" s="10" t="n">
        <f aca="false">-CU44</f>
        <v>-73883069.3311208</v>
      </c>
      <c r="CV104" s="10" t="n">
        <f aca="false">-CV44</f>
        <v>678350.513150812</v>
      </c>
      <c r="CX104" s="0" t="str">
        <f aca="false">INDEX($C$1:$CK$1,MATCH(LARGE($C104:$CK104,1),$C104:$CK104,0))</f>
        <v>Iron (lb)</v>
      </c>
      <c r="CY104" s="0" t="str">
        <f aca="false">INDEX($C$1:$CK$1,MATCH(LARGE($C104:$CK104,2),$C104:$CK104,0))</f>
        <v>Cu (lb)</v>
      </c>
      <c r="CZ104" s="0" t="str">
        <f aca="false">INDEX($C$1:$CK$1,MATCH(LARGE($C104:$CK104,3),$C104:$CK104,0))</f>
        <v>Ag (lb)</v>
      </c>
      <c r="DA104" s="0" t="str">
        <f aca="false">INDEX($C$1:$CK$1,MATCH(LARGE($C104:$CK104,4),$C104:$CK104,0))</f>
        <v>Au (lb)</v>
      </c>
      <c r="DB104" s="0" t="str">
        <f aca="false">INDEX($C$1:$CK$1,MATCH(LARGE($C104:$CK104,5),$C104:$CK104,0))</f>
        <v>Diamonds (lb)</v>
      </c>
      <c r="DD104" s="0" t="str">
        <f aca="false">IF(LARGE($CM104:$CV104,1)&gt;0,INDEX($CM$30:$CV$30,MATCH(LARGE($CM104:$CV104,1),$CM104:$CV104,0)),"N/A")</f>
        <v>Mineral</v>
      </c>
      <c r="DE104" s="0" t="str">
        <f aca="false">IF(LARGE($CM104:$CV104,2)&gt;0,INDEX($CM$30:$CV$30,MATCH(LARGE($CM104:$CV104,2),$CM104:$CV104,0)),"N/A")</f>
        <v>Produce</v>
      </c>
      <c r="DF104" s="0" t="str">
        <f aca="false">IF(LARGE($CM104:$CV104,3)&gt;0,INDEX($CM$30:$CV$30,MATCH(LARGE($CM104:$CV104,3),$CM104:$CV104,0)),"N/A")</f>
        <v>Food Prod</v>
      </c>
      <c r="DG104" s="0" t="str">
        <f aca="false">IF(LARGE($CM104:$CV104,4)&gt;0,INDEX($CM$30:$CV$30,MATCH(LARGE($CM104:$CV104,4),$CM104:$CV104,0)),"N/A")</f>
        <v>Textile</v>
      </c>
      <c r="DH104" s="0" t="str">
        <f aca="false">IF(LARGE($CM104:$CV104,5)&gt;0,INDEX($CM$30:$CV$30,MATCH(LARGE($CM104:$CV104,5),$CM104:$CV104,0)),"N/A")</f>
        <v>Tools</v>
      </c>
    </row>
    <row r="105" customFormat="false" ht="12.8" hidden="false" customHeight="false" outlineLevel="0" collapsed="false">
      <c r="A105" s="7" t="s">
        <v>151</v>
      </c>
      <c r="B105" s="7" t="s">
        <v>39</v>
      </c>
      <c r="C105" s="10" t="n">
        <f aca="false">MAX(-Flows!C75*C$4*C20/100,0)</f>
        <v>0</v>
      </c>
      <c r="D105" s="10" t="n">
        <f aca="false">MAX(-Flows!D75*D$4*D20/100,0)</f>
        <v>0</v>
      </c>
      <c r="E105" s="10" t="n">
        <f aca="false">MAX(-Flows!E75*E$4*E20/100,0)</f>
        <v>0</v>
      </c>
      <c r="F105" s="10" t="n">
        <f aca="false">MAX(-Flows!F75*F$4*F20/100,0)</f>
        <v>0</v>
      </c>
      <c r="G105" s="10" t="n">
        <f aca="false">MAX(-Flows!G75*G$4*G20/100,0)</f>
        <v>0</v>
      </c>
      <c r="H105" s="10" t="n">
        <f aca="false">MAX(-Flows!H75*H$4*H20/100,0)</f>
        <v>0</v>
      </c>
      <c r="I105" s="10" t="n">
        <f aca="false">MAX(-Flows!I75*I$4*I20/100,0)</f>
        <v>3647063.50192903</v>
      </c>
      <c r="J105" s="10" t="n">
        <f aca="false">MAX(-Flows!J75*J$4*J20/100,0)</f>
        <v>0</v>
      </c>
      <c r="K105" s="10" t="n">
        <f aca="false">MAX(-Flows!K75*K$4*K20/100,0)</f>
        <v>0</v>
      </c>
      <c r="L105" s="10" t="n">
        <f aca="false">MAX(-Flows!L75*L$4*L20/100,0)</f>
        <v>0</v>
      </c>
      <c r="M105" s="10" t="n">
        <f aca="false">MAX(-Flows!M75*M$4*M20/100,0)</f>
        <v>0</v>
      </c>
      <c r="N105" s="10" t="n">
        <f aca="false">MAX(-Flows!N75*N$4*N20/100,0)</f>
        <v>0</v>
      </c>
      <c r="O105" s="10" t="n">
        <f aca="false">MAX(-Flows!O75*O$4*O20/100,0)</f>
        <v>0</v>
      </c>
      <c r="P105" s="10" t="n">
        <f aca="false">MAX(-Flows!P75*P$4*P20/100,0)</f>
        <v>0</v>
      </c>
      <c r="Q105" s="10" t="n">
        <f aca="false">MAX(-Flows!Q75*Q$4*Q20/100,0)</f>
        <v>0</v>
      </c>
      <c r="R105" s="10" t="n">
        <f aca="false">MAX(-Flows!R75*R$4*R20/100,0)</f>
        <v>0</v>
      </c>
      <c r="S105" s="10" t="n">
        <f aca="false">MAX(-Flows!S75*S$4*S20/100,0)</f>
        <v>0</v>
      </c>
      <c r="T105" s="10" t="n">
        <f aca="false">MAX(-Flows!T75*T$4*T20/100,0)</f>
        <v>0</v>
      </c>
      <c r="U105" s="10" t="n">
        <f aca="false">MAX(-Flows!U75*U$4*U20/100,0)</f>
        <v>0</v>
      </c>
      <c r="V105" s="10" t="n">
        <f aca="false">MAX(-Flows!V75*V$4*V20/100,0)</f>
        <v>0</v>
      </c>
      <c r="W105" s="10" t="n">
        <f aca="false">MAX(-Flows!W75*W$4*W20/100,0)</f>
        <v>0</v>
      </c>
      <c r="X105" s="10" t="n">
        <f aca="false">MAX(-Flows!X75*X$4*X20/100,0)</f>
        <v>0</v>
      </c>
      <c r="Y105" s="10" t="n">
        <f aca="false">MAX(-Flows!Y75*Y$4*Y20/100,0)</f>
        <v>0</v>
      </c>
      <c r="Z105" s="10" t="n">
        <f aca="false">MAX(-Flows!Z75*Z$4*Z20/100,0)</f>
        <v>0</v>
      </c>
      <c r="AA105" s="10" t="n">
        <f aca="false">MAX(-Flows!AA75*AA$4*AA20/100,0)</f>
        <v>41941.694615031</v>
      </c>
      <c r="AB105" s="10" t="n">
        <f aca="false">MAX(-Flows!AB75*AB$4*AB20/100,0)</f>
        <v>0</v>
      </c>
      <c r="AC105" s="10" t="n">
        <f aca="false">MAX(-Flows!AC75*AC$4*AC20/100,0)</f>
        <v>153363.64343515</v>
      </c>
      <c r="AD105" s="10" t="n">
        <f aca="false">MAX(-Flows!AD75*AD$4*AD20/100,0)</f>
        <v>0</v>
      </c>
      <c r="AE105" s="10" t="n">
        <f aca="false">MAX(-Flows!AE75*AE$4*AE20/100,0)</f>
        <v>0</v>
      </c>
      <c r="AF105" s="10" t="n">
        <f aca="false">MAX(-Flows!AF75*AF$4*AF20/100,0)</f>
        <v>0</v>
      </c>
      <c r="AG105" s="10" t="n">
        <f aca="false">MAX(-Flows!AG75*AG$4*AG20/100,0)</f>
        <v>0</v>
      </c>
      <c r="AH105" s="10" t="n">
        <f aca="false">MAX(-Flows!AH75*AH$4*AH20/100,0)</f>
        <v>0</v>
      </c>
      <c r="AI105" s="10" t="n">
        <f aca="false">MAX(-Flows!AI75*AI$4*AI20/100,0)</f>
        <v>3845680.18753056</v>
      </c>
      <c r="AJ105" s="10" t="n">
        <f aca="false">MAX(-Flows!AJ75*AJ$4*AJ20/100,0)</f>
        <v>0</v>
      </c>
      <c r="AK105" s="10" t="n">
        <f aca="false">MAX(-Flows!AK75*AK$4*AK20/100,0)</f>
        <v>0</v>
      </c>
      <c r="AL105" s="10" t="n">
        <f aca="false">MAX(-Flows!AL75*AL$4*AL20/100,0)</f>
        <v>0</v>
      </c>
      <c r="AM105" s="10" t="n">
        <f aca="false">MAX(-Flows!AM75*AM$4*AM20/100,0)</f>
        <v>0</v>
      </c>
      <c r="AN105" s="10" t="n">
        <f aca="false">MAX(-Flows!AN75*AN$4*AN20/100,0)</f>
        <v>0</v>
      </c>
      <c r="AO105" s="10" t="n">
        <f aca="false">MAX(-Flows!AO75*AO$4*AO20/100,0)</f>
        <v>0</v>
      </c>
      <c r="AP105" s="10" t="n">
        <f aca="false">MAX(-Flows!AP75*AP$4*AP20/100,0)</f>
        <v>0</v>
      </c>
      <c r="AQ105" s="10" t="n">
        <f aca="false">MAX(-Flows!AQ75*AQ$4*AQ20/100,0)</f>
        <v>0</v>
      </c>
      <c r="AR105" s="10" t="n">
        <f aca="false">MAX(-Flows!AR75*AR$4*AR20/100,0)</f>
        <v>3002242.15971989</v>
      </c>
      <c r="AS105" s="10" t="n">
        <f aca="false">MAX(-Flows!AS75*AS$4*AS20/100,0)</f>
        <v>0</v>
      </c>
      <c r="AT105" s="10" t="n">
        <f aca="false">MAX(-Flows!AT75*AT$4*AT20/100,0)</f>
        <v>2868504.41149347</v>
      </c>
      <c r="AU105" s="10" t="n">
        <f aca="false">MAX(-Flows!AU75*AU$4*AU20/100,0)</f>
        <v>4727503.13032536</v>
      </c>
      <c r="AV105" s="10" t="n">
        <f aca="false">MAX(-Flows!AV75*AV$4*AV20/100,0)</f>
        <v>0</v>
      </c>
      <c r="AW105" s="10" t="n">
        <f aca="false">MAX(-Flows!AW75*AW$4*AW20/100,0)</f>
        <v>2886930.26818401</v>
      </c>
      <c r="AX105" s="10" t="n">
        <f aca="false">MAX(-Flows!AX75*AX$4*AX20/100,0)</f>
        <v>0</v>
      </c>
      <c r="AY105" s="10" t="n">
        <f aca="false">MAX(-Flows!AY75*AY$4*AY20/100,0)</f>
        <v>381803.495184642</v>
      </c>
      <c r="AZ105" s="10" t="n">
        <f aca="false">MAX(-Flows!AZ75*AZ$4*AZ20/100,0)</f>
        <v>0</v>
      </c>
      <c r="BA105" s="10" t="n">
        <f aca="false">MAX(-Flows!BA75*BA$4*BA20/100,0)</f>
        <v>0</v>
      </c>
      <c r="BB105" s="10" t="n">
        <f aca="false">MAX(-Flows!BB75*BB$4*BB20/100,0)</f>
        <v>0</v>
      </c>
      <c r="BC105" s="10" t="n">
        <f aca="false">MAX(-Flows!BC75*BC$4*BC20/100,0)</f>
        <v>0</v>
      </c>
      <c r="BD105" s="10" t="n">
        <f aca="false">MAX(-Flows!BD75*BD$4*BD20/100,0)</f>
        <v>0</v>
      </c>
      <c r="BE105" s="10" t="n">
        <f aca="false">MAX(-Flows!BE75*BE$4*BE20/100,0)</f>
        <v>0</v>
      </c>
      <c r="BF105" s="10" t="n">
        <f aca="false">MAX(-Flows!BF75*BF$4*BF20/100,0)</f>
        <v>48898823.1696285</v>
      </c>
      <c r="BG105" s="10" t="n">
        <f aca="false">MAX(-Flows!BG75*BG$4*BG20/100,0)</f>
        <v>0</v>
      </c>
      <c r="BH105" s="10" t="n">
        <f aca="false">MAX(-Flows!BH75*BH$4*BH20/100,0)</f>
        <v>0</v>
      </c>
      <c r="BI105" s="10" t="n">
        <f aca="false">MAX(-Flows!BI75*BI$4*BI20/100,0)</f>
        <v>0</v>
      </c>
      <c r="BJ105" s="10" t="n">
        <f aca="false">MAX(-Flows!BJ75*BJ$4*BJ20/100,0)</f>
        <v>0</v>
      </c>
      <c r="BK105" s="10" t="n">
        <f aca="false">MAX(-Flows!BK75*BK$4*BK20/100,0)</f>
        <v>0</v>
      </c>
      <c r="BL105" s="10" t="n">
        <f aca="false">MAX(-Flows!BL75*BL$4*BL20/100,0)</f>
        <v>0</v>
      </c>
      <c r="BM105" s="10" t="n">
        <f aca="false">MAX(-Flows!BM75*BM$4*BM20/100,0)</f>
        <v>0</v>
      </c>
      <c r="BN105" s="10" t="n">
        <f aca="false">MAX(-Flows!BN75*BN$4*BN20/100,0)</f>
        <v>0</v>
      </c>
      <c r="BO105" s="10" t="n">
        <f aca="false">MAX(-Flows!BO75*BO$4*BO20/100,0)</f>
        <v>28231145381829.3</v>
      </c>
      <c r="BP105" s="10" t="n">
        <f aca="false">MAX(-Flows!BP75*BP$4*BP20/100,0)</f>
        <v>13174534728151000</v>
      </c>
      <c r="BQ105" s="10" t="n">
        <f aca="false">MAX(-Flows!BQ75*BQ$4*BQ20/100,0)</f>
        <v>0</v>
      </c>
      <c r="BR105" s="10" t="n">
        <f aca="false">MAX(-Flows!BR75*BR$4*BR20/100,0)</f>
        <v>9410381481795.12</v>
      </c>
      <c r="BS105" s="10" t="n">
        <f aca="false">MAX(-Flows!BS75*BS$4*BS20/100,0)</f>
        <v>4705190506786.59</v>
      </c>
      <c r="BT105" s="10" t="n">
        <f aca="false">MAX(-Flows!BT75*BT$4*BT20/100,0)</f>
        <v>0</v>
      </c>
      <c r="BU105" s="10" t="n">
        <f aca="false">MAX(-Flows!BU75*BU$4*BU20/100,0)</f>
        <v>0</v>
      </c>
      <c r="BV105" s="10" t="n">
        <f aca="false">MAX(-Flows!BV75*BV$4*BV20/100,0)</f>
        <v>0</v>
      </c>
      <c r="BW105" s="10" t="n">
        <f aca="false">MAX(-Flows!BW75*BW$4*BW20/100,0)</f>
        <v>0</v>
      </c>
      <c r="BX105" s="10" t="n">
        <f aca="false">MAX(-Flows!BX75*BX$4*BX20/100,0)</f>
        <v>0</v>
      </c>
      <c r="BY105" s="10" t="n">
        <f aca="false">MAX(-Flows!BY75*BY$4*BY20/100,0)</f>
        <v>0</v>
      </c>
      <c r="BZ105" s="10" t="n">
        <f aca="false">MAX(-Flows!BZ75*BZ$4*BZ20/100,0)</f>
        <v>0</v>
      </c>
      <c r="CA105" s="10" t="n">
        <f aca="false">MAX(-Flows!CA75*CA$4*CA20/100,0)</f>
        <v>0</v>
      </c>
      <c r="CB105" s="10" t="n">
        <f aca="false">MAX(-Flows!CB75*CB$4*CB20/100,0)</f>
        <v>0</v>
      </c>
      <c r="CC105" s="10" t="n">
        <f aca="false">MAX(-Flows!CC75*CC$4*CC20/100,0)</f>
        <v>0</v>
      </c>
      <c r="CD105" s="10" t="n">
        <f aca="false">MAX(-Flows!CD75*CD$4*CD20/100,0)</f>
        <v>0</v>
      </c>
      <c r="CE105" s="10" t="n">
        <f aca="false">MAX(-Flows!CE75*CE$4*CE20/100,0)</f>
        <v>0</v>
      </c>
      <c r="CF105" s="10" t="n">
        <f aca="false">MAX(-Flows!CF75*CF$4*CF20/100,0)</f>
        <v>0</v>
      </c>
      <c r="CG105" s="10" t="n">
        <f aca="false">MAX(-Flows!CG75*CG$4*CG20/100,0)</f>
        <v>141155261028.303</v>
      </c>
      <c r="CH105" s="10" t="n">
        <f aca="false">MAX(-Flows!CH75*CH$4*CH20/100,0)</f>
        <v>141155261028.303</v>
      </c>
      <c r="CI105" s="10" t="n">
        <f aca="false">MAX(-Flows!CI75*CI$4*CI20/100,0)</f>
        <v>0</v>
      </c>
      <c r="CJ105" s="10" t="n">
        <f aca="false">MAX(-Flows!CJ75*CJ$4*CJ20/100,0)</f>
        <v>0</v>
      </c>
      <c r="CK105" s="10" t="n">
        <f aca="false">MAX(-Flows!CK75*CK$4*CK20/100,0)</f>
        <v>0</v>
      </c>
      <c r="CL105" s="7" t="s">
        <v>320</v>
      </c>
      <c r="CM105" s="10" t="n">
        <f aca="false">-CM45</f>
        <v>-262816766.861173</v>
      </c>
      <c r="CN105" s="10" t="n">
        <f aca="false">-CN45</f>
        <v>-148679458.79863</v>
      </c>
      <c r="CO105" s="10" t="n">
        <f aca="false">-CO45</f>
        <v>-312404086.41327</v>
      </c>
      <c r="CP105" s="10" t="n">
        <f aca="false">-CP45</f>
        <v>-117099885.581104</v>
      </c>
      <c r="CQ105" s="10" t="n">
        <f aca="false">-CQ45</f>
        <v>-140732998.178461</v>
      </c>
      <c r="CR105" s="10" t="n">
        <f aca="false">-CR45</f>
        <v>13217163805095700</v>
      </c>
      <c r="CS105" s="10" t="n">
        <f aca="false">-CS45</f>
        <v>3150332.21981867</v>
      </c>
      <c r="CT105" s="10" t="n">
        <f aca="false">-CT45</f>
        <v>-8970794.95450457</v>
      </c>
      <c r="CU105" s="10" t="n">
        <f aca="false">-CU45</f>
        <v>-3825181.03271945</v>
      </c>
      <c r="CV105" s="10" t="n">
        <f aca="false">-CV45</f>
        <v>-208537.306013722</v>
      </c>
      <c r="CX105" s="0" t="str">
        <f aca="false">INDEX($C$1:$CK$1,MATCH(LARGE($C105:$CK105,1),$C105:$CK105,0))</f>
        <v>Iron (lb)</v>
      </c>
      <c r="CY105" s="0" t="str">
        <f aca="false">INDEX($C$1:$CK$1,MATCH(LARGE($C105:$CK105,2),$C105:$CK105,0))</f>
        <v>Cu (lb)</v>
      </c>
      <c r="CZ105" s="0" t="str">
        <f aca="false">INDEX($C$1:$CK$1,MATCH(LARGE($C105:$CK105,3),$C105:$CK105,0))</f>
        <v>Ag (lb)</v>
      </c>
      <c r="DA105" s="0" t="str">
        <f aca="false">INDEX($C$1:$CK$1,MATCH(LARGE($C105:$CK105,4),$C105:$CK105,0))</f>
        <v>Au (lb)</v>
      </c>
      <c r="DB105" s="0" t="str">
        <f aca="false">INDEX($C$1:$CK$1,MATCH(LARGE($C105:$CK105,5),$C105:$CK105,0))</f>
        <v>Diamonds (lb)</v>
      </c>
      <c r="DD105" s="0" t="str">
        <f aca="false">IF(LARGE($CM105:$CV105,1)&gt;0,INDEX($CM$30:$CV$30,MATCH(LARGE($CM105:$CV105,1),$CM105:$CV105,0)),"N/A")</f>
        <v>Mineral</v>
      </c>
      <c r="DE105" s="0" t="str">
        <f aca="false">IF(LARGE($CM105:$CV105,2)&gt;0,INDEX($CM$30:$CV$30,MATCH(LARGE($CM105:$CV105,2),$CM105:$CV105,0)),"N/A")</f>
        <v>Wood</v>
      </c>
      <c r="DF105" s="0" t="str">
        <f aca="false">IF(LARGE($CM105:$CV105,3)&gt;0,INDEX($CM$30:$CV$30,MATCH(LARGE($CM105:$CV105,3),$CM105:$CV105,0)),"N/A")</f>
        <v>N/A</v>
      </c>
      <c r="DG105" s="0" t="str">
        <f aca="false">IF(LARGE($CM105:$CV105,4)&gt;0,INDEX($CM$30:$CV$30,MATCH(LARGE($CM105:$CV105,4),$CM105:$CV105,0)),"N/A")</f>
        <v>N/A</v>
      </c>
      <c r="DH105" s="0" t="str">
        <f aca="false">IF(LARGE($CM105:$CV105,5)&gt;0,INDEX($CM$30:$CV$30,MATCH(LARGE($CM105:$CV105,5),$CM105:$CV105,0)),"N/A")</f>
        <v>N/A</v>
      </c>
    </row>
    <row r="106" s="18" customFormat="true" ht="12.8" hidden="false" customHeight="false" outlineLevel="0" collapsed="false">
      <c r="A106" s="22" t="s">
        <v>152</v>
      </c>
      <c r="B106" s="22" t="s">
        <v>39</v>
      </c>
      <c r="C106" s="26" t="n">
        <f aca="false">MAX(-Flows!C76*C$4*C21/100,0)</f>
        <v>8681350.24760579</v>
      </c>
      <c r="D106" s="26" t="n">
        <f aca="false">MAX(-Flows!D76*D$4*D21/100,0)</f>
        <v>0</v>
      </c>
      <c r="E106" s="26" t="n">
        <f aca="false">MAX(-Flows!E76*E$4*E21/100,0)</f>
        <v>15142930.7327711</v>
      </c>
      <c r="F106" s="26" t="n">
        <f aca="false">MAX(-Flows!F76*F$4*F21/100,0)</f>
        <v>0</v>
      </c>
      <c r="G106" s="26" t="n">
        <f aca="false">MAX(-Flows!G76*G$4*G21/100,0)</f>
        <v>0</v>
      </c>
      <c r="H106" s="26" t="n">
        <f aca="false">MAX(-Flows!H76*H$4*H21/100,0)</f>
        <v>0</v>
      </c>
      <c r="I106" s="26" t="n">
        <f aca="false">MAX(-Flows!I76*I$4*I21/100,0)</f>
        <v>28513183.3804405</v>
      </c>
      <c r="J106" s="26" t="n">
        <f aca="false">MAX(-Flows!J76*J$4*J21/100,0)</f>
        <v>0</v>
      </c>
      <c r="K106" s="26" t="n">
        <f aca="false">MAX(-Flows!K76*K$4*K21/100,0)</f>
        <v>0</v>
      </c>
      <c r="L106" s="26" t="n">
        <f aca="false">MAX(-Flows!L76*L$4*L21/100,0)</f>
        <v>0</v>
      </c>
      <c r="M106" s="26" t="n">
        <f aca="false">MAX(-Flows!M76*M$4*M21/100,0)</f>
        <v>0</v>
      </c>
      <c r="N106" s="26" t="n">
        <f aca="false">MAX(-Flows!N76*N$4*N21/100,0)</f>
        <v>0</v>
      </c>
      <c r="O106" s="26" t="n">
        <f aca="false">MAX(-Flows!O76*O$4*O21/100,0)</f>
        <v>0</v>
      </c>
      <c r="P106" s="26" t="n">
        <f aca="false">MAX(-Flows!P76*P$4*P21/100,0)</f>
        <v>0</v>
      </c>
      <c r="Q106" s="26" t="n">
        <f aca="false">MAX(-Flows!Q76*Q$4*Q21/100,0)</f>
        <v>0</v>
      </c>
      <c r="R106" s="26" t="n">
        <f aca="false">MAX(-Flows!R76*R$4*R21/100,0)</f>
        <v>5903252.58681389</v>
      </c>
      <c r="S106" s="26" t="n">
        <f aca="false">MAX(-Flows!S76*S$4*S21/100,0)</f>
        <v>0</v>
      </c>
      <c r="T106" s="26" t="n">
        <f aca="false">MAX(-Flows!T76*T$4*T21/100,0)</f>
        <v>0</v>
      </c>
      <c r="U106" s="26" t="n">
        <f aca="false">MAX(-Flows!U76*U$4*U21/100,0)</f>
        <v>0</v>
      </c>
      <c r="V106" s="26" t="n">
        <f aca="false">MAX(-Flows!V76*V$4*V21/100,0)</f>
        <v>38242186.1178601</v>
      </c>
      <c r="W106" s="26" t="n">
        <f aca="false">MAX(-Flows!W76*W$4*W21/100,0)</f>
        <v>0</v>
      </c>
      <c r="X106" s="26" t="n">
        <f aca="false">MAX(-Flows!X76*X$4*X21/100,0)</f>
        <v>21909050.742954</v>
      </c>
      <c r="Y106" s="26" t="n">
        <f aca="false">MAX(-Flows!Y76*Y$4*Y21/100,0)</f>
        <v>0</v>
      </c>
      <c r="Z106" s="26" t="n">
        <f aca="false">MAX(-Flows!Z76*Z$4*Z21/100,0)</f>
        <v>0</v>
      </c>
      <c r="AA106" s="26" t="n">
        <f aca="false">MAX(-Flows!AA76*AA$4*AA21/100,0)</f>
        <v>0</v>
      </c>
      <c r="AB106" s="26" t="n">
        <f aca="false">MAX(-Flows!AB76*AB$4*AB21/100,0)</f>
        <v>0</v>
      </c>
      <c r="AC106" s="26" t="n">
        <f aca="false">MAX(-Flows!AC76*AC$4*AC21/100,0)</f>
        <v>0</v>
      </c>
      <c r="AD106" s="26" t="n">
        <f aca="false">MAX(-Flows!AD76*AD$4*AD21/100,0)</f>
        <v>0</v>
      </c>
      <c r="AE106" s="26" t="n">
        <f aca="false">MAX(-Flows!AE76*AE$4*AE21/100,0)</f>
        <v>0</v>
      </c>
      <c r="AF106" s="26" t="n">
        <f aca="false">MAX(-Flows!AF76*AF$4*AF21/100,0)</f>
        <v>0</v>
      </c>
      <c r="AG106" s="26" t="n">
        <f aca="false">MAX(-Flows!AG76*AG$4*AG21/100,0)</f>
        <v>0</v>
      </c>
      <c r="AH106" s="26" t="n">
        <f aca="false">MAX(-Flows!AH76*AH$4*AH21/100,0)</f>
        <v>0</v>
      </c>
      <c r="AI106" s="26" t="n">
        <f aca="false">MAX(-Flows!AI76*AI$4*AI21/100,0)</f>
        <v>0</v>
      </c>
      <c r="AJ106" s="26" t="n">
        <f aca="false">MAX(-Flows!AJ76*AJ$4*AJ21/100,0)</f>
        <v>0</v>
      </c>
      <c r="AK106" s="26" t="n">
        <f aca="false">MAX(-Flows!AK76*AK$4*AK21/100,0)</f>
        <v>0</v>
      </c>
      <c r="AL106" s="26" t="n">
        <f aca="false">MAX(-Flows!AL76*AL$4*AL21/100,0)</f>
        <v>0</v>
      </c>
      <c r="AM106" s="26" t="n">
        <f aca="false">MAX(-Flows!AM76*AM$4*AM21/100,0)</f>
        <v>0</v>
      </c>
      <c r="AN106" s="26" t="n">
        <f aca="false">MAX(-Flows!AN76*AN$4*AN21/100,0)</f>
        <v>0</v>
      </c>
      <c r="AO106" s="26" t="n">
        <f aca="false">MAX(-Flows!AO76*AO$4*AO21/100,0)</f>
        <v>0</v>
      </c>
      <c r="AP106" s="26" t="n">
        <f aca="false">MAX(-Flows!AP76*AP$4*AP21/100,0)</f>
        <v>0</v>
      </c>
      <c r="AQ106" s="26" t="n">
        <f aca="false">MAX(-Flows!AQ76*AQ$4*AQ21/100,0)</f>
        <v>2838140.29063338</v>
      </c>
      <c r="AR106" s="26" t="n">
        <f aca="false">MAX(-Flows!AR76*AR$4*AR21/100,0)</f>
        <v>0</v>
      </c>
      <c r="AS106" s="26" t="n">
        <f aca="false">MAX(-Flows!AS76*AS$4*AS21/100,0)</f>
        <v>0</v>
      </c>
      <c r="AT106" s="26" t="n">
        <f aca="false">MAX(-Flows!AT76*AT$4*AT21/100,0)</f>
        <v>0</v>
      </c>
      <c r="AU106" s="26" t="n">
        <f aca="false">MAX(-Flows!AU76*AU$4*AU21/100,0)</f>
        <v>0</v>
      </c>
      <c r="AV106" s="26" t="n">
        <f aca="false">MAX(-Flows!AV76*AV$4*AV21/100,0)</f>
        <v>0</v>
      </c>
      <c r="AW106" s="26" t="n">
        <f aca="false">MAX(-Flows!AW76*AW$4*AW21/100,0)</f>
        <v>0</v>
      </c>
      <c r="AX106" s="26" t="n">
        <f aca="false">MAX(-Flows!AX76*AX$4*AX21/100,0)</f>
        <v>0</v>
      </c>
      <c r="AY106" s="26" t="n">
        <f aca="false">MAX(-Flows!AY76*AY$4*AY21/100,0)</f>
        <v>0</v>
      </c>
      <c r="AZ106" s="26" t="n">
        <f aca="false">MAX(-Flows!AZ76*AZ$4*AZ21/100,0)</f>
        <v>0</v>
      </c>
      <c r="BA106" s="26" t="n">
        <f aca="false">MAX(-Flows!BA76*BA$4*BA21/100,0)</f>
        <v>0</v>
      </c>
      <c r="BB106" s="26" t="n">
        <f aca="false">MAX(-Flows!BB76*BB$4*BB21/100,0)</f>
        <v>0</v>
      </c>
      <c r="BC106" s="26" t="n">
        <f aca="false">MAX(-Flows!BC76*BC$4*BC21/100,0)</f>
        <v>0</v>
      </c>
      <c r="BD106" s="26" t="n">
        <f aca="false">MAX(-Flows!BD76*BD$4*BD21/100,0)</f>
        <v>0</v>
      </c>
      <c r="BE106" s="26" t="n">
        <f aca="false">MAX(-Flows!BE76*BE$4*BE21/100,0)</f>
        <v>0</v>
      </c>
      <c r="BF106" s="26" t="n">
        <f aca="false">MAX(-Flows!BF76*BF$4*BF21/100,0)</f>
        <v>0</v>
      </c>
      <c r="BG106" s="26" t="n">
        <f aca="false">MAX(-Flows!BG76*BG$4*BG21/100,0)</f>
        <v>888563.011373536</v>
      </c>
      <c r="BH106" s="26" t="n">
        <f aca="false">MAX(-Flows!BH76*BH$4*BH21/100,0)</f>
        <v>0</v>
      </c>
      <c r="BI106" s="26" t="n">
        <f aca="false">MAX(-Flows!BI76*BI$4*BI21/100,0)</f>
        <v>0</v>
      </c>
      <c r="BJ106" s="26" t="n">
        <f aca="false">MAX(-Flows!BJ76*BJ$4*BJ21/100,0)</f>
        <v>0</v>
      </c>
      <c r="BK106" s="26" t="n">
        <f aca="false">MAX(-Flows!BK76*BK$4*BK21/100,0)</f>
        <v>0</v>
      </c>
      <c r="BL106" s="26" t="n">
        <f aca="false">MAX(-Flows!BL76*BL$4*BL21/100,0)</f>
        <v>0</v>
      </c>
      <c r="BM106" s="26" t="n">
        <f aca="false">MAX(-Flows!BM76*BM$4*BM21/100,0)</f>
        <v>0</v>
      </c>
      <c r="BN106" s="26" t="n">
        <f aca="false">MAX(-Flows!BN76*BN$4*BN21/100,0)</f>
        <v>0</v>
      </c>
      <c r="BO106" s="26" t="n">
        <f aca="false">MAX(-Flows!BO76*BO$4*BO21/100,0)</f>
        <v>0</v>
      </c>
      <c r="BP106" s="26" t="n">
        <f aca="false">MAX(-Flows!BP76*BP$4*BP21/100,0)</f>
        <v>0</v>
      </c>
      <c r="BQ106" s="26" t="n">
        <f aca="false">MAX(-Flows!BQ76*BQ$4*BQ21/100,0)</f>
        <v>0</v>
      </c>
      <c r="BR106" s="26" t="n">
        <f aca="false">MAX(-Flows!BR76*BR$4*BR21/100,0)</f>
        <v>0</v>
      </c>
      <c r="BS106" s="26" t="n">
        <f aca="false">MAX(-Flows!BS76*BS$4*BS21/100,0)</f>
        <v>0</v>
      </c>
      <c r="BT106" s="26" t="n">
        <f aca="false">MAX(-Flows!BT76*BT$4*BT21/100,0)</f>
        <v>0</v>
      </c>
      <c r="BU106" s="26" t="n">
        <f aca="false">MAX(-Flows!BU76*BU$4*BU21/100,0)</f>
        <v>0</v>
      </c>
      <c r="BV106" s="26" t="n">
        <f aca="false">MAX(-Flows!BV76*BV$4*BV21/100,0)</f>
        <v>0</v>
      </c>
      <c r="BW106" s="26" t="n">
        <f aca="false">MAX(-Flows!BW76*BW$4*BW21/100,0)</f>
        <v>0</v>
      </c>
      <c r="BX106" s="26" t="n">
        <f aca="false">MAX(-Flows!BX76*BX$4*BX21/100,0)</f>
        <v>0</v>
      </c>
      <c r="BY106" s="26" t="n">
        <f aca="false">MAX(-Flows!BY76*BY$4*BY21/100,0)</f>
        <v>0</v>
      </c>
      <c r="BZ106" s="26" t="n">
        <f aca="false">MAX(-Flows!BZ76*BZ$4*BZ21/100,0)</f>
        <v>0</v>
      </c>
      <c r="CA106" s="26" t="n">
        <f aca="false">MAX(-Flows!CA76*CA$4*CA21/100,0)</f>
        <v>0</v>
      </c>
      <c r="CB106" s="26" t="n">
        <f aca="false">MAX(-Flows!CB76*CB$4*CB21/100,0)</f>
        <v>0</v>
      </c>
      <c r="CC106" s="26" t="n">
        <f aca="false">MAX(-Flows!CC76*CC$4*CC21/100,0)</f>
        <v>0</v>
      </c>
      <c r="CD106" s="26" t="n">
        <f aca="false">MAX(-Flows!CD76*CD$4*CD21/100,0)</f>
        <v>0</v>
      </c>
      <c r="CE106" s="26" t="n">
        <f aca="false">MAX(-Flows!CE76*CE$4*CE21/100,0)</f>
        <v>0</v>
      </c>
      <c r="CF106" s="26" t="n">
        <f aca="false">MAX(-Flows!CF76*CF$4*CF21/100,0)</f>
        <v>0</v>
      </c>
      <c r="CG106" s="26" t="n">
        <f aca="false">MAX(-Flows!CG76*CG$4*CG21/100,0)</f>
        <v>0</v>
      </c>
      <c r="CH106" s="26" t="n">
        <f aca="false">MAX(-Flows!CH76*CH$4*CH21/100,0)</f>
        <v>0</v>
      </c>
      <c r="CI106" s="26" t="n">
        <f aca="false">MAX(-Flows!CI76*CI$4*CI21/100,0)</f>
        <v>0</v>
      </c>
      <c r="CJ106" s="26" t="n">
        <f aca="false">MAX(-Flows!CJ76*CJ$4*CJ21/100,0)</f>
        <v>0</v>
      </c>
      <c r="CK106" s="26" t="n">
        <f aca="false">MAX(-Flows!CK76*CK$4*CK21/100,0)</f>
        <v>0</v>
      </c>
      <c r="CL106" s="22" t="s">
        <v>320</v>
      </c>
      <c r="CM106" s="26" t="n">
        <f aca="false">-CM46</f>
        <v>26661465.5445108</v>
      </c>
      <c r="CN106" s="26" t="n">
        <f aca="false">-CN46</f>
        <v>-93114196.4116671</v>
      </c>
      <c r="CO106" s="26" t="n">
        <f aca="false">-CO46</f>
        <v>-96286542.6185531</v>
      </c>
      <c r="CP106" s="26" t="n">
        <f aca="false">-CP46</f>
        <v>-106458916.146316</v>
      </c>
      <c r="CQ106" s="26" t="n">
        <f aca="false">-CQ46</f>
        <v>-146735790.720343</v>
      </c>
      <c r="CR106" s="26" t="n">
        <f aca="false">-CR46</f>
        <v>-82086363.9928781</v>
      </c>
      <c r="CS106" s="26" t="n">
        <f aca="false">-CS46</f>
        <v>-37326879.5812392</v>
      </c>
      <c r="CT106" s="26" t="n">
        <f aca="false">-CT46</f>
        <v>-9444807.88964412</v>
      </c>
      <c r="CU106" s="26" t="n">
        <f aca="false">-CU46</f>
        <v>-50704298.4275053</v>
      </c>
      <c r="CV106" s="26" t="n">
        <f aca="false">-CV46</f>
        <v>-618671.90012579</v>
      </c>
      <c r="CX106" s="18" t="str">
        <f aca="false">INDEX($C$1:$CK$1,MATCH(LARGE($C106:$CK106,1),$C106:$CK106,0))</f>
        <v>Cider (gal)</v>
      </c>
      <c r="CY106" s="18" t="str">
        <f aca="false">INDEX($C$1:$CK$1,MATCH(LARGE($C106:$CK106,2),$C106:$CK106,0))</f>
        <v>Honey (lb)</v>
      </c>
      <c r="CZ106" s="18" t="str">
        <f aca="false">INDEX($C$1:$CK$1,MATCH(LARGE($C106:$CK106,3),$C106:$CK106,0))</f>
        <v>Chipak (lb)</v>
      </c>
      <c r="DA106" s="18" t="str">
        <f aca="false">INDEX($C$1:$CK$1,MATCH(LARGE($C106:$CK106,4),$C106:$CK106,0))</f>
        <v>Nye (lb)</v>
      </c>
      <c r="DB106" s="18" t="str">
        <f aca="false">INDEX($C$1:$CK$1,MATCH(LARGE($C106:$CK106,5),$C106:$CK106,0))</f>
        <v>Sugar (oz)</v>
      </c>
      <c r="DD106" s="18" t="str">
        <f aca="false">IF(LARGE($CM106:$CV106,1)&gt;0,INDEX($CM$30:$CV$30,MATCH(LARGE($CM106:$CV106,1),$CM106:$CV106,0)),"N/A")</f>
        <v>Produce</v>
      </c>
      <c r="DE106" s="18" t="str">
        <f aca="false">IF(LARGE($CM106:$CV106,2)&gt;0,INDEX($CM$30:$CV$30,MATCH(LARGE($CM106:$CV106,2),$CM106:$CV106,0)),"N/A")</f>
        <v>N/A</v>
      </c>
      <c r="DF106" s="18" t="str">
        <f aca="false">IF(LARGE($CM106:$CV106,3)&gt;0,INDEX($CM$30:$CV$30,MATCH(LARGE($CM106:$CV106,3),$CM106:$CV106,0)),"N/A")</f>
        <v>N/A</v>
      </c>
      <c r="DG106" s="18" t="str">
        <f aca="false">IF(LARGE($CM106:$CV106,4)&gt;0,INDEX($CM$30:$CV$30,MATCH(LARGE($CM106:$CV106,4),$CM106:$CV106,0)),"N/A")</f>
        <v>N/A</v>
      </c>
      <c r="DH106" s="18" t="str">
        <f aca="false">IF(LARGE($CM106:$CV106,5)&gt;0,INDEX($CM$30:$CV$30,MATCH(LARGE($CM106:$CV106,5),$CM106:$CV106,0)),"N/A")</f>
        <v>N/A</v>
      </c>
    </row>
    <row r="107" customFormat="false" ht="12.8" hidden="false" customHeight="false" outlineLevel="0" collapsed="false">
      <c r="A107" s="7" t="s">
        <v>153</v>
      </c>
      <c r="B107" s="7" t="s">
        <v>39</v>
      </c>
      <c r="C107" s="10" t="n">
        <f aca="false">MAX(-Flows!C77*C$4*C22/100,0)</f>
        <v>51028680.6859546</v>
      </c>
      <c r="D107" s="10" t="n">
        <f aca="false">MAX(-Flows!D77*D$4*D22/100,0)</f>
        <v>20764915.1404422</v>
      </c>
      <c r="E107" s="10" t="n">
        <f aca="false">MAX(-Flows!E77*E$4*E22/100,0)</f>
        <v>62695326.1412919</v>
      </c>
      <c r="F107" s="10" t="n">
        <f aca="false">MAX(-Flows!F77*F$4*F22/100,0)</f>
        <v>0</v>
      </c>
      <c r="G107" s="10" t="n">
        <f aca="false">MAX(-Flows!G77*G$4*G22/100,0)</f>
        <v>15749576.5470558</v>
      </c>
      <c r="H107" s="10" t="n">
        <f aca="false">MAX(-Flows!H77*H$4*H22/100,0)</f>
        <v>70283677.4280089</v>
      </c>
      <c r="I107" s="10" t="n">
        <f aca="false">MAX(-Flows!I77*I$4*I22/100,0)</f>
        <v>0</v>
      </c>
      <c r="J107" s="10" t="n">
        <f aca="false">MAX(-Flows!J77*J$4*J22/100,0)</f>
        <v>0</v>
      </c>
      <c r="K107" s="10" t="n">
        <f aca="false">MAX(-Flows!K77*K$4*K22/100,0)</f>
        <v>0</v>
      </c>
      <c r="L107" s="10" t="n">
        <f aca="false">MAX(-Flows!L77*L$4*L22/100,0)</f>
        <v>0</v>
      </c>
      <c r="M107" s="10" t="n">
        <f aca="false">MAX(-Flows!M77*M$4*M22/100,0)</f>
        <v>0</v>
      </c>
      <c r="N107" s="10" t="n">
        <f aca="false">MAX(-Flows!N77*N$4*N22/100,0)</f>
        <v>56277974.1856955</v>
      </c>
      <c r="O107" s="10" t="n">
        <f aca="false">MAX(-Flows!O77*O$4*O22/100,0)</f>
        <v>0</v>
      </c>
      <c r="P107" s="10" t="n">
        <f aca="false">MAX(-Flows!P77*P$4*P22/100,0)</f>
        <v>0</v>
      </c>
      <c r="Q107" s="10" t="n">
        <f aca="false">MAX(-Flows!Q77*Q$4*Q22/100,0)</f>
        <v>4285973.25586415</v>
      </c>
      <c r="R107" s="10" t="n">
        <f aca="false">MAX(-Flows!R77*R$4*R22/100,0)</f>
        <v>35349057.1331827</v>
      </c>
      <c r="S107" s="10" t="n">
        <f aca="false">MAX(-Flows!S77*S$4*S22/100,0)</f>
        <v>0</v>
      </c>
      <c r="T107" s="10" t="n">
        <f aca="false">MAX(-Flows!T77*T$4*T22/100,0)</f>
        <v>0</v>
      </c>
      <c r="U107" s="10" t="n">
        <f aca="false">MAX(-Flows!U77*U$4*U22/100,0)</f>
        <v>0</v>
      </c>
      <c r="V107" s="10" t="n">
        <f aca="false">MAX(-Flows!V77*V$4*V22/100,0)</f>
        <v>0</v>
      </c>
      <c r="W107" s="10" t="n">
        <f aca="false">MAX(-Flows!W77*W$4*W22/100,0)</f>
        <v>0</v>
      </c>
      <c r="X107" s="10" t="n">
        <f aca="false">MAX(-Flows!X77*X$4*X22/100,0)</f>
        <v>0</v>
      </c>
      <c r="Y107" s="10" t="n">
        <f aca="false">MAX(-Flows!Y77*Y$4*Y22/100,0)</f>
        <v>0</v>
      </c>
      <c r="Z107" s="10" t="n">
        <f aca="false">MAX(-Flows!Z77*Z$4*Z22/100,0)</f>
        <v>2214941.51050179</v>
      </c>
      <c r="AA107" s="10" t="n">
        <f aca="false">MAX(-Flows!AA77*AA$4*AA22/100,0)</f>
        <v>0</v>
      </c>
      <c r="AB107" s="10" t="n">
        <f aca="false">MAX(-Flows!AB77*AB$4*AB22/100,0)</f>
        <v>0</v>
      </c>
      <c r="AC107" s="10" t="n">
        <f aca="false">MAX(-Flows!AC77*AC$4*AC22/100,0)</f>
        <v>535397.431041579</v>
      </c>
      <c r="AD107" s="10" t="n">
        <f aca="false">MAX(-Flows!AD77*AD$4*AD22/100,0)</f>
        <v>0</v>
      </c>
      <c r="AE107" s="10" t="n">
        <f aca="false">MAX(-Flows!AE77*AE$4*AE22/100,0)</f>
        <v>2616012.21166972</v>
      </c>
      <c r="AF107" s="10" t="n">
        <f aca="false">MAX(-Flows!AF77*AF$4*AF22/100,0)</f>
        <v>3375613.24847144</v>
      </c>
      <c r="AG107" s="10" t="n">
        <f aca="false">MAX(-Flows!AG77*AG$4*AG22/100,0)</f>
        <v>0</v>
      </c>
      <c r="AH107" s="10" t="n">
        <f aca="false">MAX(-Flows!AH77*AH$4*AH22/100,0)</f>
        <v>15101840.0483028</v>
      </c>
      <c r="AI107" s="10" t="n">
        <f aca="false">MAX(-Flows!AI77*AI$4*AI22/100,0)</f>
        <v>11650976.1580478</v>
      </c>
      <c r="AJ107" s="10" t="n">
        <f aca="false">MAX(-Flows!AJ77*AJ$4*AJ22/100,0)</f>
        <v>0</v>
      </c>
      <c r="AK107" s="10" t="n">
        <f aca="false">MAX(-Flows!AK77*AK$4*AK22/100,0)</f>
        <v>9157619.20838955</v>
      </c>
      <c r="AL107" s="10" t="n">
        <f aca="false">MAX(-Flows!AL77*AL$4*AL22/100,0)</f>
        <v>5445530.00823538</v>
      </c>
      <c r="AM107" s="10" t="n">
        <f aca="false">MAX(-Flows!AM77*AM$4*AM22/100,0)</f>
        <v>0</v>
      </c>
      <c r="AN107" s="10" t="n">
        <f aca="false">MAX(-Flows!AN77*AN$4*AN22/100,0)</f>
        <v>2509976.61871341</v>
      </c>
      <c r="AO107" s="10" t="n">
        <f aca="false">MAX(-Flows!AO77*AO$4*AO22/100,0)</f>
        <v>10437641.7470046</v>
      </c>
      <c r="AP107" s="10" t="n">
        <f aca="false">MAX(-Flows!AP77*AP$4*AP22/100,0)</f>
        <v>0</v>
      </c>
      <c r="AQ107" s="10" t="n">
        <f aca="false">MAX(-Flows!AQ77*AQ$4*AQ22/100,0)</f>
        <v>530153.852195959</v>
      </c>
      <c r="AR107" s="10" t="n">
        <f aca="false">MAX(-Flows!AR77*AR$4*AR22/100,0)</f>
        <v>0</v>
      </c>
      <c r="AS107" s="10" t="n">
        <f aca="false">MAX(-Flows!AS77*AS$4*AS22/100,0)</f>
        <v>0</v>
      </c>
      <c r="AT107" s="10" t="n">
        <f aca="false">MAX(-Flows!AT77*AT$4*AT22/100,0)</f>
        <v>19391736.035216</v>
      </c>
      <c r="AU107" s="10" t="n">
        <f aca="false">MAX(-Flows!AU77*AU$4*AU22/100,0)</f>
        <v>0</v>
      </c>
      <c r="AV107" s="10" t="n">
        <f aca="false">MAX(-Flows!AV77*AV$4*AV22/100,0)</f>
        <v>0</v>
      </c>
      <c r="AW107" s="10" t="n">
        <f aca="false">MAX(-Flows!AW77*AW$4*AW22/100,0)</f>
        <v>10391521.8654919</v>
      </c>
      <c r="AX107" s="10" t="n">
        <f aca="false">MAX(-Flows!AX77*AX$4*AX22/100,0)</f>
        <v>6726645.58859357</v>
      </c>
      <c r="AY107" s="10" t="n">
        <f aca="false">MAX(-Flows!AY77*AY$4*AY22/100,0)</f>
        <v>3179878.41563594</v>
      </c>
      <c r="AZ107" s="10" t="n">
        <f aca="false">MAX(-Flows!AZ77*AZ$4*AZ22/100,0)</f>
        <v>0</v>
      </c>
      <c r="BA107" s="10" t="n">
        <f aca="false">MAX(-Flows!BA77*BA$4*BA22/100,0)</f>
        <v>0</v>
      </c>
      <c r="BB107" s="10" t="n">
        <f aca="false">MAX(-Flows!BB77*BB$4*BB22/100,0)</f>
        <v>0</v>
      </c>
      <c r="BC107" s="10" t="n">
        <f aca="false">MAX(-Flows!BC77*BC$4*BC22/100,0)</f>
        <v>7189992.37051389</v>
      </c>
      <c r="BD107" s="10" t="n">
        <f aca="false">MAX(-Flows!BD77*BD$4*BD22/100,0)</f>
        <v>6880642.16864106</v>
      </c>
      <c r="BE107" s="10" t="n">
        <f aca="false">MAX(-Flows!BE77*BE$4*BE22/100,0)</f>
        <v>0</v>
      </c>
      <c r="BF107" s="10" t="n">
        <f aca="false">MAX(-Flows!BF77*BF$4*BF22/100,0)</f>
        <v>0</v>
      </c>
      <c r="BG107" s="10" t="n">
        <f aca="false">MAX(-Flows!BG77*BG$4*BG22/100,0)</f>
        <v>5705263.12245319</v>
      </c>
      <c r="BH107" s="10" t="n">
        <f aca="false">MAX(-Flows!BH77*BH$4*BH22/100,0)</f>
        <v>5663320.49773246</v>
      </c>
      <c r="BI107" s="10" t="n">
        <f aca="false">MAX(-Flows!BI77*BI$4*BI22/100,0)</f>
        <v>34862981.1413699</v>
      </c>
      <c r="BJ107" s="10" t="n">
        <f aca="false">MAX(-Flows!BJ77*BJ$4*BJ22/100,0)</f>
        <v>34862981.1413699</v>
      </c>
      <c r="BK107" s="10" t="n">
        <f aca="false">MAX(-Flows!BK77*BK$4*BK22/100,0)</f>
        <v>34862981.1413699</v>
      </c>
      <c r="BL107" s="10" t="n">
        <f aca="false">MAX(-Flows!BL77*BL$4*BL22/100,0)</f>
        <v>428597.325586415</v>
      </c>
      <c r="BM107" s="10" t="n">
        <f aca="false">MAX(-Flows!BM77*BM$4*BM22/100,0)</f>
        <v>428597.325586413</v>
      </c>
      <c r="BN107" s="10" t="n">
        <f aca="false">MAX(-Flows!BN77*BN$4*BN22/100,0)</f>
        <v>0</v>
      </c>
      <c r="BO107" s="10" t="n">
        <f aca="false">MAX(-Flows!BO77*BO$4*BO22/100,0)</f>
        <v>40388426502251.6</v>
      </c>
      <c r="BP107" s="10" t="n">
        <f aca="false">MAX(-Flows!BP77*BP$4*BP22/100,0)</f>
        <v>18847933050023800</v>
      </c>
      <c r="BQ107" s="10" t="n">
        <f aca="false">MAX(-Flows!BQ77*BQ$4*BQ22/100,0)</f>
        <v>0</v>
      </c>
      <c r="BR107" s="10" t="n">
        <f aca="false">MAX(-Flows!BR77*BR$4*BR22/100,0)</f>
        <v>13462807850933.4</v>
      </c>
      <c r="BS107" s="10" t="n">
        <f aca="false">MAX(-Flows!BS77*BS$4*BS22/100,0)</f>
        <v>6731403188103.86</v>
      </c>
      <c r="BT107" s="10" t="n">
        <f aca="false">MAX(-Flows!BT77*BT$4*BT22/100,0)</f>
        <v>0</v>
      </c>
      <c r="BU107" s="10" t="n">
        <f aca="false">MAX(-Flows!BU77*BU$4*BU22/100,0)</f>
        <v>0</v>
      </c>
      <c r="BV107" s="10" t="n">
        <f aca="false">MAX(-Flows!BV77*BV$4*BV22/100,0)</f>
        <v>0</v>
      </c>
      <c r="BW107" s="10" t="n">
        <f aca="false">MAX(-Flows!BW77*BW$4*BW22/100,0)</f>
        <v>0</v>
      </c>
      <c r="BX107" s="10" t="n">
        <f aca="false">MAX(-Flows!BX77*BX$4*BX22/100,0)</f>
        <v>857194.651172824</v>
      </c>
      <c r="BY107" s="10" t="n">
        <f aca="false">MAX(-Flows!BY77*BY$4*BY22/100,0)</f>
        <v>857194.651172832</v>
      </c>
      <c r="BZ107" s="10" t="n">
        <f aca="false">MAX(-Flows!BZ77*BZ$4*BZ22/100,0)</f>
        <v>33246489.7189541</v>
      </c>
      <c r="CA107" s="10" t="n">
        <f aca="false">MAX(-Flows!CA77*CA$4*CA22/100,0)</f>
        <v>33246489.7189541</v>
      </c>
      <c r="CB107" s="10" t="n">
        <f aca="false">MAX(-Flows!CB77*CB$4*CB22/100,0)</f>
        <v>4285973.2558642</v>
      </c>
      <c r="CC107" s="10" t="n">
        <f aca="false">MAX(-Flows!CC77*CC$4*CC22/100,0)</f>
        <v>1743149.0570685</v>
      </c>
      <c r="CD107" s="10" t="n">
        <f aca="false">MAX(-Flows!CD77*CD$4*CD22/100,0)</f>
        <v>0</v>
      </c>
      <c r="CE107" s="10" t="n">
        <f aca="false">MAX(-Flows!CE77*CE$4*CE22/100,0)</f>
        <v>1743149.0570685</v>
      </c>
      <c r="CF107" s="10" t="n">
        <f aca="false">MAX(-Flows!CF77*CF$4*CF22/100,0)</f>
        <v>6554009.26123607</v>
      </c>
      <c r="CG107" s="10" t="n">
        <f aca="false">MAX(-Flows!CG77*CG$4*CG22/100,0)</f>
        <v>201940665159.213</v>
      </c>
      <c r="CH107" s="10" t="n">
        <f aca="false">MAX(-Flows!CH77*CH$4*CH22/100,0)</f>
        <v>201940665159.213</v>
      </c>
      <c r="CI107" s="10" t="n">
        <f aca="false">MAX(-Flows!CI77*CI$4*CI22/100,0)</f>
        <v>2142986.62793211</v>
      </c>
      <c r="CJ107" s="10" t="n">
        <f aca="false">MAX(-Flows!CJ77*CJ$4*CJ22/100,0)</f>
        <v>214298.662793208</v>
      </c>
      <c r="CK107" s="10" t="n">
        <f aca="false">MAX(-Flows!CK77*CK$4*CK22/100,0)</f>
        <v>214298.662793209</v>
      </c>
      <c r="CL107" s="7" t="s">
        <v>320</v>
      </c>
      <c r="CM107" s="10" t="n">
        <f aca="false">-CM47</f>
        <v>150698807.464765</v>
      </c>
      <c r="CN107" s="10" t="n">
        <f aca="false">-CN47</f>
        <v>154118432.992227</v>
      </c>
      <c r="CO107" s="10" t="n">
        <f aca="false">-CO47</f>
        <v>16046851.3366123</v>
      </c>
      <c r="CP107" s="10" t="n">
        <f aca="false">-CP47</f>
        <v>92604787.9332488</v>
      </c>
      <c r="CQ107" s="10" t="n">
        <f aca="false">-CQ47</f>
        <v>-8167463.90101776</v>
      </c>
      <c r="CR107" s="10" t="n">
        <f aca="false">-CR47</f>
        <v>18908919485741900</v>
      </c>
      <c r="CS107" s="10" t="n">
        <f aca="false">-CS47</f>
        <v>14212175.9262827</v>
      </c>
      <c r="CT107" s="10" t="n">
        <f aca="false">-CT47</f>
        <v>6982606.58682248</v>
      </c>
      <c r="CU107" s="10" t="n">
        <f aca="false">-CU47</f>
        <v>-120473720.881694</v>
      </c>
      <c r="CV107" s="10" t="n">
        <f aca="false">-CV47</f>
        <v>-536739.284091822</v>
      </c>
      <c r="CX107" s="0" t="str">
        <f aca="false">INDEX($C$1:$CK$1,MATCH(LARGE($C107:$CK107,1),$C107:$CK107,0))</f>
        <v>Iron (lb)</v>
      </c>
      <c r="CY107" s="0" t="str">
        <f aca="false">INDEX($C$1:$CK$1,MATCH(LARGE($C107:$CK107,2),$C107:$CK107,0))</f>
        <v>Cu (lb)</v>
      </c>
      <c r="CZ107" s="0" t="str">
        <f aca="false">INDEX($C$1:$CK$1,MATCH(LARGE($C107:$CK107,3),$C107:$CK107,0))</f>
        <v>Ag (lb)</v>
      </c>
      <c r="DA107" s="0" t="str">
        <f aca="false">INDEX($C$1:$CK$1,MATCH(LARGE($C107:$CK107,4),$C107:$CK107,0))</f>
        <v>Au (lb)</v>
      </c>
      <c r="DB107" s="0" t="str">
        <f aca="false">INDEX($C$1:$CK$1,MATCH(LARGE($C107:$CK107,5),$C107:$CK107,0))</f>
        <v>Diamonds (lb)</v>
      </c>
      <c r="DD107" s="0" t="str">
        <f aca="false">IF(LARGE($CM107:$CV107,1)&gt;0,INDEX($CM$30:$CV$30,MATCH(LARGE($CM107:$CV107,1),$CM107:$CV107,0)),"N/A")</f>
        <v>Mineral</v>
      </c>
      <c r="DE107" s="0" t="str">
        <f aca="false">IF(LARGE($CM107:$CV107,2)&gt;0,INDEX($CM$30:$CV$30,MATCH(LARGE($CM107:$CV107,2),$CM107:$CV107,0)),"N/A")</f>
        <v>Animal</v>
      </c>
      <c r="DF107" s="0" t="str">
        <f aca="false">IF(LARGE($CM107:$CV107,3)&gt;0,INDEX($CM$30:$CV$30,MATCH(LARGE($CM107:$CV107,3),$CM107:$CV107,0)),"N/A")</f>
        <v>Produce</v>
      </c>
      <c r="DG107" s="0" t="str">
        <f aca="false">IF(LARGE($CM107:$CV107,4)&gt;0,INDEX($CM$30:$CV$30,MATCH(LARGE($CM107:$CV107,4),$CM107:$CV107,0)),"N/A")</f>
        <v>Textile</v>
      </c>
      <c r="DH107" s="0" t="str">
        <f aca="false">IF(LARGE($CM107:$CV107,5)&gt;0,INDEX($CM$30:$CV$30,MATCH(LARGE($CM107:$CV107,5),$CM107:$CV107,0)),"N/A")</f>
        <v>Food Prod</v>
      </c>
    </row>
    <row r="108" customFormat="false" ht="12.8" hidden="false" customHeight="false" outlineLevel="0" collapsed="false">
      <c r="A108" s="7" t="s">
        <v>155</v>
      </c>
      <c r="B108" s="7" t="s">
        <v>39</v>
      </c>
      <c r="C108" s="10" t="n">
        <f aca="false">MAX(-Flows!C78*C$4*C23/100,0)</f>
        <v>307046932.612386</v>
      </c>
      <c r="D108" s="10" t="n">
        <f aca="false">MAX(-Flows!D78*D$4*D23/100,0)</f>
        <v>465991075.18542</v>
      </c>
      <c r="E108" s="10" t="n">
        <f aca="false">MAX(-Flows!E78*E$4*E23/100,0)</f>
        <v>200381183.490741</v>
      </c>
      <c r="F108" s="10" t="n">
        <f aca="false">MAX(-Flows!F78*F$4*F23/100,0)</f>
        <v>0</v>
      </c>
      <c r="G108" s="10" t="n">
        <f aca="false">MAX(-Flows!G78*G$4*G23/100,0)</f>
        <v>519743884.9202</v>
      </c>
      <c r="H108" s="10" t="n">
        <f aca="false">MAX(-Flows!H78*H$4*H23/100,0)</f>
        <v>863387477.082978</v>
      </c>
      <c r="I108" s="10" t="n">
        <f aca="false">MAX(-Flows!I78*I$4*I23/100,0)</f>
        <v>0</v>
      </c>
      <c r="J108" s="10" t="n">
        <f aca="false">MAX(-Flows!J78*J$4*J23/100,0)</f>
        <v>0</v>
      </c>
      <c r="K108" s="10" t="n">
        <f aca="false">MAX(-Flows!K78*K$4*K23/100,0)</f>
        <v>0</v>
      </c>
      <c r="L108" s="10" t="n">
        <f aca="false">MAX(-Flows!L78*L$4*L23/100,0)</f>
        <v>0</v>
      </c>
      <c r="M108" s="10" t="n">
        <f aca="false">MAX(-Flows!M78*M$4*M23/100,0)</f>
        <v>0</v>
      </c>
      <c r="N108" s="10" t="n">
        <f aca="false">MAX(-Flows!N78*N$4*N23/100,0)</f>
        <v>384421401.738515</v>
      </c>
      <c r="O108" s="10" t="n">
        <f aca="false">MAX(-Flows!O78*O$4*O23/100,0)</f>
        <v>0</v>
      </c>
      <c r="P108" s="10" t="n">
        <f aca="false">MAX(-Flows!P78*P$4*P23/100,0)</f>
        <v>0</v>
      </c>
      <c r="Q108" s="10" t="n">
        <f aca="false">MAX(-Flows!Q78*Q$4*Q23/100,0)</f>
        <v>815769479.913545</v>
      </c>
      <c r="R108" s="10" t="n">
        <f aca="false">MAX(-Flows!R78*R$4*R23/100,0)</f>
        <v>278099786.369714</v>
      </c>
      <c r="S108" s="10" t="n">
        <f aca="false">MAX(-Flows!S78*S$4*S23/100,0)</f>
        <v>0</v>
      </c>
      <c r="T108" s="10" t="n">
        <f aca="false">MAX(-Flows!T78*T$4*T23/100,0)</f>
        <v>0</v>
      </c>
      <c r="U108" s="10" t="n">
        <f aca="false">MAX(-Flows!U78*U$4*U23/100,0)</f>
        <v>0</v>
      </c>
      <c r="V108" s="10" t="n">
        <f aca="false">MAX(-Flows!V78*V$4*V23/100,0)</f>
        <v>1659826583.85763</v>
      </c>
      <c r="W108" s="10" t="n">
        <f aca="false">MAX(-Flows!W78*W$4*W23/100,0)</f>
        <v>1627782301.04231</v>
      </c>
      <c r="X108" s="10" t="n">
        <f aca="false">MAX(-Flows!X78*X$4*X23/100,0)</f>
        <v>647895432.762631</v>
      </c>
      <c r="Y108" s="10" t="n">
        <f aca="false">MAX(-Flows!Y78*Y$4*Y23/100,0)</f>
        <v>0</v>
      </c>
      <c r="Z108" s="10" t="n">
        <f aca="false">MAX(-Flows!Z78*Z$4*Z23/100,0)</f>
        <v>11515822.6079865</v>
      </c>
      <c r="AA108" s="10" t="n">
        <f aca="false">MAX(-Flows!AA78*AA$4*AA23/100,0)</f>
        <v>130828.475583916</v>
      </c>
      <c r="AB108" s="10" t="n">
        <f aca="false">MAX(-Flows!AB78*AB$4*AB23/100,0)</f>
        <v>2946957.62805168</v>
      </c>
      <c r="AC108" s="10" t="n">
        <f aca="false">MAX(-Flows!AC78*AC$4*AC23/100,0)</f>
        <v>0</v>
      </c>
      <c r="AD108" s="10" t="n">
        <f aca="false">MAX(-Flows!AD78*AD$4*AD23/100,0)</f>
        <v>1473478.81402584</v>
      </c>
      <c r="AE108" s="10" t="n">
        <f aca="false">MAX(-Flows!AE78*AE$4*AE23/100,0)</f>
        <v>27118134.4953858</v>
      </c>
      <c r="AF108" s="10" t="n">
        <f aca="false">MAX(-Flows!AF78*AF$4*AF23/100,0)</f>
        <v>59465760.8427949</v>
      </c>
      <c r="AG108" s="10" t="n">
        <f aca="false">MAX(-Flows!AG78*AG$4*AG23/100,0)</f>
        <v>181757853.925805</v>
      </c>
      <c r="AH108" s="10" t="n">
        <f aca="false">MAX(-Flows!AH78*AH$4*AH23/100,0)</f>
        <v>65436399.8894786</v>
      </c>
      <c r="AI108" s="10" t="n">
        <f aca="false">MAX(-Flows!AI78*AI$4*AI23/100,0)</f>
        <v>241431729.884917</v>
      </c>
      <c r="AJ108" s="10" t="n">
        <f aca="false">MAX(-Flows!AJ78*AJ$4*AJ23/100,0)</f>
        <v>64890769.3222956</v>
      </c>
      <c r="AK108" s="10" t="n">
        <f aca="false">MAX(-Flows!AK78*AK$4*AK23/100,0)</f>
        <v>217803042.928919</v>
      </c>
      <c r="AL108" s="10" t="n">
        <f aca="false">MAX(-Flows!AL78*AL$4*AL23/100,0)</f>
        <v>195712391.311905</v>
      </c>
      <c r="AM108" s="10" t="n">
        <f aca="false">MAX(-Flows!AM78*AM$4*AM23/100,0)</f>
        <v>250772742.117893</v>
      </c>
      <c r="AN108" s="10" t="n">
        <f aca="false">MAX(-Flows!AN78*AN$4*AN23/100,0)</f>
        <v>150140524.474664</v>
      </c>
      <c r="AO108" s="10" t="n">
        <f aca="false">MAX(-Flows!AO78*AO$4*AO23/100,0)</f>
        <v>111024749.569864</v>
      </c>
      <c r="AP108" s="10" t="n">
        <f aca="false">MAX(-Flows!AP78*AP$4*AP23/100,0)</f>
        <v>80729975.9009439</v>
      </c>
      <c r="AQ108" s="10" t="n">
        <f aca="false">MAX(-Flows!AQ78*AQ$4*AQ23/100,0)</f>
        <v>224249830.624952</v>
      </c>
      <c r="AR108" s="10" t="n">
        <f aca="false">MAX(-Flows!AR78*AR$4*AR23/100,0)</f>
        <v>267100280.2669</v>
      </c>
      <c r="AS108" s="10" t="n">
        <f aca="false">MAX(-Flows!AS78*AS$4*AS23/100,0)</f>
        <v>179688174.105803</v>
      </c>
      <c r="AT108" s="10" t="n">
        <f aca="false">MAX(-Flows!AT78*AT$4*AT23/100,0)</f>
        <v>108525946.647897</v>
      </c>
      <c r="AU108" s="10" t="n">
        <f aca="false">MAX(-Flows!AU78*AU$4*AU23/100,0)</f>
        <v>182113119.38176</v>
      </c>
      <c r="AV108" s="10" t="n">
        <f aca="false">MAX(-Flows!AV78*AV$4*AV23/100,0)</f>
        <v>221640239.579268</v>
      </c>
      <c r="AW108" s="10" t="n">
        <f aca="false">MAX(-Flows!AW78*AW$4*AW23/100,0)</f>
        <v>0</v>
      </c>
      <c r="AX108" s="10" t="n">
        <f aca="false">MAX(-Flows!AX78*AX$4*AX23/100,0)</f>
        <v>46968056.9112819</v>
      </c>
      <c r="AY108" s="10" t="n">
        <f aca="false">MAX(-Flows!AY78*AY$4*AY23/100,0)</f>
        <v>0</v>
      </c>
      <c r="AZ108" s="10" t="n">
        <f aca="false">MAX(-Flows!AZ78*AZ$4*AZ23/100,0)</f>
        <v>10037106.7695881</v>
      </c>
      <c r="BA108" s="10" t="n">
        <f aca="false">MAX(-Flows!BA78*BA$4*BA23/100,0)</f>
        <v>0</v>
      </c>
      <c r="BB108" s="10" t="n">
        <f aca="false">MAX(-Flows!BB78*BB$4*BB23/100,0)</f>
        <v>196263699.16569</v>
      </c>
      <c r="BC108" s="10" t="n">
        <f aca="false">MAX(-Flows!BC78*BC$4*BC23/100,0)</f>
        <v>124557718.214127</v>
      </c>
      <c r="BD108" s="10" t="n">
        <f aca="false">MAX(-Flows!BD78*BD$4*BD23/100,0)</f>
        <v>244121870.020656</v>
      </c>
      <c r="BE108" s="10" t="n">
        <f aca="false">MAX(-Flows!BE78*BE$4*BE23/100,0)</f>
        <v>85514330.6193272</v>
      </c>
      <c r="BF108" s="10" t="n">
        <f aca="false">MAX(-Flows!BF78*BF$4*BF23/100,0)</f>
        <v>424184471.956835</v>
      </c>
      <c r="BG108" s="10" t="n">
        <f aca="false">MAX(-Flows!BG78*BG$4*BG23/100,0)</f>
        <v>31870285.3632551</v>
      </c>
      <c r="BH108" s="10" t="n">
        <f aca="false">MAX(-Flows!BH78*BH$4*BH23/100,0)</f>
        <v>56057334.584665</v>
      </c>
      <c r="BI108" s="10" t="n">
        <f aca="false">MAX(-Flows!BI78*BI$4*BI23/100,0)</f>
        <v>305267800.883937</v>
      </c>
      <c r="BJ108" s="10" t="n">
        <f aca="false">MAX(-Flows!BJ78*BJ$4*BJ23/100,0)</f>
        <v>305267800.883937</v>
      </c>
      <c r="BK108" s="10" t="n">
        <f aca="false">MAX(-Flows!BK78*BK$4*BK23/100,0)</f>
        <v>305267800.883937</v>
      </c>
      <c r="BL108" s="10" t="n">
        <f aca="false">MAX(-Flows!BL78*BL$4*BL23/100,0)</f>
        <v>81576947.9913545</v>
      </c>
      <c r="BM108" s="10" t="n">
        <f aca="false">MAX(-Flows!BM78*BM$4*BM23/100,0)</f>
        <v>81576947.9913545</v>
      </c>
      <c r="BN108" s="10" t="n">
        <f aca="false">MAX(-Flows!BN78*BN$4*BN23/100,0)</f>
        <v>0</v>
      </c>
      <c r="BO108" s="10" t="n">
        <f aca="false">MAX(-Flows!BO78*BO$4*BO23/100,0)</f>
        <v>0</v>
      </c>
      <c r="BP108" s="10" t="n">
        <f aca="false">MAX(-Flows!BP78*BP$4*BP23/100,0)</f>
        <v>0</v>
      </c>
      <c r="BQ108" s="10" t="n">
        <f aca="false">MAX(-Flows!BQ78*BQ$4*BQ23/100,0)</f>
        <v>0</v>
      </c>
      <c r="BR108" s="10" t="n">
        <f aca="false">MAX(-Flows!BR78*BR$4*BR23/100,0)</f>
        <v>0</v>
      </c>
      <c r="BS108" s="10" t="n">
        <f aca="false">MAX(-Flows!BS78*BS$4*BS23/100,0)</f>
        <v>0</v>
      </c>
      <c r="BT108" s="10" t="n">
        <f aca="false">MAX(-Flows!BT78*BT$4*BT23/100,0)</f>
        <v>0</v>
      </c>
      <c r="BU108" s="10" t="n">
        <f aca="false">MAX(-Flows!BU78*BU$4*BU23/100,0)</f>
        <v>0</v>
      </c>
      <c r="BV108" s="10" t="n">
        <f aca="false">MAX(-Flows!BV78*BV$4*BV23/100,0)</f>
        <v>0</v>
      </c>
      <c r="BW108" s="10" t="n">
        <f aca="false">MAX(-Flows!BW78*BW$4*BW23/100,0)</f>
        <v>0</v>
      </c>
      <c r="BX108" s="10" t="n">
        <f aca="false">MAX(-Flows!BX78*BX$4*BX23/100,0)</f>
        <v>163153895.982709</v>
      </c>
      <c r="BY108" s="10" t="n">
        <f aca="false">MAX(-Flows!BY78*BY$4*BY23/100,0)</f>
        <v>163153895.982709</v>
      </c>
      <c r="BZ108" s="10" t="n">
        <f aca="false">MAX(-Flows!BZ78*BZ$4*BZ23/100,0)</f>
        <v>359047784.998342</v>
      </c>
      <c r="CA108" s="10" t="n">
        <f aca="false">MAX(-Flows!CA78*CA$4*CA23/100,0)</f>
        <v>359047784.998342</v>
      </c>
      <c r="CB108" s="10" t="n">
        <f aca="false">MAX(-Flows!CB78*CB$4*CB23/100,0)</f>
        <v>815769479.913545</v>
      </c>
      <c r="CC108" s="10" t="n">
        <f aca="false">MAX(-Flows!CC78*CC$4*CC23/100,0)</f>
        <v>15263390.0441968</v>
      </c>
      <c r="CD108" s="10" t="n">
        <f aca="false">MAX(-Flows!CD78*CD$4*CD23/100,0)</f>
        <v>0</v>
      </c>
      <c r="CE108" s="10" t="n">
        <f aca="false">MAX(-Flows!CE78*CE$4*CE23/100,0)</f>
        <v>15263390.0441968</v>
      </c>
      <c r="CF108" s="10" t="n">
        <f aca="false">MAX(-Flows!CF78*CF$4*CF23/100,0)</f>
        <v>30526780.0883937</v>
      </c>
      <c r="CG108" s="10" t="n">
        <f aca="false">MAX(-Flows!CG78*CG$4*CG23/100,0)</f>
        <v>0</v>
      </c>
      <c r="CH108" s="10" t="n">
        <f aca="false">MAX(-Flows!CH78*CH$4*CH23/100,0)</f>
        <v>0</v>
      </c>
      <c r="CI108" s="10" t="n">
        <f aca="false">MAX(-Flows!CI78*CI$4*CI23/100,0)</f>
        <v>407884739.956772</v>
      </c>
      <c r="CJ108" s="10" t="n">
        <f aca="false">MAX(-Flows!CJ78*CJ$4*CJ23/100,0)</f>
        <v>40788473.9956772</v>
      </c>
      <c r="CK108" s="10" t="n">
        <f aca="false">MAX(-Flows!CK78*CK$4*CK23/100,0)</f>
        <v>40788473.9956772</v>
      </c>
      <c r="CL108" s="7" t="s">
        <v>320</v>
      </c>
      <c r="CM108" s="10" t="n">
        <f aca="false">-CM48</f>
        <v>2218432978.09751</v>
      </c>
      <c r="CN108" s="10" t="n">
        <f aca="false">-CN48</f>
        <v>1555780654.28761</v>
      </c>
      <c r="CO108" s="10" t="n">
        <f aca="false">-CO48</f>
        <v>5809562364.59306</v>
      </c>
      <c r="CP108" s="10" t="n">
        <f aca="false">-CP48</f>
        <v>1881873678.98286</v>
      </c>
      <c r="CQ108" s="10" t="n">
        <f aca="false">-CQ48</f>
        <v>2919729204.70317</v>
      </c>
      <c r="CR108" s="10" t="n">
        <f aca="false">-CR48</f>
        <v>420777151.923118</v>
      </c>
      <c r="CS108" s="10" t="n">
        <f aca="false">-CS48</f>
        <v>383862665.104582</v>
      </c>
      <c r="CT108" s="10" t="n">
        <f aca="false">-CT48</f>
        <v>112103728.079748</v>
      </c>
      <c r="CU108" s="10" t="n">
        <f aca="false">-CU48</f>
        <v>-160654559.03898</v>
      </c>
      <c r="CV108" s="10" t="n">
        <f aca="false">-CV48</f>
        <v>4420436.44207752</v>
      </c>
      <c r="CX108" s="0" t="str">
        <f aca="false">INDEX($C$1:$CK$1,MATCH(LARGE($C108:$CK108,1),$C108:$CK108,0))</f>
        <v>Cider (gal)</v>
      </c>
      <c r="CY108" s="0" t="str">
        <f aca="false">INDEX($C$1:$CK$1,MATCH(LARGE($C108:$CK108,2),$C108:$CK108,0))</f>
        <v>Sauce (lb)</v>
      </c>
      <c r="CZ108" s="0" t="str">
        <f aca="false">INDEX($C$1:$CK$1,MATCH(LARGE($C108:$CK108,3),$C108:$CK108,0))</f>
        <v>Jax (lb)</v>
      </c>
      <c r="DA108" s="0" t="str">
        <f aca="false">INDEX($C$1:$CK$1,MATCH(LARGE($C108:$CK108,4),$C108:$CK108,0))</f>
        <v>Veg Oil (lb)</v>
      </c>
      <c r="DB108" s="27" t="s">
        <v>399</v>
      </c>
      <c r="DD108" s="0" t="str">
        <f aca="false">IF(LARGE($CM108:$CV108,1)&gt;0,INDEX($CM$30:$CV$30,MATCH(LARGE($CM108:$CV108,1),$CM108:$CV108,0)),"N/A")</f>
        <v>Food Prod</v>
      </c>
      <c r="DE108" s="0" t="str">
        <f aca="false">IF(LARGE($CM108:$CV108,2)&gt;0,INDEX($CM$30:$CV$30,MATCH(LARGE($CM108:$CV108,2),$CM108:$CV108,0)),"N/A")</f>
        <v>Tools</v>
      </c>
      <c r="DF108" s="0" t="str">
        <f aca="false">IF(LARGE($CM108:$CV108,3)&gt;0,INDEX($CM$30:$CV$30,MATCH(LARGE($CM108:$CV108,3),$CM108:$CV108,0)),"N/A")</f>
        <v>Produce</v>
      </c>
      <c r="DG108" s="0" t="str">
        <f aca="false">IF(LARGE($CM108:$CV108,4)&gt;0,INDEX($CM$30:$CV$30,MATCH(LARGE($CM108:$CV108,4),$CM108:$CV108,0)),"N/A")</f>
        <v>Textile</v>
      </c>
      <c r="DH108" s="0" t="str">
        <f aca="false">IF(LARGE($CM108:$CV108,5)&gt;0,INDEX($CM$30:$CV$30,MATCH(LARGE($CM108:$CV108,5),$CM108:$CV108,0)),"N/A")</f>
        <v>Animal</v>
      </c>
    </row>
    <row r="109" customFormat="false" ht="12.8" hidden="false" customHeight="false" outlineLevel="0" collapsed="false">
      <c r="A109" s="7" t="s">
        <v>156</v>
      </c>
      <c r="B109" s="7" t="s">
        <v>39</v>
      </c>
      <c r="C109" s="10" t="n">
        <f aca="false">MAX(-Flows!C79*C$4*C24/100,0)</f>
        <v>0</v>
      </c>
      <c r="D109" s="10" t="n">
        <f aca="false">MAX(-Flows!D79*D$4*D24/100,0)</f>
        <v>0</v>
      </c>
      <c r="E109" s="10" t="n">
        <f aca="false">MAX(-Flows!E79*E$4*E24/100,0)</f>
        <v>0</v>
      </c>
      <c r="F109" s="10" t="n">
        <f aca="false">MAX(-Flows!F79*F$4*F24/100,0)</f>
        <v>0</v>
      </c>
      <c r="G109" s="10" t="n">
        <f aca="false">MAX(-Flows!G79*G$4*G24/100,0)</f>
        <v>0</v>
      </c>
      <c r="H109" s="10" t="n">
        <f aca="false">MAX(-Flows!H79*H$4*H24/100,0)</f>
        <v>0</v>
      </c>
      <c r="I109" s="10" t="n">
        <f aca="false">MAX(-Flows!I79*I$4*I24/100,0)</f>
        <v>0</v>
      </c>
      <c r="J109" s="10" t="n">
        <f aca="false">MAX(-Flows!J79*J$4*J24/100,0)</f>
        <v>78198814.3609977</v>
      </c>
      <c r="K109" s="10" t="n">
        <f aca="false">MAX(-Flows!K79*K$4*K24/100,0)</f>
        <v>0</v>
      </c>
      <c r="L109" s="10" t="n">
        <f aca="false">MAX(-Flows!L79*L$4*L24/100,0)</f>
        <v>0</v>
      </c>
      <c r="M109" s="10" t="n">
        <f aca="false">MAX(-Flows!M79*M$4*M24/100,0)</f>
        <v>0</v>
      </c>
      <c r="N109" s="10" t="n">
        <f aca="false">MAX(-Flows!N79*N$4*N24/100,0)</f>
        <v>0</v>
      </c>
      <c r="O109" s="10" t="n">
        <f aca="false">MAX(-Flows!O79*O$4*O24/100,0)</f>
        <v>0</v>
      </c>
      <c r="P109" s="10" t="n">
        <f aca="false">MAX(-Flows!P79*P$4*P24/100,0)</f>
        <v>0</v>
      </c>
      <c r="Q109" s="10" t="n">
        <f aca="false">MAX(-Flows!Q79*Q$4*Q24/100,0)</f>
        <v>0</v>
      </c>
      <c r="R109" s="10" t="n">
        <f aca="false">MAX(-Flows!R79*R$4*R24/100,0)</f>
        <v>0</v>
      </c>
      <c r="S109" s="10" t="n">
        <f aca="false">MAX(-Flows!S79*S$4*S24/100,0)</f>
        <v>0</v>
      </c>
      <c r="T109" s="10" t="n">
        <f aca="false">MAX(-Flows!T79*T$4*T24/100,0)</f>
        <v>0</v>
      </c>
      <c r="U109" s="10" t="n">
        <f aca="false">MAX(-Flows!U79*U$4*U24/100,0)</f>
        <v>0</v>
      </c>
      <c r="V109" s="10" t="n">
        <f aca="false">MAX(-Flows!V79*V$4*V24/100,0)</f>
        <v>0</v>
      </c>
      <c r="W109" s="10" t="n">
        <f aca="false">MAX(-Flows!W79*W$4*W24/100,0)</f>
        <v>0</v>
      </c>
      <c r="X109" s="10" t="n">
        <f aca="false">MAX(-Flows!X79*X$4*X24/100,0)</f>
        <v>0</v>
      </c>
      <c r="Y109" s="10" t="n">
        <f aca="false">MAX(-Flows!Y79*Y$4*Y24/100,0)</f>
        <v>0</v>
      </c>
      <c r="Z109" s="10" t="n">
        <f aca="false">MAX(-Flows!Z79*Z$4*Z24/100,0)</f>
        <v>2244863.27558027</v>
      </c>
      <c r="AA109" s="10" t="n">
        <f aca="false">MAX(-Flows!AA79*AA$4*AA24/100,0)</f>
        <v>0</v>
      </c>
      <c r="AB109" s="10" t="n">
        <f aca="false">MAX(-Flows!AB79*AB$4*AB24/100,0)</f>
        <v>0</v>
      </c>
      <c r="AC109" s="10" t="n">
        <f aca="false">MAX(-Flows!AC79*AC$4*AC24/100,0)</f>
        <v>561435.871324452</v>
      </c>
      <c r="AD109" s="10" t="n">
        <f aca="false">MAX(-Flows!AD79*AD$4*AD24/100,0)</f>
        <v>0</v>
      </c>
      <c r="AE109" s="10" t="n">
        <f aca="false">MAX(-Flows!AE79*AE$4*AE24/100,0)</f>
        <v>0</v>
      </c>
      <c r="AF109" s="10" t="n">
        <f aca="false">MAX(-Flows!AF79*AF$4*AF24/100,0)</f>
        <v>0</v>
      </c>
      <c r="AG109" s="10" t="n">
        <f aca="false">MAX(-Flows!AG79*AG$4*AG24/100,0)</f>
        <v>0</v>
      </c>
      <c r="AH109" s="10" t="n">
        <f aca="false">MAX(-Flows!AH79*AH$4*AH24/100,0)</f>
        <v>0</v>
      </c>
      <c r="AI109" s="10" t="n">
        <f aca="false">MAX(-Flows!AI79*AI$4*AI24/100,0)</f>
        <v>0</v>
      </c>
      <c r="AJ109" s="10" t="n">
        <f aca="false">MAX(-Flows!AJ79*AJ$4*AJ24/100,0)</f>
        <v>0</v>
      </c>
      <c r="AK109" s="10" t="n">
        <f aca="false">MAX(-Flows!AK79*AK$4*AK24/100,0)</f>
        <v>0</v>
      </c>
      <c r="AL109" s="10" t="n">
        <f aca="false">MAX(-Flows!AL79*AL$4*AL24/100,0)</f>
        <v>0</v>
      </c>
      <c r="AM109" s="10" t="n">
        <f aca="false">MAX(-Flows!AM79*AM$4*AM24/100,0)</f>
        <v>0</v>
      </c>
      <c r="AN109" s="10" t="n">
        <f aca="false">MAX(-Flows!AN79*AN$4*AN24/100,0)</f>
        <v>0</v>
      </c>
      <c r="AO109" s="10" t="n">
        <f aca="false">MAX(-Flows!AO79*AO$4*AO24/100,0)</f>
        <v>0</v>
      </c>
      <c r="AP109" s="10" t="n">
        <f aca="false">MAX(-Flows!AP79*AP$4*AP24/100,0)</f>
        <v>0</v>
      </c>
      <c r="AQ109" s="10" t="n">
        <f aca="false">MAX(-Flows!AQ79*AQ$4*AQ24/100,0)</f>
        <v>0</v>
      </c>
      <c r="AR109" s="10" t="n">
        <f aca="false">MAX(-Flows!AR79*AR$4*AR24/100,0)</f>
        <v>0</v>
      </c>
      <c r="AS109" s="10" t="n">
        <f aca="false">MAX(-Flows!AS79*AS$4*AS24/100,0)</f>
        <v>0</v>
      </c>
      <c r="AT109" s="10" t="n">
        <f aca="false">MAX(-Flows!AT79*AT$4*AT24/100,0)</f>
        <v>0</v>
      </c>
      <c r="AU109" s="10" t="n">
        <f aca="false">MAX(-Flows!AU79*AU$4*AU24/100,0)</f>
        <v>2953591.27964602</v>
      </c>
      <c r="AV109" s="10" t="n">
        <f aca="false">MAX(-Flows!AV79*AV$4*AV24/100,0)</f>
        <v>0</v>
      </c>
      <c r="AW109" s="10" t="n">
        <f aca="false">MAX(-Flows!AW79*AW$4*AW24/100,0)</f>
        <v>10721250.9269206</v>
      </c>
      <c r="AX109" s="10" t="n">
        <f aca="false">MAX(-Flows!AX79*AX$4*AX24/100,0)</f>
        <v>1866674.93653664</v>
      </c>
      <c r="AY109" s="10" t="n">
        <f aca="false">MAX(-Flows!AY79*AY$4*AY24/100,0)</f>
        <v>737419.16973728</v>
      </c>
      <c r="AZ109" s="10" t="n">
        <f aca="false">MAX(-Flows!AZ79*AZ$4*AZ24/100,0)</f>
        <v>0</v>
      </c>
      <c r="BA109" s="10" t="n">
        <f aca="false">MAX(-Flows!BA79*BA$4*BA24/100,0)</f>
        <v>0</v>
      </c>
      <c r="BB109" s="10" t="n">
        <f aca="false">MAX(-Flows!BB79*BB$4*BB24/100,0)</f>
        <v>0</v>
      </c>
      <c r="BC109" s="10" t="n">
        <f aca="false">MAX(-Flows!BC79*BC$4*BC24/100,0)</f>
        <v>0</v>
      </c>
      <c r="BD109" s="10" t="n">
        <f aca="false">MAX(-Flows!BD79*BD$4*BD24/100,0)</f>
        <v>0</v>
      </c>
      <c r="BE109" s="10" t="n">
        <f aca="false">MAX(-Flows!BE79*BE$4*BE24/100,0)</f>
        <v>0</v>
      </c>
      <c r="BF109" s="10" t="n">
        <f aca="false">MAX(-Flows!BF79*BF$4*BF24/100,0)</f>
        <v>0</v>
      </c>
      <c r="BG109" s="10" t="n">
        <f aca="false">MAX(-Flows!BG79*BG$4*BG24/100,0)</f>
        <v>2967900.84076223</v>
      </c>
      <c r="BH109" s="10" t="n">
        <f aca="false">MAX(-Flows!BH79*BH$4*BH24/100,0)</f>
        <v>0</v>
      </c>
      <c r="BI109" s="10" t="n">
        <f aca="false">MAX(-Flows!BI79*BI$4*BI24/100,0)</f>
        <v>0</v>
      </c>
      <c r="BJ109" s="10" t="n">
        <f aca="false">MAX(-Flows!BJ79*BJ$4*BJ24/100,0)</f>
        <v>0</v>
      </c>
      <c r="BK109" s="10" t="n">
        <f aca="false">MAX(-Flows!BK79*BK$4*BK24/100,0)</f>
        <v>0</v>
      </c>
      <c r="BL109" s="10" t="n">
        <f aca="false">MAX(-Flows!BL79*BL$4*BL24/100,0)</f>
        <v>0</v>
      </c>
      <c r="BM109" s="10" t="n">
        <f aca="false">MAX(-Flows!BM79*BM$4*BM24/100,0)</f>
        <v>0</v>
      </c>
      <c r="BN109" s="10" t="n">
        <f aca="false">MAX(-Flows!BN79*BN$4*BN24/100,0)</f>
        <v>0</v>
      </c>
      <c r="BO109" s="10" t="n">
        <f aca="false">MAX(-Flows!BO79*BO$4*BO24/100,0)</f>
        <v>43608348485271.1</v>
      </c>
      <c r="BP109" s="10" t="n">
        <f aca="false">MAX(-Flows!BP79*BP$4*BP24/100,0)</f>
        <v>20350562977509400</v>
      </c>
      <c r="BQ109" s="10" t="n">
        <f aca="false">MAX(-Flows!BQ79*BQ$4*BQ24/100,0)</f>
        <v>0</v>
      </c>
      <c r="BR109" s="10" t="n">
        <f aca="false">MAX(-Flows!BR79*BR$4*BR24/100,0)</f>
        <v>14536115655921.9</v>
      </c>
      <c r="BS109" s="10" t="n">
        <f aca="false">MAX(-Flows!BS79*BS$4*BS24/100,0)</f>
        <v>7268057448584.66</v>
      </c>
      <c r="BT109" s="10" t="n">
        <f aca="false">MAX(-Flows!BT79*BT$4*BT24/100,0)</f>
        <v>0</v>
      </c>
      <c r="BU109" s="10" t="n">
        <f aca="false">MAX(-Flows!BU79*BU$4*BU24/100,0)</f>
        <v>0</v>
      </c>
      <c r="BV109" s="10" t="n">
        <f aca="false">MAX(-Flows!BV79*BV$4*BV24/100,0)</f>
        <v>0</v>
      </c>
      <c r="BW109" s="10" t="n">
        <f aca="false">MAX(-Flows!BW79*BW$4*BW24/100,0)</f>
        <v>0</v>
      </c>
      <c r="BX109" s="10" t="n">
        <f aca="false">MAX(-Flows!BX79*BX$4*BX24/100,0)</f>
        <v>0</v>
      </c>
      <c r="BY109" s="10" t="n">
        <f aca="false">MAX(-Flows!BY79*BY$4*BY24/100,0)</f>
        <v>0</v>
      </c>
      <c r="BZ109" s="10" t="n">
        <f aca="false">MAX(-Flows!BZ79*BZ$4*BZ24/100,0)</f>
        <v>0</v>
      </c>
      <c r="CA109" s="10" t="n">
        <f aca="false">MAX(-Flows!CA79*CA$4*CA24/100,0)</f>
        <v>0</v>
      </c>
      <c r="CB109" s="10" t="n">
        <f aca="false">MAX(-Flows!CB79*CB$4*CB24/100,0)</f>
        <v>0</v>
      </c>
      <c r="CC109" s="10" t="n">
        <f aca="false">MAX(-Flows!CC79*CC$4*CC24/100,0)</f>
        <v>0</v>
      </c>
      <c r="CD109" s="10" t="n">
        <f aca="false">MAX(-Flows!CD79*CD$4*CD24/100,0)</f>
        <v>0</v>
      </c>
      <c r="CE109" s="10" t="n">
        <f aca="false">MAX(-Flows!CE79*CE$4*CE24/100,0)</f>
        <v>0</v>
      </c>
      <c r="CF109" s="10" t="n">
        <f aca="false">MAX(-Flows!CF79*CF$4*CF24/100,0)</f>
        <v>0</v>
      </c>
      <c r="CG109" s="10" t="n">
        <f aca="false">MAX(-Flows!CG79*CG$4*CG24/100,0)</f>
        <v>218040987467.492</v>
      </c>
      <c r="CH109" s="10" t="n">
        <f aca="false">MAX(-Flows!CH79*CH$4*CH24/100,0)</f>
        <v>218040987467.492</v>
      </c>
      <c r="CI109" s="10" t="n">
        <f aca="false">MAX(-Flows!CI79*CI$4*CI24/100,0)</f>
        <v>0</v>
      </c>
      <c r="CJ109" s="10" t="n">
        <f aca="false">MAX(-Flows!CJ79*CJ$4*CJ24/100,0)</f>
        <v>0</v>
      </c>
      <c r="CK109" s="10" t="n">
        <f aca="false">MAX(-Flows!CK79*CK$4*CK24/100,0)</f>
        <v>0</v>
      </c>
      <c r="CL109" s="7" t="s">
        <v>320</v>
      </c>
      <c r="CM109" s="10" t="n">
        <f aca="false">-CM49</f>
        <v>-244886887.36533</v>
      </c>
      <c r="CN109" s="10" t="n">
        <f aca="false">-CN49</f>
        <v>-150348643.627485</v>
      </c>
      <c r="CO109" s="10" t="n">
        <f aca="false">-CO49</f>
        <v>-376594329.259692</v>
      </c>
      <c r="CP109" s="10" t="n">
        <f aca="false">-CP49</f>
        <v>-68072807.1219944</v>
      </c>
      <c r="CQ109" s="10" t="n">
        <f aca="false">-CQ49</f>
        <v>-172404228.868266</v>
      </c>
      <c r="CR109" s="10" t="n">
        <f aca="false">-CR49</f>
        <v>20416411522439200</v>
      </c>
      <c r="CS109" s="10" t="n">
        <f aca="false">-CS49</f>
        <v>-17948970.4610807</v>
      </c>
      <c r="CT109" s="10" t="n">
        <f aca="false">-CT49</f>
        <v>-8991747.89811297</v>
      </c>
      <c r="CU109" s="10" t="n">
        <f aca="false">-CU49</f>
        <v>30321976.7763289</v>
      </c>
      <c r="CV109" s="10" t="n">
        <f aca="false">-CV49</f>
        <v>-788653.624300081</v>
      </c>
      <c r="CX109" s="0" t="str">
        <f aca="false">INDEX($C$1:$CK$1,MATCH(LARGE($C109:$CK109,1),$C109:$CK109,0))</f>
        <v>Iron (lb)</v>
      </c>
      <c r="CY109" s="0" t="str">
        <f aca="false">INDEX($C$1:$CK$1,MATCH(LARGE($C109:$CK109,2),$C109:$CK109,0))</f>
        <v>Cu (lb)</v>
      </c>
      <c r="CZ109" s="0" t="str">
        <f aca="false">INDEX($C$1:$CK$1,MATCH(LARGE($C109:$CK109,3),$C109:$CK109,0))</f>
        <v>Ag (lb)</v>
      </c>
      <c r="DA109" s="0" t="str">
        <f aca="false">INDEX($C$1:$CK$1,MATCH(LARGE($C109:$CK109,4),$C109:$CK109,0))</f>
        <v>Au (lb)</v>
      </c>
      <c r="DB109" s="0" t="str">
        <f aca="false">INDEX($C$1:$CK$1,MATCH(LARGE($C109:$CK109,5),$C109:$CK109,0))</f>
        <v>Diamonds (lb)</v>
      </c>
      <c r="DD109" s="0" t="str">
        <f aca="false">IF(LARGE($CM109:$CV109,1)&gt;0,INDEX($CM$30:$CV$30,MATCH(LARGE($CM109:$CV109,1),$CM109:$CV109,0)),"N/A")</f>
        <v>Mineral</v>
      </c>
      <c r="DE109" s="0" t="str">
        <f aca="false">IF(LARGE($CM109:$CV109,2)&gt;0,INDEX($CM$30:$CV$30,MATCH(LARGE($CM109:$CV109,2),$CM109:$CV109,0)),"N/A")</f>
        <v>Honey</v>
      </c>
      <c r="DF109" s="0" t="str">
        <f aca="false">IF(LARGE($CM109:$CV109,3)&gt;0,INDEX($CM$30:$CV$30,MATCH(LARGE($CM109:$CV109,3),$CM109:$CV109,0)),"N/A")</f>
        <v>N/A</v>
      </c>
      <c r="DG109" s="0" t="str">
        <f aca="false">IF(LARGE($CM109:$CV109,4)&gt;0,INDEX($CM$30:$CV$30,MATCH(LARGE($CM109:$CV109,4),$CM109:$CV109,0)),"N/A")</f>
        <v>N/A</v>
      </c>
      <c r="DH109" s="0" t="str">
        <f aca="false">IF(LARGE($CM109:$CV109,5)&gt;0,INDEX($CM$30:$CV$30,MATCH(LARGE($CM109:$CV109,5),$CM109:$CV109,0)),"N/A")</f>
        <v>N/A</v>
      </c>
    </row>
    <row r="110" customFormat="false" ht="12.8" hidden="false" customHeight="false" outlineLevel="0" collapsed="false">
      <c r="A110" s="7" t="s">
        <v>157</v>
      </c>
      <c r="B110" s="7" t="s">
        <v>39</v>
      </c>
      <c r="C110" s="10" t="n">
        <f aca="false">MAX(-Flows!C80*C$4*C25/100,0)</f>
        <v>106987537.603333</v>
      </c>
      <c r="D110" s="10" t="n">
        <f aca="false">MAX(-Flows!D80*D$4*D25/100,0)</f>
        <v>188535145.302769</v>
      </c>
      <c r="E110" s="10" t="n">
        <f aca="false">MAX(-Flows!E80*E$4*E25/100,0)</f>
        <v>51866662.2836031</v>
      </c>
      <c r="F110" s="10" t="n">
        <f aca="false">MAX(-Flows!F80*F$4*F25/100,0)</f>
        <v>0</v>
      </c>
      <c r="G110" s="10" t="n">
        <f aca="false">MAX(-Flows!G80*G$4*G25/100,0)</f>
        <v>216113405.019441</v>
      </c>
      <c r="H110" s="10" t="n">
        <f aca="false">MAX(-Flows!H80*H$4*H25/100,0)</f>
        <v>378233187.934832</v>
      </c>
      <c r="I110" s="10" t="n">
        <f aca="false">MAX(-Flows!I80*I$4*I25/100,0)</f>
        <v>0</v>
      </c>
      <c r="J110" s="10" t="n">
        <f aca="false">MAX(-Flows!J80*J$4*J25/100,0)</f>
        <v>0</v>
      </c>
      <c r="K110" s="10" t="n">
        <f aca="false">MAX(-Flows!K80*K$4*K25/100,0)</f>
        <v>0</v>
      </c>
      <c r="L110" s="10" t="n">
        <f aca="false">MAX(-Flows!L80*L$4*L25/100,0)</f>
        <v>0</v>
      </c>
      <c r="M110" s="10" t="n">
        <f aca="false">MAX(-Flows!M80*M$4*M25/100,0)</f>
        <v>0</v>
      </c>
      <c r="N110" s="10" t="n">
        <f aca="false">MAX(-Flows!N80*N$4*N25/100,0)</f>
        <v>144711726.366772</v>
      </c>
      <c r="O110" s="10" t="n">
        <f aca="false">MAX(-Flows!O80*O$4*O25/100,0)</f>
        <v>0</v>
      </c>
      <c r="P110" s="10" t="n">
        <f aca="false">MAX(-Flows!P80*P$4*P25/100,0)</f>
        <v>0</v>
      </c>
      <c r="Q110" s="10" t="n">
        <f aca="false">MAX(-Flows!Q80*Q$4*Q25/100,0)</f>
        <v>259474126.797675</v>
      </c>
      <c r="R110" s="10" t="n">
        <f aca="false">MAX(-Flows!R80*R$4*R25/100,0)</f>
        <v>91776418.4695763</v>
      </c>
      <c r="S110" s="10" t="n">
        <f aca="false">MAX(-Flows!S80*S$4*S25/100,0)</f>
        <v>0</v>
      </c>
      <c r="T110" s="10" t="n">
        <f aca="false">MAX(-Flows!T80*T$4*T25/100,0)</f>
        <v>0</v>
      </c>
      <c r="U110" s="10" t="n">
        <f aca="false">MAX(-Flows!U80*U$4*U25/100,0)</f>
        <v>0</v>
      </c>
      <c r="V110" s="10" t="n">
        <f aca="false">MAX(-Flows!V80*V$4*V25/100,0)</f>
        <v>0</v>
      </c>
      <c r="W110" s="10" t="n">
        <f aca="false">MAX(-Flows!W80*W$4*W25/100,0)</f>
        <v>214699056.426997</v>
      </c>
      <c r="X110" s="10" t="n">
        <f aca="false">MAX(-Flows!X80*X$4*X25/100,0)</f>
        <v>243009577.5738</v>
      </c>
      <c r="Y110" s="10" t="n">
        <f aca="false">MAX(-Flows!Y80*Y$4*Y25/100,0)</f>
        <v>0</v>
      </c>
      <c r="Z110" s="10" t="n">
        <f aca="false">MAX(-Flows!Z80*Z$4*Z25/100,0)</f>
        <v>16472442.9942832</v>
      </c>
      <c r="AA110" s="10" t="n">
        <f aca="false">MAX(-Flows!AA80*AA$4*AA25/100,0)</f>
        <v>197144.669241181</v>
      </c>
      <c r="AB110" s="10" t="n">
        <f aca="false">MAX(-Flows!AB80*AB$4*AB25/100,0)</f>
        <v>1173449.29031444</v>
      </c>
      <c r="AC110" s="10" t="n">
        <f aca="false">MAX(-Flows!AC80*AC$4*AC25/100,0)</f>
        <v>0</v>
      </c>
      <c r="AD110" s="10" t="n">
        <f aca="false">MAX(-Flows!AD80*AD$4*AD25/100,0)</f>
        <v>586724.645157218</v>
      </c>
      <c r="AE110" s="10" t="n">
        <f aca="false">MAX(-Flows!AE80*AE$4*AE25/100,0)</f>
        <v>8748005.49645484</v>
      </c>
      <c r="AF110" s="10" t="n">
        <f aca="false">MAX(-Flows!AF80*AF$4*AF25/100,0)</f>
        <v>24306078.5782181</v>
      </c>
      <c r="AG110" s="10" t="n">
        <f aca="false">MAX(-Flows!AG80*AG$4*AG25/100,0)</f>
        <v>55006345.6867661</v>
      </c>
      <c r="AH110" s="10" t="n">
        <f aca="false">MAX(-Flows!AH80*AH$4*AH25/100,0)</f>
        <v>48628072.5007751</v>
      </c>
      <c r="AI110" s="10" t="n">
        <f aca="false">MAX(-Flows!AI80*AI$4*AI25/100,0)</f>
        <v>41359596.9197248</v>
      </c>
      <c r="AJ110" s="10" t="n">
        <f aca="false">MAX(-Flows!AJ80*AJ$4*AJ25/100,0)</f>
        <v>0</v>
      </c>
      <c r="AK110" s="10" t="n">
        <f aca="false">MAX(-Flows!AK80*AK$4*AK25/100,0)</f>
        <v>0</v>
      </c>
      <c r="AL110" s="10" t="n">
        <f aca="false">MAX(-Flows!AL80*AL$4*AL25/100,0)</f>
        <v>31590440.9781683</v>
      </c>
      <c r="AM110" s="10" t="n">
        <f aca="false">MAX(-Flows!AM80*AM$4*AM25/100,0)</f>
        <v>30439861.2621091</v>
      </c>
      <c r="AN110" s="10" t="n">
        <f aca="false">MAX(-Flows!AN80*AN$4*AN25/100,0)</f>
        <v>0</v>
      </c>
      <c r="AO110" s="10" t="n">
        <f aca="false">MAX(-Flows!AO80*AO$4*AO25/100,0)</f>
        <v>20547789.058644</v>
      </c>
      <c r="AP110" s="10" t="n">
        <f aca="false">MAX(-Flows!AP80*AP$4*AP25/100,0)</f>
        <v>16353147.9035067</v>
      </c>
      <c r="AQ110" s="10" t="n">
        <f aca="false">MAX(-Flows!AQ80*AQ$4*AQ25/100,0)</f>
        <v>46017372.1098522</v>
      </c>
      <c r="AR110" s="10" t="n">
        <f aca="false">MAX(-Flows!AR80*AR$4*AR25/100,0)</f>
        <v>68654797.8159333</v>
      </c>
      <c r="AS110" s="10" t="n">
        <f aca="false">MAX(-Flows!AS80*AS$4*AS25/100,0)</f>
        <v>84339548.3745405</v>
      </c>
      <c r="AT110" s="10" t="n">
        <f aca="false">MAX(-Flows!AT80*AT$4*AT25/100,0)</f>
        <v>54440897.3997859</v>
      </c>
      <c r="AU110" s="10" t="n">
        <f aca="false">MAX(-Flows!AU80*AU$4*AU25/100,0)</f>
        <v>9410132.25325695</v>
      </c>
      <c r="AV110" s="10" t="n">
        <f aca="false">MAX(-Flows!AV80*AV$4*AV25/100,0)</f>
        <v>73153932.2935639</v>
      </c>
      <c r="AW110" s="10" t="n">
        <f aca="false">MAX(-Flows!AW80*AW$4*AW25/100,0)</f>
        <v>0</v>
      </c>
      <c r="AX110" s="10" t="n">
        <f aca="false">MAX(-Flows!AX80*AX$4*AX25/100,0)</f>
        <v>12686958.1000406</v>
      </c>
      <c r="AY110" s="10" t="n">
        <f aca="false">MAX(-Flows!AY80*AY$4*AY25/100,0)</f>
        <v>0</v>
      </c>
      <c r="AZ110" s="10" t="n">
        <f aca="false">MAX(-Flows!AZ80*AZ$4*AZ25/100,0)</f>
        <v>0</v>
      </c>
      <c r="BA110" s="10" t="n">
        <f aca="false">MAX(-Flows!BA80*BA$4*BA25/100,0)</f>
        <v>0</v>
      </c>
      <c r="BB110" s="10" t="n">
        <f aca="false">MAX(-Flows!BB80*BB$4*BB25/100,0)</f>
        <v>87234412.156561</v>
      </c>
      <c r="BC110" s="10" t="n">
        <f aca="false">MAX(-Flows!BC80*BC$4*BC25/100,0)</f>
        <v>57893434.1158711</v>
      </c>
      <c r="BD110" s="10" t="n">
        <f aca="false">MAX(-Flows!BD80*BD$4*BD25/100,0)</f>
        <v>55814525.1803577</v>
      </c>
      <c r="BE110" s="10" t="n">
        <f aca="false">MAX(-Flows!BE80*BE$4*BE25/100,0)</f>
        <v>4186909.42190348</v>
      </c>
      <c r="BF110" s="10" t="n">
        <f aca="false">MAX(-Flows!BF80*BF$4*BF25/100,0)</f>
        <v>130846359.309266</v>
      </c>
      <c r="BG110" s="10" t="n">
        <f aca="false">MAX(-Flows!BG80*BG$4*BG25/100,0)</f>
        <v>17438010.4339095</v>
      </c>
      <c r="BH110" s="10" t="n">
        <f aca="false">MAX(-Flows!BH80*BH$4*BH25/100,0)</f>
        <v>29431490.709933</v>
      </c>
      <c r="BI110" s="10" t="n">
        <f aca="false">MAX(-Flows!BI80*BI$4*BI25/100,0)</f>
        <v>111116878.906058</v>
      </c>
      <c r="BJ110" s="10" t="n">
        <f aca="false">MAX(-Flows!BJ80*BJ$4*BJ25/100,0)</f>
        <v>111116878.906058</v>
      </c>
      <c r="BK110" s="10" t="n">
        <f aca="false">MAX(-Flows!BK80*BK$4*BK25/100,0)</f>
        <v>111116878.906058</v>
      </c>
      <c r="BL110" s="10" t="n">
        <f aca="false">MAX(-Flows!BL80*BL$4*BL25/100,0)</f>
        <v>25947412.6797675</v>
      </c>
      <c r="BM110" s="10" t="n">
        <f aca="false">MAX(-Flows!BM80*BM$4*BM25/100,0)</f>
        <v>25947412.6797675</v>
      </c>
      <c r="BN110" s="10" t="n">
        <f aca="false">MAX(-Flows!BN80*BN$4*BN25/100,0)</f>
        <v>0</v>
      </c>
      <c r="BO110" s="10" t="n">
        <f aca="false">MAX(-Flows!BO80*BO$4*BO25/100,0)</f>
        <v>0</v>
      </c>
      <c r="BP110" s="10" t="n">
        <f aca="false">MAX(-Flows!BP80*BP$4*BP25/100,0)</f>
        <v>0</v>
      </c>
      <c r="BQ110" s="10" t="n">
        <f aca="false">MAX(-Flows!BQ80*BQ$4*BQ25/100,0)</f>
        <v>0</v>
      </c>
      <c r="BR110" s="10" t="n">
        <f aca="false">MAX(-Flows!BR80*BR$4*BR25/100,0)</f>
        <v>0</v>
      </c>
      <c r="BS110" s="10" t="n">
        <f aca="false">MAX(-Flows!BS80*BS$4*BS25/100,0)</f>
        <v>0</v>
      </c>
      <c r="BT110" s="10" t="n">
        <f aca="false">MAX(-Flows!BT80*BT$4*BT25/100,0)</f>
        <v>0</v>
      </c>
      <c r="BU110" s="10" t="n">
        <f aca="false">MAX(-Flows!BU80*BU$4*BU25/100,0)</f>
        <v>0</v>
      </c>
      <c r="BV110" s="10" t="n">
        <f aca="false">MAX(-Flows!BV80*BV$4*BV25/100,0)</f>
        <v>0</v>
      </c>
      <c r="BW110" s="10" t="n">
        <f aca="false">MAX(-Flows!BW80*BW$4*BW25/100,0)</f>
        <v>0</v>
      </c>
      <c r="BX110" s="10" t="n">
        <f aca="false">MAX(-Flows!BX80*BX$4*BX25/100,0)</f>
        <v>51894825.3595351</v>
      </c>
      <c r="BY110" s="10" t="n">
        <f aca="false">MAX(-Flows!BY80*BY$4*BY25/100,0)</f>
        <v>51894825.3595351</v>
      </c>
      <c r="BZ110" s="10" t="n">
        <f aca="false">MAX(-Flows!BZ80*BZ$4*BZ25/100,0)</f>
        <v>144935030.281399</v>
      </c>
      <c r="CA110" s="10" t="n">
        <f aca="false">MAX(-Flows!CA80*CA$4*CA25/100,0)</f>
        <v>144935030.281399</v>
      </c>
      <c r="CB110" s="10" t="n">
        <f aca="false">MAX(-Flows!CB80*CB$4*CB25/100,0)</f>
        <v>259474126.797675</v>
      </c>
      <c r="CC110" s="10" t="n">
        <f aca="false">MAX(-Flows!CC80*CC$4*CC25/100,0)</f>
        <v>5555843.94530292</v>
      </c>
      <c r="CD110" s="10" t="n">
        <f aca="false">MAX(-Flows!CD80*CD$4*CD25/100,0)</f>
        <v>0</v>
      </c>
      <c r="CE110" s="10" t="n">
        <f aca="false">MAX(-Flows!CE80*CE$4*CE25/100,0)</f>
        <v>5555843.94530293</v>
      </c>
      <c r="CF110" s="10" t="n">
        <f aca="false">MAX(-Flows!CF80*CF$4*CF25/100,0)</f>
        <v>21680357.741587</v>
      </c>
      <c r="CG110" s="10" t="n">
        <f aca="false">MAX(-Flows!CG80*CG$4*CG25/100,0)</f>
        <v>0</v>
      </c>
      <c r="CH110" s="10" t="n">
        <f aca="false">MAX(-Flows!CH80*CH$4*CH25/100,0)</f>
        <v>0</v>
      </c>
      <c r="CI110" s="10" t="n">
        <f aca="false">MAX(-Flows!CI80*CI$4*CI25/100,0)</f>
        <v>129737063.398838</v>
      </c>
      <c r="CJ110" s="10" t="n">
        <f aca="false">MAX(-Flows!CJ80*CJ$4*CJ25/100,0)</f>
        <v>12973706.3398838</v>
      </c>
      <c r="CK110" s="10" t="n">
        <f aca="false">MAX(-Flows!CK80*CK$4*CK25/100,0)</f>
        <v>12973706.3398838</v>
      </c>
      <c r="CL110" s="7" t="s">
        <v>320</v>
      </c>
      <c r="CM110" s="10" t="n">
        <f aca="false">-CM50</f>
        <v>844236516.546384</v>
      </c>
      <c r="CN110" s="10" t="n">
        <f aca="false">-CN50</f>
        <v>604780425.585585</v>
      </c>
      <c r="CO110" s="10" t="n">
        <f aca="false">-CO50</f>
        <v>1005483169.65519</v>
      </c>
      <c r="CP110" s="10" t="n">
        <f aca="false">-CP50</f>
        <v>680146762.724802</v>
      </c>
      <c r="CQ110" s="10" t="n">
        <f aca="false">-CQ50</f>
        <v>656459006.095818</v>
      </c>
      <c r="CR110" s="10" t="n">
        <f aca="false">-CR50</f>
        <v>104560681.777505</v>
      </c>
      <c r="CS110" s="10" t="n">
        <f aca="false">-CS50</f>
        <v>106468029.996335</v>
      </c>
      <c r="CT110" s="10" t="n">
        <f aca="false">-CT50</f>
        <v>47627770.4213545</v>
      </c>
      <c r="CU110" s="10" t="n">
        <f aca="false">-CU50</f>
        <v>-45641366.5611555</v>
      </c>
      <c r="CV110" s="10" t="n">
        <f aca="false">-CV50</f>
        <v>1760173.93547165</v>
      </c>
      <c r="CX110" s="0" t="str">
        <f aca="false">INDEX($C$1:$CK$1,MATCH(LARGE($C110:$CK110,1),$C110:$CK110,0))</f>
        <v>Jax (lb)</v>
      </c>
      <c r="CY110" s="0" t="str">
        <f aca="false">INDEX($C$1:$CK$1,MATCH(LARGE($C110:$CK110,2),$C110:$CK110,0))</f>
        <v>Veg Oil (lb)</v>
      </c>
      <c r="CZ110" s="27" t="s">
        <v>399</v>
      </c>
      <c r="DA110" s="0" t="str">
        <f aca="false">INDEX($C$1:$CK$1,MATCH(LARGE($C110:$CK110,4),$C110:$CK110,0))</f>
        <v>Chipak (lb)</v>
      </c>
      <c r="DB110" s="0" t="str">
        <f aca="false">INDEX($C$1:$CK$1,MATCH(LARGE($C110:$CK110,5),$C110:$CK110,0))</f>
        <v>Nunives (lb)</v>
      </c>
      <c r="DD110" s="0" t="str">
        <f aca="false">IF(LARGE($CM110:$CV110,1)&gt;0,INDEX($CM$30:$CV$30,MATCH(LARGE($CM110:$CV110,1),$CM110:$CV110,0)),"N/A")</f>
        <v>Food Prod</v>
      </c>
      <c r="DE110" s="0" t="str">
        <f aca="false">IF(LARGE($CM110:$CV110,2)&gt;0,INDEX($CM$30:$CV$30,MATCH(LARGE($CM110:$CV110,2),$CM110:$CV110,0)),"N/A")</f>
        <v>Produce</v>
      </c>
      <c r="DF110" s="0" t="str">
        <f aca="false">IF(LARGE($CM110:$CV110,3)&gt;0,INDEX($CM$30:$CV$30,MATCH(LARGE($CM110:$CV110,3),$CM110:$CV110,0)),"N/A")</f>
        <v>Textile</v>
      </c>
      <c r="DG110" s="0" t="str">
        <f aca="false">IF(LARGE($CM110:$CV110,4)&gt;0,INDEX($CM$30:$CV$30,MATCH(LARGE($CM110:$CV110,4),$CM110:$CV110,0)),"N/A")</f>
        <v>Tools</v>
      </c>
      <c r="DH110" s="0" t="str">
        <f aca="false">IF(LARGE($CM110:$CV110,5)&gt;0,INDEX($CM$30:$CV$30,MATCH(LARGE($CM110:$CV110,5),$CM110:$CV110,0)),"N/A")</f>
        <v>Animal</v>
      </c>
    </row>
    <row r="111" customFormat="false" ht="12.8" hidden="false" customHeight="false" outlineLevel="0" collapsed="false">
      <c r="A111" s="7" t="s">
        <v>158</v>
      </c>
      <c r="B111" s="7" t="s">
        <v>39</v>
      </c>
      <c r="C111" s="10" t="n">
        <f aca="false">MAX(-Flows!C81*C$4*C26/100,0)</f>
        <v>0</v>
      </c>
      <c r="D111" s="10" t="n">
        <f aca="false">MAX(-Flows!D81*D$4*D26/100,0)</f>
        <v>0</v>
      </c>
      <c r="E111" s="10" t="n">
        <f aca="false">MAX(-Flows!E81*E$4*E26/100,0)</f>
        <v>0</v>
      </c>
      <c r="F111" s="10" t="n">
        <f aca="false">MAX(-Flows!F81*F$4*F26/100,0)</f>
        <v>0</v>
      </c>
      <c r="G111" s="10" t="n">
        <f aca="false">MAX(-Flows!G81*G$4*G26/100,0)</f>
        <v>0</v>
      </c>
      <c r="H111" s="10" t="n">
        <f aca="false">MAX(-Flows!H81*H$4*H26/100,0)</f>
        <v>12343794.5226562</v>
      </c>
      <c r="I111" s="10" t="n">
        <f aca="false">MAX(-Flows!I81*I$4*I26/100,0)</f>
        <v>0</v>
      </c>
      <c r="J111" s="10" t="n">
        <f aca="false">MAX(-Flows!J81*J$4*J26/100,0)</f>
        <v>12272693.2567787</v>
      </c>
      <c r="K111" s="10" t="n">
        <f aca="false">MAX(-Flows!K81*K$4*K26/100,0)</f>
        <v>0</v>
      </c>
      <c r="L111" s="10" t="n">
        <f aca="false">MAX(-Flows!L81*L$4*L26/100,0)</f>
        <v>0</v>
      </c>
      <c r="M111" s="10" t="n">
        <f aca="false">MAX(-Flows!M81*M$4*M26/100,0)</f>
        <v>0</v>
      </c>
      <c r="N111" s="10" t="n">
        <f aca="false">MAX(-Flows!N81*N$4*N26/100,0)</f>
        <v>0</v>
      </c>
      <c r="O111" s="10" t="n">
        <f aca="false">MAX(-Flows!O81*O$4*O26/100,0)</f>
        <v>0</v>
      </c>
      <c r="P111" s="10" t="n">
        <f aca="false">MAX(-Flows!P81*P$4*P26/100,0)</f>
        <v>0</v>
      </c>
      <c r="Q111" s="10" t="n">
        <f aca="false">MAX(-Flows!Q81*Q$4*Q26/100,0)</f>
        <v>8229928.92513991</v>
      </c>
      <c r="R111" s="10" t="n">
        <f aca="false">MAX(-Flows!R81*R$4*R26/100,0)</f>
        <v>0</v>
      </c>
      <c r="S111" s="10" t="n">
        <f aca="false">MAX(-Flows!S81*S$4*S26/100,0)</f>
        <v>0</v>
      </c>
      <c r="T111" s="10" t="n">
        <f aca="false">MAX(-Flows!T81*T$4*T26/100,0)</f>
        <v>0</v>
      </c>
      <c r="U111" s="10" t="n">
        <f aca="false">MAX(-Flows!U81*U$4*U26/100,0)</f>
        <v>0</v>
      </c>
      <c r="V111" s="10" t="n">
        <f aca="false">MAX(-Flows!V81*V$4*V26/100,0)</f>
        <v>0</v>
      </c>
      <c r="W111" s="10" t="n">
        <f aca="false">MAX(-Flows!W81*W$4*W26/100,0)</f>
        <v>31248886.1512898</v>
      </c>
      <c r="X111" s="10" t="n">
        <f aca="false">MAX(-Flows!X81*X$4*X26/100,0)</f>
        <v>0</v>
      </c>
      <c r="Y111" s="10" t="n">
        <f aca="false">MAX(-Flows!Y81*Y$4*Y26/100,0)</f>
        <v>0</v>
      </c>
      <c r="Z111" s="10" t="n">
        <f aca="false">MAX(-Flows!Z81*Z$4*Z26/100,0)</f>
        <v>1899006.45171088</v>
      </c>
      <c r="AA111" s="10" t="n">
        <f aca="false">MAX(-Flows!AA81*AA$4*AA26/100,0)</f>
        <v>0</v>
      </c>
      <c r="AB111" s="10" t="n">
        <f aca="false">MAX(-Flows!AB81*AB$4*AB26/100,0)</f>
        <v>72203.8962845386</v>
      </c>
      <c r="AC111" s="10" t="n">
        <f aca="false">MAX(-Flows!AC81*AC$4*AC26/100,0)</f>
        <v>0</v>
      </c>
      <c r="AD111" s="10" t="n">
        <f aca="false">MAX(-Flows!AD81*AD$4*AD26/100,0)</f>
        <v>36101.9481422698</v>
      </c>
      <c r="AE111" s="10" t="n">
        <f aca="false">MAX(-Flows!AE81*AE$4*AE26/100,0)</f>
        <v>3175888.51683403</v>
      </c>
      <c r="AF111" s="10" t="n">
        <f aca="false">MAX(-Flows!AF81*AF$4*AF26/100,0)</f>
        <v>956172.280153639</v>
      </c>
      <c r="AG111" s="10" t="n">
        <f aca="false">MAX(-Flows!AG81*AG$4*AG26/100,0)</f>
        <v>11735489.7688253</v>
      </c>
      <c r="AH111" s="10" t="n">
        <f aca="false">MAX(-Flows!AH81*AH$4*AH26/100,0)</f>
        <v>0</v>
      </c>
      <c r="AI111" s="10" t="n">
        <f aca="false">MAX(-Flows!AI81*AI$4*AI26/100,0)</f>
        <v>5397503.58391796</v>
      </c>
      <c r="AJ111" s="10" t="n">
        <f aca="false">MAX(-Flows!AJ81*AJ$4*AJ26/100,0)</f>
        <v>16448461.2788695</v>
      </c>
      <c r="AK111" s="10" t="n">
        <f aca="false">MAX(-Flows!AK81*AK$4*AK26/100,0)</f>
        <v>0</v>
      </c>
      <c r="AL111" s="10" t="n">
        <f aca="false">MAX(-Flows!AL81*AL$4*AL26/100,0)</f>
        <v>9457090.48110061</v>
      </c>
      <c r="AM111" s="10" t="n">
        <f aca="false">MAX(-Flows!AM81*AM$4*AM26/100,0)</f>
        <v>13269436.3958461</v>
      </c>
      <c r="AN111" s="10" t="n">
        <f aca="false">MAX(-Flows!AN81*AN$4*AN26/100,0)</f>
        <v>10531880.9077618</v>
      </c>
      <c r="AO111" s="10" t="n">
        <f aca="false">MAX(-Flows!AO81*AO$4*AO26/100,0)</f>
        <v>8943907.64320058</v>
      </c>
      <c r="AP111" s="10" t="n">
        <f aca="false">MAX(-Flows!AP81*AP$4*AP26/100,0)</f>
        <v>11992724.777155</v>
      </c>
      <c r="AQ111" s="10" t="n">
        <f aca="false">MAX(-Flows!AQ81*AQ$4*AQ26/100,0)</f>
        <v>8375409.62278734</v>
      </c>
      <c r="AR111" s="10" t="n">
        <f aca="false">MAX(-Flows!AR81*AR$4*AR26/100,0)</f>
        <v>7197263.02543177</v>
      </c>
      <c r="AS111" s="10" t="n">
        <f aca="false">MAX(-Flows!AS81*AS$4*AS26/100,0)</f>
        <v>0</v>
      </c>
      <c r="AT111" s="10" t="n">
        <f aca="false">MAX(-Flows!AT81*AT$4*AT26/100,0)</f>
        <v>0</v>
      </c>
      <c r="AU111" s="10" t="n">
        <f aca="false">MAX(-Flows!AU81*AU$4*AU26/100,0)</f>
        <v>0</v>
      </c>
      <c r="AV111" s="10" t="n">
        <f aca="false">MAX(-Flows!AV81*AV$4*AV26/100,0)</f>
        <v>1402503.72208216</v>
      </c>
      <c r="AW111" s="10" t="n">
        <f aca="false">MAX(-Flows!AW81*AW$4*AW26/100,0)</f>
        <v>0</v>
      </c>
      <c r="AX111" s="10" t="n">
        <f aca="false">MAX(-Flows!AX81*AX$4*AX26/100,0)</f>
        <v>1046592.69972857</v>
      </c>
      <c r="AY111" s="10" t="n">
        <f aca="false">MAX(-Flows!AY81*AY$4*AY26/100,0)</f>
        <v>0</v>
      </c>
      <c r="AZ111" s="10" t="n">
        <f aca="false">MAX(-Flows!AZ81*AZ$4*AZ26/100,0)</f>
        <v>869671.996405697</v>
      </c>
      <c r="BA111" s="10" t="n">
        <f aca="false">MAX(-Flows!BA81*BA$4*BA26/100,0)</f>
        <v>0</v>
      </c>
      <c r="BB111" s="10" t="n">
        <f aca="false">MAX(-Flows!BB81*BB$4*BB26/100,0)</f>
        <v>0</v>
      </c>
      <c r="BC111" s="10" t="n">
        <f aca="false">MAX(-Flows!BC81*BC$4*BC26/100,0)</f>
        <v>0</v>
      </c>
      <c r="BD111" s="10" t="n">
        <f aca="false">MAX(-Flows!BD81*BD$4*BD26/100,0)</f>
        <v>0</v>
      </c>
      <c r="BE111" s="10" t="n">
        <f aca="false">MAX(-Flows!BE81*BE$4*BE26/100,0)</f>
        <v>0</v>
      </c>
      <c r="BF111" s="10" t="n">
        <f aca="false">MAX(-Flows!BF81*BF$4*BF26/100,0)</f>
        <v>0</v>
      </c>
      <c r="BG111" s="10" t="n">
        <f aca="false">MAX(-Flows!BG81*BG$4*BG26/100,0)</f>
        <v>0</v>
      </c>
      <c r="BH111" s="10" t="n">
        <f aca="false">MAX(-Flows!BH81*BH$4*BH26/100,0)</f>
        <v>0</v>
      </c>
      <c r="BI111" s="10" t="n">
        <f aca="false">MAX(-Flows!BI81*BI$4*BI26/100,0)</f>
        <v>0</v>
      </c>
      <c r="BJ111" s="10" t="n">
        <f aca="false">MAX(-Flows!BJ81*BJ$4*BJ26/100,0)</f>
        <v>0</v>
      </c>
      <c r="BK111" s="10" t="n">
        <f aca="false">MAX(-Flows!BK81*BK$4*BK26/100,0)</f>
        <v>0</v>
      </c>
      <c r="BL111" s="10" t="n">
        <f aca="false">MAX(-Flows!BL81*BL$4*BL26/100,0)</f>
        <v>822992.892513987</v>
      </c>
      <c r="BM111" s="10" t="n">
        <f aca="false">MAX(-Flows!BM81*BM$4*BM26/100,0)</f>
        <v>822992.892513994</v>
      </c>
      <c r="BN111" s="10" t="n">
        <f aca="false">MAX(-Flows!BN81*BN$4*BN26/100,0)</f>
        <v>0</v>
      </c>
      <c r="BO111" s="10" t="n">
        <f aca="false">MAX(-Flows!BO81*BO$4*BO26/100,0)</f>
        <v>31888119638885.8</v>
      </c>
      <c r="BP111" s="10" t="n">
        <f aca="false">MAX(-Flows!BP81*BP$4*BP26/100,0)</f>
        <v>14881122951164700</v>
      </c>
      <c r="BQ111" s="10" t="n">
        <f aca="false">MAX(-Flows!BQ81*BQ$4*BQ26/100,0)</f>
        <v>0</v>
      </c>
      <c r="BR111" s="10" t="n">
        <f aca="false">MAX(-Flows!BR81*BR$4*BR26/100,0)</f>
        <v>10629372560198.2</v>
      </c>
      <c r="BS111" s="10" t="n">
        <f aca="false">MAX(-Flows!BS81*BS$4*BS26/100,0)</f>
        <v>5314685790526.27</v>
      </c>
      <c r="BT111" s="10" t="n">
        <f aca="false">MAX(-Flows!BT81*BT$4*BT26/100,0)</f>
        <v>0</v>
      </c>
      <c r="BU111" s="10" t="n">
        <f aca="false">MAX(-Flows!BU81*BU$4*BU26/100,0)</f>
        <v>0</v>
      </c>
      <c r="BV111" s="10" t="n">
        <f aca="false">MAX(-Flows!BV81*BV$4*BV26/100,0)</f>
        <v>0</v>
      </c>
      <c r="BW111" s="10" t="n">
        <f aca="false">MAX(-Flows!BW81*BW$4*BW26/100,0)</f>
        <v>0</v>
      </c>
      <c r="BX111" s="10" t="n">
        <f aca="false">MAX(-Flows!BX81*BX$4*BX26/100,0)</f>
        <v>1645985.78502798</v>
      </c>
      <c r="BY111" s="10" t="n">
        <f aca="false">MAX(-Flows!BY81*BY$4*BY26/100,0)</f>
        <v>1645985.78502798</v>
      </c>
      <c r="BZ111" s="10" t="n">
        <f aca="false">MAX(-Flows!BZ81*BZ$4*BZ26/100,0)</f>
        <v>0</v>
      </c>
      <c r="CA111" s="10" t="n">
        <f aca="false">MAX(-Flows!CA81*CA$4*CA26/100,0)</f>
        <v>0</v>
      </c>
      <c r="CB111" s="10" t="n">
        <f aca="false">MAX(-Flows!CB81*CB$4*CB26/100,0)</f>
        <v>8229928.92513991</v>
      </c>
      <c r="CC111" s="10" t="n">
        <f aca="false">MAX(-Flows!CC81*CC$4*CC26/100,0)</f>
        <v>0</v>
      </c>
      <c r="CD111" s="10" t="n">
        <f aca="false">MAX(-Flows!CD81*CD$4*CD26/100,0)</f>
        <v>0</v>
      </c>
      <c r="CE111" s="10" t="n">
        <f aca="false">MAX(-Flows!CE81*CE$4*CE26/100,0)</f>
        <v>0</v>
      </c>
      <c r="CF111" s="10" t="n">
        <f aca="false">MAX(-Flows!CF81*CF$4*CF26/100,0)</f>
        <v>0</v>
      </c>
      <c r="CG111" s="10" t="n">
        <f aca="false">MAX(-Flows!CG81*CG$4*CG26/100,0)</f>
        <v>159439623944.528</v>
      </c>
      <c r="CH111" s="10" t="n">
        <f aca="false">MAX(-Flows!CH81*CH$4*CH26/100,0)</f>
        <v>159439623944.528</v>
      </c>
      <c r="CI111" s="10" t="n">
        <f aca="false">MAX(-Flows!CI81*CI$4*CI26/100,0)</f>
        <v>4114964.46256995</v>
      </c>
      <c r="CJ111" s="10" t="n">
        <f aca="false">MAX(-Flows!CJ81*CJ$4*CJ26/100,0)</f>
        <v>411496.446256994</v>
      </c>
      <c r="CK111" s="10" t="n">
        <f aca="false">MAX(-Flows!CK81*CK$4*CK26/100,0)</f>
        <v>411496.446256994</v>
      </c>
      <c r="CL111" s="7" t="s">
        <v>320</v>
      </c>
      <c r="CM111" s="10" t="n">
        <f aca="false">-CM51</f>
        <v>-119367231.220552</v>
      </c>
      <c r="CN111" s="10" t="n">
        <f aca="false">-CN51</f>
        <v>-97973843.6327593</v>
      </c>
      <c r="CO111" s="10" t="n">
        <f aca="false">-CO51</f>
        <v>-44586309.1138345</v>
      </c>
      <c r="CP111" s="10" t="n">
        <f aca="false">-CP51</f>
        <v>-6532815.5144911</v>
      </c>
      <c r="CQ111" s="10" t="n">
        <f aca="false">-CQ51</f>
        <v>70534082.1385399</v>
      </c>
      <c r="CR111" s="10" t="n">
        <f aca="false">-CR51</f>
        <v>14929273923134600</v>
      </c>
      <c r="CS111" s="10" t="n">
        <f aca="false">-CS51</f>
        <v>-18208267.305636</v>
      </c>
      <c r="CT111" s="10" t="n">
        <f aca="false">-CT51</f>
        <v>-3688866.51249712</v>
      </c>
      <c r="CU111" s="10" t="n">
        <f aca="false">-CU51</f>
        <v>-83019619.8972435</v>
      </c>
      <c r="CV111" s="10" t="n">
        <f aca="false">-CV51</f>
        <v>108305.844426808</v>
      </c>
      <c r="CX111" s="0" t="str">
        <f aca="false">INDEX($C$1:$CK$1,MATCH(LARGE($C111:$CK111,1),$C111:$CK111,0))</f>
        <v>Iron (lb)</v>
      </c>
      <c r="CY111" s="0" t="str">
        <f aca="false">INDEX($C$1:$CK$1,MATCH(LARGE($C111:$CK111,2),$C111:$CK111,0))</f>
        <v>Cu (lb)</v>
      </c>
      <c r="CZ111" s="0" t="str">
        <f aca="false">INDEX($C$1:$CK$1,MATCH(LARGE($C111:$CK111,3),$C111:$CK111,0))</f>
        <v>Ag (lb)</v>
      </c>
      <c r="DA111" s="0" t="str">
        <f aca="false">INDEX($C$1:$CK$1,MATCH(LARGE($C111:$CK111,4),$C111:$CK111,0))</f>
        <v>Au (lb)</v>
      </c>
      <c r="DB111" s="0" t="str">
        <f aca="false">INDEX($C$1:$CK$1,MATCH(LARGE($C111:$CK111,5),$C111:$CK111,0))</f>
        <v>Diamonds (lb)</v>
      </c>
      <c r="DD111" s="0" t="str">
        <f aca="false">IF(LARGE($CM111:$CV111,1)&gt;0,INDEX($CM$30:$CV$30,MATCH(LARGE($CM111:$CV111,1),$CM111:$CV111,0)),"N/A")</f>
        <v>Mineral</v>
      </c>
      <c r="DE111" s="0" t="str">
        <f aca="false">IF(LARGE($CM111:$CV111,2)&gt;0,INDEX($CM$30:$CV$30,MATCH(LARGE($CM111:$CV111,2),$CM111:$CV111,0)),"N/A")</f>
        <v>Tools</v>
      </c>
      <c r="DF111" s="0" t="str">
        <f aca="false">IF(LARGE($CM111:$CV111,3)&gt;0,INDEX($CM$30:$CV$30,MATCH(LARGE($CM111:$CV111,3),$CM111:$CV111,0)),"N/A")</f>
        <v>Service</v>
      </c>
      <c r="DG111" s="0" t="str">
        <f aca="false">IF(LARGE($CM111:$CV111,4)&gt;0,INDEX($CM$30:$CV$30,MATCH(LARGE($CM111:$CV111,4),$CM111:$CV111,0)),"N/A")</f>
        <v>N/A</v>
      </c>
      <c r="DH111" s="0" t="str">
        <f aca="false">IF(LARGE($CM111:$CV111,5)&gt;0,INDEX($CM$30:$CV$30,MATCH(LARGE($CM111:$CV111,5),$CM111:$CV111,0)),"N/A")</f>
        <v>N/A</v>
      </c>
    </row>
    <row r="112" customFormat="false" ht="12.8" hidden="false" customHeight="false" outlineLevel="0" collapsed="false">
      <c r="A112" s="7" t="s">
        <v>159</v>
      </c>
      <c r="B112" s="7" t="s">
        <v>39</v>
      </c>
      <c r="C112" s="10" t="n">
        <f aca="false">MAX(-Flows!C82*C$4*C27/100,0)</f>
        <v>46596291.7748909</v>
      </c>
      <c r="D112" s="10" t="n">
        <f aca="false">MAX(-Flows!D82*D$4*D27/100,0)</f>
        <v>51306903.4907567</v>
      </c>
      <c r="E112" s="10" t="n">
        <f aca="false">MAX(-Flows!E82*E$4*E27/100,0)</f>
        <v>66013497.7836208</v>
      </c>
      <c r="F112" s="10" t="n">
        <f aca="false">MAX(-Flows!F82*F$4*F27/100,0)</f>
        <v>0</v>
      </c>
      <c r="G112" s="10" t="n">
        <f aca="false">MAX(-Flows!G82*G$4*G27/100,0)</f>
        <v>52352898.4518584</v>
      </c>
      <c r="H112" s="10" t="n">
        <f aca="false">MAX(-Flows!H82*H$4*H27/100,0)</f>
        <v>36205573.8163323</v>
      </c>
      <c r="I112" s="10" t="n">
        <f aca="false">MAX(-Flows!I82*I$4*I27/100,0)</f>
        <v>0</v>
      </c>
      <c r="J112" s="10" t="n">
        <f aca="false">MAX(-Flows!J82*J$4*J27/100,0)</f>
        <v>0</v>
      </c>
      <c r="K112" s="10" t="n">
        <f aca="false">MAX(-Flows!K82*K$4*K27/100,0)</f>
        <v>0</v>
      </c>
      <c r="L112" s="10" t="n">
        <f aca="false">MAX(-Flows!L82*L$4*L27/100,0)</f>
        <v>0</v>
      </c>
      <c r="M112" s="10" t="n">
        <f aca="false">MAX(-Flows!M82*M$4*M27/100,0)</f>
        <v>0</v>
      </c>
      <c r="N112" s="10" t="n">
        <f aca="false">MAX(-Flows!N82*N$4*N27/100,0)</f>
        <v>43408144.1695097</v>
      </c>
      <c r="O112" s="10" t="n">
        <f aca="false">MAX(-Flows!O82*O$4*O27/100,0)</f>
        <v>0</v>
      </c>
      <c r="P112" s="10" t="n">
        <f aca="false">MAX(-Flows!P82*P$4*P27/100,0)</f>
        <v>0</v>
      </c>
      <c r="Q112" s="10" t="n">
        <f aca="false">MAX(-Flows!Q82*Q$4*Q27/100,0)</f>
        <v>431849915.78164</v>
      </c>
      <c r="R112" s="10" t="n">
        <f aca="false">MAX(-Flows!R82*R$4*R27/100,0)</f>
        <v>63340901.4742256</v>
      </c>
      <c r="S112" s="10" t="n">
        <f aca="false">MAX(-Flows!S82*S$4*S27/100,0)</f>
        <v>0</v>
      </c>
      <c r="T112" s="10" t="n">
        <f aca="false">MAX(-Flows!T82*T$4*T27/100,0)</f>
        <v>0</v>
      </c>
      <c r="U112" s="10" t="n">
        <f aca="false">MAX(-Flows!U82*U$4*U27/100,0)</f>
        <v>0</v>
      </c>
      <c r="V112" s="10" t="n">
        <f aca="false">MAX(-Flows!V82*V$4*V27/100,0)</f>
        <v>473932102.02175</v>
      </c>
      <c r="W112" s="10" t="n">
        <f aca="false">MAX(-Flows!W82*W$4*W27/100,0)</f>
        <v>114540297.571599</v>
      </c>
      <c r="X112" s="10" t="n">
        <f aca="false">MAX(-Flows!X82*X$4*X27/100,0)</f>
        <v>0</v>
      </c>
      <c r="Y112" s="10" t="n">
        <f aca="false">MAX(-Flows!Y82*Y$4*Y27/100,0)</f>
        <v>0</v>
      </c>
      <c r="Z112" s="10" t="n">
        <f aca="false">MAX(-Flows!Z82*Z$4*Z27/100,0)</f>
        <v>0</v>
      </c>
      <c r="AA112" s="10" t="n">
        <f aca="false">MAX(-Flows!AA82*AA$4*AA27/100,0)</f>
        <v>46444.2168061752</v>
      </c>
      <c r="AB112" s="10" t="n">
        <f aca="false">MAX(-Flows!AB82*AB$4*AB27/100,0)</f>
        <v>876751.322822722</v>
      </c>
      <c r="AC112" s="10" t="n">
        <f aca="false">MAX(-Flows!AC82*AC$4*AC27/100,0)</f>
        <v>0</v>
      </c>
      <c r="AD112" s="10" t="n">
        <f aca="false">MAX(-Flows!AD82*AD$4*AD27/100,0)</f>
        <v>438375.66141136</v>
      </c>
      <c r="AE112" s="10" t="n">
        <f aca="false">MAX(-Flows!AE82*AE$4*AE27/100,0)</f>
        <v>0</v>
      </c>
      <c r="AF112" s="10" t="n">
        <f aca="false">MAX(-Flows!AF82*AF$4*AF27/100,0)</f>
        <v>23190390.3634943</v>
      </c>
      <c r="AG112" s="10" t="n">
        <f aca="false">MAX(-Flows!AG82*AG$4*AG27/100,0)</f>
        <v>121132230.832084</v>
      </c>
      <c r="AH112" s="10" t="n">
        <f aca="false">MAX(-Flows!AH82*AH$4*AH27/100,0)</f>
        <v>112909706.979714</v>
      </c>
      <c r="AI112" s="10" t="n">
        <f aca="false">MAX(-Flows!AI82*AI$4*AI27/100,0)</f>
        <v>0</v>
      </c>
      <c r="AJ112" s="10" t="n">
        <f aca="false">MAX(-Flows!AJ82*AJ$4*AJ27/100,0)</f>
        <v>39726165.1124834</v>
      </c>
      <c r="AK112" s="10" t="n">
        <f aca="false">MAX(-Flows!AK82*AK$4*AK27/100,0)</f>
        <v>5615919.54826956</v>
      </c>
      <c r="AL112" s="10" t="n">
        <f aca="false">MAX(-Flows!AL82*AL$4*AL27/100,0)</f>
        <v>22587446.9926638</v>
      </c>
      <c r="AM112" s="10" t="n">
        <f aca="false">MAX(-Flows!AM82*AM$4*AM27/100,0)</f>
        <v>0</v>
      </c>
      <c r="AN112" s="10" t="n">
        <f aca="false">MAX(-Flows!AN82*AN$4*AN27/100,0)</f>
        <v>136282280.962048</v>
      </c>
      <c r="AO112" s="10" t="n">
        <f aca="false">MAX(-Flows!AO82*AO$4*AO27/100,0)</f>
        <v>69110124.3841868</v>
      </c>
      <c r="AP112" s="10" t="n">
        <f aca="false">MAX(-Flows!AP82*AP$4*AP27/100,0)</f>
        <v>97574852.337756</v>
      </c>
      <c r="AQ112" s="10" t="n">
        <f aca="false">MAX(-Flows!AQ82*AQ$4*AQ27/100,0)</f>
        <v>70821516.2605359</v>
      </c>
      <c r="AR112" s="10" t="n">
        <f aca="false">MAX(-Flows!AR82*AR$4*AR27/100,0)</f>
        <v>16860224.748947</v>
      </c>
      <c r="AS112" s="10" t="n">
        <f aca="false">MAX(-Flows!AS82*AS$4*AS27/100,0)</f>
        <v>99485323.0911398</v>
      </c>
      <c r="AT112" s="10" t="n">
        <f aca="false">MAX(-Flows!AT82*AT$4*AT27/100,0)</f>
        <v>110101455.945495</v>
      </c>
      <c r="AU112" s="10" t="n">
        <f aca="false">MAX(-Flows!AU82*AU$4*AU27/100,0)</f>
        <v>185379680.14353</v>
      </c>
      <c r="AV112" s="10" t="n">
        <f aca="false">MAX(-Flows!AV82*AV$4*AV27/100,0)</f>
        <v>12161989.4249737</v>
      </c>
      <c r="AW112" s="10" t="n">
        <f aca="false">MAX(-Flows!AW82*AW$4*AW27/100,0)</f>
        <v>0</v>
      </c>
      <c r="AX112" s="10" t="n">
        <f aca="false">MAX(-Flows!AX82*AX$4*AX27/100,0)</f>
        <v>39982547.1860331</v>
      </c>
      <c r="AY112" s="10" t="n">
        <f aca="false">MAX(-Flows!AY82*AY$4*AY27/100,0)</f>
        <v>1782632.59899648</v>
      </c>
      <c r="AZ112" s="10" t="n">
        <f aca="false">MAX(-Flows!AZ82*AZ$4*AZ27/100,0)</f>
        <v>7305128.39049062</v>
      </c>
      <c r="BA112" s="10" t="n">
        <f aca="false">MAX(-Flows!BA82*BA$4*BA27/100,0)</f>
        <v>0</v>
      </c>
      <c r="BB112" s="10" t="n">
        <f aca="false">MAX(-Flows!BB82*BB$4*BB27/100,0)</f>
        <v>27157646.3466718</v>
      </c>
      <c r="BC112" s="10" t="n">
        <f aca="false">MAX(-Flows!BC82*BC$4*BC27/100,0)</f>
        <v>46800321.663083</v>
      </c>
      <c r="BD112" s="10" t="n">
        <f aca="false">MAX(-Flows!BD82*BD$4*BD27/100,0)</f>
        <v>27479945.1174224</v>
      </c>
      <c r="BE112" s="10" t="n">
        <f aca="false">MAX(-Flows!BE82*BE$4*BE27/100,0)</f>
        <v>61209337.4375147</v>
      </c>
      <c r="BF112" s="10" t="n">
        <f aca="false">MAX(-Flows!BF82*BF$4*BF27/100,0)</f>
        <v>0</v>
      </c>
      <c r="BG112" s="10" t="n">
        <f aca="false">MAX(-Flows!BG82*BG$4*BG27/100,0)</f>
        <v>0</v>
      </c>
      <c r="BH112" s="10" t="n">
        <f aca="false">MAX(-Flows!BH82*BH$4*BH27/100,0)</f>
        <v>0</v>
      </c>
      <c r="BI112" s="10" t="n">
        <f aca="false">MAX(-Flows!BI82*BI$4*BI27/100,0)</f>
        <v>269462850.308474</v>
      </c>
      <c r="BJ112" s="10" t="n">
        <f aca="false">MAX(-Flows!BJ82*BJ$4*BJ27/100,0)</f>
        <v>269462850.308474</v>
      </c>
      <c r="BK112" s="10" t="n">
        <f aca="false">MAX(-Flows!BK82*BK$4*BK27/100,0)</f>
        <v>269462850.308474</v>
      </c>
      <c r="BL112" s="10" t="n">
        <f aca="false">MAX(-Flows!BL82*BL$4*BL27/100,0)</f>
        <v>43184991.5781639</v>
      </c>
      <c r="BM112" s="10" t="n">
        <f aca="false">MAX(-Flows!BM82*BM$4*BM27/100,0)</f>
        <v>43184991.578164</v>
      </c>
      <c r="BN112" s="10" t="n">
        <f aca="false">MAX(-Flows!BN82*BN$4*BN27/100,0)</f>
        <v>0</v>
      </c>
      <c r="BO112" s="10" t="n">
        <f aca="false">MAX(-Flows!BO82*BO$4*BO27/100,0)</f>
        <v>19070918354973.5</v>
      </c>
      <c r="BP112" s="10" t="n">
        <f aca="false">MAX(-Flows!BP82*BP$4*BP27/100,0)</f>
        <v>8899762843560550</v>
      </c>
      <c r="BQ112" s="10" t="n">
        <f aca="false">MAX(-Flows!BQ82*BQ$4*BQ27/100,0)</f>
        <v>0</v>
      </c>
      <c r="BR112" s="10" t="n">
        <f aca="false">MAX(-Flows!BR82*BR$4*BR27/100,0)</f>
        <v>6356971423935.14</v>
      </c>
      <c r="BS112" s="10" t="n">
        <f aca="false">MAX(-Flows!BS82*BS$4*BS27/100,0)</f>
        <v>3178484691175.53</v>
      </c>
      <c r="BT112" s="10" t="n">
        <f aca="false">MAX(-Flows!BT82*BT$4*BT27/100,0)</f>
        <v>0</v>
      </c>
      <c r="BU112" s="10" t="n">
        <f aca="false">MAX(-Flows!BU82*BU$4*BU27/100,0)</f>
        <v>0</v>
      </c>
      <c r="BV112" s="10" t="n">
        <f aca="false">MAX(-Flows!BV82*BV$4*BV27/100,0)</f>
        <v>0</v>
      </c>
      <c r="BW112" s="10" t="n">
        <f aca="false">MAX(-Flows!BW82*BW$4*BW27/100,0)</f>
        <v>0</v>
      </c>
      <c r="BX112" s="10" t="n">
        <f aca="false">MAX(-Flows!BX82*BX$4*BX27/100,0)</f>
        <v>86369983.1563279</v>
      </c>
      <c r="BY112" s="10" t="n">
        <f aca="false">MAX(-Flows!BY82*BY$4*BY27/100,0)</f>
        <v>86369983.1563279</v>
      </c>
      <c r="BZ112" s="10" t="n">
        <f aca="false">MAX(-Flows!BZ82*BZ$4*BZ27/100,0)</f>
        <v>318676091.293019</v>
      </c>
      <c r="CA112" s="10" t="n">
        <f aca="false">MAX(-Flows!CA82*CA$4*CA27/100,0)</f>
        <v>318676091.293019</v>
      </c>
      <c r="CB112" s="10" t="n">
        <f aca="false">MAX(-Flows!CB82*CB$4*CB27/100,0)</f>
        <v>431849915.78164</v>
      </c>
      <c r="CC112" s="10" t="n">
        <f aca="false">MAX(-Flows!CC82*CC$4*CC27/100,0)</f>
        <v>13473142.5154237</v>
      </c>
      <c r="CD112" s="10" t="n">
        <f aca="false">MAX(-Flows!CD82*CD$4*CD27/100,0)</f>
        <v>0</v>
      </c>
      <c r="CE112" s="10" t="n">
        <f aca="false">MAX(-Flows!CE82*CE$4*CE27/100,0)</f>
        <v>13473142.5154237</v>
      </c>
      <c r="CF112" s="10" t="n">
        <f aca="false">MAX(-Flows!CF82*CF$4*CF27/100,0)</f>
        <v>48059057.810042</v>
      </c>
      <c r="CG112" s="10" t="n">
        <f aca="false">MAX(-Flows!CG82*CG$4*CG27/100,0)</f>
        <v>95352560398.7175</v>
      </c>
      <c r="CH112" s="10" t="n">
        <f aca="false">MAX(-Flows!CH82*CH$4*CH27/100,0)</f>
        <v>95352560398.7175</v>
      </c>
      <c r="CI112" s="10" t="n">
        <f aca="false">MAX(-Flows!CI82*CI$4*CI27/100,0)</f>
        <v>215924957.89082</v>
      </c>
      <c r="CJ112" s="10" t="n">
        <f aca="false">MAX(-Flows!CJ82*CJ$4*CJ27/100,0)</f>
        <v>21592495.789082</v>
      </c>
      <c r="CK112" s="10" t="n">
        <f aca="false">MAX(-Flows!CK82*CK$4*CK27/100,0)</f>
        <v>21592495.789082</v>
      </c>
      <c r="CL112" s="7" t="s">
        <v>320</v>
      </c>
      <c r="CM112" s="10" t="n">
        <f aca="false">-CM52</f>
        <v>201575119.300391</v>
      </c>
      <c r="CN112" s="10" t="n">
        <f aca="false">-CN52</f>
        <v>1224672642.76337</v>
      </c>
      <c r="CO112" s="10" t="n">
        <f aca="false">-CO52</f>
        <v>1831572274.71422</v>
      </c>
      <c r="CP112" s="10" t="n">
        <f aca="false">-CP52</f>
        <v>414248507.012569</v>
      </c>
      <c r="CQ112" s="10" t="n">
        <f aca="false">-CQ52</f>
        <v>1021501825.59994</v>
      </c>
      <c r="CR112" s="10" t="n">
        <f aca="false">-CR52</f>
        <v>8928559916310600</v>
      </c>
      <c r="CS112" s="10" t="n">
        <f aca="false">-CS52</f>
        <v>337916346.486024</v>
      </c>
      <c r="CT112" s="10" t="n">
        <f aca="false">-CT52</f>
        <v>91244049.3882059</v>
      </c>
      <c r="CU112" s="10" t="n">
        <f aca="false">-CU52</f>
        <v>-83571321.5753225</v>
      </c>
      <c r="CV112" s="10" t="n">
        <f aca="false">-CV52</f>
        <v>1315126.98423408</v>
      </c>
      <c r="CX112" s="0" t="str">
        <f aca="false">INDEX($C$1:$CK$1,MATCH(LARGE($C112:$CK112,1),$C112:$CK112,0))</f>
        <v>Iron (lb)</v>
      </c>
      <c r="CY112" s="0" t="str">
        <f aca="false">INDEX($C$1:$CK$1,MATCH(LARGE($C112:$CK112,2),$C112:$CK112,0))</f>
        <v>Cu (lb)</v>
      </c>
      <c r="CZ112" s="0" t="str">
        <f aca="false">INDEX($C$1:$CK$1,MATCH(LARGE($C112:$CK112,3),$C112:$CK112,0))</f>
        <v>Ag (lb)</v>
      </c>
      <c r="DA112" s="0" t="str">
        <f aca="false">INDEX($C$1:$CK$1,MATCH(LARGE($C112:$CK112,4),$C112:$CK112,0))</f>
        <v>Au (lb)</v>
      </c>
      <c r="DB112" s="0" t="str">
        <f aca="false">INDEX($C$1:$CK$1,MATCH(LARGE($C112:$CK112,5),$C112:$CK112,0))</f>
        <v>Diamonds (lb)</v>
      </c>
      <c r="DD112" s="0" t="str">
        <f aca="false">IF(LARGE($CM112:$CV112,1)&gt;0,INDEX($CM$30:$CV$30,MATCH(LARGE($CM112:$CV112,1),$CM112:$CV112,0)),"N/A")</f>
        <v>Mineral</v>
      </c>
      <c r="DE112" s="0" t="str">
        <f aca="false">IF(LARGE($CM112:$CV112,2)&gt;0,INDEX($CM$30:$CV$30,MATCH(LARGE($CM112:$CV112,2),$CM112:$CV112,0)),"N/A")</f>
        <v>Food Prod</v>
      </c>
      <c r="DF112" s="0" t="str">
        <f aca="false">IF(LARGE($CM112:$CV112,3)&gt;0,INDEX($CM$30:$CV$30,MATCH(LARGE($CM112:$CV112,3),$CM112:$CV112,0)),"N/A")</f>
        <v>Animal</v>
      </c>
      <c r="DG112" s="0" t="str">
        <f aca="false">IF(LARGE($CM112:$CV112,4)&gt;0,INDEX($CM$30:$CV$30,MATCH(LARGE($CM112:$CV112,4),$CM112:$CV112,0)),"N/A")</f>
        <v>Tools</v>
      </c>
      <c r="DH112" s="0" t="str">
        <f aca="false">IF(LARGE($CM112:$CV112,5)&gt;0,INDEX($CM$30:$CV$30,MATCH(LARGE($CM112:$CV112,5),$CM112:$CV112,0)),"N/A")</f>
        <v>Textile</v>
      </c>
    </row>
    <row r="113" customFormat="false" ht="12.8" hidden="false" customHeight="false" outlineLevel="0" collapsed="false">
      <c r="A113" s="7" t="s">
        <v>160</v>
      </c>
      <c r="B113" s="7" t="s">
        <v>39</v>
      </c>
      <c r="C113" s="10" t="n">
        <f aca="false">MAX(-Flows!C83*C$4*C28/100,0)</f>
        <v>313416.051809392</v>
      </c>
      <c r="D113" s="10" t="n">
        <f aca="false">MAX(-Flows!D83*D$4*D28/100,0)</f>
        <v>2614133.28685755</v>
      </c>
      <c r="E113" s="10" t="n">
        <f aca="false">MAX(-Flows!E83*E$4*E28/100,0)</f>
        <v>15697554.3948044</v>
      </c>
      <c r="F113" s="10" t="n">
        <f aca="false">MAX(-Flows!F83*F$4*F28/100,0)</f>
        <v>0</v>
      </c>
      <c r="G113" s="10" t="n">
        <f aca="false">MAX(-Flows!G83*G$4*G28/100,0)</f>
        <v>3124964.46180396</v>
      </c>
      <c r="H113" s="10" t="n">
        <f aca="false">MAX(-Flows!H83*H$4*H28/100,0)</f>
        <v>0</v>
      </c>
      <c r="I113" s="10" t="n">
        <f aca="false">MAX(-Flows!I83*I$4*I28/100,0)</f>
        <v>0</v>
      </c>
      <c r="J113" s="10" t="n">
        <f aca="false">MAX(-Flows!J83*J$4*J28/100,0)</f>
        <v>64281147.1666857</v>
      </c>
      <c r="K113" s="10" t="n">
        <f aca="false">MAX(-Flows!K83*K$4*K28/100,0)</f>
        <v>0</v>
      </c>
      <c r="L113" s="10" t="n">
        <f aca="false">MAX(-Flows!L83*L$4*L28/100,0)</f>
        <v>0</v>
      </c>
      <c r="M113" s="10" t="n">
        <f aca="false">MAX(-Flows!M83*M$4*M28/100,0)</f>
        <v>0</v>
      </c>
      <c r="N113" s="10" t="n">
        <f aca="false">MAX(-Flows!N83*N$4*N28/100,0)</f>
        <v>0</v>
      </c>
      <c r="O113" s="10" t="n">
        <f aca="false">MAX(-Flows!O83*O$4*O28/100,0)</f>
        <v>0</v>
      </c>
      <c r="P113" s="10" t="n">
        <f aca="false">MAX(-Flows!P83*P$4*P28/100,0)</f>
        <v>0</v>
      </c>
      <c r="Q113" s="10" t="n">
        <f aca="false">MAX(-Flows!Q83*Q$4*Q28/100,0)</f>
        <v>232521989.155452</v>
      </c>
      <c r="R113" s="10" t="n">
        <f aca="false">MAX(-Flows!R83*R$4*R28/100,0)</f>
        <v>12538791.2673389</v>
      </c>
      <c r="S113" s="10" t="n">
        <f aca="false">MAX(-Flows!S83*S$4*S28/100,0)</f>
        <v>0</v>
      </c>
      <c r="T113" s="10" t="n">
        <f aca="false">MAX(-Flows!T83*T$4*T28/100,0)</f>
        <v>0</v>
      </c>
      <c r="U113" s="10" t="n">
        <f aca="false">MAX(-Flows!U83*U$4*U28/100,0)</f>
        <v>0</v>
      </c>
      <c r="V113" s="10" t="n">
        <f aca="false">MAX(-Flows!V83*V$4*V28/100,0)</f>
        <v>273385366.567947</v>
      </c>
      <c r="W113" s="10" t="n">
        <f aca="false">MAX(-Flows!W83*W$4*W28/100,0)</f>
        <v>214461998.86645</v>
      </c>
      <c r="X113" s="10" t="n">
        <f aca="false">MAX(-Flows!X83*X$4*X28/100,0)</f>
        <v>0</v>
      </c>
      <c r="Y113" s="10" t="n">
        <f aca="false">MAX(-Flows!Y83*Y$4*Y28/100,0)</f>
        <v>0</v>
      </c>
      <c r="Z113" s="10" t="n">
        <f aca="false">MAX(-Flows!Z83*Z$4*Z28/100,0)</f>
        <v>0</v>
      </c>
      <c r="AA113" s="10" t="n">
        <f aca="false">MAX(-Flows!AA83*AA$4*AA28/100,0)</f>
        <v>193569.577081383</v>
      </c>
      <c r="AB113" s="10" t="n">
        <f aca="false">MAX(-Flows!AB83*AB$4*AB28/100,0)</f>
        <v>507507.010231321</v>
      </c>
      <c r="AC113" s="10" t="n">
        <f aca="false">MAX(-Flows!AC83*AC$4*AC28/100,0)</f>
        <v>0</v>
      </c>
      <c r="AD113" s="10" t="n">
        <f aca="false">MAX(-Flows!AD83*AD$4*AD28/100,0)</f>
        <v>253753.50511566</v>
      </c>
      <c r="AE113" s="10" t="n">
        <f aca="false">MAX(-Flows!AE83*AE$4*AE28/100,0)</f>
        <v>9692927.40937892</v>
      </c>
      <c r="AF113" s="10" t="n">
        <f aca="false">MAX(-Flows!AF83*AF$4*AF28/100,0)</f>
        <v>3966355.86317175</v>
      </c>
      <c r="AG113" s="10" t="n">
        <f aca="false">MAX(-Flows!AG83*AG$4*AG28/100,0)</f>
        <v>70849084.1211858</v>
      </c>
      <c r="AH113" s="10" t="n">
        <f aca="false">MAX(-Flows!AH83*AH$4*AH28/100,0)</f>
        <v>82805840.791738</v>
      </c>
      <c r="AI113" s="10" t="n">
        <f aca="false">MAX(-Flows!AI83*AI$4*AI28/100,0)</f>
        <v>7181952.70025776</v>
      </c>
      <c r="AJ113" s="10" t="n">
        <f aca="false">MAX(-Flows!AJ83*AJ$4*AJ28/100,0)</f>
        <v>91604216.1733641</v>
      </c>
      <c r="AK113" s="10" t="n">
        <f aca="false">MAX(-Flows!AK83*AK$4*AK28/100,0)</f>
        <v>87584781.9068129</v>
      </c>
      <c r="AL113" s="10" t="n">
        <f aca="false">MAX(-Flows!AL83*AL$4*AL28/100,0)</f>
        <v>1847012.3283826</v>
      </c>
      <c r="AM113" s="10" t="n">
        <f aca="false">MAX(-Flows!AM83*AM$4*AM28/100,0)</f>
        <v>68987776.2540147</v>
      </c>
      <c r="AN113" s="10" t="n">
        <f aca="false">MAX(-Flows!AN83*AN$4*AN28/100,0)</f>
        <v>93423792.572099</v>
      </c>
      <c r="AO113" s="10" t="n">
        <f aca="false">MAX(-Flows!AO83*AO$4*AO28/100,0)</f>
        <v>32244189.3475324</v>
      </c>
      <c r="AP113" s="10" t="n">
        <f aca="false">MAX(-Flows!AP83*AP$4*AP28/100,0)</f>
        <v>5461288.19052939</v>
      </c>
      <c r="AQ113" s="10" t="n">
        <f aca="false">MAX(-Flows!AQ83*AQ$4*AQ28/100,0)</f>
        <v>96771843.975835</v>
      </c>
      <c r="AR113" s="10" t="n">
        <f aca="false">MAX(-Flows!AR83*AR$4*AR28/100,0)</f>
        <v>0</v>
      </c>
      <c r="AS113" s="10" t="n">
        <f aca="false">MAX(-Flows!AS83*AS$4*AS28/100,0)</f>
        <v>58446099.0314228</v>
      </c>
      <c r="AT113" s="10" t="n">
        <f aca="false">MAX(-Flows!AT83*AT$4*AT28/100,0)</f>
        <v>75764798.4597556</v>
      </c>
      <c r="AU113" s="10" t="n">
        <f aca="false">MAX(-Flows!AU83*AU$4*AU28/100,0)</f>
        <v>56487160.6438317</v>
      </c>
      <c r="AV113" s="10" t="n">
        <f aca="false">MAX(-Flows!AV83*AV$4*AV28/100,0)</f>
        <v>109607333.230456</v>
      </c>
      <c r="AW113" s="10" t="n">
        <f aca="false">MAX(-Flows!AW83*AW$4*AW28/100,0)</f>
        <v>0</v>
      </c>
      <c r="AX113" s="10" t="n">
        <f aca="false">MAX(-Flows!AX83*AX$4*AX28/100,0)</f>
        <v>26542958.0009895</v>
      </c>
      <c r="AY113" s="10" t="n">
        <f aca="false">MAX(-Flows!AY83*AY$4*AY28/100,0)</f>
        <v>4771156.75642568</v>
      </c>
      <c r="AZ113" s="10" t="n">
        <f aca="false">MAX(-Flows!AZ83*AZ$4*AZ28/100,0)</f>
        <v>5184318.37609587</v>
      </c>
      <c r="BA113" s="10" t="n">
        <f aca="false">MAX(-Flows!BA83*BA$4*BA28/100,0)</f>
        <v>0</v>
      </c>
      <c r="BB113" s="10" t="n">
        <f aca="false">MAX(-Flows!BB83*BB$4*BB28/100,0)</f>
        <v>82176099.9608512</v>
      </c>
      <c r="BC113" s="10" t="n">
        <f aca="false">MAX(-Flows!BC83*BC$4*BC28/100,0)</f>
        <v>26677366.2991063</v>
      </c>
      <c r="BD113" s="10" t="n">
        <f aca="false">MAX(-Flows!BD83*BD$4*BD28/100,0)</f>
        <v>522359.261386988</v>
      </c>
      <c r="BE113" s="10" t="n">
        <f aca="false">MAX(-Flows!BE83*BE$4*BE28/100,0)</f>
        <v>28063306.5636667</v>
      </c>
      <c r="BF113" s="10" t="n">
        <f aca="false">MAX(-Flows!BF83*BF$4*BF28/100,0)</f>
        <v>0</v>
      </c>
      <c r="BG113" s="10" t="n">
        <f aca="false">MAX(-Flows!BG83*BG$4*BG28/100,0)</f>
        <v>0</v>
      </c>
      <c r="BH113" s="10" t="n">
        <f aca="false">MAX(-Flows!BH83*BH$4*BH28/100,0)</f>
        <v>0</v>
      </c>
      <c r="BI113" s="10" t="n">
        <f aca="false">MAX(-Flows!BI83*BI$4*BI28/100,0)</f>
        <v>161468329.518583</v>
      </c>
      <c r="BJ113" s="10" t="n">
        <f aca="false">MAX(-Flows!BJ83*BJ$4*BJ28/100,0)</f>
        <v>161468329.518583</v>
      </c>
      <c r="BK113" s="10" t="n">
        <f aca="false">MAX(-Flows!BK83*BK$4*BK28/100,0)</f>
        <v>161468329.518583</v>
      </c>
      <c r="BL113" s="10" t="n">
        <f aca="false">MAX(-Flows!BL83*BL$4*BL28/100,0)</f>
        <v>23252198.9155452</v>
      </c>
      <c r="BM113" s="10" t="n">
        <f aca="false">MAX(-Flows!BM83*BM$4*BM28/100,0)</f>
        <v>23252198.9155452</v>
      </c>
      <c r="BN113" s="10" t="n">
        <f aca="false">MAX(-Flows!BN83*BN$4*BN28/100,0)</f>
        <v>0</v>
      </c>
      <c r="BO113" s="10" t="n">
        <f aca="false">MAX(-Flows!BO83*BO$4*BO28/100,0)</f>
        <v>20020651443950</v>
      </c>
      <c r="BP113" s="10" t="n">
        <f aca="false">MAX(-Flows!BP83*BP$4*BP28/100,0)</f>
        <v>9342971548027030</v>
      </c>
      <c r="BQ113" s="10" t="n">
        <f aca="false">MAX(-Flows!BQ83*BQ$4*BQ28/100,0)</f>
        <v>0</v>
      </c>
      <c r="BR113" s="10" t="n">
        <f aca="false">MAX(-Flows!BR83*BR$4*BR28/100,0)</f>
        <v>6673549221686</v>
      </c>
      <c r="BS113" s="10" t="n">
        <f aca="false">MAX(-Flows!BS83*BS$4*BS28/100,0)</f>
        <v>3336773666120</v>
      </c>
      <c r="BT113" s="10" t="n">
        <f aca="false">MAX(-Flows!BT83*BT$4*BT28/100,0)</f>
        <v>0</v>
      </c>
      <c r="BU113" s="10" t="n">
        <f aca="false">MAX(-Flows!BU83*BU$4*BU28/100,0)</f>
        <v>0</v>
      </c>
      <c r="BV113" s="10" t="n">
        <f aca="false">MAX(-Flows!BV83*BV$4*BV28/100,0)</f>
        <v>0</v>
      </c>
      <c r="BW113" s="10" t="n">
        <f aca="false">MAX(-Flows!BW83*BW$4*BW28/100,0)</f>
        <v>0</v>
      </c>
      <c r="BX113" s="10" t="n">
        <f aca="false">MAX(-Flows!BX83*BX$4*BX28/100,0)</f>
        <v>46504397.8310904</v>
      </c>
      <c r="BY113" s="10" t="n">
        <f aca="false">MAX(-Flows!BY83*BY$4*BY28/100,0)</f>
        <v>46504397.8310903</v>
      </c>
      <c r="BZ113" s="10" t="n">
        <f aca="false">MAX(-Flows!BZ83*BZ$4*BZ28/100,0)</f>
        <v>202098184.710255</v>
      </c>
      <c r="CA113" s="10" t="n">
        <f aca="false">MAX(-Flows!CA83*CA$4*CA28/100,0)</f>
        <v>202098184.710255</v>
      </c>
      <c r="CB113" s="10" t="n">
        <f aca="false">MAX(-Flows!CB83*CB$4*CB28/100,0)</f>
        <v>232521989.155452</v>
      </c>
      <c r="CC113" s="10" t="n">
        <f aca="false">MAX(-Flows!CC83*CC$4*CC28/100,0)</f>
        <v>8073416.47592913</v>
      </c>
      <c r="CD113" s="10" t="n">
        <f aca="false">MAX(-Flows!CD83*CD$4*CD28/100,0)</f>
        <v>0</v>
      </c>
      <c r="CE113" s="10" t="n">
        <f aca="false">MAX(-Flows!CE83*CE$4*CE28/100,0)</f>
        <v>8073416.47592913</v>
      </c>
      <c r="CF113" s="10" t="n">
        <f aca="false">MAX(-Flows!CF83*CF$4*CF28/100,0)</f>
        <v>28224581.5279077</v>
      </c>
      <c r="CG113" s="10" t="n">
        <f aca="false">MAX(-Flows!CG83*CG$4*CG28/100,0)</f>
        <v>100101377220.969</v>
      </c>
      <c r="CH113" s="10" t="n">
        <f aca="false">MAX(-Flows!CH83*CH$4*CH28/100,0)</f>
        <v>100101377220.969</v>
      </c>
      <c r="CI113" s="10" t="n">
        <f aca="false">MAX(-Flows!CI83*CI$4*CI28/100,0)</f>
        <v>116260994.577726</v>
      </c>
      <c r="CJ113" s="10" t="n">
        <f aca="false">MAX(-Flows!CJ83*CJ$4*CJ28/100,0)</f>
        <v>11626099.4577726</v>
      </c>
      <c r="CK113" s="10" t="n">
        <f aca="false">MAX(-Flows!CK83*CK$4*CK28/100,0)</f>
        <v>11626099.4577726</v>
      </c>
      <c r="CL113" s="7" t="s">
        <v>39</v>
      </c>
      <c r="CM113" s="10" t="n">
        <f aca="false">-CM53</f>
        <v>-55571943.6515476</v>
      </c>
      <c r="CN113" s="10" t="n">
        <f aca="false">-CN53</f>
        <v>753064982.563939</v>
      </c>
      <c r="CO113" s="10" t="n">
        <f aca="false">-CO53</f>
        <v>1127211880.58303</v>
      </c>
      <c r="CP113" s="10" t="n">
        <f aca="false">-CP53</f>
        <v>260328009.258333</v>
      </c>
      <c r="CQ113" s="10" t="n">
        <f aca="false">-CQ53</f>
        <v>915765431.198494</v>
      </c>
      <c r="CR113" s="10" t="n">
        <f aca="false">-CR53</f>
        <v>9373202612611210</v>
      </c>
      <c r="CS113" s="10" t="n">
        <f aca="false">-CS53</f>
        <v>155251859.038383</v>
      </c>
      <c r="CT113" s="10" t="n">
        <f aca="false">-CT53</f>
        <v>51476780.4434529</v>
      </c>
      <c r="CU113" s="10" t="n">
        <f aca="false">-CU53</f>
        <v>-41292254.121869</v>
      </c>
      <c r="CV113" s="10" t="n">
        <f aca="false">-CV53</f>
        <v>761260.515346981</v>
      </c>
      <c r="CX113" s="0" t="str">
        <f aca="false">INDEX($C$1:$CK$1,MATCH(LARGE($C113:$CK113,1),$C113:$CK113,0))</f>
        <v>Iron (lb)</v>
      </c>
      <c r="CY113" s="0" t="str">
        <f aca="false">INDEX($C$1:$CK$1,MATCH(LARGE($C113:$CK113,2),$C113:$CK113,0))</f>
        <v>Cu (lb)</v>
      </c>
      <c r="CZ113" s="0" t="str">
        <f aca="false">INDEX($C$1:$CK$1,MATCH(LARGE($C113:$CK113,3),$C113:$CK113,0))</f>
        <v>Ag (lb)</v>
      </c>
      <c r="DA113" s="0" t="str">
        <f aca="false">INDEX($C$1:$CK$1,MATCH(LARGE($C113:$CK113,4),$C113:$CK113,0))</f>
        <v>Au (lb)</v>
      </c>
      <c r="DB113" s="0" t="str">
        <f aca="false">INDEX($C$1:$CK$1,MATCH(LARGE($C113:$CK113,5),$C113:$CK113,0))</f>
        <v>Diamonds (lb)</v>
      </c>
      <c r="DD113" s="0" t="str">
        <f aca="false">IF(LARGE($CM113:$CV113,1)&gt;0,INDEX($CM$30:$CV$30,MATCH(LARGE($CM113:$CV113,1),$CM113:$CV113,0)),"N/A")</f>
        <v>Mineral</v>
      </c>
      <c r="DE113" s="0" t="str">
        <f aca="false">IF(LARGE($CM113:$CV113,2)&gt;0,INDEX($CM$30:$CV$30,MATCH(LARGE($CM113:$CV113,2),$CM113:$CV113,0)),"N/A")</f>
        <v>Food Prod</v>
      </c>
      <c r="DF113" s="0" t="str">
        <f aca="false">IF(LARGE($CM113:$CV113,3)&gt;0,INDEX($CM$30:$CV$30,MATCH(LARGE($CM113:$CV113,3),$CM113:$CV113,0)),"N/A")</f>
        <v>Tools</v>
      </c>
      <c r="DG113" s="0" t="str">
        <f aca="false">IF(LARGE($CM113:$CV113,4)&gt;0,INDEX($CM$30:$CV$30,MATCH(LARGE($CM113:$CV113,4),$CM113:$CV113,0)),"N/A")</f>
        <v>Animal</v>
      </c>
      <c r="DH113" s="0" t="str">
        <f aca="false">IF(LARGE($CM113:$CV113,5)&gt;0,INDEX($CM$30:$CV$30,MATCH(LARGE($CM113:$CV113,5),$CM113:$CV113,0)),"N/A")</f>
        <v>Textile</v>
      </c>
    </row>
    <row r="114" customFormat="false" ht="12.8" hidden="false" customHeight="false" outlineLevel="0" collapsed="false">
      <c r="B114" s="7" t="s">
        <v>39</v>
      </c>
      <c r="CL114" s="7" t="s">
        <v>39</v>
      </c>
    </row>
    <row r="115" customFormat="false" ht="12.8" hidden="false" customHeight="false" outlineLevel="0" collapsed="false">
      <c r="B115" s="7" t="s">
        <v>39</v>
      </c>
      <c r="CL115" s="7" t="s">
        <v>39</v>
      </c>
    </row>
    <row r="116" customFormat="false" ht="12.8" hidden="false" customHeight="false" outlineLevel="0" collapsed="false">
      <c r="B116" s="7" t="s">
        <v>39</v>
      </c>
      <c r="CL116" s="7" t="s">
        <v>39</v>
      </c>
    </row>
    <row r="117" customFormat="false" ht="12.8" hidden="false" customHeight="false" outlineLevel="0" collapsed="false">
      <c r="B117" s="7" t="s">
        <v>39</v>
      </c>
      <c r="CL117" s="7" t="s">
        <v>39</v>
      </c>
    </row>
    <row r="118" customFormat="false" ht="12.8" hidden="false" customHeight="false" outlineLevel="0" collapsed="false">
      <c r="B118" s="7" t="s">
        <v>39</v>
      </c>
      <c r="CL118" s="7" t="s">
        <v>39</v>
      </c>
    </row>
    <row r="119" customFormat="false" ht="12.8" hidden="false" customHeight="false" outlineLevel="0" collapsed="false">
      <c r="B119" s="7" t="s">
        <v>39</v>
      </c>
      <c r="CL119" s="7" t="s">
        <v>39</v>
      </c>
    </row>
    <row r="120" customFormat="false" ht="12.8" hidden="false" customHeight="false" outlineLevel="0" collapsed="false">
      <c r="A120" s="19" t="s">
        <v>432</v>
      </c>
      <c r="B120" s="7" t="s">
        <v>39</v>
      </c>
      <c r="C120" s="7" t="s">
        <v>325</v>
      </c>
      <c r="D120" s="7" t="s">
        <v>326</v>
      </c>
      <c r="E120" s="7" t="s">
        <v>327</v>
      </c>
      <c r="F120" s="1" t="s">
        <v>328</v>
      </c>
      <c r="G120" s="1" t="s">
        <v>329</v>
      </c>
      <c r="H120" s="1" t="s">
        <v>330</v>
      </c>
      <c r="I120" s="1" t="s">
        <v>331</v>
      </c>
      <c r="J120" s="1" t="s">
        <v>332</v>
      </c>
      <c r="K120" s="1" t="s">
        <v>52</v>
      </c>
      <c r="L120" s="2" t="s">
        <v>53</v>
      </c>
      <c r="M120" s="1" t="s">
        <v>54</v>
      </c>
      <c r="N120" s="1" t="s">
        <v>333</v>
      </c>
      <c r="O120" s="1" t="s">
        <v>334</v>
      </c>
      <c r="P120" s="1" t="s">
        <v>335</v>
      </c>
      <c r="Q120" s="1" t="s">
        <v>336</v>
      </c>
      <c r="R120" s="1" t="s">
        <v>337</v>
      </c>
      <c r="S120" s="1" t="s">
        <v>338</v>
      </c>
      <c r="T120" s="1" t="s">
        <v>339</v>
      </c>
      <c r="U120" s="1" t="s">
        <v>340</v>
      </c>
      <c r="V120" s="1" t="s">
        <v>341</v>
      </c>
      <c r="W120" s="1" t="s">
        <v>342</v>
      </c>
      <c r="X120" s="1" t="s">
        <v>343</v>
      </c>
      <c r="Y120" s="1" t="s">
        <v>344</v>
      </c>
      <c r="Z120" s="1" t="s">
        <v>345</v>
      </c>
      <c r="AA120" s="1" t="s">
        <v>346</v>
      </c>
      <c r="AB120" s="1" t="s">
        <v>347</v>
      </c>
      <c r="AC120" s="1" t="s">
        <v>348</v>
      </c>
      <c r="AD120" s="1" t="s">
        <v>349</v>
      </c>
      <c r="AE120" s="1" t="s">
        <v>350</v>
      </c>
      <c r="AF120" s="1" t="s">
        <v>351</v>
      </c>
      <c r="AG120" s="1" t="s">
        <v>352</v>
      </c>
      <c r="AH120" s="1" t="s">
        <v>353</v>
      </c>
      <c r="AI120" s="1" t="s">
        <v>354</v>
      </c>
      <c r="AJ120" s="1" t="s">
        <v>355</v>
      </c>
      <c r="AK120" s="1" t="s">
        <v>356</v>
      </c>
      <c r="AL120" s="1" t="s">
        <v>357</v>
      </c>
      <c r="AM120" s="1" t="s">
        <v>358</v>
      </c>
      <c r="AN120" s="1" t="s">
        <v>359</v>
      </c>
      <c r="AO120" s="1" t="s">
        <v>360</v>
      </c>
      <c r="AP120" s="1" t="s">
        <v>361</v>
      </c>
      <c r="AQ120" s="1" t="s">
        <v>362</v>
      </c>
      <c r="AR120" s="1" t="s">
        <v>363</v>
      </c>
      <c r="AS120" s="1" t="s">
        <v>364</v>
      </c>
      <c r="AT120" s="1" t="s">
        <v>365</v>
      </c>
      <c r="AU120" s="1" t="s">
        <v>366</v>
      </c>
      <c r="AV120" s="1" t="s">
        <v>367</v>
      </c>
      <c r="AW120" s="1" t="s">
        <v>433</v>
      </c>
      <c r="AX120" s="1" t="s">
        <v>369</v>
      </c>
      <c r="AY120" s="1" t="s">
        <v>370</v>
      </c>
      <c r="AZ120" s="1" t="s">
        <v>371</v>
      </c>
      <c r="BA120" s="1" t="s">
        <v>372</v>
      </c>
      <c r="BB120" s="1" t="s">
        <v>373</v>
      </c>
      <c r="BC120" s="1" t="s">
        <v>374</v>
      </c>
      <c r="BD120" s="1" t="s">
        <v>375</v>
      </c>
      <c r="BE120" s="1" t="s">
        <v>376</v>
      </c>
      <c r="BF120" s="1" t="s">
        <v>377</v>
      </c>
      <c r="BG120" s="1" t="s">
        <v>378</v>
      </c>
      <c r="BH120" s="1" t="s">
        <v>379</v>
      </c>
      <c r="BI120" s="1" t="s">
        <v>380</v>
      </c>
      <c r="BJ120" s="1" t="s">
        <v>381</v>
      </c>
      <c r="BK120" s="1" t="s">
        <v>382</v>
      </c>
      <c r="BL120" s="3" t="s">
        <v>434</v>
      </c>
      <c r="BM120" s="1" t="s">
        <v>435</v>
      </c>
      <c r="BN120" s="1" t="s">
        <v>385</v>
      </c>
      <c r="BO120" s="1" t="s">
        <v>386</v>
      </c>
      <c r="BP120" s="1" t="s">
        <v>387</v>
      </c>
      <c r="BQ120" s="1" t="s">
        <v>388</v>
      </c>
      <c r="BR120" s="1" t="s">
        <v>389</v>
      </c>
      <c r="BS120" s="1" t="s">
        <v>390</v>
      </c>
      <c r="BT120" s="1" t="s">
        <v>391</v>
      </c>
      <c r="BU120" s="1" t="s">
        <v>392</v>
      </c>
      <c r="BV120" s="1" t="s">
        <v>393</v>
      </c>
      <c r="BW120" s="1" t="s">
        <v>394</v>
      </c>
      <c r="BX120" s="1" t="s">
        <v>395</v>
      </c>
      <c r="BY120" s="1" t="s">
        <v>396</v>
      </c>
      <c r="BZ120" s="1" t="s">
        <v>397</v>
      </c>
      <c r="CA120" s="1" t="s">
        <v>398</v>
      </c>
      <c r="CB120" s="1" t="s">
        <v>399</v>
      </c>
      <c r="CC120" s="1" t="s">
        <v>400</v>
      </c>
      <c r="CD120" s="1" t="s">
        <v>401</v>
      </c>
      <c r="CE120" s="1" t="s">
        <v>124</v>
      </c>
      <c r="CF120" s="1" t="s">
        <v>402</v>
      </c>
      <c r="CG120" s="1" t="s">
        <v>403</v>
      </c>
      <c r="CH120" s="1" t="s">
        <v>127</v>
      </c>
      <c r="CI120" s="1" t="s">
        <v>128</v>
      </c>
      <c r="CJ120" s="1" t="s">
        <v>129</v>
      </c>
      <c r="CK120" s="1" t="s">
        <v>130</v>
      </c>
      <c r="CL120" s="7" t="s">
        <v>320</v>
      </c>
    </row>
    <row r="121" customFormat="false" ht="12.8" hidden="false" customHeight="false" outlineLevel="0" collapsed="false">
      <c r="A121" s="7" t="s">
        <v>131</v>
      </c>
      <c r="B121" s="7" t="s">
        <v>39</v>
      </c>
      <c r="C121" s="10" t="n">
        <f aca="false">MIN(C6,C61)</f>
        <v>54878.3278401133</v>
      </c>
      <c r="D121" s="10" t="n">
        <f aca="false">MIN(D6,D61)</f>
        <v>13.1389124547376</v>
      </c>
      <c r="E121" s="10" t="n">
        <f aca="false">MIN(E6,E61)</f>
        <v>40.2703929330678</v>
      </c>
      <c r="F121" s="10" t="n">
        <f aca="false">MIN(F6,F61)</f>
        <v>177.089579445862</v>
      </c>
      <c r="G121" s="10" t="n">
        <f aca="false">MIN(G6,G61)</f>
        <v>3597.27448019936</v>
      </c>
      <c r="H121" s="10" t="n">
        <f aca="false">MIN(H6,H61)</f>
        <v>24813.6213578806</v>
      </c>
      <c r="I121" s="10" t="n">
        <f aca="false">MIN(I6,I61)</f>
        <v>2390.7529679721</v>
      </c>
      <c r="J121" s="10" t="n">
        <f aca="false">MIN(J6,J61)</f>
        <v>2627.52919631442</v>
      </c>
      <c r="K121" s="10" t="n">
        <f aca="false">MIN(K6,K61)</f>
        <v>32745.4864551364</v>
      </c>
      <c r="L121" s="10" t="n">
        <f aca="false">MIN(L6,L61)</f>
        <v>294426.650460352</v>
      </c>
      <c r="M121" s="10" t="n">
        <f aca="false">MIN(M6,M61)</f>
        <v>246533.288853005</v>
      </c>
      <c r="N121" s="10" t="n">
        <f aca="false">MIN(N6,N61)</f>
        <v>40.4132322709933</v>
      </c>
      <c r="O121" s="10" t="n">
        <f aca="false">MIN(O6,O61)</f>
        <v>10.5111299637901</v>
      </c>
      <c r="P121" s="10" t="n">
        <f aca="false">MIN(P6,P61)</f>
        <v>6.30667797827405</v>
      </c>
      <c r="Q121" s="10" t="n">
        <f aca="false">MIN(Q6,Q61)</f>
        <v>34099.9464148474</v>
      </c>
      <c r="R121" s="10" t="n">
        <f aca="false">MIN(R6,R61)</f>
        <v>64.2112506613424</v>
      </c>
      <c r="S121" s="10" t="n">
        <f aca="false">MIN(S6,S61)</f>
        <v>2523.65700394587</v>
      </c>
      <c r="T121" s="10" t="n">
        <f aca="false">MIN(T6,T61)</f>
        <v>4515.36669823649</v>
      </c>
      <c r="U121" s="10" t="n">
        <f aca="false">MIN(U6,U61)</f>
        <v>16435.5525902003</v>
      </c>
      <c r="V121" s="10" t="n">
        <f aca="false">MIN(V6,V61)</f>
        <v>958.528105942161</v>
      </c>
      <c r="W121" s="10" t="n">
        <f aca="false">MIN(W6,W61)</f>
        <v>40.5585916755628</v>
      </c>
      <c r="X121" s="10" t="n">
        <f aca="false">MIN(X6,X61)</f>
        <v>3.04598819225795</v>
      </c>
      <c r="Y121" s="10" t="n">
        <f aca="false">MIN(Y6,Y61)</f>
        <v>1472.13325230176</v>
      </c>
      <c r="Z121" s="10" t="n">
        <f aca="false">MIN(Z6,Z61)</f>
        <v>38996.3936212751</v>
      </c>
      <c r="AA121" s="10" t="n">
        <f aca="false">MIN(AA6,AA61)</f>
        <v>64976.2968352916</v>
      </c>
      <c r="AB121" s="10" t="n">
        <f aca="false">MIN(AB6,AB61)</f>
        <v>43156.4855208748</v>
      </c>
      <c r="AC121" s="10" t="n">
        <f aca="false">MIN(AC6,AC61)</f>
        <v>239479.23415012</v>
      </c>
      <c r="AD121" s="10" t="n">
        <f aca="false">MIN(AD6,AD61)</f>
        <v>271852.334813437</v>
      </c>
      <c r="AE121" s="10" t="n">
        <f aca="false">MIN(AE6,AE61)</f>
        <v>519706.734400691</v>
      </c>
      <c r="AF121" s="10" t="n">
        <f aca="false">MIN(AF6,AF61)</f>
        <v>683.051846730413</v>
      </c>
      <c r="AG121" s="10" t="n">
        <f aca="false">MIN(AG6,AG61)</f>
        <v>2169.02494060926</v>
      </c>
      <c r="AH121" s="10" t="n">
        <f aca="false">MIN(AH6,AH61)</f>
        <v>393.369820277757</v>
      </c>
      <c r="AI121" s="10" t="n">
        <f aca="false">MIN(AI6,AI61)</f>
        <v>1993.0273848787</v>
      </c>
      <c r="AJ121" s="10" t="n">
        <f aca="false">MIN(AJ6,AJ61)</f>
        <v>1154.58796089998</v>
      </c>
      <c r="AK121" s="10" t="n">
        <f aca="false">MIN(AK6,AK61)</f>
        <v>657.582242891033</v>
      </c>
      <c r="AL121" s="10" t="n">
        <f aca="false">MIN(AL6,AL61)</f>
        <v>984.500931146914</v>
      </c>
      <c r="AM121" s="10" t="n">
        <f aca="false">MIN(AM6,AM61)</f>
        <v>9040.97279227979</v>
      </c>
      <c r="AN121" s="10" t="n">
        <f aca="false">MIN(AN6,AN61)</f>
        <v>12408.0636768708</v>
      </c>
      <c r="AO121" s="10" t="n">
        <f aca="false">MIN(AO6,AO61)</f>
        <v>134983.113507726</v>
      </c>
      <c r="AP121" s="10" t="n">
        <f aca="false">MIN(AP6,AP61)</f>
        <v>50191.9300948012</v>
      </c>
      <c r="AQ121" s="10" t="n">
        <f aca="false">MIN(AQ6,AQ61)</f>
        <v>56583.2923469771</v>
      </c>
      <c r="AR121" s="10" t="n">
        <f aca="false">MIN(AR6,AR61)</f>
        <v>37099.1434696038</v>
      </c>
      <c r="AS121" s="10" t="n">
        <f aca="false">MIN(AS6,AS61)</f>
        <v>13214.9017878746</v>
      </c>
      <c r="AT121" s="10" t="n">
        <f aca="false">MIN(AT6,AT61)</f>
        <v>2728.11955429859</v>
      </c>
      <c r="AU121" s="10" t="n">
        <f aca="false">MIN(AU6,AU61)</f>
        <v>737.986055545531</v>
      </c>
      <c r="AV121" s="10" t="n">
        <f aca="false">MIN(AV6,AV61)</f>
        <v>9405.16948311156</v>
      </c>
      <c r="AW121" s="10" t="n">
        <f aca="false">MIN(AW6,AW61)</f>
        <v>75.0798077344019</v>
      </c>
      <c r="AX121" s="10" t="n">
        <f aca="false">MIN(AX6,AX61)</f>
        <v>2193.50340545614</v>
      </c>
      <c r="AY121" s="10" t="n">
        <f aca="false">MIN(AY6,AY61)</f>
        <v>2962.77899109605</v>
      </c>
      <c r="AZ121" s="10" t="n">
        <f aca="false">MIN(AZ6,AZ61)</f>
        <v>686.515253527344</v>
      </c>
      <c r="BA121" s="10" t="n">
        <f aca="false">MIN(BA6,BA61)</f>
        <v>15015.7591734779</v>
      </c>
      <c r="BB121" s="10" t="n">
        <f aca="false">MIN(BB6,BB61)</f>
        <v>4327.4148037463</v>
      </c>
      <c r="BC121" s="10" t="n">
        <f aca="false">MIN(BC6,BC61)</f>
        <v>1433.7331492178</v>
      </c>
      <c r="BD121" s="10" t="n">
        <f aca="false">MIN(BD6,BD61)</f>
        <v>5872.16390850389</v>
      </c>
      <c r="BE121" s="10" t="n">
        <f aca="false">MIN(BE6,BE61)</f>
        <v>37354.8634751107</v>
      </c>
      <c r="BF121" s="10" t="n">
        <f aca="false">MIN(BF6,BF61)</f>
        <v>4030.59432264858</v>
      </c>
      <c r="BG121" s="10" t="n">
        <f aca="false">MIN(BG6,BG61)</f>
        <v>1574.73848020475</v>
      </c>
      <c r="BH121" s="10" t="n">
        <f aca="false">MIN(BH6,BH61)</f>
        <v>850.831349898582</v>
      </c>
      <c r="BI121" s="10" t="n">
        <f aca="false">MIN(BI6,BI61)</f>
        <v>695.147522810616</v>
      </c>
      <c r="BJ121" s="10" t="n">
        <f aca="false">MIN(BJ6,BJ61)</f>
        <v>4.32241572950422</v>
      </c>
      <c r="BK121" s="10" t="n">
        <f aca="false">MIN(BK6,BK61)</f>
        <v>1390.29504562123</v>
      </c>
      <c r="BL121" s="10" t="n">
        <f aca="false">MIN(BL6,BL61)</f>
        <v>118.616467294077</v>
      </c>
      <c r="BM121" s="10" t="n">
        <f aca="false">MIN(BM6,BM61)</f>
        <v>189.833932348558</v>
      </c>
      <c r="BN121" s="10" t="n">
        <f aca="false">MIN(BN6,BN61)</f>
        <v>4358203.40463622</v>
      </c>
      <c r="BO121" s="10" t="n">
        <f aca="false">MIN(BO6,BO61)</f>
        <v>261.429749763598</v>
      </c>
      <c r="BP121" s="10" t="n">
        <f aca="false">MIN(BP6,BP61)</f>
        <v>320.075600716189</v>
      </c>
      <c r="BQ121" s="10" t="n">
        <f aca="false">MIN(BQ6,BQ61)</f>
        <v>6704928.31482495</v>
      </c>
      <c r="BR121" s="10" t="n">
        <f aca="false">MIN(BR6,BR61)</f>
        <v>7842.88865242492</v>
      </c>
      <c r="BS121" s="10" t="n">
        <f aca="false">MIN(BS6,BS61)</f>
        <v>78428.8865242492</v>
      </c>
      <c r="BT121" s="10" t="n">
        <f aca="false">MIN(BT6,BT61)</f>
        <v>32.4855769401374</v>
      </c>
      <c r="BU121" s="10" t="n">
        <f aca="false">MIN(BU6,BU61)</f>
        <v>324.855769401374</v>
      </c>
      <c r="BV121" s="10" t="n">
        <f aca="false">MIN(BV6,BV61)</f>
        <v>3248.55769401374</v>
      </c>
      <c r="BW121" s="10" t="n">
        <f aca="false">MIN(BW6,BW61)</f>
        <v>120.811178799204</v>
      </c>
      <c r="BX121" s="10" t="n">
        <f aca="false">MIN(BX6,BX61)</f>
        <v>44.5982174429614</v>
      </c>
      <c r="BY121" s="10" t="n">
        <f aca="false">MIN(BY6,BY61)</f>
        <v>16.4143739023994</v>
      </c>
      <c r="BZ121" s="10" t="n">
        <f aca="false">MIN(BZ6,BZ61)</f>
        <v>31754.2114892268</v>
      </c>
      <c r="CA121" s="10" t="n">
        <f aca="false">MIN(CA6,CA61)</f>
        <v>12313.2008005839</v>
      </c>
      <c r="CB121" s="10" t="n">
        <f aca="false">MIN(CB6,CB61)</f>
        <v>91.9494549178993</v>
      </c>
      <c r="CC121" s="10" t="n">
        <f aca="false">MIN(CC6,CC61)</f>
        <v>10.1045896710985</v>
      </c>
      <c r="CD121" s="10" t="n">
        <f aca="false">MIN(CD6,CD61)</f>
        <v>480.872600074846</v>
      </c>
      <c r="CE121" s="10" t="n">
        <f aca="false">MIN(CE6,CE61)</f>
        <v>69.6447221518191</v>
      </c>
      <c r="CF121" s="10" t="n">
        <f aca="false">MIN(CF6,CF61)</f>
        <v>1.90121785091596</v>
      </c>
      <c r="CG121" s="10" t="n">
        <f aca="false">MIN(CG6,CG61)</f>
        <v>1220.91966359356</v>
      </c>
      <c r="CH121" s="10" t="n">
        <f aca="false">MIN(CH6,CH61)</f>
        <v>224.044923684849</v>
      </c>
      <c r="CI121" s="10" t="n">
        <f aca="false">MIN(CI6,CI61)</f>
        <v>211.308509379331</v>
      </c>
      <c r="CJ121" s="10" t="n">
        <f aca="false">MIN(CJ6,CJ61)</f>
        <v>2152.79012208513</v>
      </c>
      <c r="CK121" s="10" t="n">
        <f aca="false">MIN(CK6,CK61)</f>
        <v>857.229325759887</v>
      </c>
      <c r="CL121" s="7" t="s">
        <v>39</v>
      </c>
    </row>
    <row r="122" customFormat="false" ht="12.8" hidden="false" customHeight="false" outlineLevel="0" collapsed="false">
      <c r="A122" s="7" t="s">
        <v>133</v>
      </c>
      <c r="B122" s="7" t="s">
        <v>39</v>
      </c>
      <c r="C122" s="10" t="n">
        <f aca="false">MIN(C7,C62)</f>
        <v>36857.8796793944</v>
      </c>
      <c r="D122" s="10" t="n">
        <f aca="false">MIN(D7,D62)</f>
        <v>7.31435732279625</v>
      </c>
      <c r="E122" s="10" t="n">
        <f aca="false">MIN(E7,E62)</f>
        <v>17.5764303372863</v>
      </c>
      <c r="F122" s="10" t="n">
        <f aca="false">MIN(F7,F62)</f>
        <v>34.1649853967519</v>
      </c>
      <c r="G122" s="10" t="n">
        <f aca="false">MIN(G7,G62)</f>
        <v>37.1629798035833</v>
      </c>
      <c r="H122" s="10" t="n">
        <f aca="false">MIN(H7,H62)</f>
        <v>40112.4648354243</v>
      </c>
      <c r="I122" s="10" t="n">
        <f aca="false">MIN(I7,I62)</f>
        <v>1162.24392860201</v>
      </c>
      <c r="J122" s="10" t="n">
        <f aca="false">MIN(J7,J62)</f>
        <v>1267.07724742558</v>
      </c>
      <c r="K122" s="10" t="n">
        <f aca="false">MIN(K7,K62)</f>
        <v>18850.8925091201</v>
      </c>
      <c r="L122" s="10" t="n">
        <f aca="false">MIN(L7,L62)</f>
        <v>118085.222861461</v>
      </c>
      <c r="M122" s="10" t="n">
        <f aca="false">MIN(M7,M62)</f>
        <v>88744.0424769606</v>
      </c>
      <c r="N122" s="10" t="n">
        <f aca="false">MIN(N7,N62)</f>
        <v>22.0498086741023</v>
      </c>
      <c r="O122" s="10" t="n">
        <f aca="false">MIN(O7,O62)</f>
        <v>5.851485858237</v>
      </c>
      <c r="P122" s="10" t="n">
        <f aca="false">MIN(P7,P62)</f>
        <v>3.5108915149422</v>
      </c>
      <c r="Q122" s="10" t="n">
        <f aca="false">MIN(Q7,Q62)</f>
        <v>639.386513067679</v>
      </c>
      <c r="R122" s="10" t="n">
        <f aca="false">MIN(R7,R62)</f>
        <v>45.982951467365</v>
      </c>
      <c r="S122" s="10" t="n">
        <f aca="false">MIN(S7,S62)</f>
        <v>1012.15905309824</v>
      </c>
      <c r="T122" s="10" t="n">
        <f aca="false">MIN(T7,T62)</f>
        <v>1810.97085480812</v>
      </c>
      <c r="U122" s="10" t="n">
        <f aca="false">MIN(U7,U62)</f>
        <v>5916.26949846404</v>
      </c>
      <c r="V122" s="10" t="n">
        <f aca="false">MIN(V7,V62)</f>
        <v>189.64541037408</v>
      </c>
      <c r="W122" s="10" t="n">
        <f aca="false">MIN(W7,W62)</f>
        <v>7.86710097147834</v>
      </c>
      <c r="X122" s="10" t="n">
        <f aca="false">MIN(X7,X62)</f>
        <v>5.89332177589103</v>
      </c>
      <c r="Y122" s="10" t="n">
        <f aca="false">MIN(Y7,Y62)</f>
        <v>590.426114307306</v>
      </c>
      <c r="Z122" s="10" t="n">
        <f aca="false">MIN(Z7,Z62)</f>
        <v>71343.3549518644</v>
      </c>
      <c r="AA122" s="10" t="n">
        <f aca="false">MIN(AA7,AA62)</f>
        <v>40333.2706413937</v>
      </c>
      <c r="AB122" s="10" t="n">
        <f aca="false">MIN(AB7,AB62)</f>
        <v>20290.2567984446</v>
      </c>
      <c r="AC122" s="10" t="n">
        <f aca="false">MIN(AC7,AC62)</f>
        <v>119479.824030798</v>
      </c>
      <c r="AD122" s="10" t="n">
        <f aca="false">MIN(AD7,AD62)</f>
        <v>127812.856353962</v>
      </c>
      <c r="AE122" s="10" t="n">
        <f aca="false">MIN(AE7,AE62)</f>
        <v>154938.828619209</v>
      </c>
      <c r="AF122" s="10" t="n">
        <f aca="false">MIN(AF7,AF62)</f>
        <v>1455.07893623879</v>
      </c>
      <c r="AG122" s="10" t="n">
        <f aca="false">MIN(AG7,AG62)</f>
        <v>812.357695968183</v>
      </c>
      <c r="AH122" s="10" t="n">
        <f aca="false">MIN(AH7,AH62)</f>
        <v>906.305587650541</v>
      </c>
      <c r="AI122" s="10" t="n">
        <f aca="false">MIN(AI7,AI62)</f>
        <v>1980.47584228839</v>
      </c>
      <c r="AJ122" s="10" t="n">
        <f aca="false">MIN(AJ7,AJ62)</f>
        <v>4191.19130765504</v>
      </c>
      <c r="AK122" s="10" t="n">
        <f aca="false">MIN(AK7,AK62)</f>
        <v>952.600036650879</v>
      </c>
      <c r="AL122" s="10" t="n">
        <f aca="false">MIN(AL7,AL62)</f>
        <v>2801.9994863703</v>
      </c>
      <c r="AM122" s="10" t="n">
        <f aca="false">MIN(AM7,AM62)</f>
        <v>1997.5498370519</v>
      </c>
      <c r="AN122" s="10" t="n">
        <f aca="false">MIN(AN7,AN62)</f>
        <v>1824.40660868344</v>
      </c>
      <c r="AO122" s="10" t="n">
        <f aca="false">MIN(AO7,AO62)</f>
        <v>63324.6532929283</v>
      </c>
      <c r="AP122" s="10" t="n">
        <f aca="false">MIN(AP7,AP62)</f>
        <v>44837.2079476251</v>
      </c>
      <c r="AQ122" s="10" t="n">
        <f aca="false">MIN(AQ7,AQ62)</f>
        <v>12961.6684988656</v>
      </c>
      <c r="AR122" s="10" t="n">
        <f aca="false">MIN(AR7,AR62)</f>
        <v>33469.8190773715</v>
      </c>
      <c r="AS122" s="10" t="n">
        <f aca="false">MIN(AS7,AS62)</f>
        <v>3700.63723080244</v>
      </c>
      <c r="AT122" s="10" t="n">
        <f aca="false">MIN(AT7,AT62)</f>
        <v>774.252605202563</v>
      </c>
      <c r="AU122" s="10" t="n">
        <f aca="false">MIN(AU7,AU62)</f>
        <v>4560.0943396288</v>
      </c>
      <c r="AV122" s="10" t="n">
        <f aca="false">MIN(AV7,AV62)</f>
        <v>7864.25618205403</v>
      </c>
      <c r="AW122" s="10" t="n">
        <f aca="false">MIN(AW7,AW62)</f>
        <v>37.4935169589476</v>
      </c>
      <c r="AX122" s="10" t="n">
        <f aca="false">MIN(AX7,AX62)</f>
        <v>4033.00290050052</v>
      </c>
      <c r="AY122" s="10" t="n">
        <f aca="false">MIN(AY7,AY62)</f>
        <v>2428.36221073306</v>
      </c>
      <c r="AZ122" s="10" t="n">
        <f aca="false">MIN(AZ7,AZ62)</f>
        <v>514.48507935551</v>
      </c>
      <c r="BA122" s="10" t="n">
        <f aca="false">MIN(BA7,BA62)</f>
        <v>6022.34636593452</v>
      </c>
      <c r="BB122" s="10" t="n">
        <f aca="false">MIN(BB7,BB62)</f>
        <v>13710.1943791575</v>
      </c>
      <c r="BC122" s="10" t="n">
        <f aca="false">MIN(BC7,BC62)</f>
        <v>3962.91380903526</v>
      </c>
      <c r="BD122" s="10" t="n">
        <f aca="false">MIN(BD7,BD62)</f>
        <v>22738.1670055266</v>
      </c>
      <c r="BE122" s="10" t="n">
        <f aca="false">MIN(BE7,BE62)</f>
        <v>15225.3159801521</v>
      </c>
      <c r="BF122" s="10" t="n">
        <f aca="false">MIN(BF7,BF62)</f>
        <v>1430.64773198267</v>
      </c>
      <c r="BG122" s="10" t="n">
        <f aca="false">MIN(BG7,BG62)</f>
        <v>622.562774138694</v>
      </c>
      <c r="BH122" s="10" t="n">
        <f aca="false">MIN(BH7,BH62)</f>
        <v>2253126.00857048</v>
      </c>
      <c r="BI122" s="10" t="n">
        <f aca="false">MIN(BI7,BI62)</f>
        <v>233.46104030201</v>
      </c>
      <c r="BJ122" s="10" t="n">
        <f aca="false">MIN(BJ7,BJ62)</f>
        <v>4.92093036502834</v>
      </c>
      <c r="BK122" s="10" t="n">
        <f aca="false">MIN(BK7,BK62)</f>
        <v>466.92208060402</v>
      </c>
      <c r="BL122" s="10" t="n">
        <f aca="false">MIN(BL7,BL62)</f>
        <v>187.420945227935</v>
      </c>
      <c r="BM122" s="10" t="n">
        <f aca="false">MIN(BM7,BM62)</f>
        <v>137.612099565248</v>
      </c>
      <c r="BN122" s="10" t="n">
        <f aca="false">MIN(BN7,BN62)</f>
        <v>1</v>
      </c>
      <c r="BO122" s="10" t="n">
        <f aca="false">MIN(BO7,BO62)</f>
        <v>42.9543393811607</v>
      </c>
      <c r="BP122" s="10" t="n">
        <f aca="false">MIN(BP7,BP62)</f>
        <v>103.868364376552</v>
      </c>
      <c r="BQ122" s="10" t="n">
        <f aca="false">MIN(BQ7,BQ62)</f>
        <v>1</v>
      </c>
      <c r="BR122" s="10" t="n">
        <f aca="false">MIN(BR7,BR62)</f>
        <v>1288.63018143482</v>
      </c>
      <c r="BS122" s="10" t="n">
        <f aca="false">MIN(BS7,BS62)</f>
        <v>12886.3046519089</v>
      </c>
      <c r="BT122" s="10" t="n">
        <f aca="false">MIN(BT7,BT62)</f>
        <v>9.96401828798194</v>
      </c>
      <c r="BU122" s="10" t="n">
        <f aca="false">MIN(BU7,BU62)</f>
        <v>99.6401828798194</v>
      </c>
      <c r="BV122" s="10" t="n">
        <f aca="false">MIN(BV7,BV62)</f>
        <v>996.401828798194</v>
      </c>
      <c r="BW122" s="10" t="n">
        <f aca="false">MIN(BW7,BW62)</f>
        <v>56.800033931701</v>
      </c>
      <c r="BX122" s="10" t="n">
        <f aca="false">MIN(BX7,BX62)</f>
        <v>21.3166228036095</v>
      </c>
      <c r="BY122" s="10" t="n">
        <f aca="false">MIN(BY7,BY62)</f>
        <v>47.5502503266563</v>
      </c>
      <c r="BZ122" s="10" t="n">
        <f aca="false">MIN(BZ7,BZ62)</f>
        <v>32048.2429869653</v>
      </c>
      <c r="CA122" s="10" t="n">
        <f aca="false">MIN(CA7,CA62)</f>
        <v>19826.0370985202</v>
      </c>
      <c r="CB122" s="10" t="n">
        <f aca="false">MIN(CB7,CB62)</f>
        <v>284.99323240066</v>
      </c>
      <c r="CC122" s="10" t="n">
        <f aca="false">MIN(CC7,CC62)</f>
        <v>3689.21568434517</v>
      </c>
      <c r="CD122" s="10" t="n">
        <f aca="false">MIN(CD7,CD62)</f>
        <v>154.056106142842</v>
      </c>
      <c r="CE122" s="10" t="n">
        <f aca="false">MIN(CE7,CE62)</f>
        <v>46.7459023612399</v>
      </c>
      <c r="CF122" s="10" t="n">
        <f aca="false">MIN(CF7,CF62)</f>
        <v>1</v>
      </c>
      <c r="CG122" s="10" t="n">
        <f aca="false">MIN(CG7,CG62)</f>
        <v>8.4776038459069</v>
      </c>
      <c r="CH122" s="10" t="n">
        <f aca="false">MIN(CH7,CH62)</f>
        <v>19.8248922185687</v>
      </c>
      <c r="CI122" s="10" t="n">
        <f aca="false">MIN(CI7,CI62)</f>
        <v>417.086347489229</v>
      </c>
      <c r="CJ122" s="10" t="n">
        <f aca="false">MIN(CJ7,CJ62)</f>
        <v>4178.4865006037</v>
      </c>
      <c r="CK122" s="10" t="n">
        <f aca="false">MIN(CK7,CK62)</f>
        <v>679.29194573637</v>
      </c>
      <c r="CL122" s="7" t="s">
        <v>39</v>
      </c>
    </row>
    <row r="123" customFormat="false" ht="12.8" hidden="false" customHeight="false" outlineLevel="0" collapsed="false">
      <c r="A123" s="7" t="s">
        <v>135</v>
      </c>
      <c r="B123" s="7" t="s">
        <v>39</v>
      </c>
      <c r="C123" s="10" t="n">
        <f aca="false">MIN(C8,C63)</f>
        <v>21637.6585154583</v>
      </c>
      <c r="D123" s="10" t="n">
        <f aca="false">MIN(D8,D63)</f>
        <v>3.52597481435489</v>
      </c>
      <c r="E123" s="10" t="n">
        <f aca="false">MIN(E8,E63)</f>
        <v>6.9402988952675</v>
      </c>
      <c r="F123" s="10" t="n">
        <f aca="false">MIN(F8,F63)</f>
        <v>22.8558245567299</v>
      </c>
      <c r="G123" s="10" t="n">
        <f aca="false">MIN(G8,G63)</f>
        <v>5.50234369013107</v>
      </c>
      <c r="H123" s="10" t="n">
        <f aca="false">MIN(H8,H63)</f>
        <v>1319.20358965893</v>
      </c>
      <c r="I123" s="10" t="n">
        <f aca="false">MIN(I8,I63)</f>
        <v>2493.43383785138</v>
      </c>
      <c r="J123" s="10" t="n">
        <f aca="false">MIN(J8,J63)</f>
        <v>4026.99321073888</v>
      </c>
      <c r="K123" s="10" t="n">
        <f aca="false">MIN(K8,K63)</f>
        <v>14588.8874568533</v>
      </c>
      <c r="L123" s="10" t="n">
        <f aca="false">MIN(L8,L63)</f>
        <v>97431.9556988212</v>
      </c>
      <c r="M123" s="10" t="n">
        <f aca="false">MIN(M8,M63)</f>
        <v>74380.6276010473</v>
      </c>
      <c r="N123" s="10" t="n">
        <f aca="false">MIN(N8,N63)</f>
        <v>4.84392722057219</v>
      </c>
      <c r="O123" s="10" t="n">
        <f aca="false">MIN(O8,O63)</f>
        <v>2.82077985148391</v>
      </c>
      <c r="P123" s="10" t="n">
        <f aca="false">MIN(P8,P63)</f>
        <v>1.69246791089034</v>
      </c>
      <c r="Q123" s="10" t="n">
        <f aca="false">MIN(Q8,Q63)</f>
        <v>192.852026823829</v>
      </c>
      <c r="R123" s="10" t="n">
        <f aca="false">MIN(R8,R63)</f>
        <v>37.3165357727147</v>
      </c>
      <c r="S123" s="10" t="n">
        <f aca="false">MIN(S8,S63)</f>
        <v>835.131048847037</v>
      </c>
      <c r="T123" s="10" t="n">
        <f aca="false">MIN(T8,T63)</f>
        <v>1494.229572692</v>
      </c>
      <c r="U123" s="10" t="n">
        <f aca="false">MIN(U8,U63)</f>
        <v>4958.70850673648</v>
      </c>
      <c r="V123" s="10" t="n">
        <f aca="false">MIN(V8,V63)</f>
        <v>272.678468414155</v>
      </c>
      <c r="W123" s="10" t="n">
        <f aca="false">MIN(W8,W63)</f>
        <v>3.92920090418955</v>
      </c>
      <c r="X123" s="10" t="n">
        <f aca="false">MIN(X8,X63)</f>
        <v>3.76817078950551</v>
      </c>
      <c r="Y123" s="10" t="n">
        <f aca="false">MIN(Y8,Y63)</f>
        <v>487.159778494106</v>
      </c>
      <c r="Z123" s="10" t="n">
        <f aca="false">MIN(Z8,Z63)</f>
        <v>3725.81497781281</v>
      </c>
      <c r="AA123" s="10" t="n">
        <f aca="false">MIN(AA8,AA63)</f>
        <v>7365.22159452731</v>
      </c>
      <c r="AB123" s="10" t="n">
        <f aca="false">MIN(AB8,AB63)</f>
        <v>7365.2215945273</v>
      </c>
      <c r="AC123" s="10" t="n">
        <f aca="false">MIN(AC8,AC63)</f>
        <v>39173.9154709352</v>
      </c>
      <c r="AD123" s="10" t="n">
        <f aca="false">MIN(AD8,AD63)</f>
        <v>46395.17473966</v>
      </c>
      <c r="AE123" s="10" t="n">
        <f aca="false">MIN(AE8,AE63)</f>
        <v>139697.146882614</v>
      </c>
      <c r="AF123" s="10" t="n">
        <f aca="false">MIN(AF8,AF63)</f>
        <v>745.462847005583</v>
      </c>
      <c r="AG123" s="10" t="n">
        <f aca="false">MIN(AG8,AG63)</f>
        <v>370.934229566456</v>
      </c>
      <c r="AH123" s="10" t="n">
        <f aca="false">MIN(AH8,AH63)</f>
        <v>204.389238052149</v>
      </c>
      <c r="AI123" s="10" t="n">
        <f aca="false">MIN(AI8,AI63)</f>
        <v>2097.41381928396</v>
      </c>
      <c r="AJ123" s="10" t="n">
        <f aca="false">MIN(AJ8,AJ63)</f>
        <v>783.722736139331</v>
      </c>
      <c r="AK123" s="10" t="n">
        <f aca="false">MIN(AK8,AK63)</f>
        <v>363.486415882267</v>
      </c>
      <c r="AL123" s="10" t="n">
        <f aca="false">MIN(AL8,AL63)</f>
        <v>793.201702901027</v>
      </c>
      <c r="AM123" s="10" t="n">
        <f aca="false">MIN(AM8,AM63)</f>
        <v>1350.20228540001</v>
      </c>
      <c r="AN123" s="10" t="n">
        <f aca="false">MIN(AN8,AN63)</f>
        <v>1210.32400996313</v>
      </c>
      <c r="AO123" s="10" t="n">
        <f aca="false">MIN(AO8,AO63)</f>
        <v>19178.7947270667</v>
      </c>
      <c r="AP123" s="10" t="n">
        <f aca="false">MIN(AP8,AP63)</f>
        <v>18764.9221072661</v>
      </c>
      <c r="AQ123" s="10" t="n">
        <f aca="false">MIN(AQ8,AQ63)</f>
        <v>10003.8287714016</v>
      </c>
      <c r="AR123" s="10" t="n">
        <f aca="false">MIN(AR8,AR63)</f>
        <v>19031.6372260862</v>
      </c>
      <c r="AS123" s="10" t="n">
        <f aca="false">MIN(AS8,AS63)</f>
        <v>737.903697132058</v>
      </c>
      <c r="AT123" s="10" t="n">
        <f aca="false">MIN(AT8,AT63)</f>
        <v>625.047574185871</v>
      </c>
      <c r="AU123" s="10" t="n">
        <f aca="false">MIN(AU8,AU63)</f>
        <v>789.37855412469</v>
      </c>
      <c r="AV123" s="10" t="n">
        <f aca="false">MIN(AV8,AV63)</f>
        <v>7740.29058854303</v>
      </c>
      <c r="AW123" s="10" t="n">
        <f aca="false">MIN(AW8,AW63)</f>
        <v>12.2669563021382</v>
      </c>
      <c r="AX123" s="10" t="n">
        <f aca="false">MIN(AX8,AX63)</f>
        <v>1522.96612233853</v>
      </c>
      <c r="AY123" s="10" t="n">
        <f aca="false">MIN(AY8,AY63)</f>
        <v>394.279188861024</v>
      </c>
      <c r="AZ123" s="10" t="n">
        <f aca="false">MIN(AZ8,AZ63)</f>
        <v>109.281839006049</v>
      </c>
      <c r="BA123" s="10" t="n">
        <f aca="false">MIN(BA8,BA63)</f>
        <v>4969.02974063988</v>
      </c>
      <c r="BB123" s="10" t="n">
        <f aca="false">MIN(BB8,BB63)</f>
        <v>1782.55292365917</v>
      </c>
      <c r="BC123" s="10" t="n">
        <f aca="false">MIN(BC8,BC63)</f>
        <v>929.111375072976</v>
      </c>
      <c r="BD123" s="10" t="n">
        <f aca="false">MIN(BD8,BD63)</f>
        <v>4496.95814347482</v>
      </c>
      <c r="BE123" s="10" t="n">
        <f aca="false">MIN(BE8,BE63)</f>
        <v>6878.60667812042</v>
      </c>
      <c r="BF123" s="10" t="n">
        <f aca="false">MIN(BF8,BF63)</f>
        <v>286.249655465236</v>
      </c>
      <c r="BG123" s="10" t="n">
        <f aca="false">MIN(BG8,BG63)</f>
        <v>256.2517069881</v>
      </c>
      <c r="BH123" s="10" t="n">
        <f aca="false">MIN(BH8,BH63)</f>
        <v>154.922288760524</v>
      </c>
      <c r="BI123" s="10" t="n">
        <f aca="false">MIN(BI8,BI63)</f>
        <v>119.803439530108</v>
      </c>
      <c r="BJ123" s="10" t="n">
        <f aca="false">MIN(BJ8,BJ63)</f>
        <v>2.37923296746069</v>
      </c>
      <c r="BK123" s="10" t="n">
        <f aca="false">MIN(BK8,BK63)</f>
        <v>239.606879060215</v>
      </c>
      <c r="BL123" s="10" t="n">
        <f aca="false">MIN(BL8,BL63)</f>
        <v>189.27634673062</v>
      </c>
      <c r="BM123" s="10" t="n">
        <f aca="false">MIN(BM8,BM63)</f>
        <v>19.7243611561852</v>
      </c>
      <c r="BN123" s="10" t="n">
        <f aca="false">MIN(BN8,BN63)</f>
        <v>333765.464799727</v>
      </c>
      <c r="BO123" s="10" t="n">
        <f aca="false">MIN(BO8,BO63)</f>
        <v>17.8380035435416</v>
      </c>
      <c r="BP123" s="10" t="n">
        <f aca="false">MIN(BP8,BP63)</f>
        <v>42.6269431018441</v>
      </c>
      <c r="BQ123" s="10" t="n">
        <f aca="false">MIN(BQ8,BQ63)</f>
        <v>513485.330461119</v>
      </c>
      <c r="BR123" s="10" t="n">
        <f aca="false">MIN(BR8,BR63)</f>
        <v>535.139799751836</v>
      </c>
      <c r="BS123" s="10" t="n">
        <f aca="false">MIN(BS8,BS63)</f>
        <v>5351.39799751835</v>
      </c>
      <c r="BT123" s="10" t="n">
        <f aca="false">MIN(BT8,BT63)</f>
        <v>2.36960095048208</v>
      </c>
      <c r="BU123" s="10" t="n">
        <f aca="false">MIN(BU8,BU63)</f>
        <v>23.6960095048208</v>
      </c>
      <c r="BV123" s="10" t="n">
        <f aca="false">MIN(BV8,BV63)</f>
        <v>236.960095048208</v>
      </c>
      <c r="BW123" s="10" t="n">
        <f aca="false">MIN(BW8,BW63)</f>
        <v>20.8208966858025</v>
      </c>
      <c r="BX123" s="10" t="n">
        <f aca="false">MIN(BX8,BX63)</f>
        <v>10.13743312269</v>
      </c>
      <c r="BY123" s="10" t="n">
        <f aca="false">MIN(BY8,BY63)</f>
        <v>13.338042020538</v>
      </c>
      <c r="BZ123" s="10" t="n">
        <f aca="false">MIN(BZ8,BZ63)</f>
        <v>212396.698056167</v>
      </c>
      <c r="CA123" s="10" t="n">
        <f aca="false">MIN(CA8,CA63)</f>
        <v>22232.3203397117</v>
      </c>
      <c r="CB123" s="10" t="n">
        <f aca="false">MIN(CB8,CB63)</f>
        <v>120.24493713297</v>
      </c>
      <c r="CC123" s="10" t="n">
        <f aca="false">MIN(CC8,CC63)</f>
        <v>42.1093724569782</v>
      </c>
      <c r="CD123" s="10" t="n">
        <f aca="false">MIN(CD8,CD63)</f>
        <v>72.5479987848652</v>
      </c>
      <c r="CE123" s="10" t="n">
        <f aca="false">MIN(CE8,CE63)</f>
        <v>11.0352095413198</v>
      </c>
      <c r="CF123" s="10" t="n">
        <f aca="false">MIN(CF8,CF63)</f>
        <v>1</v>
      </c>
      <c r="CG123" s="10" t="n">
        <f aca="false">MIN(CG8,CG63)</f>
        <v>44.9923885404529</v>
      </c>
      <c r="CH123" s="10" t="n">
        <f aca="false">MIN(CH8,CH63)</f>
        <v>299.407157249675</v>
      </c>
      <c r="CI123" s="10" t="n">
        <f aca="false">MIN(CI8,CI63)</f>
        <v>162.51950061954</v>
      </c>
      <c r="CJ123" s="10" t="n">
        <f aca="false">MIN(CJ8,CJ63)</f>
        <v>8348.28266889841</v>
      </c>
      <c r="CK123" s="10" t="n">
        <f aca="false">MIN(CK8,CK63)</f>
        <v>531.912928345303</v>
      </c>
      <c r="CL123" s="7" t="s">
        <v>320</v>
      </c>
    </row>
    <row r="124" customFormat="false" ht="12.8" hidden="false" customHeight="false" outlineLevel="0" collapsed="false">
      <c r="A124" s="7" t="s">
        <v>137</v>
      </c>
      <c r="B124" s="7" t="s">
        <v>39</v>
      </c>
      <c r="C124" s="10" t="n">
        <f aca="false">MIN(C9,C64)</f>
        <v>1976.43651517128</v>
      </c>
      <c r="D124" s="10" t="n">
        <f aca="false">MIN(D9,D64)</f>
        <v>1</v>
      </c>
      <c r="E124" s="10" t="n">
        <f aca="false">MIN(E9,E64)</f>
        <v>1</v>
      </c>
      <c r="F124" s="10" t="n">
        <f aca="false">MIN(F9,F64)</f>
        <v>2.76063062464611</v>
      </c>
      <c r="G124" s="10" t="n">
        <f aca="false">MIN(G9,G64)</f>
        <v>1</v>
      </c>
      <c r="H124" s="10" t="n">
        <f aca="false">MIN(H9,H64)</f>
        <v>259.884651470814</v>
      </c>
      <c r="I124" s="10" t="n">
        <f aca="false">MIN(I9,I64)</f>
        <v>280.03302291078</v>
      </c>
      <c r="J124" s="10" t="n">
        <f aca="false">MIN(J9,J64)</f>
        <v>546.118521746948</v>
      </c>
      <c r="K124" s="10" t="n">
        <f aca="false">MIN(K9,K64)</f>
        <v>4959.17799569222</v>
      </c>
      <c r="L124" s="10" t="n">
        <f aca="false">MIN(L9,L64)</f>
        <v>28822.4323034187</v>
      </c>
      <c r="M124" s="10" t="n">
        <f aca="false">MIN(M9,M64)</f>
        <v>21298.8524236177</v>
      </c>
      <c r="N124" s="10" t="n">
        <f aca="false">MIN(N9,N64)</f>
        <v>1</v>
      </c>
      <c r="O124" s="10" t="n">
        <f aca="false">MIN(O9,O64)</f>
        <v>1.51796255474074</v>
      </c>
      <c r="P124" s="10" t="n">
        <f aca="false">MIN(P9,P64)</f>
        <v>1</v>
      </c>
      <c r="Q124" s="10" t="n">
        <f aca="false">MIN(Q9,Q64)</f>
        <v>82.0397266732467</v>
      </c>
      <c r="R124" s="10" t="n">
        <f aca="false">MIN(R9,R64)</f>
        <v>13.5867890292938</v>
      </c>
      <c r="S124" s="10" t="n">
        <f aca="false">MIN(S9,S64)</f>
        <v>247.049419743588</v>
      </c>
      <c r="T124" s="10" t="n">
        <f aca="false">MIN(T9,T64)</f>
        <v>442.024697090243</v>
      </c>
      <c r="U124" s="10" t="n">
        <f aca="false">MIN(U9,U64)</f>
        <v>1419.92349490785</v>
      </c>
      <c r="V124" s="10" t="n">
        <f aca="false">MIN(V9,V64)</f>
        <v>110.482550428296</v>
      </c>
      <c r="W124" s="10" t="n">
        <f aca="false">MIN(W9,W64)</f>
        <v>2.38182302534687</v>
      </c>
      <c r="X124" s="10" t="n">
        <f aca="false">MIN(X9,X64)</f>
        <v>1.65045249394499</v>
      </c>
      <c r="Y124" s="10" t="n">
        <f aca="false">MIN(Y9,Y64)</f>
        <v>144.112161517094</v>
      </c>
      <c r="Z124" s="10" t="n">
        <f aca="false">MIN(Z9,Z64)</f>
        <v>3027.59729710763</v>
      </c>
      <c r="AA124" s="10" t="n">
        <f aca="false">MIN(AA9,AA64)</f>
        <v>3305.49090379928</v>
      </c>
      <c r="AB124" s="10" t="n">
        <f aca="false">MIN(AB9,AB64)</f>
        <v>3092.21348744846</v>
      </c>
      <c r="AC124" s="10" t="n">
        <f aca="false">MIN(AC9,AC64)</f>
        <v>13648.007861218</v>
      </c>
      <c r="AD124" s="10" t="n">
        <f aca="false">MIN(AD9,AD64)</f>
        <v>19478.542938763</v>
      </c>
      <c r="AE124" s="10" t="n">
        <f aca="false">MIN(AE9,AE64)</f>
        <v>71931.160414748</v>
      </c>
      <c r="AF124" s="10" t="n">
        <f aca="false">MIN(AF9,AF64)</f>
        <v>300.560983611662</v>
      </c>
      <c r="AG124" s="10" t="n">
        <f aca="false">MIN(AG9,AG64)</f>
        <v>281.495373710839</v>
      </c>
      <c r="AH124" s="10" t="n">
        <f aca="false">MIN(AH9,AH64)</f>
        <v>144.564344297447</v>
      </c>
      <c r="AI124" s="10" t="n">
        <f aca="false">MIN(AI9,AI64)</f>
        <v>911.99507155014</v>
      </c>
      <c r="AJ124" s="10" t="n">
        <f aca="false">MIN(AJ9,AJ64)</f>
        <v>370.851706242424</v>
      </c>
      <c r="AK124" s="10" t="n">
        <f aca="false">MIN(AK9,AK64)</f>
        <v>149.44188381065</v>
      </c>
      <c r="AL124" s="10" t="n">
        <f aca="false">MIN(AL9,AL64)</f>
        <v>317.21049328908</v>
      </c>
      <c r="AM124" s="10" t="n">
        <f aca="false">MIN(AM9,AM64)</f>
        <v>620.71155272986</v>
      </c>
      <c r="AN124" s="10" t="n">
        <f aca="false">MIN(AN9,AN64)</f>
        <v>596.549033902401</v>
      </c>
      <c r="AO124" s="10" t="n">
        <f aca="false">MIN(AO9,AO64)</f>
        <v>6975.33581162688</v>
      </c>
      <c r="AP124" s="10" t="n">
        <f aca="false">MIN(AP9,AP64)</f>
        <v>13550.1351813798</v>
      </c>
      <c r="AQ124" s="10" t="n">
        <f aca="false">MIN(AQ9,AQ64)</f>
        <v>4697.58527701856</v>
      </c>
      <c r="AR124" s="10" t="n">
        <f aca="false">MIN(AR9,AR64)</f>
        <v>7344.36166252377</v>
      </c>
      <c r="AS124" s="10" t="n">
        <f aca="false">MIN(AS9,AS64)</f>
        <v>644.707461734525</v>
      </c>
      <c r="AT124" s="10" t="n">
        <f aca="false">MIN(AT9,AT64)</f>
        <v>256.761892328234</v>
      </c>
      <c r="AU124" s="10" t="n">
        <f aca="false">MIN(AU9,AU64)</f>
        <v>368.444323300897</v>
      </c>
      <c r="AV124" s="10" t="n">
        <f aca="false">MIN(AV9,AV64)</f>
        <v>2509.07954843057</v>
      </c>
      <c r="AW124" s="10" t="n">
        <f aca="false">MIN(AW9,AW64)</f>
        <v>4.30814774237943</v>
      </c>
      <c r="AX124" s="10" t="n">
        <f aca="false">MIN(AX9,AX64)</f>
        <v>781.741198866041</v>
      </c>
      <c r="AY124" s="10" t="n">
        <f aca="false">MIN(AY9,AY64)</f>
        <v>169.573481337972</v>
      </c>
      <c r="AZ124" s="10" t="n">
        <f aca="false">MIN(AZ9,AZ64)</f>
        <v>45.2093261905343</v>
      </c>
      <c r="BA124" s="10" t="n">
        <f aca="false">MIN(BA9,BA64)</f>
        <v>1469.94404747435</v>
      </c>
      <c r="BB124" s="10" t="n">
        <f aca="false">MIN(BB9,BB64)</f>
        <v>1116.99472980591</v>
      </c>
      <c r="BC124" s="10" t="n">
        <f aca="false">MIN(BC9,BC64)</f>
        <v>525.571581349326</v>
      </c>
      <c r="BD124" s="10" t="n">
        <f aca="false">MIN(BD9,BD64)</f>
        <v>2007.60346699333</v>
      </c>
      <c r="BE124" s="10" t="n">
        <f aca="false">MIN(BE9,BE64)</f>
        <v>4317.67250240209</v>
      </c>
      <c r="BF124" s="10" t="n">
        <f aca="false">MIN(BF9,BF64)</f>
        <v>298.023662825597</v>
      </c>
      <c r="BG124" s="10" t="n">
        <f aca="false">MIN(BG9,BG64)</f>
        <v>94.0464629981105</v>
      </c>
      <c r="BH124" s="10" t="n">
        <f aca="false">MIN(BH9,BH64)</f>
        <v>493.337830290742</v>
      </c>
      <c r="BI124" s="10" t="n">
        <f aca="false">MIN(BI9,BI64)</f>
        <v>15.0353447849644</v>
      </c>
      <c r="BJ124" s="10" t="n">
        <f aca="false">MIN(BJ9,BJ64)</f>
        <v>1.26193859029482</v>
      </c>
      <c r="BK124" s="10" t="n">
        <f aca="false">MIN(BK9,BK64)</f>
        <v>30.0706895699288</v>
      </c>
      <c r="BL124" s="10" t="n">
        <f aca="false">MIN(BL9,BL64)</f>
        <v>775.371755964388</v>
      </c>
      <c r="BM124" s="10" t="n">
        <f aca="false">MIN(BM9,BM64)</f>
        <v>24.2024281869066</v>
      </c>
      <c r="BN124" s="10" t="n">
        <f aca="false">MIN(BN9,BN64)</f>
        <v>130565.604097656</v>
      </c>
      <c r="BO124" s="10" t="n">
        <f aca="false">MIN(BO9,BO64)</f>
        <v>4.44787546169601</v>
      </c>
      <c r="BP124" s="10" t="n">
        <f aca="false">MIN(BP9,BP64)</f>
        <v>17.9306277126239</v>
      </c>
      <c r="BQ124" s="10" t="n">
        <f aca="false">MIN(BQ9,BQ64)</f>
        <v>200870.16015024</v>
      </c>
      <c r="BR124" s="10" t="n">
        <f aca="false">MIN(BR9,BR64)</f>
        <v>133.436211999898</v>
      </c>
      <c r="BS124" s="10" t="n">
        <f aca="false">MIN(BS9,BS64)</f>
        <v>1334.36211999898</v>
      </c>
      <c r="BT124" s="10" t="n">
        <f aca="false">MIN(BT9,BT64)</f>
        <v>1</v>
      </c>
      <c r="BU124" s="10" t="n">
        <f aca="false">MIN(BU9,BU64)</f>
        <v>5.93302440353872</v>
      </c>
      <c r="BV124" s="10" t="n">
        <f aca="false">MIN(BV9,BV64)</f>
        <v>59.3302440353872</v>
      </c>
      <c r="BW124" s="10" t="n">
        <f aca="false">MIN(BW9,BW64)</f>
        <v>8.65626456854895</v>
      </c>
      <c r="BX124" s="10" t="n">
        <f aca="false">MIN(BX9,BX64)</f>
        <v>8.75704000264095</v>
      </c>
      <c r="BY124" s="10" t="n">
        <f aca="false">MIN(BY9,BY64)</f>
        <v>69.5444826491856</v>
      </c>
      <c r="BZ124" s="10" t="n">
        <f aca="false">MIN(BZ9,BZ64)</f>
        <v>50847.239021996</v>
      </c>
      <c r="CA124" s="10" t="n">
        <f aca="false">MIN(CA9,CA64)</f>
        <v>43861.0306532889</v>
      </c>
      <c r="CB124" s="10" t="n">
        <f aca="false">MIN(CB9,CB64)</f>
        <v>17.4840717070296</v>
      </c>
      <c r="CC124" s="10" t="n">
        <f aca="false">MIN(CC9,CC64)</f>
        <v>16.6709396204542</v>
      </c>
      <c r="CD124" s="10" t="n">
        <f aca="false">MIN(CD9,CD64)</f>
        <v>22.5402279730762</v>
      </c>
      <c r="CE124" s="10" t="n">
        <f aca="false">MIN(CE9,CE64)</f>
        <v>1.80281163238469</v>
      </c>
      <c r="CF124" s="10" t="n">
        <f aca="false">MIN(CF9,CF64)</f>
        <v>1</v>
      </c>
      <c r="CG124" s="10" t="n">
        <f aca="false">MIN(CG9,CG64)</f>
        <v>2781.64864790915</v>
      </c>
      <c r="CH124" s="10" t="n">
        <f aca="false">MIN(CH9,CH64)</f>
        <v>1683.77603321515</v>
      </c>
      <c r="CI124" s="10" t="n">
        <f aca="false">MIN(CI9,CI64)</f>
        <v>86.1930696146657</v>
      </c>
      <c r="CJ124" s="10" t="n">
        <f aca="false">MIN(CJ9,CJ64)</f>
        <v>637.917843122384</v>
      </c>
      <c r="CK124" s="10" t="n">
        <f aca="false">MIN(CK9,CK64)</f>
        <v>247.662149298725</v>
      </c>
      <c r="CL124" s="7" t="s">
        <v>320</v>
      </c>
    </row>
    <row r="125" customFormat="false" ht="12.8" hidden="false" customHeight="false" outlineLevel="0" collapsed="false">
      <c r="A125" s="7" t="s">
        <v>139</v>
      </c>
      <c r="B125" s="7" t="s">
        <v>39</v>
      </c>
      <c r="C125" s="10" t="n">
        <f aca="false">MIN(C10,C65)</f>
        <v>78171.3709073338</v>
      </c>
      <c r="D125" s="10" t="n">
        <f aca="false">MIN(D10,D65)</f>
        <v>12.9214684121836</v>
      </c>
      <c r="E125" s="10" t="n">
        <f aca="false">MIN(E10,E65)</f>
        <v>38.238145960529</v>
      </c>
      <c r="F125" s="10" t="n">
        <f aca="false">MIN(F10,F65)</f>
        <v>123.496713488611</v>
      </c>
      <c r="G125" s="10" t="n">
        <f aca="false">MIN(G10,G65)</f>
        <v>65.9872011779125</v>
      </c>
      <c r="H125" s="10" t="n">
        <f aca="false">MIN(H10,H65)</f>
        <v>100</v>
      </c>
      <c r="I125" s="10" t="n">
        <f aca="false">MIN(I10,I65)</f>
        <v>3056.42699699519</v>
      </c>
      <c r="J125" s="10" t="n">
        <f aca="false">MIN(J10,J65)</f>
        <v>3490.978787454</v>
      </c>
      <c r="K125" s="10" t="n">
        <f aca="false">MIN(K10,K65)</f>
        <v>34080.6537451422</v>
      </c>
      <c r="L125" s="10" t="n">
        <f aca="false">MIN(L10,L65)</f>
        <v>236903.095743038</v>
      </c>
      <c r="M125" s="10" t="n">
        <f aca="false">MIN(M10,M65)</f>
        <v>182757.07465286</v>
      </c>
      <c r="N125" s="10" t="n">
        <f aca="false">MIN(N10,N65)</f>
        <v>42.9126094949587</v>
      </c>
      <c r="O125" s="10" t="n">
        <f aca="false">MIN(O10,O65)</f>
        <v>10.3371747297469</v>
      </c>
      <c r="P125" s="10" t="n">
        <f aca="false">MIN(P10,P65)</f>
        <v>6.2023048378481</v>
      </c>
      <c r="Q125" s="10" t="n">
        <f aca="false">MIN(Q10,Q65)</f>
        <v>732.571666362406</v>
      </c>
      <c r="R125" s="10" t="n">
        <f aca="false">MIN(R10,R65)</f>
        <v>46.1147710656913</v>
      </c>
      <c r="S125" s="10" t="n">
        <f aca="false">MIN(S10,S65)</f>
        <v>2030.59796351175</v>
      </c>
      <c r="T125" s="10" t="n">
        <f aca="false">MIN(T10,T65)</f>
        <v>3633.1777288323</v>
      </c>
      <c r="U125" s="10" t="n">
        <f aca="false">MIN(U10,U65)</f>
        <v>12183.8049768574</v>
      </c>
      <c r="V125" s="10" t="n">
        <f aca="false">MIN(V10,V65)</f>
        <v>2044.56667260858</v>
      </c>
      <c r="W125" s="10" t="n">
        <f aca="false">MIN(W10,W65)</f>
        <v>11.8623777477426</v>
      </c>
      <c r="X125" s="10" t="n">
        <f aca="false">MIN(X10,X65)</f>
        <v>15.472746235837</v>
      </c>
      <c r="Y125" s="10" t="n">
        <f aca="false">MIN(Y10,Y65)</f>
        <v>1184.51547871519</v>
      </c>
      <c r="Z125" s="10" t="n">
        <f aca="false">MIN(Z10,Z65)</f>
        <v>130138.685794396</v>
      </c>
      <c r="AA125" s="10" t="n">
        <f aca="false">MIN(AA10,AA65)</f>
        <v>74002.9412231271</v>
      </c>
      <c r="AB125" s="10" t="n">
        <f aca="false">MIN(AB10,AB65)</f>
        <v>40978.5917717132</v>
      </c>
      <c r="AC125" s="10" t="n">
        <f aca="false">MIN(AC10,AC65)</f>
        <v>253707.447050253</v>
      </c>
      <c r="AD125" s="10" t="n">
        <f aca="false">MIN(AD10,AD65)</f>
        <v>258133.295982094</v>
      </c>
      <c r="AE125" s="10" t="n">
        <f aca="false">MIN(AE10,AE65)</f>
        <v>398981.742870012</v>
      </c>
      <c r="AF125" s="10" t="n">
        <f aca="false">MIN(AF10,AF65)</f>
        <v>3681.84154827122</v>
      </c>
      <c r="AG125" s="10" t="n">
        <f aca="false">MIN(AG10,AG65)</f>
        <v>1160.25911597484</v>
      </c>
      <c r="AH125" s="10" t="n">
        <f aca="false">MIN(AH10,AH65)</f>
        <v>1164.32611689641</v>
      </c>
      <c r="AI125" s="10" t="n">
        <f aca="false">MIN(AI10,AI65)</f>
        <v>2413.35351471828</v>
      </c>
      <c r="AJ125" s="10" t="n">
        <f aca="false">MIN(AJ10,AJ65)</f>
        <v>1503.55066171943</v>
      </c>
      <c r="AK125" s="10" t="n">
        <f aca="false">MIN(AK10,AK65)</f>
        <v>3653.21173482299</v>
      </c>
      <c r="AL125" s="10" t="n">
        <f aca="false">MIN(AL10,AL65)</f>
        <v>1252.98293106351</v>
      </c>
      <c r="AM125" s="10" t="n">
        <f aca="false">MIN(AM10,AM65)</f>
        <v>1350.3182504377</v>
      </c>
      <c r="AN125" s="10" t="n">
        <f aca="false">MIN(AN10,AN65)</f>
        <v>9149.84251671284</v>
      </c>
      <c r="AO125" s="10" t="n">
        <f aca="false">MIN(AO10,AO65)</f>
        <v>40210.2893200045</v>
      </c>
      <c r="AP125" s="10" t="n">
        <f aca="false">MIN(AP10,AP65)</f>
        <v>49279.5215887367</v>
      </c>
      <c r="AQ125" s="10" t="n">
        <f aca="false">MIN(AQ10,AQ65)</f>
        <v>63738.2088895526</v>
      </c>
      <c r="AR125" s="10" t="n">
        <f aca="false">MIN(AR10,AR65)</f>
        <v>42009.0538649821</v>
      </c>
      <c r="AS125" s="10" t="n">
        <f aca="false">MIN(AS10,AS65)</f>
        <v>1832.13349464015</v>
      </c>
      <c r="AT125" s="10" t="n">
        <f aca="false">MIN(AT10,AT65)</f>
        <v>4024.80261626545</v>
      </c>
      <c r="AU125" s="10" t="n">
        <f aca="false">MIN(AU10,AU65)</f>
        <v>738.52458592091</v>
      </c>
      <c r="AV125" s="10" t="n">
        <f aca="false">MIN(AV10,AV65)</f>
        <v>7455.09511746919</v>
      </c>
      <c r="AW125" s="10" t="n">
        <f aca="false">MIN(AW10,AW65)</f>
        <v>79.5563938378504</v>
      </c>
      <c r="AX125" s="10" t="n">
        <f aca="false">MIN(AX10,AX65)</f>
        <v>11341.6284526352</v>
      </c>
      <c r="AY125" s="10" t="n">
        <f aca="false">MIN(AY10,AY65)</f>
        <v>4373.7125775039</v>
      </c>
      <c r="AZ125" s="10" t="n">
        <f aca="false">MIN(AZ10,AZ65)</f>
        <v>1026.31822101619</v>
      </c>
      <c r="BA125" s="10" t="n">
        <f aca="false">MIN(BA10,BA65)</f>
        <v>12082.0578828949</v>
      </c>
      <c r="BB125" s="10" t="n">
        <f aca="false">MIN(BB10,BB65)</f>
        <v>5534.09710278046</v>
      </c>
      <c r="BC125" s="10" t="n">
        <f aca="false">MIN(BC10,BC65)</f>
        <v>1336.68888570619</v>
      </c>
      <c r="BD125" s="10" t="n">
        <f aca="false">MIN(BD10,BD65)</f>
        <v>10433.4454494362</v>
      </c>
      <c r="BE125" s="10" t="n">
        <f aca="false">MIN(BE10,BE65)</f>
        <v>19554.4266663289</v>
      </c>
      <c r="BF125" s="10" t="n">
        <f aca="false">MIN(BF10,BF65)</f>
        <v>3493.19923577161</v>
      </c>
      <c r="BG125" s="10" t="n">
        <f aca="false">MIN(BG10,BG65)</f>
        <v>1257.41376072977</v>
      </c>
      <c r="BH125" s="10" t="n">
        <f aca="false">MIN(BH10,BH65)</f>
        <v>2203026.55089633</v>
      </c>
      <c r="BI125" s="10" t="n">
        <f aca="false">MIN(BI10,BI65)</f>
        <v>471.530160273665</v>
      </c>
      <c r="BJ125" s="10" t="n">
        <f aca="false">MIN(BJ10,BJ65)</f>
        <v>9.47579944745728</v>
      </c>
      <c r="BK125" s="10" t="n">
        <f aca="false">MIN(BK10,BK65)</f>
        <v>943.06032054733</v>
      </c>
      <c r="BL125" s="10" t="n">
        <f aca="false">MIN(BL10,BL65)</f>
        <v>179.866928588318</v>
      </c>
      <c r="BM125" s="10" t="n">
        <f aca="false">MIN(BM10,BM65)</f>
        <v>60.3855668381889</v>
      </c>
      <c r="BN125" s="10" t="n">
        <f aca="false">MIN(BN10,BN65)</f>
        <v>1.13262553749182</v>
      </c>
      <c r="BO125" s="10" t="n">
        <f aca="false">MIN(BO10,BO65)</f>
        <v>188.770922915303</v>
      </c>
      <c r="BP125" s="10" t="n">
        <f aca="false">MIN(BP10,BP65)</f>
        <v>293.368418487044</v>
      </c>
      <c r="BQ125" s="10" t="n">
        <f aca="false">MIN(BQ10,BQ65)</f>
        <v>1.74250082691049</v>
      </c>
      <c r="BR125" s="10" t="n">
        <f aca="false">MIN(BR10,BR65)</f>
        <v>5663.12768745909</v>
      </c>
      <c r="BS125" s="10" t="n">
        <f aca="false">MIN(BS10,BS65)</f>
        <v>56631.2911298162</v>
      </c>
      <c r="BT125" s="10" t="n">
        <f aca="false">MIN(BT10,BT65)</f>
        <v>27.2792701163709</v>
      </c>
      <c r="BU125" s="10" t="n">
        <f aca="false">MIN(BU10,BU65)</f>
        <v>272.792701163709</v>
      </c>
      <c r="BV125" s="10" t="n">
        <f aca="false">MIN(BV10,BV65)</f>
        <v>2727.92701163708</v>
      </c>
      <c r="BW125" s="10" t="n">
        <f aca="false">MIN(BW10,BW65)</f>
        <v>114.714437881587</v>
      </c>
      <c r="BX125" s="10" t="n">
        <f aca="false">MIN(BX10,BX65)</f>
        <v>29.005241750259</v>
      </c>
      <c r="BY125" s="10" t="n">
        <f aca="false">MIN(BY10,BY65)</f>
        <v>37.9318248475159</v>
      </c>
      <c r="BZ125" s="10" t="n">
        <f aca="false">MIN(BZ10,BZ65)</f>
        <v>53627.8375175201</v>
      </c>
      <c r="CA125" s="10" t="n">
        <f aca="false">MIN(CA10,CA65)</f>
        <v>19450.3824851689</v>
      </c>
      <c r="CB125" s="10" t="n">
        <f aca="false">MIN(CB10,CB65)</f>
        <v>260.962015404866</v>
      </c>
      <c r="CC125" s="10" t="n">
        <f aca="false">MIN(CC10,CC65)</f>
        <v>12.3632744100625</v>
      </c>
      <c r="CD125" s="10" t="n">
        <f aca="false">MIN(CD10,CD65)</f>
        <v>311.651827584062</v>
      </c>
      <c r="CE125" s="10" t="n">
        <f aca="false">MIN(CE10,CE65)</f>
        <v>456.778470598289</v>
      </c>
      <c r="CF125" s="10" t="n">
        <f aca="false">MIN(CF10,CF65)</f>
        <v>1</v>
      </c>
      <c r="CG125" s="10" t="n">
        <f aca="false">MIN(CG10,CG65)</f>
        <v>31.9977363991214</v>
      </c>
      <c r="CH125" s="10" t="n">
        <f aca="false">MIN(CH10,CH65)</f>
        <v>19.4343053111925</v>
      </c>
      <c r="CI125" s="10" t="n">
        <f aca="false">MIN(CI10,CI65)</f>
        <v>466.3580660759</v>
      </c>
      <c r="CJ125" s="10" t="n">
        <f aca="false">MIN(CJ10,CJ65)</f>
        <v>23052.0147615263</v>
      </c>
      <c r="CK125" s="10" t="n">
        <f aca="false">MIN(CK10,CK65)</f>
        <v>4162.63392519963</v>
      </c>
      <c r="CL125" s="7" t="s">
        <v>320</v>
      </c>
    </row>
    <row r="126" customFormat="false" ht="12.8" hidden="false" customHeight="false" outlineLevel="0" collapsed="false">
      <c r="A126" s="7" t="s">
        <v>140</v>
      </c>
      <c r="B126" s="7" t="s">
        <v>39</v>
      </c>
      <c r="C126" s="10" t="n">
        <f aca="false">MIN(C11,C66)</f>
        <v>42704.5428996737</v>
      </c>
      <c r="D126" s="10" t="n">
        <f aca="false">MIN(D11,D66)</f>
        <v>4.69193111336098</v>
      </c>
      <c r="E126" s="10" t="n">
        <f aca="false">MIN(E11,E66)</f>
        <v>11.3136086537464</v>
      </c>
      <c r="F126" s="10" t="n">
        <f aca="false">MIN(F11,F66)</f>
        <v>33.1264375138042</v>
      </c>
      <c r="G126" s="10" t="n">
        <f aca="false">MIN(G11,G66)</f>
        <v>10.3821752645862</v>
      </c>
      <c r="H126" s="10" t="n">
        <f aca="false">MIN(H11,H66)</f>
        <v>3504.43396485119</v>
      </c>
      <c r="I126" s="10" t="n">
        <f aca="false">MIN(I11,I66)</f>
        <v>4815.93154835832</v>
      </c>
      <c r="J126" s="10" t="n">
        <f aca="false">MIN(J11,J66)</f>
        <v>5221.53533342772</v>
      </c>
      <c r="K126" s="10" t="n">
        <f aca="false">MIN(K11,K66)</f>
        <v>25901.8941594912</v>
      </c>
      <c r="L126" s="10" t="n">
        <f aca="false">MIN(L11,L66)</f>
        <v>159011.607204954</v>
      </c>
      <c r="M126" s="10" t="n">
        <f aca="false">MIN(M11,M66)</f>
        <v>118941.798354963</v>
      </c>
      <c r="N126" s="10" t="n">
        <f aca="false">MIN(N11,N66)</f>
        <v>7.00779714035522</v>
      </c>
      <c r="O126" s="10" t="n">
        <f aca="false">MIN(O11,O66)</f>
        <v>4.78969257506774</v>
      </c>
      <c r="P126" s="10" t="n">
        <f aca="false">MIN(P11,P66)</f>
        <v>2.87381554504064</v>
      </c>
      <c r="Q126" s="10" t="n">
        <f aca="false">MIN(Q11,Q66)</f>
        <v>498.455592288982</v>
      </c>
      <c r="R126" s="10" t="n">
        <f aca="false">MIN(R11,R66)</f>
        <v>70.9640935876472</v>
      </c>
      <c r="S126" s="10" t="n">
        <f aca="false">MIN(S11,S66)</f>
        <v>1362.95663318531</v>
      </c>
      <c r="T126" s="10" t="n">
        <f aca="false">MIN(T11,T66)</f>
        <v>2438.62338780706</v>
      </c>
      <c r="U126" s="10" t="n">
        <f aca="false">MIN(U11,U66)</f>
        <v>7929.45322366422</v>
      </c>
      <c r="V126" s="10" t="n">
        <f aca="false">MIN(V11,V66)</f>
        <v>374.795749040272</v>
      </c>
      <c r="W126" s="10" t="n">
        <f aca="false">MIN(W11,W66)</f>
        <v>11.2430949071816</v>
      </c>
      <c r="X126" s="10" t="n">
        <f aca="false">MIN(X11,X66)</f>
        <v>6.89097928004652</v>
      </c>
      <c r="Y126" s="10" t="n">
        <f aca="false">MIN(Y11,Y66)</f>
        <v>795.058036024769</v>
      </c>
      <c r="Z126" s="10" t="n">
        <f aca="false">MIN(Z11,Z66)</f>
        <v>9403.31269210859</v>
      </c>
      <c r="AA126" s="10" t="n">
        <f aca="false">MIN(AA11,AA66)</f>
        <v>15539.3195456976</v>
      </c>
      <c r="AB126" s="10" t="n">
        <f aca="false">MIN(AB11,AB66)</f>
        <v>12124.4306919419</v>
      </c>
      <c r="AC126" s="10" t="n">
        <f aca="false">MIN(AC11,AC66)</f>
        <v>72432.1663468104</v>
      </c>
      <c r="AD126" s="10" t="n">
        <f aca="false">MIN(AD11,AD66)</f>
        <v>76374.4950986292</v>
      </c>
      <c r="AE126" s="10" t="n">
        <f aca="false">MIN(AE11,AE66)</f>
        <v>327429.889952681</v>
      </c>
      <c r="AF126" s="10" t="n">
        <f aca="false">MIN(AF11,AF66)</f>
        <v>596.592676655609</v>
      </c>
      <c r="AG126" s="10" t="n">
        <f aca="false">MIN(AG11,AG66)</f>
        <v>1226.41861033229</v>
      </c>
      <c r="AH126" s="10" t="n">
        <f aca="false">MIN(AH11,AH66)</f>
        <v>485.906107011132</v>
      </c>
      <c r="AI126" s="10" t="n">
        <f aca="false">MIN(AI11,AI66)</f>
        <v>2856.64928218369</v>
      </c>
      <c r="AJ126" s="10" t="n">
        <f aca="false">MIN(AJ11,AJ66)</f>
        <v>1180.27267847085</v>
      </c>
      <c r="AK126" s="10" t="n">
        <f aca="false">MIN(AK11,AK66)</f>
        <v>783.687856289597</v>
      </c>
      <c r="AL126" s="10" t="n">
        <f aca="false">MIN(AL11,AL66)</f>
        <v>529.07254105266</v>
      </c>
      <c r="AM126" s="10" t="n">
        <f aca="false">MIN(AM11,AM66)</f>
        <v>1964.11820725654</v>
      </c>
      <c r="AN126" s="10" t="n">
        <f aca="false">MIN(AN11,AN66)</f>
        <v>2964.68490681609</v>
      </c>
      <c r="AO126" s="10" t="n">
        <f aca="false">MIN(AO11,AO66)</f>
        <v>14821.219371573</v>
      </c>
      <c r="AP126" s="10" t="n">
        <f aca="false">MIN(AP11,AP66)</f>
        <v>55210.0478880313</v>
      </c>
      <c r="AQ126" s="10" t="n">
        <f aca="false">MIN(AQ11,AQ66)</f>
        <v>24721.4845106204</v>
      </c>
      <c r="AR126" s="10" t="n">
        <f aca="false">MIN(AR11,AR66)</f>
        <v>11054.1979656227</v>
      </c>
      <c r="AS126" s="10" t="n">
        <f aca="false">MIN(AS11,AS66)</f>
        <v>2651.81211473778</v>
      </c>
      <c r="AT126" s="10" t="n">
        <f aca="false">MIN(AT11,AT66)</f>
        <v>617.834930995225</v>
      </c>
      <c r="AU126" s="10" t="n">
        <f aca="false">MIN(AU11,AU66)</f>
        <v>1707.47657965924</v>
      </c>
      <c r="AV126" s="10" t="n">
        <f aca="false">MIN(AV11,AV66)</f>
        <v>13055.1943509452</v>
      </c>
      <c r="AW126" s="10" t="n">
        <f aca="false">MIN(AW11,AW66)</f>
        <v>22.4305907574893</v>
      </c>
      <c r="AX126" s="10" t="n">
        <f aca="false">MIN(AX11,AX66)</f>
        <v>3028.19948582549</v>
      </c>
      <c r="AY126" s="10" t="n">
        <f aca="false">MIN(AY11,AY66)</f>
        <v>647.784385551185</v>
      </c>
      <c r="AZ126" s="10" t="n">
        <f aca="false">MIN(AZ11,AZ66)</f>
        <v>153.898233462451</v>
      </c>
      <c r="BA126" s="10" t="n">
        <f aca="false">MIN(BA11,BA66)</f>
        <v>8109.59196745264</v>
      </c>
      <c r="BB126" s="10" t="n">
        <f aca="false">MIN(BB11,BB66)</f>
        <v>5645.58240271435</v>
      </c>
      <c r="BC126" s="10" t="n">
        <f aca="false">MIN(BC11,BC66)</f>
        <v>2259.64759764377</v>
      </c>
      <c r="BD126" s="10" t="n">
        <f aca="false">MIN(BD11,BD66)</f>
        <v>5533.68231330266</v>
      </c>
      <c r="BE126" s="10" t="n">
        <f aca="false">MIN(BE11,BE66)</f>
        <v>22422.9195931856</v>
      </c>
      <c r="BF126" s="10" t="n">
        <f aca="false">MIN(BF11,BF66)</f>
        <v>944.283203156378</v>
      </c>
      <c r="BG126" s="10" t="n">
        <f aca="false">MIN(BG11,BG66)</f>
        <v>520.788033549253</v>
      </c>
      <c r="BH126" s="10" t="n">
        <f aca="false">MIN(BH11,BH66)</f>
        <v>260.394016774627</v>
      </c>
      <c r="BI126" s="10" t="n">
        <f aca="false">MIN(BI11,BI66)</f>
        <v>195.29551258097</v>
      </c>
      <c r="BJ126" s="10" t="n">
        <f aca="false">MIN(BJ11,BJ66)</f>
        <v>6.70588560917872</v>
      </c>
      <c r="BK126" s="10" t="n">
        <f aca="false">MIN(BK11,BK66)</f>
        <v>390.59102516194</v>
      </c>
      <c r="BL126" s="10" t="n">
        <f aca="false">MIN(BL11,BL66)</f>
        <v>153.160681901448</v>
      </c>
      <c r="BM126" s="10" t="n">
        <f aca="false">MIN(BM11,BM66)</f>
        <v>99.4083404987108</v>
      </c>
      <c r="BN126" s="10" t="n">
        <f aca="false">MIN(BN11,BN66)</f>
        <v>944762.917913248</v>
      </c>
      <c r="BO126" s="10" t="n">
        <f aca="false">MIN(BO11,BO66)</f>
        <v>23.7611889524259</v>
      </c>
      <c r="BP126" s="10" t="n">
        <f aca="false">MIN(BP11,BP66)</f>
        <v>58.6129341739804</v>
      </c>
      <c r="BQ126" s="10" t="n">
        <f aca="false">MIN(BQ11,BQ66)</f>
        <v>1453481.41217423</v>
      </c>
      <c r="BR126" s="10" t="n">
        <f aca="false">MIN(BR11,BR66)</f>
        <v>712.835529907484</v>
      </c>
      <c r="BS126" s="10" t="n">
        <f aca="false">MIN(BS11,BS66)</f>
        <v>7128.35529907484</v>
      </c>
      <c r="BT126" s="10" t="n">
        <f aca="false">MIN(BT11,BT66)</f>
        <v>3.85333572862305</v>
      </c>
      <c r="BU126" s="10" t="n">
        <f aca="false">MIN(BU11,BU66)</f>
        <v>38.5333572862305</v>
      </c>
      <c r="BV126" s="10" t="n">
        <f aca="false">MIN(BV11,BV66)</f>
        <v>385.333572862305</v>
      </c>
      <c r="BW126" s="10" t="n">
        <f aca="false">MIN(BW11,BW66)</f>
        <v>33.9408259612392</v>
      </c>
      <c r="BX126" s="10" t="n">
        <f aca="false">MIN(BX11,BX66)</f>
        <v>15.5346477933937</v>
      </c>
      <c r="BY126" s="10" t="n">
        <f aca="false">MIN(BY11,BY66)</f>
        <v>35.4446710977693</v>
      </c>
      <c r="BZ126" s="10" t="n">
        <f aca="false">MIN(BZ11,BZ66)</f>
        <v>39665.4827506832</v>
      </c>
      <c r="CA126" s="10" t="n">
        <f aca="false">MIN(CA11,CA66)</f>
        <v>128933.022128694</v>
      </c>
      <c r="CB126" s="10" t="n">
        <f aca="false">MIN(CB11,CB66)</f>
        <v>72.6305083990569</v>
      </c>
      <c r="CC126" s="10" t="n">
        <f aca="false">MIN(CC11,CC66)</f>
        <v>40.1967917091623</v>
      </c>
      <c r="CD126" s="10" t="n">
        <f aca="false">MIN(CD11,CD66)</f>
        <v>118.24428204802</v>
      </c>
      <c r="CE126" s="10" t="n">
        <f aca="false">MIN(CE11,CE66)</f>
        <v>10.8700368252522</v>
      </c>
      <c r="CF126" s="10" t="n">
        <f aca="false">MIN(CF11,CF66)</f>
        <v>1</v>
      </c>
      <c r="CG126" s="10" t="n">
        <f aca="false">MIN(CG11,CG66)</f>
        <v>56.9961722449585</v>
      </c>
      <c r="CH126" s="10" t="n">
        <f aca="false">MIN(CH11,CH66)</f>
        <v>737.04011186139</v>
      </c>
      <c r="CI126" s="10" t="n">
        <f aca="false">MIN(CI11,CI66)</f>
        <v>183.331279999528</v>
      </c>
      <c r="CJ126" s="10" t="n">
        <f aca="false">MIN(CJ11,CJ66)</f>
        <v>8508.93323426772</v>
      </c>
      <c r="CK126" s="10" t="n">
        <f aca="false">MIN(CK11,CK66)</f>
        <v>668.523299841769</v>
      </c>
      <c r="CL126" s="7" t="s">
        <v>320</v>
      </c>
    </row>
    <row r="127" customFormat="false" ht="12.8" hidden="false" customHeight="false" outlineLevel="0" collapsed="false">
      <c r="A127" s="7" t="s">
        <v>141</v>
      </c>
      <c r="B127" s="7" t="s">
        <v>39</v>
      </c>
      <c r="C127" s="10" t="n">
        <f aca="false">MIN(C12,C67)</f>
        <v>34435.331409998</v>
      </c>
      <c r="D127" s="10" t="n">
        <f aca="false">MIN(D12,D67)</f>
        <v>4.91942308064268</v>
      </c>
      <c r="E127" s="10" t="n">
        <f aca="false">MIN(E12,E67)</f>
        <v>9.48366259356208</v>
      </c>
      <c r="F127" s="10" t="n">
        <f aca="false">MIN(F12,F67)</f>
        <v>32.3114004612309</v>
      </c>
      <c r="G127" s="10" t="n">
        <f aca="false">MIN(G12,G67)</f>
        <v>19.5457949864985</v>
      </c>
      <c r="H127" s="10" t="n">
        <f aca="false">MIN(H12,H67)</f>
        <v>2413.50428556224</v>
      </c>
      <c r="I127" s="10" t="n">
        <f aca="false">MIN(I12,I67)</f>
        <v>3491.41812682212</v>
      </c>
      <c r="J127" s="10" t="n">
        <f aca="false">MIN(J12,J67)</f>
        <v>5098.18009123695</v>
      </c>
      <c r="K127" s="10" t="n">
        <f aca="false">MIN(K12,K67)</f>
        <v>22098.2157957903</v>
      </c>
      <c r="L127" s="10" t="n">
        <f aca="false">MIN(L12,L67)</f>
        <v>134311.843669206</v>
      </c>
      <c r="M127" s="10" t="n">
        <f aca="false">MIN(M12,M67)</f>
        <v>100237.34710416</v>
      </c>
      <c r="N127" s="10" t="n">
        <f aca="false">MIN(N12,N67)</f>
        <v>6.84090977059421</v>
      </c>
      <c r="O127" s="10" t="n">
        <f aca="false">MIN(O12,O67)</f>
        <v>3.93553846451415</v>
      </c>
      <c r="P127" s="10" t="n">
        <f aca="false">MIN(P12,P67)</f>
        <v>2.36132307870849</v>
      </c>
      <c r="Q127" s="10" t="n">
        <f aca="false">MIN(Q12,Q67)</f>
        <v>584.266400465582</v>
      </c>
      <c r="R127" s="10" t="n">
        <f aca="false">MIN(R12,R67)</f>
        <v>53.5965732274003</v>
      </c>
      <c r="S127" s="10" t="n">
        <f aca="false">MIN(S12,S67)</f>
        <v>1151.24437430748</v>
      </c>
      <c r="T127" s="10" t="n">
        <f aca="false">MIN(T12,T67)</f>
        <v>2059.82449324623</v>
      </c>
      <c r="U127" s="10" t="n">
        <f aca="false">MIN(U12,U67)</f>
        <v>6682.48980694401</v>
      </c>
      <c r="V127" s="10" t="n">
        <f aca="false">MIN(V12,V67)</f>
        <v>174.95348773145</v>
      </c>
      <c r="W127" s="10" t="n">
        <f aca="false">MIN(W12,W67)</f>
        <v>4.50054658893594</v>
      </c>
      <c r="X127" s="10" t="n">
        <f aca="false">MIN(X12,X67)</f>
        <v>7.61419965006404</v>
      </c>
      <c r="Y127" s="10" t="n">
        <f aca="false">MIN(Y12,Y67)</f>
        <v>671.559218346031</v>
      </c>
      <c r="Z127" s="10" t="n">
        <f aca="false">MIN(Z12,Z67)</f>
        <v>6141.06993321769</v>
      </c>
      <c r="AA127" s="10" t="n">
        <f aca="false">MIN(AA12,AA67)</f>
        <v>12301.0137434825</v>
      </c>
      <c r="AB127" s="10" t="n">
        <f aca="false">MIN(AB12,AB67)</f>
        <v>10163.336327117</v>
      </c>
      <c r="AC127" s="10" t="n">
        <f aca="false">MIN(AC12,AC67)</f>
        <v>61807.7335976748</v>
      </c>
      <c r="AD127" s="10" t="n">
        <f aca="false">MIN(AD12,AD67)</f>
        <v>64021.1239787946</v>
      </c>
      <c r="AE127" s="10" t="n">
        <f aca="false">MIN(AE12,AE67)</f>
        <v>145368.345281434</v>
      </c>
      <c r="AF127" s="10" t="n">
        <f aca="false">MIN(AF12,AF67)</f>
        <v>1121.9924345093</v>
      </c>
      <c r="AG127" s="10" t="n">
        <f aca="false">MIN(AG12,AG67)</f>
        <v>658.550844394646</v>
      </c>
      <c r="AH127" s="10" t="n">
        <f aca="false">MIN(AH12,AH67)</f>
        <v>266.660935752302</v>
      </c>
      <c r="AI127" s="10" t="n">
        <f aca="false">MIN(AI12,AI67)</f>
        <v>3601.60162278515</v>
      </c>
      <c r="AJ127" s="10" t="n">
        <f aca="false">MIN(AJ12,AJ67)</f>
        <v>1499.90360627355</v>
      </c>
      <c r="AK127" s="10" t="n">
        <f aca="false">MIN(AK12,AK67)</f>
        <v>591.402242827691</v>
      </c>
      <c r="AL127" s="10" t="n">
        <f aca="false">MIN(AL12,AL67)</f>
        <v>1271.64918452354</v>
      </c>
      <c r="AM127" s="10" t="n">
        <f aca="false">MIN(AM12,AM67)</f>
        <v>725.208749567606</v>
      </c>
      <c r="AN127" s="10" t="n">
        <f aca="false">MIN(AN12,AN67)</f>
        <v>2249.38672818026</v>
      </c>
      <c r="AO127" s="10" t="n">
        <f aca="false">MIN(AO12,AO67)</f>
        <v>33109.9424890855</v>
      </c>
      <c r="AP127" s="10" t="n">
        <f aca="false">MIN(AP12,AP67)</f>
        <v>24662.3627478574</v>
      </c>
      <c r="AQ127" s="10" t="n">
        <f aca="false">MIN(AQ12,AQ67)</f>
        <v>10168.7757033029</v>
      </c>
      <c r="AR127" s="10" t="n">
        <f aca="false">MIN(AR12,AR67)</f>
        <v>15928.8646680609</v>
      </c>
      <c r="AS127" s="10" t="n">
        <f aca="false">MIN(AS12,AS67)</f>
        <v>2424.45723669854</v>
      </c>
      <c r="AT127" s="10" t="n">
        <f aca="false">MIN(AT12,AT67)</f>
        <v>1025.78896184304</v>
      </c>
      <c r="AU127" s="10" t="n">
        <f aca="false">MIN(AU12,AU67)</f>
        <v>607.420925334195</v>
      </c>
      <c r="AV127" s="10" t="n">
        <f aca="false">MIN(AV12,AV67)</f>
        <v>8812.51503549377</v>
      </c>
      <c r="AW127" s="10" t="n">
        <f aca="false">MIN(AW12,AW67)</f>
        <v>19.3105371843676</v>
      </c>
      <c r="AX127" s="10" t="n">
        <f aca="false">MIN(AX12,AX67)</f>
        <v>1297.33777289616</v>
      </c>
      <c r="AY127" s="10" t="n">
        <f aca="false">MIN(AY12,AY67)</f>
        <v>691.464267260172</v>
      </c>
      <c r="AZ127" s="10" t="n">
        <f aca="false">MIN(AZ12,AZ67)</f>
        <v>158.879317372638</v>
      </c>
      <c r="BA127" s="10" t="n">
        <f aca="false">MIN(BA12,BA67)</f>
        <v>6849.90402712952</v>
      </c>
      <c r="BB127" s="10" t="n">
        <f aca="false">MIN(BB12,BB67)</f>
        <v>3980.55727714228</v>
      </c>
      <c r="BC127" s="10" t="n">
        <f aca="false">MIN(BC12,BC67)</f>
        <v>2329.24421796375</v>
      </c>
      <c r="BD127" s="10" t="n">
        <f aca="false">MIN(BD12,BD67)</f>
        <v>8211.07079336026</v>
      </c>
      <c r="BE127" s="10" t="n">
        <f aca="false">MIN(BE12,BE67)</f>
        <v>19088.9779826972</v>
      </c>
      <c r="BF127" s="10" t="n">
        <f aca="false">MIN(BF12,BF67)</f>
        <v>1265.90970720817</v>
      </c>
      <c r="BG127" s="10" t="n">
        <f aca="false">MIN(BG12,BG67)</f>
        <v>403.879039723639</v>
      </c>
      <c r="BH127" s="10" t="n">
        <f aca="false">MIN(BH12,BH67)</f>
        <v>204.032608855786</v>
      </c>
      <c r="BI127" s="10" t="n">
        <f aca="false">MIN(BI12,BI67)</f>
        <v>163.706983690068</v>
      </c>
      <c r="BJ127" s="10" t="n">
        <f aca="false">MIN(BJ12,BJ67)</f>
        <v>2.95089585679538</v>
      </c>
      <c r="BK127" s="10" t="n">
        <f aca="false">MIN(BK12,BK67)</f>
        <v>327.413967380137</v>
      </c>
      <c r="BL127" s="10" t="n">
        <f aca="false">MIN(BL12,BL67)</f>
        <v>126.543719675906</v>
      </c>
      <c r="BM127" s="10" t="n">
        <f aca="false">MIN(BM12,BM67)</f>
        <v>127.479933100583</v>
      </c>
      <c r="BN127" s="10" t="n">
        <f aca="false">MIN(BN12,BN67)</f>
        <v>437362.702988395</v>
      </c>
      <c r="BO127" s="10" t="n">
        <f aca="false">MIN(BO12,BO67)</f>
        <v>29.4648490597388</v>
      </c>
      <c r="BP127" s="10" t="n">
        <f aca="false">MIN(BP12,BP67)</f>
        <v>64.309980856914</v>
      </c>
      <c r="BQ127" s="10" t="n">
        <f aca="false">MIN(BQ12,BQ67)</f>
        <v>672865.696905223</v>
      </c>
      <c r="BR127" s="10" t="n">
        <f aca="false">MIN(BR12,BR67)</f>
        <v>883.944844308242</v>
      </c>
      <c r="BS127" s="10" t="n">
        <f aca="false">MIN(BS12,BS67)</f>
        <v>8839.44844308243</v>
      </c>
      <c r="BT127" s="10" t="n">
        <f aca="false">MIN(BT12,BT67)</f>
        <v>3.85716206372756</v>
      </c>
      <c r="BU127" s="10" t="n">
        <f aca="false">MIN(BU12,BU67)</f>
        <v>38.5716206372756</v>
      </c>
      <c r="BV127" s="10" t="n">
        <f aca="false">MIN(BV12,BV67)</f>
        <v>385.716206372756</v>
      </c>
      <c r="BW127" s="10" t="n">
        <f aca="false">MIN(BW12,BW67)</f>
        <v>28.4509877806863</v>
      </c>
      <c r="BX127" s="10" t="n">
        <f aca="false">MIN(BX12,BX67)</f>
        <v>10.5277003108846</v>
      </c>
      <c r="BY127" s="10" t="n">
        <f aca="false">MIN(BY12,BY67)</f>
        <v>22.9913708751474</v>
      </c>
      <c r="BZ127" s="10" t="n">
        <f aca="false">MIN(BZ12,BZ67)</f>
        <v>21087.6897432806</v>
      </c>
      <c r="CA127" s="10" t="n">
        <f aca="false">MIN(CA12,CA67)</f>
        <v>34787.8486707321</v>
      </c>
      <c r="CB127" s="10" t="n">
        <f aca="false">MIN(CB12,CB67)</f>
        <v>95.8992205139928</v>
      </c>
      <c r="CC127" s="10" t="n">
        <f aca="false">MIN(CC12,CC67)</f>
        <v>6.0585243883506</v>
      </c>
      <c r="CD127" s="10" t="n">
        <f aca="false">MIN(CD12,CD67)</f>
        <v>99.0168923214062</v>
      </c>
      <c r="CE127" s="10" t="n">
        <f aca="false">MIN(CE12,CE67)</f>
        <v>9.80164356675973</v>
      </c>
      <c r="CF127" s="10" t="n">
        <f aca="false">MIN(CF12,CF67)</f>
        <v>1</v>
      </c>
      <c r="CG127" s="10" t="n">
        <f aca="false">MIN(CG12,CG67)</f>
        <v>6583.65513129819</v>
      </c>
      <c r="CH127" s="10" t="n">
        <f aca="false">MIN(CH12,CH67)</f>
        <v>132.867816072878</v>
      </c>
      <c r="CI127" s="10" t="n">
        <f aca="false">MIN(CI12,CI67)</f>
        <v>758.309667852828</v>
      </c>
      <c r="CJ127" s="10" t="n">
        <f aca="false">MIN(CJ12,CJ67)</f>
        <v>8755.72874470544</v>
      </c>
      <c r="CK127" s="10" t="n">
        <f aca="false">MIN(CK12,CK67)</f>
        <v>399.270964723997</v>
      </c>
      <c r="CL127" s="7" t="s">
        <v>320</v>
      </c>
    </row>
    <row r="128" customFormat="false" ht="12.8" hidden="false" customHeight="false" outlineLevel="0" collapsed="false">
      <c r="A128" s="7" t="s">
        <v>142</v>
      </c>
      <c r="B128" s="7" t="s">
        <v>39</v>
      </c>
      <c r="C128" s="10" t="n">
        <f aca="false">MIN(C13,C68)</f>
        <v>49584.7886567556</v>
      </c>
      <c r="D128" s="10" t="n">
        <f aca="false">MIN(D13,D68)</f>
        <v>9.67076181987874</v>
      </c>
      <c r="E128" s="10" t="n">
        <f aca="false">MIN(E13,E68)</f>
        <v>26.552232816054</v>
      </c>
      <c r="F128" s="10" t="n">
        <f aca="false">MIN(F13,F68)</f>
        <v>74.2627918900211</v>
      </c>
      <c r="G128" s="10" t="n">
        <f aca="false">MIN(G13,G68)</f>
        <v>739.444347374204</v>
      </c>
      <c r="H128" s="10" t="n">
        <f aca="false">MIN(H13,H68)</f>
        <v>15971.604301803</v>
      </c>
      <c r="I128" s="10" t="n">
        <f aca="false">MIN(I13,I68)</f>
        <v>1512.24970722756</v>
      </c>
      <c r="J128" s="10" t="n">
        <f aca="false">MIN(J13,J68)</f>
        <v>2971.30256303101</v>
      </c>
      <c r="K128" s="10" t="n">
        <f aca="false">MIN(K13,K68)</f>
        <v>27817.9077552364</v>
      </c>
      <c r="L128" s="10" t="n">
        <f aca="false">MIN(L13,L68)</f>
        <v>162133.875033682</v>
      </c>
      <c r="M128" s="10" t="n">
        <f aca="false">MIN(M13,M68)</f>
        <v>119884.648676613</v>
      </c>
      <c r="N128" s="10" t="n">
        <f aca="false">MIN(N13,N68)</f>
        <v>19.2106894986975</v>
      </c>
      <c r="O128" s="10" t="n">
        <f aca="false">MIN(O13,O68)</f>
        <v>7.73660945590299</v>
      </c>
      <c r="P128" s="10" t="n">
        <f aca="false">MIN(P13,P68)</f>
        <v>4.64196567354179</v>
      </c>
      <c r="Q128" s="10" t="n">
        <f aca="false">MIN(Q13,Q68)</f>
        <v>9608.64137236895</v>
      </c>
      <c r="R128" s="10" t="n">
        <f aca="false">MIN(R13,R68)</f>
        <v>41.8861965313868</v>
      </c>
      <c r="S128" s="10" t="n">
        <f aca="false">MIN(S13,S68)</f>
        <v>1389.71892886013</v>
      </c>
      <c r="T128" s="10" t="n">
        <f aca="false">MIN(T13,T68)</f>
        <v>2486.50690702916</v>
      </c>
      <c r="U128" s="10" t="n">
        <f aca="false">MIN(U13,U68)</f>
        <v>7992.30991177421</v>
      </c>
      <c r="V128" s="10" t="n">
        <f aca="false">MIN(V13,V68)</f>
        <v>313.866782269884</v>
      </c>
      <c r="W128" s="10" t="n">
        <f aca="false">MIN(W13,W68)</f>
        <v>3.51057066598009</v>
      </c>
      <c r="X128" s="10" t="n">
        <f aca="false">MIN(X13,X68)</f>
        <v>8.29013532499598</v>
      </c>
      <c r="Y128" s="10" t="n">
        <f aca="false">MIN(Y13,Y68)</f>
        <v>810.669375168411</v>
      </c>
      <c r="Z128" s="10" t="n">
        <f aca="false">MIN(Z13,Z68)</f>
        <v>58451.9279786587</v>
      </c>
      <c r="AA128" s="10" t="n">
        <f aca="false">MIN(AA13,AA68)</f>
        <v>37826.6317795784</v>
      </c>
      <c r="AB128" s="10" t="n">
        <f aca="false">MIN(AB13,AB68)</f>
        <v>28455.1743256515</v>
      </c>
      <c r="AC128" s="10" t="n">
        <f aca="false">MIN(AC13,AC68)</f>
        <v>144759.364926341</v>
      </c>
      <c r="AD128" s="10" t="n">
        <f aca="false">MIN(AD13,AD68)</f>
        <v>179245.494265515</v>
      </c>
      <c r="AE128" s="10" t="n">
        <f aca="false">MIN(AE13,AE68)</f>
        <v>541209.675103021</v>
      </c>
      <c r="AF128" s="10" t="n">
        <f aca="false">MIN(AF13,AF68)</f>
        <v>809.425654151006</v>
      </c>
      <c r="AG128" s="10" t="n">
        <f aca="false">MIN(AG13,AG68)</f>
        <v>2477.91427219653</v>
      </c>
      <c r="AH128" s="10" t="n">
        <f aca="false">MIN(AH13,AH68)</f>
        <v>697.825583797157</v>
      </c>
      <c r="AI128" s="10" t="n">
        <f aca="false">MIN(AI13,AI68)</f>
        <v>9294.46059509892</v>
      </c>
      <c r="AJ128" s="10" t="n">
        <f aca="false">MIN(AJ13,AJ68)</f>
        <v>924.318688379903</v>
      </c>
      <c r="AK128" s="10" t="n">
        <f aca="false">MIN(AK13,AK68)</f>
        <v>386.027102017205</v>
      </c>
      <c r="AL128" s="10" t="n">
        <f aca="false">MIN(AL13,AL68)</f>
        <v>878.198695466871</v>
      </c>
      <c r="AM128" s="10" t="n">
        <f aca="false">MIN(AM13,AM68)</f>
        <v>3343.42029087134</v>
      </c>
      <c r="AN128" s="10" t="n">
        <f aca="false">MIN(AN13,AN68)</f>
        <v>5654.92533620644</v>
      </c>
      <c r="AO128" s="10" t="n">
        <f aca="false">MIN(AO13,AO68)</f>
        <v>20118.3637244941</v>
      </c>
      <c r="AP128" s="10" t="n">
        <f aca="false">MIN(AP13,AP68)</f>
        <v>35252.9730354257</v>
      </c>
      <c r="AQ128" s="10" t="n">
        <f aca="false">MIN(AQ13,AQ68)</f>
        <v>7798.793639963</v>
      </c>
      <c r="AR128" s="10" t="n">
        <f aca="false">MIN(AR13,AR68)</f>
        <v>15113.3534152554</v>
      </c>
      <c r="AS128" s="10" t="n">
        <f aca="false">MIN(AS13,AS68)</f>
        <v>5284.5073167779</v>
      </c>
      <c r="AT128" s="10" t="n">
        <f aca="false">MIN(AT13,AT68)</f>
        <v>1237.15515304514</v>
      </c>
      <c r="AU128" s="10" t="n">
        <f aca="false">MIN(AU13,AU68)</f>
        <v>865.621745017717</v>
      </c>
      <c r="AV128" s="10" t="n">
        <f aca="false">MIN(AV13,AV68)</f>
        <v>4512.18569663559</v>
      </c>
      <c r="AW128" s="10" t="n">
        <f aca="false">MIN(AW13,AW68)</f>
        <v>46.2893887859862</v>
      </c>
      <c r="AX128" s="10" t="n">
        <f aca="false">MIN(AX13,AX68)</f>
        <v>4545.34345236513</v>
      </c>
      <c r="AY128" s="10" t="n">
        <f aca="false">MIN(AY13,AY68)</f>
        <v>2034.3288916191</v>
      </c>
      <c r="AZ128" s="10" t="n">
        <f aca="false">MIN(AZ13,AZ68)</f>
        <v>582.926236684556</v>
      </c>
      <c r="BA128" s="10" t="n">
        <f aca="false">MIN(BA13,BA68)</f>
        <v>8268.8276267178</v>
      </c>
      <c r="BB128" s="10" t="n">
        <f aca="false">MIN(BB13,BB68)</f>
        <v>2361.38709281185</v>
      </c>
      <c r="BC128" s="10" t="n">
        <f aca="false">MIN(BC13,BC68)</f>
        <v>2263.97588554116</v>
      </c>
      <c r="BD128" s="10" t="n">
        <f aca="false">MIN(BD13,BD68)</f>
        <v>18826.8936538333</v>
      </c>
      <c r="BE128" s="10" t="n">
        <f aca="false">MIN(BE13,BE68)</f>
        <v>9981.20068157964</v>
      </c>
      <c r="BF128" s="10" t="n">
        <f aca="false">MIN(BF13,BF68)</f>
        <v>1577.87900848012</v>
      </c>
      <c r="BG128" s="10" t="n">
        <f aca="false">MIN(BG13,BG68)</f>
        <v>873.109992451245</v>
      </c>
      <c r="BH128" s="10" t="n">
        <f aca="false">MIN(BH13,BH68)</f>
        <v>2100535.61317081</v>
      </c>
      <c r="BI128" s="10" t="n">
        <f aca="false">MIN(BI13,BI68)</f>
        <v>327.416247169217</v>
      </c>
      <c r="BJ128" s="10" t="n">
        <f aca="false">MIN(BJ13,BJ68)</f>
        <v>3.27635394775828</v>
      </c>
      <c r="BK128" s="10" t="n">
        <f aca="false">MIN(BK13,BK68)</f>
        <v>654.832494338434</v>
      </c>
      <c r="BL128" s="10" t="n">
        <f aca="false">MIN(BL13,BL68)</f>
        <v>132.454567989553</v>
      </c>
      <c r="BM128" s="10" t="n">
        <f aca="false">MIN(BM13,BM68)</f>
        <v>40.6217347380853</v>
      </c>
      <c r="BN128" s="10" t="n">
        <f aca="false">MIN(BN13,BN68)</f>
        <v>1</v>
      </c>
      <c r="BO128" s="10" t="n">
        <f aca="false">MIN(BO13,BO68)</f>
        <v>118.416062305019</v>
      </c>
      <c r="BP128" s="10" t="n">
        <f aca="false">MIN(BP13,BP68)</f>
        <v>158.613788619304</v>
      </c>
      <c r="BQ128" s="10" t="n">
        <f aca="false">MIN(BQ13,BQ68)</f>
        <v>1.09307134435402</v>
      </c>
      <c r="BR128" s="10" t="n">
        <f aca="false">MIN(BR13,BR68)</f>
        <v>3552.48186915058</v>
      </c>
      <c r="BS128" s="10" t="n">
        <f aca="false">MIN(BS13,BS68)</f>
        <v>35524.8265603182</v>
      </c>
      <c r="BT128" s="10" t="n">
        <f aca="false">MIN(BT13,BT68)</f>
        <v>17.4427710889312</v>
      </c>
      <c r="BU128" s="10" t="n">
        <f aca="false">MIN(BU13,BU68)</f>
        <v>174.427710889312</v>
      </c>
      <c r="BV128" s="10" t="n">
        <f aca="false">MIN(BV13,BV68)</f>
        <v>1744.27710889312</v>
      </c>
      <c r="BW128" s="10" t="n">
        <f aca="false">MIN(BW13,BW68)</f>
        <v>79.656698448162</v>
      </c>
      <c r="BX128" s="10" t="n">
        <f aca="false">MIN(BX13,BX68)</f>
        <v>259.597744803178</v>
      </c>
      <c r="BY128" s="10" t="n">
        <f aca="false">MIN(BY13,BY68)</f>
        <v>31.7957907138418</v>
      </c>
      <c r="BZ128" s="10" t="n">
        <f aca="false">MIN(BZ13,BZ68)</f>
        <v>253465.627016084</v>
      </c>
      <c r="CA128" s="10" t="n">
        <f aca="false">MIN(CA13,CA68)</f>
        <v>22955.7698150202</v>
      </c>
      <c r="CB128" s="10" t="n">
        <f aca="false">MIN(CB13,CB68)</f>
        <v>75.1490418576127</v>
      </c>
      <c r="CC128" s="10" t="n">
        <f aca="false">MIN(CC13,CC68)</f>
        <v>66.1040257730905</v>
      </c>
      <c r="CD128" s="10" t="n">
        <f aca="false">MIN(CD13,CD68)</f>
        <v>217.159285477049</v>
      </c>
      <c r="CE128" s="10" t="n">
        <f aca="false">MIN(CE13,CE68)</f>
        <v>109.035530691803</v>
      </c>
      <c r="CF128" s="10" t="n">
        <f aca="false">MIN(CF13,CF68)</f>
        <v>1</v>
      </c>
      <c r="CG128" s="10" t="n">
        <f aca="false">MIN(CG13,CG68)</f>
        <v>11.5021056768337</v>
      </c>
      <c r="CH128" s="10" t="n">
        <f aca="false">MIN(CH13,CH68)</f>
        <v>9.1788134441637</v>
      </c>
      <c r="CI128" s="10" t="n">
        <f aca="false">MIN(CI13,CI68)</f>
        <v>140.415513810138</v>
      </c>
      <c r="CJ128" s="10" t="n">
        <f aca="false">MIN(CJ13,CJ68)</f>
        <v>1809.11768225841</v>
      </c>
      <c r="CK128" s="10" t="n">
        <f aca="false">MIN(CK13,CK68)</f>
        <v>1174.13942541508</v>
      </c>
      <c r="CL128" s="7" t="s">
        <v>320</v>
      </c>
    </row>
    <row r="129" customFormat="false" ht="12.8" hidden="false" customHeight="false" outlineLevel="0" collapsed="false">
      <c r="A129" s="7" t="s">
        <v>143</v>
      </c>
      <c r="B129" s="7" t="s">
        <v>39</v>
      </c>
      <c r="C129" s="10" t="n">
        <f aca="false">MIN(C14,C69)</f>
        <v>12709.5988937653</v>
      </c>
      <c r="D129" s="10" t="n">
        <f aca="false">MIN(D14,D69)</f>
        <v>1.86256830862317</v>
      </c>
      <c r="E129" s="10" t="n">
        <f aca="false">MIN(E14,E69)</f>
        <v>3.7254149327974</v>
      </c>
      <c r="F129" s="10" t="n">
        <f aca="false">MIN(F14,F69)</f>
        <v>10.3879628532236</v>
      </c>
      <c r="G129" s="10" t="n">
        <f aca="false">MIN(G14,G69)</f>
        <v>3.13745398756829</v>
      </c>
      <c r="H129" s="10" t="n">
        <f aca="false">MIN(H14,H69)</f>
        <v>717.901356114266</v>
      </c>
      <c r="I129" s="10" t="n">
        <f aca="false">MIN(I14,I69)</f>
        <v>2034.16998860694</v>
      </c>
      <c r="J129" s="10" t="n">
        <f aca="false">MIN(J14,J69)</f>
        <v>2759.8280500096</v>
      </c>
      <c r="K129" s="10" t="n">
        <f aca="false">MIN(K14,K69)</f>
        <v>12179.032986981</v>
      </c>
      <c r="L129" s="10" t="n">
        <f aca="false">MIN(L14,L69)</f>
        <v>68480.5218350414</v>
      </c>
      <c r="M129" s="10" t="n">
        <f aca="false">MIN(M14,M69)</f>
        <v>50253.7570759131</v>
      </c>
      <c r="N129" s="10" t="n">
        <f aca="false">MIN(N14,N69)</f>
        <v>1.69694777275265</v>
      </c>
      <c r="O129" s="10" t="n">
        <f aca="false">MIN(O14,O69)</f>
        <v>2.32503806034477</v>
      </c>
      <c r="P129" s="10" t="n">
        <f aca="false">MIN(P14,P69)</f>
        <v>1.39502283620686</v>
      </c>
      <c r="Q129" s="10" t="n">
        <f aca="false">MIN(Q14,Q69)</f>
        <v>200.011657105537</v>
      </c>
      <c r="R129" s="10" t="n">
        <f aca="false">MIN(R14,R69)</f>
        <v>33.3672136629616</v>
      </c>
      <c r="S129" s="10" t="n">
        <f aca="false">MIN(S14,S69)</f>
        <v>586.975901443211</v>
      </c>
      <c r="T129" s="10" t="n">
        <f aca="false">MIN(T14,T69)</f>
        <v>1050.22649032731</v>
      </c>
      <c r="U129" s="10" t="n">
        <f aca="false">MIN(U14,U69)</f>
        <v>3350.25047172754</v>
      </c>
      <c r="V129" s="10" t="n">
        <f aca="false">MIN(V14,V69)</f>
        <v>131.898910660104</v>
      </c>
      <c r="W129" s="10" t="n">
        <f aca="false">MIN(W14,W69)</f>
        <v>3.30024106680827</v>
      </c>
      <c r="X129" s="10" t="n">
        <f aca="false">MIN(X14,X69)</f>
        <v>3.72434906943465</v>
      </c>
      <c r="Y129" s="10" t="n">
        <f aca="false">MIN(Y14,Y69)</f>
        <v>342.402609175207</v>
      </c>
      <c r="Z129" s="10" t="n">
        <f aca="false">MIN(Z14,Z69)</f>
        <v>2831.82161254484</v>
      </c>
      <c r="AA129" s="10" t="n">
        <f aca="false">MIN(AA14,AA69)</f>
        <v>4581.65830284229</v>
      </c>
      <c r="AB129" s="10" t="n">
        <f aca="false">MIN(AB14,AB69)</f>
        <v>4661.2091127132</v>
      </c>
      <c r="AC129" s="10" t="n">
        <f aca="false">MIN(AC14,AC69)</f>
        <v>24312.8828669769</v>
      </c>
      <c r="AD129" s="10" t="n">
        <f aca="false">MIN(AD14,AD69)</f>
        <v>29361.9965817612</v>
      </c>
      <c r="AE129" s="10" t="n">
        <f aca="false">MIN(AE14,AE69)</f>
        <v>98651.7056968787</v>
      </c>
      <c r="AF129" s="10" t="n">
        <f aca="false">MIN(AF14,AF69)</f>
        <v>374.521301923812</v>
      </c>
      <c r="AG129" s="10" t="n">
        <f aca="false">MIN(AG14,AG69)</f>
        <v>396.823811316294</v>
      </c>
      <c r="AH129" s="10" t="n">
        <f aca="false">MIN(AH14,AH69)</f>
        <v>210.223669343415</v>
      </c>
      <c r="AI129" s="10" t="n">
        <f aca="false">MIN(AI14,AI69)</f>
        <v>1195.44380242111</v>
      </c>
      <c r="AJ129" s="10" t="n">
        <f aca="false">MIN(AJ14,AJ69)</f>
        <v>525.356067097821</v>
      </c>
      <c r="AK129" s="10" t="n">
        <f aca="false">MIN(AK14,AK69)</f>
        <v>182.227062226297</v>
      </c>
      <c r="AL129" s="10" t="n">
        <f aca="false">MIN(AL14,AL69)</f>
        <v>381.106926116108</v>
      </c>
      <c r="AM129" s="10" t="n">
        <f aca="false">MIN(AM14,AM69)</f>
        <v>815.744508225014</v>
      </c>
      <c r="AN129" s="10" t="n">
        <f aca="false">MIN(AN14,AN69)</f>
        <v>682.854797693882</v>
      </c>
      <c r="AO129" s="10" t="n">
        <f aca="false">MIN(AO14,AO69)</f>
        <v>7390.37886393765</v>
      </c>
      <c r="AP129" s="10" t="n">
        <f aca="false">MIN(AP14,AP69)</f>
        <v>21107.4193429094</v>
      </c>
      <c r="AQ129" s="10" t="n">
        <f aca="false">MIN(AQ14,AQ69)</f>
        <v>5810.75963792916</v>
      </c>
      <c r="AR129" s="10" t="n">
        <f aca="false">MIN(AR14,AR69)</f>
        <v>8002.44822969988</v>
      </c>
      <c r="AS129" s="10" t="n">
        <f aca="false">MIN(AS14,AS69)</f>
        <v>1117.99908282542</v>
      </c>
      <c r="AT129" s="10" t="n">
        <f aca="false">MIN(AT14,AT69)</f>
        <v>300.337903554305</v>
      </c>
      <c r="AU129" s="10" t="n">
        <f aca="false">MIN(AU14,AU69)</f>
        <v>589.526069952837</v>
      </c>
      <c r="AV129" s="10" t="n">
        <f aca="false">MIN(AV14,AV69)</f>
        <v>4659.93117000131</v>
      </c>
      <c r="AW129" s="10" t="n">
        <f aca="false">MIN(AW14,AW69)</f>
        <v>7.88598410453686</v>
      </c>
      <c r="AX129" s="10" t="n">
        <f aca="false">MIN(AX14,AX69)</f>
        <v>2131.92627312696</v>
      </c>
      <c r="AY129" s="10" t="n">
        <f aca="false">MIN(AY14,AY69)</f>
        <v>219.592415048206</v>
      </c>
      <c r="AZ129" s="10" t="n">
        <f aca="false">MIN(AZ14,AZ69)</f>
        <v>68.9018198593743</v>
      </c>
      <c r="BA129" s="10" t="n">
        <f aca="false">MIN(BA14,BA69)</f>
        <v>3492.50661358711</v>
      </c>
      <c r="BB129" s="10" t="n">
        <f aca="false">MIN(BB14,BB69)</f>
        <v>1683.8251703374</v>
      </c>
      <c r="BC129" s="10" t="n">
        <f aca="false">MIN(BC14,BC69)</f>
        <v>701.403403546523</v>
      </c>
      <c r="BD129" s="10" t="n">
        <f aca="false">MIN(BD14,BD69)</f>
        <v>2683.22183101239</v>
      </c>
      <c r="BE129" s="10" t="n">
        <f aca="false">MIN(BE14,BE69)</f>
        <v>5787.06134234601</v>
      </c>
      <c r="BF129" s="10" t="n">
        <f aca="false">MIN(BF14,BF69)</f>
        <v>841.049793748565</v>
      </c>
      <c r="BG129" s="10" t="n">
        <f aca="false">MIN(BG14,BG69)</f>
        <v>218.77691006685</v>
      </c>
      <c r="BH129" s="10" t="n">
        <f aca="false">MIN(BH14,BH69)</f>
        <v>114.076927756027</v>
      </c>
      <c r="BI129" s="10" t="n">
        <f aca="false">MIN(BI14,BI69)</f>
        <v>72.1696084286908</v>
      </c>
      <c r="BJ129" s="10" t="n">
        <f aca="false">MIN(BJ14,BJ69)</f>
        <v>40.6589599941686</v>
      </c>
      <c r="BK129" s="10" t="n">
        <f aca="false">MIN(BK14,BK69)</f>
        <v>144.339216857382</v>
      </c>
      <c r="BL129" s="10" t="n">
        <f aca="false">MIN(BL14,BL69)</f>
        <v>128.5600443517</v>
      </c>
      <c r="BM129" s="10" t="n">
        <f aca="false">MIN(BM14,BM69)</f>
        <v>26.9130760515327</v>
      </c>
      <c r="BN129" s="10" t="n">
        <f aca="false">MIN(BN14,BN69)</f>
        <v>354888.226206356</v>
      </c>
      <c r="BO129" s="10" t="n">
        <f aca="false">MIN(BO14,BO69)</f>
        <v>8.42021419698424</v>
      </c>
      <c r="BP129" s="10" t="n">
        <f aca="false">MIN(BP14,BP69)</f>
        <v>22.2109973781318</v>
      </c>
      <c r="BQ129" s="10" t="n">
        <f aca="false">MIN(BQ14,BQ69)</f>
        <v>545981.886471316</v>
      </c>
      <c r="BR129" s="10" t="n">
        <f aca="false">MIN(BR14,BR69)</f>
        <v>252.606365592509</v>
      </c>
      <c r="BS129" s="10" t="n">
        <f aca="false">MIN(BS14,BS69)</f>
        <v>2526.06365592509</v>
      </c>
      <c r="BT129" s="10" t="n">
        <f aca="false">MIN(BT14,BT69)</f>
        <v>1.22026290072455</v>
      </c>
      <c r="BU129" s="10" t="n">
        <f aca="false">MIN(BU14,BU69)</f>
        <v>12.2026290072455</v>
      </c>
      <c r="BV129" s="10" t="n">
        <f aca="false">MIN(BV14,BV69)</f>
        <v>122.026290072455</v>
      </c>
      <c r="BW129" s="10" t="n">
        <f aca="false">MIN(BW14,BW69)</f>
        <v>15.0879809153872</v>
      </c>
      <c r="BX129" s="10" t="n">
        <f aca="false">MIN(BX14,BX69)</f>
        <v>5.8474244948185</v>
      </c>
      <c r="BY129" s="10" t="n">
        <f aca="false">MIN(BY14,BY69)</f>
        <v>7.49173205409194</v>
      </c>
      <c r="BZ129" s="10" t="n">
        <f aca="false">MIN(BZ14,BZ69)</f>
        <v>75894.3374557627</v>
      </c>
      <c r="CA129" s="10" t="n">
        <f aca="false">MIN(CA14,CA69)</f>
        <v>42936.7723196833</v>
      </c>
      <c r="CB129" s="10" t="n">
        <f aca="false">MIN(CB14,CB69)</f>
        <v>22.9208489657876</v>
      </c>
      <c r="CC129" s="10" t="n">
        <f aca="false">MIN(CC14,CC69)</f>
        <v>24.6024281461561</v>
      </c>
      <c r="CD129" s="10" t="n">
        <f aca="false">MIN(CD14,CD69)</f>
        <v>52.7940787487796</v>
      </c>
      <c r="CE129" s="10" t="n">
        <f aca="false">MIN(CE14,CE69)</f>
        <v>27.5992276445658</v>
      </c>
      <c r="CF129" s="10" t="n">
        <f aca="false">MIN(CF14,CF69)</f>
        <v>1</v>
      </c>
      <c r="CG129" s="10" t="n">
        <f aca="false">MIN(CG14,CG69)</f>
        <v>36.4250867947525</v>
      </c>
      <c r="CH129" s="10" t="n">
        <f aca="false">MIN(CH14,CH69)</f>
        <v>253.037543146617</v>
      </c>
      <c r="CI129" s="10" t="n">
        <f aca="false">MIN(CI14,CI69)</f>
        <v>181.302002478968</v>
      </c>
      <c r="CJ129" s="10" t="n">
        <f aca="false">MIN(CJ14,CJ69)</f>
        <v>887.435788692635</v>
      </c>
      <c r="CK129" s="10" t="n">
        <f aca="false">MIN(CK14,CK69)</f>
        <v>2074.67941669824</v>
      </c>
      <c r="CL129" s="7" t="s">
        <v>320</v>
      </c>
    </row>
    <row r="130" customFormat="false" ht="12.8" hidden="false" customHeight="false" outlineLevel="0" collapsed="false">
      <c r="A130" s="7" t="s">
        <v>144</v>
      </c>
      <c r="B130" s="7" t="s">
        <v>39</v>
      </c>
      <c r="C130" s="10" t="n">
        <f aca="false">MIN(C15,C70)</f>
        <v>46414.6752195002</v>
      </c>
      <c r="D130" s="10" t="n">
        <f aca="false">MIN(D15,D70)</f>
        <v>8.93790037092586</v>
      </c>
      <c r="E130" s="10" t="n">
        <f aca="false">MIN(E15,E70)</f>
        <v>24.2287951113043</v>
      </c>
      <c r="F130" s="10" t="n">
        <f aca="false">MIN(F15,F70)</f>
        <v>63.4437655648718</v>
      </c>
      <c r="G130" s="10" t="n">
        <f aca="false">MIN(G15,G70)</f>
        <v>20.2289298187337</v>
      </c>
      <c r="H130" s="10" t="n">
        <f aca="false">MIN(H15,H70)</f>
        <v>14050.7775090866</v>
      </c>
      <c r="I130" s="10" t="n">
        <f aca="false">MIN(I15,I70)</f>
        <v>2077.44966499769</v>
      </c>
      <c r="J130" s="10" t="n">
        <f aca="false">MIN(J15,J70)</f>
        <v>2161.13980078078</v>
      </c>
      <c r="K130" s="10" t="n">
        <f aca="false">MIN(K15,K70)</f>
        <v>25795.8649211766</v>
      </c>
      <c r="L130" s="10" t="n">
        <f aca="false">MIN(L15,L70)</f>
        <v>146606.837691869</v>
      </c>
      <c r="M130" s="10" t="n">
        <f aca="false">MIN(M15,M70)</f>
        <v>107825.444207428</v>
      </c>
      <c r="N130" s="10" t="n">
        <f aca="false">MIN(N15,N70)</f>
        <v>15.2874540188331</v>
      </c>
      <c r="O130" s="10" t="n">
        <f aca="false">MIN(O15,O70)</f>
        <v>7.15032029674069</v>
      </c>
      <c r="P130" s="10" t="n">
        <f aca="false">MIN(P15,P70)</f>
        <v>4.29019217804441</v>
      </c>
      <c r="Q130" s="10" t="n">
        <f aca="false">MIN(Q15,Q70)</f>
        <v>315.485786834444</v>
      </c>
      <c r="R130" s="10" t="n">
        <f aca="false">MIN(R15,R70)</f>
        <v>41.3375673104015</v>
      </c>
      <c r="S130" s="10" t="n">
        <f aca="false">MIN(S15,S70)</f>
        <v>1256.63003735888</v>
      </c>
      <c r="T130" s="10" t="n">
        <f aca="false">MIN(T15,T70)</f>
        <v>2248.38217468623</v>
      </c>
      <c r="U130" s="10" t="n">
        <f aca="false">MIN(U15,U70)</f>
        <v>7188.36294716186</v>
      </c>
      <c r="V130" s="10" t="n">
        <f aca="false">MIN(V15,V70)</f>
        <v>123.652210150957</v>
      </c>
      <c r="W130" s="10" t="n">
        <f aca="false">MIN(W15,W70)</f>
        <v>3.4872938591958</v>
      </c>
      <c r="X130" s="10" t="n">
        <f aca="false">MIN(X15,X70)</f>
        <v>5.635308411572</v>
      </c>
      <c r="Y130" s="10" t="n">
        <f aca="false">MIN(Y15,Y70)</f>
        <v>733.034188459347</v>
      </c>
      <c r="Z130" s="10" t="n">
        <f aca="false">MIN(Z15,Z70)</f>
        <v>47929.1859539974</v>
      </c>
      <c r="AA130" s="10" t="n">
        <f aca="false">MIN(AA15,AA70)</f>
        <v>30630.6002983039</v>
      </c>
      <c r="AB130" s="10" t="n">
        <f aca="false">MIN(AB15,AB70)</f>
        <v>25965.2208297831</v>
      </c>
      <c r="AC130" s="10" t="n">
        <f aca="false">MIN(AC15,AC70)</f>
        <v>131308.153448811</v>
      </c>
      <c r="AD130" s="10" t="n">
        <f aca="false">MIN(AD15,AD70)</f>
        <v>163560.721438004</v>
      </c>
      <c r="AE130" s="10" t="n">
        <f aca="false">MIN(AE15,AE70)</f>
        <v>433110.281957754</v>
      </c>
      <c r="AF130" s="10" t="n">
        <f aca="false">MIN(AF15,AF70)</f>
        <v>465.799947384662</v>
      </c>
      <c r="AG130" s="10" t="n">
        <f aca="false">MIN(AG15,AG70)</f>
        <v>1904.16995552176</v>
      </c>
      <c r="AH130" s="10" t="n">
        <f aca="false">MIN(AH15,AH70)</f>
        <v>1300.40076099724</v>
      </c>
      <c r="AI130" s="10" t="n">
        <f aca="false">MIN(AI15,AI70)</f>
        <v>2127.39802822638</v>
      </c>
      <c r="AJ130" s="10" t="n">
        <f aca="false">MIN(AJ15,AJ70)</f>
        <v>1920.09104169501</v>
      </c>
      <c r="AK130" s="10" t="n">
        <f aca="false">MIN(AK15,AK70)</f>
        <v>354.730893487701</v>
      </c>
      <c r="AL130" s="10" t="n">
        <f aca="false">MIN(AL15,AL70)</f>
        <v>470.183316486033</v>
      </c>
      <c r="AM130" s="10" t="n">
        <f aca="false">MIN(AM15,AM70)</f>
        <v>1174.76417759268</v>
      </c>
      <c r="AN130" s="10" t="n">
        <f aca="false">MIN(AN15,AN70)</f>
        <v>1276.04043705872</v>
      </c>
      <c r="AO130" s="10" t="n">
        <f aca="false">MIN(AO15,AO70)</f>
        <v>10167.8041468403</v>
      </c>
      <c r="AP130" s="10" t="n">
        <f aca="false">MIN(AP15,AP70)</f>
        <v>33795.5313424625</v>
      </c>
      <c r="AQ130" s="10" t="n">
        <f aca="false">MIN(AQ15,AQ70)</f>
        <v>39627.0621383437</v>
      </c>
      <c r="AR130" s="10" t="n">
        <f aca="false">MIN(AR15,AR70)</f>
        <v>51819.1390430594</v>
      </c>
      <c r="AS130" s="10" t="n">
        <f aca="false">MIN(AS15,AS70)</f>
        <v>3264.63043658129</v>
      </c>
      <c r="AT130" s="10" t="n">
        <f aca="false">MIN(AT15,AT70)</f>
        <v>867.380686845927</v>
      </c>
      <c r="AU130" s="10" t="n">
        <f aca="false">MIN(AU15,AU70)</f>
        <v>1209.58957499101</v>
      </c>
      <c r="AV130" s="10" t="n">
        <f aca="false">MIN(AV15,AV70)</f>
        <v>28484.7624902599</v>
      </c>
      <c r="AW130" s="10" t="n">
        <f aca="false">MIN(AW15,AW70)</f>
        <v>41.7162107045067</v>
      </c>
      <c r="AX130" s="10" t="n">
        <f aca="false">MIN(AX15,AX70)</f>
        <v>4287.79183738533</v>
      </c>
      <c r="AY130" s="10" t="n">
        <f aca="false">MIN(AY15,AY70)</f>
        <v>1593.25968249842</v>
      </c>
      <c r="AZ130" s="10" t="n">
        <f aca="false">MIN(AZ15,AZ70)</f>
        <v>455.643437888314</v>
      </c>
      <c r="BA130" s="10" t="n">
        <f aca="false">MIN(BA15,BA70)</f>
        <v>7476.94872228534</v>
      </c>
      <c r="BB130" s="10" t="n">
        <f aca="false">MIN(BB15,BB70)</f>
        <v>11196.2198193516</v>
      </c>
      <c r="BC130" s="10" t="n">
        <f aca="false">MIN(BC15,BC70)</f>
        <v>1357.75578828284</v>
      </c>
      <c r="BD130" s="10" t="n">
        <f aca="false">MIN(BD15,BD70)</f>
        <v>7365.32254714955</v>
      </c>
      <c r="BE130" s="10" t="n">
        <f aca="false">MIN(BE15,BE70)</f>
        <v>19106.9993360635</v>
      </c>
      <c r="BF130" s="10" t="n">
        <f aca="false">MIN(BF15,BF70)</f>
        <v>3136.82741401325</v>
      </c>
      <c r="BG130" s="10" t="n">
        <f aca="false">MIN(BG15,BG70)</f>
        <v>796.705010230728</v>
      </c>
      <c r="BH130" s="10" t="n">
        <f aca="false">MIN(BH15,BH70)</f>
        <v>2039917.05248428</v>
      </c>
      <c r="BI130" s="10" t="n">
        <f aca="false">MIN(BI15,BI70)</f>
        <v>298.764378836523</v>
      </c>
      <c r="BJ130" s="10" t="n">
        <f aca="false">MIN(BJ15,BJ70)</f>
        <v>7.31121691459381</v>
      </c>
      <c r="BK130" s="10" t="n">
        <f aca="false">MIN(BK15,BK70)</f>
        <v>597.528757673046</v>
      </c>
      <c r="BL130" s="10" t="n">
        <f aca="false">MIN(BL15,BL70)</f>
        <v>175.187609458659</v>
      </c>
      <c r="BM130" s="10" t="n">
        <f aca="false">MIN(BM15,BM70)</f>
        <v>61.7212756673716</v>
      </c>
      <c r="BN130" s="10" t="n">
        <f aca="false">MIN(BN15,BN70)</f>
        <v>1</v>
      </c>
      <c r="BO130" s="10" t="n">
        <f aca="false">MIN(BO15,BO70)</f>
        <v>70.1992727615628</v>
      </c>
      <c r="BP130" s="10" t="n">
        <f aca="false">MIN(BP15,BP70)</f>
        <v>97.2336629323931</v>
      </c>
      <c r="BQ130" s="10" t="n">
        <f aca="false">MIN(BQ15,BQ70)</f>
        <v>1</v>
      </c>
      <c r="BR130" s="10" t="n">
        <f aca="false">MIN(BR15,BR70)</f>
        <v>2105.97818284688</v>
      </c>
      <c r="BS130" s="10" t="n">
        <f aca="false">MIN(BS15,BS70)</f>
        <v>21059.7881883233</v>
      </c>
      <c r="BT130" s="10" t="n">
        <f aca="false">MIN(BT15,BT70)</f>
        <v>13.4319758960409</v>
      </c>
      <c r="BU130" s="10" t="n">
        <f aca="false">MIN(BU15,BU70)</f>
        <v>134.319758960409</v>
      </c>
      <c r="BV130" s="10" t="n">
        <f aca="false">MIN(BV15,BV70)</f>
        <v>1343.19758960409</v>
      </c>
      <c r="BW130" s="10" t="n">
        <f aca="false">MIN(BW15,BW70)</f>
        <v>72.6863853339129</v>
      </c>
      <c r="BX130" s="10" t="n">
        <f aca="false">MIN(BX15,BX70)</f>
        <v>19.1425415032865</v>
      </c>
      <c r="BY130" s="10" t="n">
        <f aca="false">MIN(BY15,BY70)</f>
        <v>21.0013536861031</v>
      </c>
      <c r="BZ130" s="10" t="n">
        <f aca="false">MIN(BZ15,BZ70)</f>
        <v>34121.1608234984</v>
      </c>
      <c r="CA130" s="10" t="n">
        <f aca="false">MIN(CA15,CA70)</f>
        <v>93648.8502245019</v>
      </c>
      <c r="CB130" s="10" t="n">
        <f aca="false">MIN(CB15,CB70)</f>
        <v>51.9272286855893</v>
      </c>
      <c r="CC130" s="10" t="n">
        <f aca="false">MIN(CC15,CC70)</f>
        <v>45.6967203438054</v>
      </c>
      <c r="CD130" s="10" t="n">
        <f aca="false">MIN(CD15,CD70)</f>
        <v>198.597695212261</v>
      </c>
      <c r="CE130" s="10" t="n">
        <f aca="false">MIN(CE15,CE70)</f>
        <v>32.9648863994434</v>
      </c>
      <c r="CF130" s="10" t="n">
        <f aca="false">MIN(CF15,CF70)</f>
        <v>1</v>
      </c>
      <c r="CG130" s="10" t="n">
        <f aca="false">MIN(CG15,CG70)</f>
        <v>14.5706105439669</v>
      </c>
      <c r="CH130" s="10" t="n">
        <f aca="false">MIN(CH15,CH70)</f>
        <v>11.168820930554</v>
      </c>
      <c r="CI130" s="10" t="n">
        <f aca="false">MIN(CI15,CI70)</f>
        <v>185.055213950668</v>
      </c>
      <c r="CJ130" s="10" t="n">
        <f aca="false">MIN(CJ15,CJ70)</f>
        <v>1375.23771607533</v>
      </c>
      <c r="CK130" s="10" t="n">
        <f aca="false">MIN(CK15,CK70)</f>
        <v>423.792784708969</v>
      </c>
      <c r="CL130" s="7" t="s">
        <v>320</v>
      </c>
    </row>
    <row r="131" customFormat="false" ht="12.8" hidden="false" customHeight="false" outlineLevel="0" collapsed="false">
      <c r="A131" s="7" t="s">
        <v>145</v>
      </c>
      <c r="B131" s="7" t="s">
        <v>39</v>
      </c>
      <c r="C131" s="10" t="n">
        <f aca="false">MIN(C16,C71)</f>
        <v>52118.5400758081</v>
      </c>
      <c r="D131" s="10" t="n">
        <f aca="false">MIN(D16,D71)</f>
        <v>5.12308355571678</v>
      </c>
      <c r="E131" s="10" t="n">
        <f aca="false">MIN(E16,E71)</f>
        <v>8.71980497668757</v>
      </c>
      <c r="F131" s="10" t="n">
        <f aca="false">MIN(F16,F71)</f>
        <v>28.9205822862028</v>
      </c>
      <c r="G131" s="10" t="n">
        <f aca="false">MIN(G16,G71)</f>
        <v>6.94759175465237</v>
      </c>
      <c r="H131" s="10" t="n">
        <f aca="false">MIN(H16,H71)</f>
        <v>5298.92630976988</v>
      </c>
      <c r="I131" s="10" t="n">
        <f aca="false">MIN(I16,I71)</f>
        <v>2681.29294095834</v>
      </c>
      <c r="J131" s="10" t="n">
        <f aca="false">MIN(J16,J71)</f>
        <v>2606.47549525928</v>
      </c>
      <c r="K131" s="10" t="n">
        <f aca="false">MIN(K16,K71)</f>
        <v>32545.0615998914</v>
      </c>
      <c r="L131" s="10" t="n">
        <f aca="false">MIN(L16,L71)</f>
        <v>153747.174387124</v>
      </c>
      <c r="M131" s="10" t="n">
        <f aca="false">MIN(M16,M71)</f>
        <v>109224.215926433</v>
      </c>
      <c r="N131" s="10" t="n">
        <f aca="false">MIN(N16,N71)</f>
        <v>7.67522952070186</v>
      </c>
      <c r="O131" s="10" t="n">
        <f aca="false">MIN(O16,O71)</f>
        <v>4.09846684457343</v>
      </c>
      <c r="P131" s="10" t="n">
        <f aca="false">MIN(P16,P71)</f>
        <v>2.45908010674405</v>
      </c>
      <c r="Q131" s="10" t="n">
        <f aca="false">MIN(Q16,Q71)</f>
        <v>235.865629338745</v>
      </c>
      <c r="R131" s="10" t="n">
        <f aca="false">MIN(R16,R71)</f>
        <v>74.6767864390873</v>
      </c>
      <c r="S131" s="10" t="n">
        <f aca="false">MIN(S16,S71)</f>
        <v>1317.8329233182</v>
      </c>
      <c r="T131" s="10" t="n">
        <f aca="false">MIN(T16,T71)</f>
        <v>2357.88733828992</v>
      </c>
      <c r="U131" s="10" t="n">
        <f aca="false">MIN(U16,U71)</f>
        <v>7281.61439509552</v>
      </c>
      <c r="V131" s="10" t="n">
        <f aca="false">MIN(V16,V71)</f>
        <v>288.424542521443</v>
      </c>
      <c r="W131" s="10" t="n">
        <f aca="false">MIN(W16,W71)</f>
        <v>8.21980072069566</v>
      </c>
      <c r="X131" s="10" t="n">
        <f aca="false">MIN(X16,X71)</f>
        <v>13.7761315469742</v>
      </c>
      <c r="Y131" s="10" t="n">
        <f aca="false">MIN(Y16,Y71)</f>
        <v>768.735871935618</v>
      </c>
      <c r="Z131" s="10" t="n">
        <f aca="false">MIN(Z16,Z71)</f>
        <v>8239.85062657577</v>
      </c>
      <c r="AA131" s="10" t="n">
        <f aca="false">MIN(AA16,AA71)</f>
        <v>14197.8392510559</v>
      </c>
      <c r="AB131" s="10" t="n">
        <f aca="false">MIN(AB16,AB71)</f>
        <v>9344.73467509326</v>
      </c>
      <c r="AC131" s="10" t="n">
        <f aca="false">MIN(AC16,AC71)</f>
        <v>66567.4523788813</v>
      </c>
      <c r="AD131" s="10" t="n">
        <f aca="false">MIN(AD16,AD71)</f>
        <v>58864.5694610003</v>
      </c>
      <c r="AE131" s="10" t="n">
        <f aca="false">MIN(AE16,AE71)</f>
        <v>191632.66930458</v>
      </c>
      <c r="AF131" s="10" t="n">
        <f aca="false">MIN(AF16,AF71)</f>
        <v>742.790358439001</v>
      </c>
      <c r="AG131" s="10" t="n">
        <f aca="false">MIN(AG16,AG71)</f>
        <v>1186.79104905041</v>
      </c>
      <c r="AH131" s="10" t="n">
        <f aca="false">MIN(AH16,AH71)</f>
        <v>585.525430847714</v>
      </c>
      <c r="AI131" s="10" t="n">
        <f aca="false">MIN(AI16,AI71)</f>
        <v>3620.50756175315</v>
      </c>
      <c r="AJ131" s="10" t="n">
        <f aca="false">MIN(AJ16,AJ71)</f>
        <v>821.969099834974</v>
      </c>
      <c r="AK131" s="10" t="n">
        <f aca="false">MIN(AK16,AK71)</f>
        <v>286.115719076861</v>
      </c>
      <c r="AL131" s="10" t="n">
        <f aca="false">MIN(AL16,AL71)</f>
        <v>867.120346590239</v>
      </c>
      <c r="AM131" s="10" t="n">
        <f aca="false">MIN(AM16,AM71)</f>
        <v>899.310016534336</v>
      </c>
      <c r="AN131" s="10" t="n">
        <f aca="false">MIN(AN16,AN71)</f>
        <v>1264.42607562009</v>
      </c>
      <c r="AO131" s="10" t="n">
        <f aca="false">MIN(AO16,AO71)</f>
        <v>13662.1751676708</v>
      </c>
      <c r="AP131" s="10" t="n">
        <f aca="false">MIN(AP16,AP71)</f>
        <v>31904.6131757915</v>
      </c>
      <c r="AQ131" s="10" t="n">
        <f aca="false">MIN(AQ16,AQ71)</f>
        <v>20398.7264327026</v>
      </c>
      <c r="AR131" s="10" t="n">
        <f aca="false">MIN(AR16,AR71)</f>
        <v>23198.4499845645</v>
      </c>
      <c r="AS131" s="10" t="n">
        <f aca="false">MIN(AS16,AS71)</f>
        <v>1730.86024587355</v>
      </c>
      <c r="AT131" s="10" t="n">
        <f aca="false">MIN(AT16,AT71)</f>
        <v>796.393585368564</v>
      </c>
      <c r="AU131" s="10" t="n">
        <f aca="false">MIN(AU16,AU71)</f>
        <v>1571.83598960771</v>
      </c>
      <c r="AV131" s="10" t="n">
        <f aca="false">MIN(AV16,AV71)</f>
        <v>10111.8998754411</v>
      </c>
      <c r="AW131" s="10" t="n">
        <f aca="false">MIN(AW16,AW71)</f>
        <v>20.6971251699426</v>
      </c>
      <c r="AX131" s="10" t="n">
        <f aca="false">MIN(AX16,AX71)</f>
        <v>3942.20772882631</v>
      </c>
      <c r="AY131" s="10" t="n">
        <f aca="false">MIN(AY16,AY71)</f>
        <v>545.156787942819</v>
      </c>
      <c r="AZ131" s="10" t="n">
        <f aca="false">MIN(AZ16,AZ71)</f>
        <v>122.167758130518</v>
      </c>
      <c r="BA131" s="10" t="n">
        <f aca="false">MIN(BA16,BA71)</f>
        <v>7841.1058937433</v>
      </c>
      <c r="BB131" s="10" t="n">
        <f aca="false">MIN(BB16,BB71)</f>
        <v>2854.02231307756</v>
      </c>
      <c r="BC131" s="10" t="n">
        <f aca="false">MIN(BC16,BC71)</f>
        <v>1954.74925242071</v>
      </c>
      <c r="BD131" s="10" t="n">
        <f aca="false">MIN(BD16,BD71)</f>
        <v>4167.75740250889</v>
      </c>
      <c r="BE131" s="10" t="n">
        <f aca="false">MIN(BE16,BE71)</f>
        <v>15810.4925821495</v>
      </c>
      <c r="BF131" s="10" t="n">
        <f aca="false">MIN(BF16,BF71)</f>
        <v>1244.85615444873</v>
      </c>
      <c r="BG131" s="10" t="n">
        <f aca="false">MIN(BG16,BG71)</f>
        <v>401.390062686883</v>
      </c>
      <c r="BH131" s="10" t="n">
        <f aca="false">MIN(BH16,BH71)</f>
        <v>200.695031343441</v>
      </c>
      <c r="BI131" s="10" t="n">
        <f aca="false">MIN(BI16,BI71)</f>
        <v>150.521273507581</v>
      </c>
      <c r="BJ131" s="10" t="n">
        <f aca="false">MIN(BJ16,BJ71)</f>
        <v>8.04953835466439</v>
      </c>
      <c r="BK131" s="10" t="n">
        <f aca="false">MIN(BK16,BK71)</f>
        <v>301.042547015162</v>
      </c>
      <c r="BL131" s="10" t="n">
        <f aca="false">MIN(BL16,BL71)</f>
        <v>145.132990384333</v>
      </c>
      <c r="BM131" s="10" t="n">
        <f aca="false">MIN(BM16,BM71)</f>
        <v>47.0126032838745</v>
      </c>
      <c r="BN131" s="10" t="n">
        <f aca="false">MIN(BN16,BN71)</f>
        <v>800608.420604517</v>
      </c>
      <c r="BO131" s="10" t="n">
        <f aca="false">MIN(BO16,BO71)</f>
        <v>21.9373362192889</v>
      </c>
      <c r="BP131" s="10" t="n">
        <f aca="false">MIN(BP16,BP71)</f>
        <v>53.9674299537691</v>
      </c>
      <c r="BQ131" s="10" t="n">
        <f aca="false">MIN(BQ16,BQ71)</f>
        <v>1231705.26246849</v>
      </c>
      <c r="BR131" s="10" t="n">
        <f aca="false">MIN(BR16,BR71)</f>
        <v>658.119939353947</v>
      </c>
      <c r="BS131" s="10" t="n">
        <f aca="false">MIN(BS16,BS71)</f>
        <v>6581.19939353946</v>
      </c>
      <c r="BT131" s="10" t="n">
        <f aca="false">MIN(BT16,BT71)</f>
        <v>3.53681509751565</v>
      </c>
      <c r="BU131" s="10" t="n">
        <f aca="false">MIN(BU16,BU71)</f>
        <v>35.3681509751565</v>
      </c>
      <c r="BV131" s="10" t="n">
        <f aca="false">MIN(BV16,BV71)</f>
        <v>353.681509751565</v>
      </c>
      <c r="BW131" s="10" t="n">
        <f aca="false">MIN(BW16,BW71)</f>
        <v>26.1594149300627</v>
      </c>
      <c r="BX131" s="10" t="n">
        <f aca="false">MIN(BX16,BX71)</f>
        <v>90.1828606969774</v>
      </c>
      <c r="BY131" s="10" t="n">
        <f aca="false">MIN(BY16,BY71)</f>
        <v>47.5557867319608</v>
      </c>
      <c r="BZ131" s="10" t="n">
        <f aca="false">MIN(BZ16,BZ71)</f>
        <v>103332.346253637</v>
      </c>
      <c r="CA131" s="10" t="n">
        <f aca="false">MIN(CA16,CA71)</f>
        <v>36695.3055507637</v>
      </c>
      <c r="CB131" s="10" t="n">
        <f aca="false">MIN(CB16,CB71)</f>
        <v>48.6905529946046</v>
      </c>
      <c r="CC131" s="10" t="n">
        <f aca="false">MIN(CC16,CC71)</f>
        <v>13.8751052842818</v>
      </c>
      <c r="CD131" s="10" t="n">
        <f aca="false">MIN(CD16,CD71)</f>
        <v>88.7013862227295</v>
      </c>
      <c r="CE131" s="10" t="n">
        <f aca="false">MIN(CE16,CE71)</f>
        <v>13.5030211396556</v>
      </c>
      <c r="CF131" s="10" t="n">
        <f aca="false">MIN(CF16,CF71)</f>
        <v>1</v>
      </c>
      <c r="CG131" s="10" t="n">
        <f aca="false">MIN(CG16,CG71)</f>
        <v>92.3113767867024</v>
      </c>
      <c r="CH131" s="10" t="n">
        <f aca="false">MIN(CH16,CH71)</f>
        <v>85.3356555763921</v>
      </c>
      <c r="CI131" s="10" t="n">
        <f aca="false">MIN(CI16,CI71)</f>
        <v>162.393057571795</v>
      </c>
      <c r="CJ131" s="10" t="n">
        <f aca="false">MIN(CJ16,CJ71)</f>
        <v>1031.23603550847</v>
      </c>
      <c r="CK131" s="10" t="n">
        <f aca="false">MIN(CK16,CK71)</f>
        <v>779.71011857333</v>
      </c>
      <c r="CL131" s="7" t="s">
        <v>320</v>
      </c>
    </row>
    <row r="132" customFormat="false" ht="12.8" hidden="false" customHeight="false" outlineLevel="0" collapsed="false">
      <c r="A132" s="7" t="s">
        <v>147</v>
      </c>
      <c r="B132" s="7" t="s">
        <v>39</v>
      </c>
      <c r="C132" s="10" t="n">
        <f aca="false">MIN(C17,C72)</f>
        <v>63396.2898127905</v>
      </c>
      <c r="D132" s="10" t="n">
        <f aca="false">MIN(D17,D72)</f>
        <v>6.37606230535445</v>
      </c>
      <c r="E132" s="10" t="n">
        <f aca="false">MIN(E17,E72)</f>
        <v>11.5072552258117</v>
      </c>
      <c r="F132" s="10" t="n">
        <f aca="false">MIN(F17,F72)</f>
        <v>55.3885132998286</v>
      </c>
      <c r="G132" s="10" t="n">
        <f aca="false">MIN(G17,G72)</f>
        <v>12.5225718276341</v>
      </c>
      <c r="H132" s="10" t="n">
        <f aca="false">MIN(H17,H72)</f>
        <v>4748.43298276999</v>
      </c>
      <c r="I132" s="10" t="n">
        <f aca="false">MIN(I17,I72)</f>
        <v>2983.22955536363</v>
      </c>
      <c r="J132" s="10" t="n">
        <f aca="false">MIN(J17,J72)</f>
        <v>3927.81510166112</v>
      </c>
      <c r="K132" s="10" t="n">
        <f aca="false">MIN(K17,K72)</f>
        <v>41128.5971467949</v>
      </c>
      <c r="L132" s="10" t="n">
        <f aca="false">MIN(L17,L72)</f>
        <v>206321.540515227</v>
      </c>
      <c r="M132" s="10" t="n">
        <f aca="false">MIN(M17,M72)</f>
        <v>148111.956939604</v>
      </c>
      <c r="N132" s="10" t="n">
        <f aca="false">MIN(N17,N72)</f>
        <v>13.3157860600621</v>
      </c>
      <c r="O132" s="10" t="n">
        <f aca="false">MIN(O17,O72)</f>
        <v>5.10084984428356</v>
      </c>
      <c r="P132" s="10" t="n">
        <f aca="false">MIN(P17,P72)</f>
        <v>3.06050990657013</v>
      </c>
      <c r="Q132" s="10" t="n">
        <f aca="false">MIN(Q17,Q72)</f>
        <v>266.282384466236</v>
      </c>
      <c r="R132" s="10" t="n">
        <f aca="false">MIN(R17,R72)</f>
        <v>61.8475457570521</v>
      </c>
      <c r="S132" s="10" t="n">
        <f aca="false">MIN(S17,S72)</f>
        <v>1768.47034727337</v>
      </c>
      <c r="T132" s="10" t="n">
        <f aca="false">MIN(T17,T72)</f>
        <v>3164.17488605284</v>
      </c>
      <c r="U132" s="10" t="n">
        <f aca="false">MIN(U17,U72)</f>
        <v>9874.13046264028</v>
      </c>
      <c r="V132" s="10" t="n">
        <f aca="false">MIN(V17,V72)</f>
        <v>224.808826067065</v>
      </c>
      <c r="W132" s="10" t="n">
        <f aca="false">MIN(W17,W72)</f>
        <v>17.4860442841332</v>
      </c>
      <c r="X132" s="10" t="n">
        <f aca="false">MIN(X17,X72)</f>
        <v>5.96394401330946</v>
      </c>
      <c r="Y132" s="10" t="n">
        <f aca="false">MIN(Y17,Y72)</f>
        <v>1031.60770257613</v>
      </c>
      <c r="Z132" s="10" t="n">
        <f aca="false">MIN(Z17,Z72)</f>
        <v>9811.74350409107</v>
      </c>
      <c r="AA132" s="10" t="n">
        <f aca="false">MIN(AA17,AA72)</f>
        <v>20058.6220986568</v>
      </c>
      <c r="AB132" s="10" t="n">
        <f aca="false">MIN(AB17,AB72)</f>
        <v>12331.9554980046</v>
      </c>
      <c r="AC132" s="10" t="n">
        <f aca="false">MIN(AC17,AC72)</f>
        <v>97843.4338935579</v>
      </c>
      <c r="AD132" s="10" t="n">
        <f aca="false">MIN(AD17,AD72)</f>
        <v>77681.740171506</v>
      </c>
      <c r="AE132" s="10" t="n">
        <f aca="false">MIN(AE17,AE72)</f>
        <v>114763.263531524</v>
      </c>
      <c r="AF132" s="10" t="n">
        <f aca="false">MIN(AF17,AF72)</f>
        <v>761.673244363038</v>
      </c>
      <c r="AG132" s="10" t="n">
        <f aca="false">MIN(AG17,AG72)</f>
        <v>566.363816208872</v>
      </c>
      <c r="AH132" s="10" t="n">
        <f aca="false">MIN(AH17,AH72)</f>
        <v>554.714227539652</v>
      </c>
      <c r="AI132" s="10" t="n">
        <f aca="false">MIN(AI17,AI72)</f>
        <v>5383.80029682151</v>
      </c>
      <c r="AJ132" s="10" t="n">
        <f aca="false">MIN(AJ17,AJ72)</f>
        <v>2370.51427380047</v>
      </c>
      <c r="AK132" s="10" t="n">
        <f aca="false">MIN(AK17,AK72)</f>
        <v>317.302071945544</v>
      </c>
      <c r="AL132" s="10" t="n">
        <f aca="false">MIN(AL17,AL72)</f>
        <v>869.383023105491</v>
      </c>
      <c r="AM132" s="10" t="n">
        <f aca="false">MIN(AM17,AM72)</f>
        <v>2546.02197577879</v>
      </c>
      <c r="AN132" s="10" t="n">
        <f aca="false">MIN(AN17,AN72)</f>
        <v>1124.50896381123</v>
      </c>
      <c r="AO132" s="10" t="n">
        <f aca="false">MIN(AO17,AO72)</f>
        <v>27814.3092401579</v>
      </c>
      <c r="AP132" s="10" t="n">
        <f aca="false">MIN(AP17,AP72)</f>
        <v>86638.2616564357</v>
      </c>
      <c r="AQ132" s="10" t="n">
        <f aca="false">MIN(AQ17,AQ72)</f>
        <v>18924.9707946037</v>
      </c>
      <c r="AR132" s="10" t="n">
        <f aca="false">MIN(AR17,AR72)</f>
        <v>17511.2772982215</v>
      </c>
      <c r="AS132" s="10" t="n">
        <f aca="false">MIN(AS17,AS72)</f>
        <v>956.452367217865</v>
      </c>
      <c r="AT132" s="10" t="n">
        <f aca="false">MIN(AT17,AT72)</f>
        <v>1529.02380806158</v>
      </c>
      <c r="AU132" s="10" t="n">
        <f aca="false">MIN(AU17,AU72)</f>
        <v>537.22591594995</v>
      </c>
      <c r="AV132" s="10" t="n">
        <f aca="false">MIN(AV17,AV72)</f>
        <v>20012.4173148041</v>
      </c>
      <c r="AW132" s="10" t="n">
        <f aca="false">MIN(AW17,AW72)</f>
        <v>30.6728918915411</v>
      </c>
      <c r="AX132" s="10" t="n">
        <f aca="false">MIN(AX17,AX72)</f>
        <v>3842.74606508515</v>
      </c>
      <c r="AY132" s="10" t="n">
        <f aca="false">MIN(AY17,AY72)</f>
        <v>1027.46875677959</v>
      </c>
      <c r="AZ132" s="10" t="n">
        <f aca="false">MIN(AZ17,AZ72)</f>
        <v>190.822445584571</v>
      </c>
      <c r="BA132" s="10" t="n">
        <f aca="false">MIN(BA17,BA72)</f>
        <v>10522.3985662766</v>
      </c>
      <c r="BB132" s="10" t="n">
        <f aca="false">MIN(BB17,BB72)</f>
        <v>3172.39012721432</v>
      </c>
      <c r="BC132" s="10" t="n">
        <f aca="false">MIN(BC17,BC72)</f>
        <v>2444.49771115776</v>
      </c>
      <c r="BD132" s="10" t="n">
        <f aca="false">MIN(BD17,BD72)</f>
        <v>5597.23909266335</v>
      </c>
      <c r="BE132" s="10" t="n">
        <f aca="false">MIN(BE17,BE72)</f>
        <v>15997.5661791399</v>
      </c>
      <c r="BF132" s="10" t="n">
        <f aca="false">MIN(BF17,BF72)</f>
        <v>1045.59708095902</v>
      </c>
      <c r="BG132" s="10" t="n">
        <f aca="false">MIN(BG17,BG72)</f>
        <v>529.701972554562</v>
      </c>
      <c r="BH132" s="10" t="n">
        <f aca="false">MIN(BH17,BH72)</f>
        <v>264.850986277281</v>
      </c>
      <c r="BI132" s="10" t="n">
        <f aca="false">MIN(BI17,BI72)</f>
        <v>198.638239707961</v>
      </c>
      <c r="BJ132" s="10" t="n">
        <f aca="false">MIN(BJ17,BJ72)</f>
        <v>3.74273769929809</v>
      </c>
      <c r="BK132" s="10" t="n">
        <f aca="false">MIN(BK17,BK72)</f>
        <v>397.276479415921</v>
      </c>
      <c r="BL132" s="10" t="n">
        <f aca="false">MIN(BL17,BL72)</f>
        <v>2108.04569000734</v>
      </c>
      <c r="BM132" s="10" t="n">
        <f aca="false">MIN(BM17,BM72)</f>
        <v>23.5269573246982</v>
      </c>
      <c r="BN132" s="10" t="n">
        <f aca="false">MIN(BN17,BN72)</f>
        <v>882246.758644603</v>
      </c>
      <c r="BO132" s="10" t="n">
        <f aca="false">MIN(BO17,BO72)</f>
        <v>51.2138069795748</v>
      </c>
      <c r="BP132" s="10" t="n">
        <f aca="false">MIN(BP17,BP72)</f>
        <v>97.3671857042386</v>
      </c>
      <c r="BQ132" s="10" t="n">
        <f aca="false">MIN(BQ17,BQ72)</f>
        <v>1357302.70560708</v>
      </c>
      <c r="BR132" s="10" t="n">
        <f aca="false">MIN(BR17,BR72)</f>
        <v>1536.41334541574</v>
      </c>
      <c r="BS132" s="10" t="n">
        <f aca="false">MIN(BS17,BS72)</f>
        <v>15364.1334541573</v>
      </c>
      <c r="BT132" s="10" t="n">
        <f aca="false">MIN(BT17,BT72)</f>
        <v>7.02772779253219</v>
      </c>
      <c r="BU132" s="10" t="n">
        <f aca="false">MIN(BU17,BU72)</f>
        <v>70.2772779253219</v>
      </c>
      <c r="BV132" s="10" t="n">
        <f aca="false">MIN(BV17,BV72)</f>
        <v>702.772779253219</v>
      </c>
      <c r="BW132" s="10" t="n">
        <f aca="false">MIN(BW17,BW72)</f>
        <v>34.521765677435</v>
      </c>
      <c r="BX132" s="10" t="n">
        <f aca="false">MIN(BX17,BX72)</f>
        <v>203.46726739703</v>
      </c>
      <c r="BY132" s="10" t="n">
        <f aca="false">MIN(BY17,BY72)</f>
        <v>13.9455517519693</v>
      </c>
      <c r="BZ132" s="10" t="n">
        <f aca="false">MIN(BZ17,BZ72)</f>
        <v>24584.6095451787</v>
      </c>
      <c r="CA132" s="10" t="n">
        <f aca="false">MIN(CA17,CA72)</f>
        <v>937258.34053636</v>
      </c>
      <c r="CB132" s="10" t="n">
        <f aca="false">MIN(CB17,CB72)</f>
        <v>91.2878485691141</v>
      </c>
      <c r="CC132" s="10" t="n">
        <f aca="false">MIN(CC17,CC72)</f>
        <v>7.87447564599368</v>
      </c>
      <c r="CD132" s="10" t="n">
        <f aca="false">MIN(CD17,CD72)</f>
        <v>116.852850817108</v>
      </c>
      <c r="CE132" s="10" t="n">
        <f aca="false">MIN(CE17,CE72)</f>
        <v>117.741342772705</v>
      </c>
      <c r="CF132" s="10" t="n">
        <f aca="false">MIN(CF17,CF72)</f>
        <v>1</v>
      </c>
      <c r="CG132" s="10" t="n">
        <f aca="false">MIN(CG17,CG72)</f>
        <v>814.405273230771</v>
      </c>
      <c r="CH132" s="10" t="n">
        <f aca="false">MIN(CH17,CH72)</f>
        <v>69.9041987636356</v>
      </c>
      <c r="CI132" s="10" t="n">
        <f aca="false">MIN(CI17,CI72)</f>
        <v>1188.59007529517</v>
      </c>
      <c r="CJ132" s="10" t="n">
        <f aca="false">MIN(CJ17,CJ72)</f>
        <v>1350.72906285057</v>
      </c>
      <c r="CK132" s="10" t="n">
        <f aca="false">MIN(CK17,CK72)</f>
        <v>3728.65010117361</v>
      </c>
      <c r="CL132" s="7" t="s">
        <v>320</v>
      </c>
    </row>
    <row r="133" customFormat="false" ht="12.8" hidden="false" customHeight="false" outlineLevel="0" collapsed="false">
      <c r="A133" s="7" t="s">
        <v>148</v>
      </c>
      <c r="B133" s="7" t="s">
        <v>39</v>
      </c>
      <c r="C133" s="10" t="n">
        <f aca="false">MIN(C18,C73)</f>
        <v>27397.0335949971</v>
      </c>
      <c r="D133" s="10" t="n">
        <f aca="false">MIN(D18,D73)</f>
        <v>4.23035591364922</v>
      </c>
      <c r="E133" s="10" t="n">
        <f aca="false">MIN(E18,E73)</f>
        <v>8.33364769698172</v>
      </c>
      <c r="F133" s="10" t="n">
        <f aca="false">MIN(F18,F73)</f>
        <v>21.6937744299911</v>
      </c>
      <c r="G133" s="10" t="n">
        <f aca="false">MIN(G18,G73)</f>
        <v>6.8674446407536</v>
      </c>
      <c r="H133" s="10" t="n">
        <f aca="false">MIN(H18,H73)</f>
        <v>3087.86857625863</v>
      </c>
      <c r="I133" s="10" t="n">
        <f aca="false">MIN(I18,I73)</f>
        <v>3772.08825679845</v>
      </c>
      <c r="J133" s="10" t="n">
        <f aca="false">MIN(J18,J73)</f>
        <v>4728.08190347995</v>
      </c>
      <c r="K133" s="10" t="n">
        <f aca="false">MIN(K18,K73)</f>
        <v>18008.9069356296</v>
      </c>
      <c r="L133" s="10" t="n">
        <f aca="false">MIN(L18,L73)</f>
        <v>96279.012131006</v>
      </c>
      <c r="M133" s="10" t="n">
        <f aca="false">MIN(M18,M73)</f>
        <v>69943.4656013177</v>
      </c>
      <c r="N133" s="10" t="n">
        <f aca="false">MIN(N18,N73)</f>
        <v>8.89366630784335</v>
      </c>
      <c r="O133" s="10" t="n">
        <f aca="false">MIN(O18,O73)</f>
        <v>3.61343556268851</v>
      </c>
      <c r="P133" s="10" t="n">
        <f aca="false">MIN(P18,P73)</f>
        <v>2.1680613376131</v>
      </c>
      <c r="Q133" s="10" t="n">
        <f aca="false">MIN(Q18,Q73)</f>
        <v>233.815179038106</v>
      </c>
      <c r="R133" s="10" t="n">
        <f aca="false">MIN(R18,R73)</f>
        <v>49.3394710565195</v>
      </c>
      <c r="S133" s="10" t="n">
        <f aca="false">MIN(S18,S73)</f>
        <v>825.248675408621</v>
      </c>
      <c r="T133" s="10" t="n">
        <f aca="false">MIN(T18,T73)</f>
        <v>1476.54787511836</v>
      </c>
      <c r="U133" s="10" t="n">
        <f aca="false">MIN(U18,U73)</f>
        <v>4662.89770675451</v>
      </c>
      <c r="V133" s="10" t="n">
        <f aca="false">MIN(V18,V73)</f>
        <v>213.296397380559</v>
      </c>
      <c r="W133" s="10" t="n">
        <f aca="false">MIN(W18,W73)</f>
        <v>11.9046696738302</v>
      </c>
      <c r="X133" s="10" t="n">
        <f aca="false">MIN(X18,X73)</f>
        <v>11.3296166958413</v>
      </c>
      <c r="Y133" s="10" t="n">
        <f aca="false">MIN(Y18,Y73)</f>
        <v>481.39506065503</v>
      </c>
      <c r="Z133" s="10" t="n">
        <f aca="false">MIN(Z18,Z73)</f>
        <v>13174.7297674733</v>
      </c>
      <c r="AA133" s="10" t="n">
        <f aca="false">MIN(AA18,AA73)</f>
        <v>12863.6576328174</v>
      </c>
      <c r="AB133" s="10" t="n">
        <f aca="false">MIN(AB18,AB73)</f>
        <v>9456.23097432281</v>
      </c>
      <c r="AC133" s="10" t="n">
        <f aca="false">MIN(AC18,AC73)</f>
        <v>54875.5712203009</v>
      </c>
      <c r="AD133" s="10" t="n">
        <f aca="false">MIN(AD18,AD73)</f>
        <v>59566.9095357951</v>
      </c>
      <c r="AE133" s="10" t="n">
        <f aca="false">MIN(AE18,AE73)</f>
        <v>212594.185042096</v>
      </c>
      <c r="AF133" s="10" t="n">
        <f aca="false">MIN(AF18,AF73)</f>
        <v>805.681456891297</v>
      </c>
      <c r="AG133" s="10" t="n">
        <f aca="false">MIN(AG18,AG73)</f>
        <v>468.625649781958</v>
      </c>
      <c r="AH133" s="10" t="n">
        <f aca="false">MIN(AH18,AH73)</f>
        <v>362.358823373503</v>
      </c>
      <c r="AI133" s="10" t="n">
        <f aca="false">MIN(AI18,AI73)</f>
        <v>1752.47110081024</v>
      </c>
      <c r="AJ133" s="10" t="n">
        <f aca="false">MIN(AJ18,AJ73)</f>
        <v>1607.97965476088</v>
      </c>
      <c r="AK133" s="10" t="n">
        <f aca="false">MIN(AK18,AK73)</f>
        <v>753.894885826564</v>
      </c>
      <c r="AL133" s="10" t="n">
        <f aca="false">MIN(AL18,AL73)</f>
        <v>1175.32110869536</v>
      </c>
      <c r="AM133" s="10" t="n">
        <f aca="false">MIN(AM18,AM73)</f>
        <v>2069.27311440442</v>
      </c>
      <c r="AN133" s="10" t="n">
        <f aca="false">MIN(AN18,AN73)</f>
        <v>1569.41435420543</v>
      </c>
      <c r="AO133" s="10" t="n">
        <f aca="false">MIN(AO18,AO73)</f>
        <v>25833.8292634478</v>
      </c>
      <c r="AP133" s="10" t="n">
        <f aca="false">MIN(AP18,AP73)</f>
        <v>30691.0704636044</v>
      </c>
      <c r="AQ133" s="10" t="n">
        <f aca="false">MIN(AQ18,AQ73)</f>
        <v>21098.1236924557</v>
      </c>
      <c r="AR133" s="10" t="n">
        <f aca="false">MIN(AR18,AR73)</f>
        <v>9100.07026162806</v>
      </c>
      <c r="AS133" s="10" t="n">
        <f aca="false">MIN(AS18,AS73)</f>
        <v>3400.86719700457</v>
      </c>
      <c r="AT133" s="10" t="n">
        <f aca="false">MIN(AT18,AT73)</f>
        <v>466.020927627047</v>
      </c>
      <c r="AU133" s="10" t="n">
        <f aca="false">MIN(AU18,AU73)</f>
        <v>1481.31941747472</v>
      </c>
      <c r="AV133" s="10" t="n">
        <f aca="false">MIN(AV18,AV73)</f>
        <v>9929.78056036035</v>
      </c>
      <c r="AW133" s="10" t="n">
        <f aca="false">MIN(AW18,AW73)</f>
        <v>17.2435773037656</v>
      </c>
      <c r="AX133" s="10" t="n">
        <f aca="false">MIN(AX18,AX73)</f>
        <v>2848.55413124424</v>
      </c>
      <c r="AY133" s="10" t="n">
        <f aca="false">MIN(AY18,AY73)</f>
        <v>621.458429773427</v>
      </c>
      <c r="AZ133" s="10" t="n">
        <f aca="false">MIN(AZ18,AZ73)</f>
        <v>142.702491308693</v>
      </c>
      <c r="BA133" s="10" t="n">
        <f aca="false">MIN(BA18,BA73)</f>
        <v>4910.22961868131</v>
      </c>
      <c r="BB133" s="10" t="n">
        <f aca="false">MIN(BB18,BB73)</f>
        <v>2602.21233920387</v>
      </c>
      <c r="BC133" s="10" t="n">
        <f aca="false">MIN(BC18,BC73)</f>
        <v>1684.41287080425</v>
      </c>
      <c r="BD133" s="10" t="n">
        <f aca="false">MIN(BD18,BD73)</f>
        <v>4012.32272069243</v>
      </c>
      <c r="BE133" s="10" t="n">
        <f aca="false">MIN(BE18,BE73)</f>
        <v>12396.1613274553</v>
      </c>
      <c r="BF133" s="10" t="n">
        <f aca="false">MIN(BF18,BF73)</f>
        <v>1093.57729835486</v>
      </c>
      <c r="BG133" s="10" t="n">
        <f aca="false">MIN(BG18,BG73)</f>
        <v>290.136840265349</v>
      </c>
      <c r="BH133" s="10" t="n">
        <f aca="false">MIN(BH18,BH73)</f>
        <v>1909167.02900091</v>
      </c>
      <c r="BI133" s="10" t="n">
        <f aca="false">MIN(BI18,BI73)</f>
        <v>102.170058161026</v>
      </c>
      <c r="BJ133" s="10" t="n">
        <f aca="false">MIN(BJ18,BJ73)</f>
        <v>32.1298068912685</v>
      </c>
      <c r="BK133" s="10" t="n">
        <f aca="false">MIN(BK18,BK73)</f>
        <v>204.340116322052</v>
      </c>
      <c r="BL133" s="10" t="n">
        <f aca="false">MIN(BL18,BL73)</f>
        <v>150.713763815666</v>
      </c>
      <c r="BM133" s="10" t="n">
        <f aca="false">MIN(BM18,BM73)</f>
        <v>281.320281830663</v>
      </c>
      <c r="BN133" s="10" t="n">
        <f aca="false">MIN(BN18,BN73)</f>
        <v>499251.613935428</v>
      </c>
      <c r="BO133" s="10" t="n">
        <f aca="false">MIN(BO18,BO73)</f>
        <v>25.0774461280859</v>
      </c>
      <c r="BP133" s="10" t="n">
        <f aca="false">MIN(BP18,BP73)</f>
        <v>63.0182074376388</v>
      </c>
      <c r="BQ133" s="10" t="n">
        <f aca="false">MIN(BQ18,BQ73)</f>
        <v>768079.406054504</v>
      </c>
      <c r="BR133" s="10" t="n">
        <f aca="false">MIN(BR18,BR73)</f>
        <v>752.323012172866</v>
      </c>
      <c r="BS133" s="10" t="n">
        <f aca="false">MIN(BS18,BS73)</f>
        <v>7523.23012172866</v>
      </c>
      <c r="BT133" s="10" t="n">
        <f aca="false">MIN(BT18,BT73)</f>
        <v>3.32455736490976</v>
      </c>
      <c r="BU133" s="10" t="n">
        <f aca="false">MIN(BU18,BU73)</f>
        <v>33.2455736490976</v>
      </c>
      <c r="BV133" s="10" t="n">
        <f aca="false">MIN(BV18,BV73)</f>
        <v>332.455736490976</v>
      </c>
      <c r="BW133" s="10" t="n">
        <f aca="false">MIN(BW18,BW73)</f>
        <v>26.4715348624228</v>
      </c>
      <c r="BX133" s="10" t="n">
        <f aca="false">MIN(BX18,BX73)</f>
        <v>13.4518177061217</v>
      </c>
      <c r="BY133" s="10" t="n">
        <f aca="false">MIN(BY18,BY73)</f>
        <v>24.2835734473982</v>
      </c>
      <c r="BZ133" s="10" t="n">
        <f aca="false">MIN(BZ18,BZ73)</f>
        <v>31313.8376174297</v>
      </c>
      <c r="CA133" s="10" t="n">
        <f aca="false">MIN(CA18,CA73)</f>
        <v>14060.699890815</v>
      </c>
      <c r="CB133" s="10" t="n">
        <f aca="false">MIN(CB18,CB73)</f>
        <v>23.4645649218532</v>
      </c>
      <c r="CC133" s="10" t="n">
        <f aca="false">MIN(CC18,CC73)</f>
        <v>7.31241608353171</v>
      </c>
      <c r="CD133" s="10" t="n">
        <f aca="false">MIN(CD18,CD73)</f>
        <v>65.171050856666</v>
      </c>
      <c r="CE133" s="10" t="n">
        <f aca="false">MIN(CE18,CE73)</f>
        <v>25.4991085715715</v>
      </c>
      <c r="CF133" s="10" t="n">
        <f aca="false">MIN(CF18,CF73)</f>
        <v>1</v>
      </c>
      <c r="CG133" s="10" t="n">
        <f aca="false">MIN(CG18,CG73)</f>
        <v>60.6676868669373</v>
      </c>
      <c r="CH133" s="10" t="n">
        <f aca="false">MIN(CH18,CH73)</f>
        <v>6049.29495589381</v>
      </c>
      <c r="CI133" s="10" t="n">
        <f aca="false">MIN(CI18,CI73)</f>
        <v>619.859448619089</v>
      </c>
      <c r="CJ133" s="10" t="n">
        <f aca="false">MIN(CJ18,CJ73)</f>
        <v>4781.59344802006</v>
      </c>
      <c r="CK133" s="10" t="n">
        <f aca="false">MIN(CK18,CK73)</f>
        <v>1192.72075732644</v>
      </c>
      <c r="CL133" s="7" t="s">
        <v>320</v>
      </c>
    </row>
    <row r="134" customFormat="false" ht="12.8" hidden="false" customHeight="false" outlineLevel="0" collapsed="false">
      <c r="A134" s="7" t="s">
        <v>150</v>
      </c>
      <c r="B134" s="7" t="s">
        <v>39</v>
      </c>
      <c r="C134" s="10" t="n">
        <f aca="false">MIN(C19,C74)</f>
        <v>50489.8941825208</v>
      </c>
      <c r="D134" s="10" t="n">
        <f aca="false">MIN(D19,D74)</f>
        <v>5.20465004239227</v>
      </c>
      <c r="E134" s="10" t="n">
        <f aca="false">MIN(E19,E74)</f>
        <v>9.3584646801742</v>
      </c>
      <c r="F134" s="10" t="n">
        <f aca="false">MIN(F19,F74)</f>
        <v>39.6472834298694</v>
      </c>
      <c r="G134" s="10" t="n">
        <f aca="false">MIN(G19,G74)</f>
        <v>15.2529914961298</v>
      </c>
      <c r="H134" s="10" t="n">
        <f aca="false">MIN(H19,H74)</f>
        <v>3923.66308746175</v>
      </c>
      <c r="I134" s="10" t="n">
        <f aca="false">MIN(I19,I74)</f>
        <v>2556.69223559902</v>
      </c>
      <c r="J134" s="10" t="n">
        <f aca="false">MIN(J19,J74)</f>
        <v>3401.44427501523</v>
      </c>
      <c r="K134" s="10" t="n">
        <f aca="false">MIN(K19,K74)</f>
        <v>31851.6275725857</v>
      </c>
      <c r="L134" s="10" t="n">
        <f aca="false">MIN(L19,L74)</f>
        <v>162115.107982687</v>
      </c>
      <c r="M134" s="10" t="n">
        <f aca="false">MIN(M19,M74)</f>
        <v>116684.070906521</v>
      </c>
      <c r="N134" s="10" t="n">
        <f aca="false">MIN(N19,N74)</f>
        <v>6.96415023539897</v>
      </c>
      <c r="O134" s="10" t="n">
        <f aca="false">MIN(O19,O74)</f>
        <v>4.16372003391381</v>
      </c>
      <c r="P134" s="10" t="n">
        <f aca="false">MIN(P19,P74)</f>
        <v>2.49823202034829</v>
      </c>
      <c r="Q134" s="10" t="n">
        <f aca="false">MIN(Q19,Q74)</f>
        <v>388.289069227846</v>
      </c>
      <c r="R134" s="10" t="n">
        <f aca="false">MIN(R19,R74)</f>
        <v>54.3416041494302</v>
      </c>
      <c r="S134" s="10" t="n">
        <f aca="false">MIN(S19,S74)</f>
        <v>1389.55806842303</v>
      </c>
      <c r="T134" s="10" t="n">
        <f aca="false">MIN(T19,T74)</f>
        <v>2486.21909301179</v>
      </c>
      <c r="U134" s="10" t="n">
        <f aca="false">MIN(U19,U74)</f>
        <v>7778.93806043472</v>
      </c>
      <c r="V134" s="10" t="n">
        <f aca="false">MIN(V19,V74)</f>
        <v>204.135738930609</v>
      </c>
      <c r="W134" s="10" t="n">
        <f aca="false">MIN(W19,W74)</f>
        <v>6.40048408767607</v>
      </c>
      <c r="X134" s="10" t="n">
        <f aca="false">MIN(X19,X74)</f>
        <v>4.47808437883422</v>
      </c>
      <c r="Y134" s="10" t="n">
        <f aca="false">MIN(Y19,Y74)</f>
        <v>810.575539913435</v>
      </c>
      <c r="Z134" s="10" t="n">
        <f aca="false">MIN(Z19,Z74)</f>
        <v>6765.6945771054</v>
      </c>
      <c r="AA134" s="10" t="n">
        <f aca="false">MIN(AA19,AA74)</f>
        <v>11648.9016427112</v>
      </c>
      <c r="AB134" s="10" t="n">
        <f aca="false">MIN(AB19,AB74)</f>
        <v>10029.1657481175</v>
      </c>
      <c r="AC134" s="10" t="n">
        <f aca="false">MIN(AC19,AC74)</f>
        <v>57868.5521941457</v>
      </c>
      <c r="AD134" s="10" t="n">
        <f aca="false">MIN(AD19,AD74)</f>
        <v>63175.9535548349</v>
      </c>
      <c r="AE134" s="10" t="n">
        <f aca="false">MIN(AE19,AE74)</f>
        <v>193081.108544179</v>
      </c>
      <c r="AF134" s="10" t="n">
        <f aca="false">MIN(AF19,AF74)</f>
        <v>955.382236904742</v>
      </c>
      <c r="AG134" s="10" t="n">
        <f aca="false">MIN(AG19,AG74)</f>
        <v>419.100778212212</v>
      </c>
      <c r="AH134" s="10" t="n">
        <f aca="false">MIN(AH19,AH74)</f>
        <v>284.146927662992</v>
      </c>
      <c r="AI134" s="10" t="n">
        <f aca="false">MIN(AI19,AI74)</f>
        <v>1736.38809575404</v>
      </c>
      <c r="AJ134" s="10" t="n">
        <f aca="false">MIN(AJ19,AJ74)</f>
        <v>870.006653333217</v>
      </c>
      <c r="AK134" s="10" t="n">
        <f aca="false">MIN(AK19,AK74)</f>
        <v>291.646649215307</v>
      </c>
      <c r="AL134" s="10" t="n">
        <f aca="false">MIN(AL19,AL74)</f>
        <v>553.331389999127</v>
      </c>
      <c r="AM134" s="10" t="n">
        <f aca="false">MIN(AM19,AM74)</f>
        <v>667.188232705612</v>
      </c>
      <c r="AN134" s="10" t="n">
        <f aca="false">MIN(AN19,AN74)</f>
        <v>2268.70332182903</v>
      </c>
      <c r="AO134" s="10" t="n">
        <f aca="false">MIN(AO19,AO74)</f>
        <v>9431.69731206325</v>
      </c>
      <c r="AP134" s="10" t="n">
        <f aca="false">MIN(AP19,AP74)</f>
        <v>24696.0465112654</v>
      </c>
      <c r="AQ134" s="10" t="n">
        <f aca="false">MIN(AQ19,AQ74)</f>
        <v>9521.25775924942</v>
      </c>
      <c r="AR134" s="10" t="n">
        <f aca="false">MIN(AR19,AR74)</f>
        <v>18330.817953116</v>
      </c>
      <c r="AS134" s="10" t="n">
        <f aca="false">MIN(AS19,AS74)</f>
        <v>2533.38433469135</v>
      </c>
      <c r="AT134" s="10" t="n">
        <f aca="false">MIN(AT19,AT74)</f>
        <v>465.291965889239</v>
      </c>
      <c r="AU134" s="10" t="n">
        <f aca="false">MIN(AU19,AU74)</f>
        <v>975.894276771668</v>
      </c>
      <c r="AV134" s="10" t="n">
        <f aca="false">MIN(AV19,AV74)</f>
        <v>4524.59844970692</v>
      </c>
      <c r="AW134" s="10" t="n">
        <f aca="false">MIN(AW19,AW74)</f>
        <v>19.1680338825657</v>
      </c>
      <c r="AX134" s="10" t="n">
        <f aca="false">MIN(AX19,AX74)</f>
        <v>5147.92373721809</v>
      </c>
      <c r="AY134" s="10" t="n">
        <f aca="false">MIN(AY19,AY74)</f>
        <v>517.27812174491</v>
      </c>
      <c r="AZ134" s="10" t="n">
        <f aca="false">MIN(AZ19,AZ74)</f>
        <v>133.704496881572</v>
      </c>
      <c r="BA134" s="10" t="n">
        <f aca="false">MIN(BA19,BA74)</f>
        <v>8267.87050711704</v>
      </c>
      <c r="BB134" s="10" t="n">
        <f aca="false">MIN(BB19,BB74)</f>
        <v>2300.44842074808</v>
      </c>
      <c r="BC134" s="10" t="n">
        <f aca="false">MIN(BC19,BC74)</f>
        <v>773.785360269853</v>
      </c>
      <c r="BD134" s="10" t="n">
        <f aca="false">MIN(BD19,BD74)</f>
        <v>3055.99693027053</v>
      </c>
      <c r="BE134" s="10" t="n">
        <f aca="false">MIN(BE19,BE74)</f>
        <v>7267.18337692703</v>
      </c>
      <c r="BF134" s="10" t="n">
        <f aca="false">MIN(BF19,BF74)</f>
        <v>535.519808306575</v>
      </c>
      <c r="BG134" s="10" t="n">
        <f aca="false">MIN(BG19,BG74)</f>
        <v>430.788846157779</v>
      </c>
      <c r="BH134" s="10" t="n">
        <f aca="false">MIN(BH19,BH74)</f>
        <v>215.39442307889</v>
      </c>
      <c r="BI134" s="10" t="n">
        <f aca="false">MIN(BI19,BI74)</f>
        <v>161.545817309167</v>
      </c>
      <c r="BJ134" s="10" t="n">
        <f aca="false">MIN(BJ19,BJ74)</f>
        <v>2.84826868061241</v>
      </c>
      <c r="BK134" s="10" t="n">
        <f aca="false">MIN(BK19,BK74)</f>
        <v>323.091634618334</v>
      </c>
      <c r="BL134" s="10" t="n">
        <f aca="false">MIN(BL19,BL74)</f>
        <v>107.188848978132</v>
      </c>
      <c r="BM134" s="10" t="n">
        <f aca="false">MIN(BM19,BM74)</f>
        <v>34.8758067160211</v>
      </c>
      <c r="BN134" s="10" t="n">
        <f aca="false">MIN(BN19,BN74)</f>
        <v>1570931.52409611</v>
      </c>
      <c r="BO134" s="10" t="n">
        <f aca="false">MIN(BO19,BO74)</f>
        <v>30.4462477161134</v>
      </c>
      <c r="BP134" s="10" t="n">
        <f aca="false">MIN(BP19,BP74)</f>
        <v>51.4374684773937</v>
      </c>
      <c r="BQ134" s="10" t="n">
        <f aca="false">MIN(BQ19,BQ74)</f>
        <v>2416817.72937863</v>
      </c>
      <c r="BR134" s="10" t="n">
        <f aca="false">MIN(BR19,BR74)</f>
        <v>913.387290333229</v>
      </c>
      <c r="BS134" s="10" t="n">
        <f aca="false">MIN(BS19,BS74)</f>
        <v>9133.87290333229</v>
      </c>
      <c r="BT134" s="10" t="n">
        <f aca="false">MIN(BT19,BT74)</f>
        <v>4.79184411549584</v>
      </c>
      <c r="BU134" s="10" t="n">
        <f aca="false">MIN(BU19,BU74)</f>
        <v>47.9184411549583</v>
      </c>
      <c r="BV134" s="10" t="n">
        <f aca="false">MIN(BV19,BV74)</f>
        <v>479.184411549583</v>
      </c>
      <c r="BW134" s="10" t="n">
        <f aca="false">MIN(BW19,BW74)</f>
        <v>28.0753940405226</v>
      </c>
      <c r="BX134" s="10" t="n">
        <f aca="false">MIN(BX19,BX74)</f>
        <v>12.0595195953448</v>
      </c>
      <c r="BY134" s="10" t="n">
        <f aca="false">MIN(BY19,BY74)</f>
        <v>99.6149273648016</v>
      </c>
      <c r="BZ134" s="10" t="n">
        <f aca="false">MIN(BZ19,BZ74)</f>
        <v>38090.9177282748</v>
      </c>
      <c r="CA134" s="10" t="n">
        <f aca="false">MIN(CA19,CA74)</f>
        <v>41565.1314811295</v>
      </c>
      <c r="CB134" s="10" t="n">
        <f aca="false">MIN(CB19,CB74)</f>
        <v>80.3327206814068</v>
      </c>
      <c r="CC134" s="10" t="n">
        <f aca="false">MIN(CC19,CC74)</f>
        <v>103.15717017502</v>
      </c>
      <c r="CD134" s="10" t="n">
        <f aca="false">MIN(CD19,CD74)</f>
        <v>95.3766738188712</v>
      </c>
      <c r="CE134" s="10" t="n">
        <f aca="false">MIN(CE19,CE74)</f>
        <v>14.3317365819199</v>
      </c>
      <c r="CF134" s="10" t="n">
        <f aca="false">MIN(CF19,CF74)</f>
        <v>1.05457409232062</v>
      </c>
      <c r="CG134" s="10" t="n">
        <f aca="false">MIN(CG19,CG74)</f>
        <v>18.6561343510642</v>
      </c>
      <c r="CH134" s="10" t="n">
        <f aca="false">MIN(CH19,CH74)</f>
        <v>55.9417798621615</v>
      </c>
      <c r="CI134" s="10" t="n">
        <f aca="false">MIN(CI19,CI74)</f>
        <v>177.902315178758</v>
      </c>
      <c r="CJ134" s="10" t="n">
        <f aca="false">MIN(CJ19,CJ74)</f>
        <v>2736.9299099033</v>
      </c>
      <c r="CK134" s="10" t="n">
        <f aca="false">MIN(CK19,CK74)</f>
        <v>599.388641967142</v>
      </c>
      <c r="CL134" s="7" t="s">
        <v>320</v>
      </c>
    </row>
    <row r="135" customFormat="false" ht="12.8" hidden="false" customHeight="false" outlineLevel="0" collapsed="false">
      <c r="A135" s="7" t="s">
        <v>151</v>
      </c>
      <c r="B135" s="7" t="s">
        <v>39</v>
      </c>
      <c r="C135" s="10" t="n">
        <f aca="false">MIN(C20,C75)</f>
        <v>10875.8518358465</v>
      </c>
      <c r="D135" s="10" t="n">
        <f aca="false">MIN(D20,D75)</f>
        <v>1.64234140664399</v>
      </c>
      <c r="E135" s="10" t="n">
        <f aca="false">MIN(E20,E75)</f>
        <v>3.06477650055464</v>
      </c>
      <c r="F135" s="10" t="n">
        <f aca="false">MIN(F20,F75)</f>
        <v>8.54583583721452</v>
      </c>
      <c r="G135" s="10" t="n">
        <f aca="false">MIN(G20,G75)</f>
        <v>2.38163028490354</v>
      </c>
      <c r="H135" s="10" t="n">
        <f aca="false">MIN(H20,H75)</f>
        <v>622.000788410655</v>
      </c>
      <c r="I135" s="10" t="n">
        <f aca="false">MIN(I20,I75)</f>
        <v>2180.97272326563</v>
      </c>
      <c r="J135" s="10" t="n">
        <f aca="false">MIN(J20,J75)</f>
        <v>2086.20285944106</v>
      </c>
      <c r="K135" s="10" t="n">
        <f aca="false">MIN(K20,K75)</f>
        <v>11331.0728237544</v>
      </c>
      <c r="L135" s="10" t="n">
        <f aca="false">MIN(L20,L75)</f>
        <v>64767.1111895448</v>
      </c>
      <c r="M135" s="10" t="n">
        <f aca="false">MIN(M20,M75)</f>
        <v>47691.5602216074</v>
      </c>
      <c r="N135" s="10" t="n">
        <f aca="false">MIN(N20,N75)</f>
        <v>1.8127324342547</v>
      </c>
      <c r="O135" s="10" t="n">
        <f aca="false">MIN(O20,O75)</f>
        <v>2.2654675220634</v>
      </c>
      <c r="P135" s="10" t="n">
        <f aca="false">MIN(P20,P75)</f>
        <v>1.35928051323804</v>
      </c>
      <c r="Q135" s="10" t="n">
        <f aca="false">MIN(Q20,Q75)</f>
        <v>166.631965827464</v>
      </c>
      <c r="R135" s="10" t="n">
        <f aca="false">MIN(R20,R75)</f>
        <v>31.0440351335737</v>
      </c>
      <c r="S135" s="10" t="n">
        <f aca="false">MIN(S20,S75)</f>
        <v>555.146667338954</v>
      </c>
      <c r="T135" s="10" t="n">
        <f aca="false">MIN(T20,T75)</f>
        <v>993.277125385875</v>
      </c>
      <c r="U135" s="10" t="n">
        <f aca="false">MIN(U20,U75)</f>
        <v>3179.43734810716</v>
      </c>
      <c r="V135" s="10" t="n">
        <f aca="false">MIN(V20,V75)</f>
        <v>108.929138397104</v>
      </c>
      <c r="W135" s="10" t="n">
        <f aca="false">MIN(W20,W75)</f>
        <v>4.36718834767949</v>
      </c>
      <c r="X135" s="10" t="n">
        <f aca="false">MIN(X20,X75)</f>
        <v>4.13563109550701</v>
      </c>
      <c r="Y135" s="10" t="n">
        <f aca="false">MIN(Y20,Y75)</f>
        <v>323.835555947724</v>
      </c>
      <c r="Z135" s="10" t="n">
        <f aca="false">MIN(Z20,Z75)</f>
        <v>2850.00110832797</v>
      </c>
      <c r="AA135" s="10" t="n">
        <f aca="false">MIN(AA20,AA75)</f>
        <v>4736.65073370992</v>
      </c>
      <c r="AB135" s="10" t="n">
        <f aca="false">MIN(AB20,AB75)</f>
        <v>4736.65073370992</v>
      </c>
      <c r="AC135" s="10" t="n">
        <f aca="false">MIN(AC20,AC75)</f>
        <v>25268.4646066285</v>
      </c>
      <c r="AD135" s="10" t="n">
        <f aca="false">MIN(AD20,AD75)</f>
        <v>29837.2201909716</v>
      </c>
      <c r="AE135" s="10" t="n">
        <f aca="false">MIN(AE20,AE75)</f>
        <v>93740.5081525817</v>
      </c>
      <c r="AF135" s="10" t="n">
        <f aca="false">MIN(AF20,AF75)</f>
        <v>345.831002602838</v>
      </c>
      <c r="AG135" s="10" t="n">
        <f aca="false">MIN(AG20,AG75)</f>
        <v>338.406779771713</v>
      </c>
      <c r="AH135" s="10" t="n">
        <f aca="false">MIN(AH20,AH75)</f>
        <v>230.18733679683</v>
      </c>
      <c r="AI135" s="10" t="n">
        <f aca="false">MIN(AI20,AI75)</f>
        <v>952.216933859648</v>
      </c>
      <c r="AJ135" s="10" t="n">
        <f aca="false">MIN(AJ20,AJ75)</f>
        <v>533.933875650456</v>
      </c>
      <c r="AK135" s="10" t="n">
        <f aca="false">MIN(AK20,AK75)</f>
        <v>221.51587407961</v>
      </c>
      <c r="AL135" s="10" t="n">
        <f aca="false">MIN(AL20,AL75)</f>
        <v>399.340288062185</v>
      </c>
      <c r="AM135" s="10" t="n">
        <f aca="false">MIN(AM20,AM75)</f>
        <v>628.482595570558</v>
      </c>
      <c r="AN135" s="10" t="n">
        <f aca="false">MIN(AN20,AN75)</f>
        <v>922.484676059375</v>
      </c>
      <c r="AO135" s="10" t="n">
        <f aca="false">MIN(AO20,AO75)</f>
        <v>9097.08671095025</v>
      </c>
      <c r="AP135" s="10" t="n">
        <f aca="false">MIN(AP20,AP75)</f>
        <v>22608.3659940723</v>
      </c>
      <c r="AQ135" s="10" t="n">
        <f aca="false">MIN(AQ20,AQ75)</f>
        <v>6491.77131680576</v>
      </c>
      <c r="AR135" s="10" t="n">
        <f aca="false">MIN(AR20,AR75)</f>
        <v>6092.5980909954</v>
      </c>
      <c r="AS135" s="10" t="n">
        <f aca="false">MIN(AS20,AS75)</f>
        <v>1068.00463822273</v>
      </c>
      <c r="AT135" s="10" t="n">
        <f aca="false">MIN(AT20,AT75)</f>
        <v>261.317538941124</v>
      </c>
      <c r="AU135" s="10" t="n">
        <f aca="false">MIN(AU20,AU75)</f>
        <v>303.533967282533</v>
      </c>
      <c r="AV135" s="10" t="n">
        <f aca="false">MIN(AV20,AV75)</f>
        <v>3979.04887564727</v>
      </c>
      <c r="AW135" s="10" t="n">
        <f aca="false">MIN(AW20,AW75)</f>
        <v>8.06637170988247</v>
      </c>
      <c r="AX135" s="10" t="n">
        <f aca="false">MIN(AX20,AX75)</f>
        <v>1669.18297656443</v>
      </c>
      <c r="AY135" s="10" t="n">
        <f aca="false">MIN(AY20,AY75)</f>
        <v>247.301676632734</v>
      </c>
      <c r="AZ135" s="10" t="n">
        <f aca="false">MIN(AZ20,AZ75)</f>
        <v>70.3108914253872</v>
      </c>
      <c r="BA135" s="10" t="n">
        <f aca="false">MIN(BA20,BA75)</f>
        <v>3303.12267066679</v>
      </c>
      <c r="BB135" s="10" t="n">
        <f aca="false">MIN(BB20,BB75)</f>
        <v>1707.37245187685</v>
      </c>
      <c r="BC135" s="10" t="n">
        <f aca="false">MIN(BC20,BC75)</f>
        <v>758.663468171551</v>
      </c>
      <c r="BD135" s="10" t="n">
        <f aca="false">MIN(BD20,BD75)</f>
        <v>3719.19707315193</v>
      </c>
      <c r="BE135" s="10" t="n">
        <f aca="false">MIN(BE20,BE75)</f>
        <v>6510.14857280116</v>
      </c>
      <c r="BF135" s="10" t="n">
        <f aca="false">MIN(BF20,BF75)</f>
        <v>440.91115756143</v>
      </c>
      <c r="BG135" s="10" t="n">
        <f aca="false">MIN(BG20,BG75)</f>
        <v>211.455054531221</v>
      </c>
      <c r="BH135" s="10" t="n">
        <f aca="false">MIN(BH20,BH75)</f>
        <v>101.89957923575</v>
      </c>
      <c r="BI135" s="10" t="n">
        <f aca="false">MIN(BI20,BI75)</f>
        <v>57.8772327229254</v>
      </c>
      <c r="BJ135" s="10" t="n">
        <f aca="false">MIN(BJ20,BJ75)</f>
        <v>6.71970594265514</v>
      </c>
      <c r="BK135" s="10" t="n">
        <f aca="false">MIN(BK20,BK75)</f>
        <v>115.754465445851</v>
      </c>
      <c r="BL135" s="10" t="n">
        <f aca="false">MIN(BL20,BL75)</f>
        <v>97.6204686442948</v>
      </c>
      <c r="BM135" s="10" t="n">
        <f aca="false">MIN(BM20,BM75)</f>
        <v>74.3281905550138</v>
      </c>
      <c r="BN135" s="10" t="n">
        <f aca="false">MIN(BN20,BN75)</f>
        <v>233477.122596519</v>
      </c>
      <c r="BO135" s="10" t="n">
        <f aca="false">MIN(BO20,BO75)</f>
        <v>7.73859587681165</v>
      </c>
      <c r="BP135" s="10" t="n">
        <f aca="false">MIN(BP20,BP75)</f>
        <v>22.7343718279628</v>
      </c>
      <c r="BQ135" s="10" t="n">
        <f aca="false">MIN(BQ20,BQ75)</f>
        <v>359195.573225413</v>
      </c>
      <c r="BR135" s="10" t="n">
        <f aca="false">MIN(BR20,BR75)</f>
        <v>232.15779166676</v>
      </c>
      <c r="BS135" s="10" t="n">
        <f aca="false">MIN(BS20,BS75)</f>
        <v>2321.5779166676</v>
      </c>
      <c r="BT135" s="10" t="n">
        <f aca="false">MIN(BT20,BT75)</f>
        <v>1.09653566322249</v>
      </c>
      <c r="BU135" s="10" t="n">
        <f aca="false">MIN(BU20,BU75)</f>
        <v>10.9653566322249</v>
      </c>
      <c r="BV135" s="10" t="n">
        <f aca="false">MIN(BV20,BV75)</f>
        <v>109.653566322249</v>
      </c>
      <c r="BW135" s="10" t="n">
        <f aca="false">MIN(BW20,BW75)</f>
        <v>14.1346869349623</v>
      </c>
      <c r="BX135" s="10" t="n">
        <f aca="false">MIN(BX20,BX75)</f>
        <v>53.5116743624632</v>
      </c>
      <c r="BY135" s="10" t="n">
        <f aca="false">MIN(BY20,BY75)</f>
        <v>13.5278362572226</v>
      </c>
      <c r="BZ135" s="10" t="n">
        <f aca="false">MIN(BZ20,BZ75)</f>
        <v>97739.4527154051</v>
      </c>
      <c r="CA135" s="10" t="n">
        <f aca="false">MIN(CA20,CA75)</f>
        <v>13077.5941627052</v>
      </c>
      <c r="CB135" s="10" t="n">
        <f aca="false">MIN(CB20,CB75)</f>
        <v>17.9523999493546</v>
      </c>
      <c r="CC135" s="10" t="n">
        <f aca="false">MIN(CC20,CC75)</f>
        <v>8.1421533291453</v>
      </c>
      <c r="CD135" s="10" t="n">
        <f aca="false">MIN(CD20,CD75)</f>
        <v>49.392840616831</v>
      </c>
      <c r="CE135" s="10" t="n">
        <f aca="false">MIN(CE20,CE75)</f>
        <v>40.9668790764365</v>
      </c>
      <c r="CF135" s="10" t="n">
        <f aca="false">MIN(CF20,CF75)</f>
        <v>1</v>
      </c>
      <c r="CG135" s="10" t="n">
        <f aca="false">MIN(CG20,CG75)</f>
        <v>63.0720530969842</v>
      </c>
      <c r="CH135" s="10" t="n">
        <f aca="false">MIN(CH20,CH75)</f>
        <v>946.552044789917</v>
      </c>
      <c r="CI135" s="10" t="n">
        <f aca="false">MIN(CI20,CI75)</f>
        <v>152.735308362397</v>
      </c>
      <c r="CJ135" s="10" t="n">
        <f aca="false">MIN(CJ20,CJ75)</f>
        <v>889.985971062814</v>
      </c>
      <c r="CK135" s="10" t="n">
        <f aca="false">MIN(CK20,CK75)</f>
        <v>3599.70340795603</v>
      </c>
      <c r="CL135" s="7" t="s">
        <v>320</v>
      </c>
    </row>
    <row r="136" s="18" customFormat="true" ht="12.8" hidden="false" customHeight="false" outlineLevel="0" collapsed="false">
      <c r="A136" s="22" t="s">
        <v>152</v>
      </c>
      <c r="B136" s="22" t="s">
        <v>39</v>
      </c>
      <c r="C136" s="26" t="n">
        <f aca="false">MIN(C21,C76)</f>
        <v>18356.6041205535</v>
      </c>
      <c r="D136" s="26" t="n">
        <f aca="false">MIN(D21,D76)</f>
        <v>2.54318311922968</v>
      </c>
      <c r="E136" s="26" t="n">
        <f aca="false">MIN(E21,E76)</f>
        <v>4.92160959109378</v>
      </c>
      <c r="F136" s="26" t="n">
        <f aca="false">MIN(F21,F76)</f>
        <v>15.5741760858728</v>
      </c>
      <c r="G136" s="26" t="n">
        <f aca="false">MIN(G21,G76)</f>
        <v>118.225300583833</v>
      </c>
      <c r="H136" s="26" t="n">
        <f aca="false">MIN(H21,H76)</f>
        <v>713.028605557511</v>
      </c>
      <c r="I136" s="26" t="n">
        <f aca="false">MIN(I21,I76)</f>
        <v>1706.34584687409</v>
      </c>
      <c r="J136" s="26" t="n">
        <f aca="false">MIN(J21,J76)</f>
        <v>2600.32114254481</v>
      </c>
      <c r="K136" s="26" t="n">
        <f aca="false">MIN(K21,K76)</f>
        <v>11454.4757887486</v>
      </c>
      <c r="L136" s="26" t="n">
        <f aca="false">MIN(L21,L76)</f>
        <v>66091.1246700844</v>
      </c>
      <c r="M136" s="26" t="n">
        <f aca="false">MIN(M21,M76)</f>
        <v>48763.4710583281</v>
      </c>
      <c r="N136" s="26" t="n">
        <f aca="false">MIN(N21,N76)</f>
        <v>2.43868810282968</v>
      </c>
      <c r="O136" s="26" t="n">
        <f aca="false">MIN(O21,O76)</f>
        <v>2.05097757383117</v>
      </c>
      <c r="P136" s="26" t="n">
        <f aca="false">MIN(P21,P76)</f>
        <v>1.2305865442987</v>
      </c>
      <c r="Q136" s="26" t="n">
        <f aca="false">MIN(Q21,Q76)</f>
        <v>4846.25762758128</v>
      </c>
      <c r="R136" s="26" t="n">
        <f aca="false">MIN(R21,R76)</f>
        <v>29.8146751404911</v>
      </c>
      <c r="S136" s="26" t="n">
        <f aca="false">MIN(S21,S76)</f>
        <v>566.495354315008</v>
      </c>
      <c r="T136" s="26" t="n">
        <f aca="false">MIN(T21,T76)</f>
        <v>1013.58237414205</v>
      </c>
      <c r="U136" s="26" t="n">
        <f aca="false">MIN(U21,U76)</f>
        <v>3250.89807055521</v>
      </c>
      <c r="V136" s="26" t="n">
        <f aca="false">MIN(V21,V76)</f>
        <v>84.1473281509115</v>
      </c>
      <c r="W136" s="26" t="n">
        <f aca="false">MIN(W21,W76)</f>
        <v>3.21145850225217</v>
      </c>
      <c r="X136" s="26" t="n">
        <f aca="false">MIN(X21,X76)</f>
        <v>3.10700449254605</v>
      </c>
      <c r="Y136" s="26" t="n">
        <f aca="false">MIN(Y21,Y76)</f>
        <v>330.455623350422</v>
      </c>
      <c r="Z136" s="26" t="n">
        <f aca="false">MIN(Z21,Z76)</f>
        <v>2857.52487512074</v>
      </c>
      <c r="AA136" s="26" t="n">
        <f aca="false">MIN(AA21,AA76)</f>
        <v>4126.05865510411</v>
      </c>
      <c r="AB136" s="26" t="n">
        <f aca="false">MIN(AB21,AB76)</f>
        <v>4305.65412732781</v>
      </c>
      <c r="AC136" s="26" t="n">
        <f aca="false">MIN(AC21,AC76)</f>
        <v>30419.6669043713</v>
      </c>
      <c r="AD136" s="26" t="n">
        <f aca="false">MIN(AD21,AD76)</f>
        <v>27122.2763690293</v>
      </c>
      <c r="AE136" s="26" t="n">
        <f aca="false">MIN(AE21,AE76)</f>
        <v>91042.3096563537</v>
      </c>
      <c r="AF136" s="26" t="n">
        <f aca="false">MIN(AF21,AF76)</f>
        <v>331.775148929214</v>
      </c>
      <c r="AG136" s="26" t="n">
        <f aca="false">MIN(AG21,AG76)</f>
        <v>313.764371379773</v>
      </c>
      <c r="AH136" s="26" t="n">
        <f aca="false">MIN(AH21,AH76)</f>
        <v>205.051915250291</v>
      </c>
      <c r="AI136" s="26" t="n">
        <f aca="false">MIN(AI21,AI76)</f>
        <v>1109.35244156963</v>
      </c>
      <c r="AJ136" s="26" t="n">
        <f aca="false">MIN(AJ21,AJ76)</f>
        <v>457.146411383521</v>
      </c>
      <c r="AK136" s="26" t="n">
        <f aca="false">MIN(AK21,AK76)</f>
        <v>172.330925625378</v>
      </c>
      <c r="AL136" s="26" t="n">
        <f aca="false">MIN(AL21,AL76)</f>
        <v>353.656623718033</v>
      </c>
      <c r="AM136" s="26" t="n">
        <f aca="false">MIN(AM21,AM76)</f>
        <v>686.487044303734</v>
      </c>
      <c r="AN136" s="26" t="n">
        <f aca="false">MIN(AN21,AN76)</f>
        <v>821.009899193751</v>
      </c>
      <c r="AO136" s="26" t="n">
        <f aca="false">MIN(AO21,AO76)</f>
        <v>6861.42332295662</v>
      </c>
      <c r="AP136" s="26" t="n">
        <f aca="false">MIN(AP21,AP76)</f>
        <v>18382.5580755271</v>
      </c>
      <c r="AQ136" s="26" t="n">
        <f aca="false">MIN(AQ21,AQ76)</f>
        <v>4272.32740196519</v>
      </c>
      <c r="AR136" s="26" t="n">
        <f aca="false">MIN(AR21,AR76)</f>
        <v>7534.70308027715</v>
      </c>
      <c r="AS136" s="26" t="n">
        <f aca="false">MIN(AS21,AS76)</f>
        <v>1046.20466460681</v>
      </c>
      <c r="AT136" s="26" t="n">
        <f aca="false">MIN(AT21,AT76)</f>
        <v>295.028375899677</v>
      </c>
      <c r="AU136" s="26" t="n">
        <f aca="false">MIN(AU21,AU76)</f>
        <v>477.628562243883</v>
      </c>
      <c r="AV136" s="26" t="n">
        <f aca="false">MIN(AV21,AV76)</f>
        <v>4142.91110068433</v>
      </c>
      <c r="AW136" s="26" t="n">
        <f aca="false">MIN(AW21,AW76)</f>
        <v>9.7612961447009</v>
      </c>
      <c r="AX136" s="26" t="n">
        <f aca="false">MIN(AX21,AX76)</f>
        <v>2120.87174053115</v>
      </c>
      <c r="AY136" s="26" t="n">
        <f aca="false">MIN(AY21,AY76)</f>
        <v>218.576486204958</v>
      </c>
      <c r="AZ136" s="26" t="n">
        <f aca="false">MIN(AZ21,AZ76)</f>
        <v>65.2384271805</v>
      </c>
      <c r="BA136" s="26" t="n">
        <f aca="false">MIN(BA21,BA76)</f>
        <v>3370.6473581743</v>
      </c>
      <c r="BB136" s="26" t="n">
        <f aca="false">MIN(BB21,BB76)</f>
        <v>1628.31841041482</v>
      </c>
      <c r="BC136" s="26" t="n">
        <f aca="false">MIN(BC21,BC76)</f>
        <v>633.381625528549</v>
      </c>
      <c r="BD136" s="26" t="n">
        <f aca="false">MIN(BD21,BD76)</f>
        <v>2621.85992801285</v>
      </c>
      <c r="BE136" s="26" t="n">
        <f aca="false">MIN(BE21,BE76)</f>
        <v>5264.5144817182</v>
      </c>
      <c r="BF136" s="26" t="n">
        <f aca="false">MIN(BF21,BF76)</f>
        <v>837.924648702952</v>
      </c>
      <c r="BG136" s="26" t="n">
        <f aca="false">MIN(BG21,BG76)</f>
        <v>226.551532697229</v>
      </c>
      <c r="BH136" s="26" t="n">
        <f aca="false">MIN(BH21,BH76)</f>
        <v>111.177337233437</v>
      </c>
      <c r="BI136" s="26" t="n">
        <f aca="false">MIN(BI21,BI76)</f>
        <v>69.5523283124247</v>
      </c>
      <c r="BJ136" s="26" t="n">
        <f aca="false">MIN(BJ21,BJ76)</f>
        <v>2.34328922136526</v>
      </c>
      <c r="BK136" s="26" t="n">
        <f aca="false">MIN(BK21,BK76)</f>
        <v>139.104656624849</v>
      </c>
      <c r="BL136" s="26" t="n">
        <f aca="false">MIN(BL21,BL76)</f>
        <v>55.9133524101327</v>
      </c>
      <c r="BM136" s="26" t="n">
        <f aca="false">MIN(BM21,BM76)</f>
        <v>27.8538763840239</v>
      </c>
      <c r="BN136" s="26" t="n">
        <f aca="false">MIN(BN21,BN76)</f>
        <v>1</v>
      </c>
      <c r="BO136" s="26" t="n">
        <f aca="false">MIN(BO21,BO76)</f>
        <v>2.22983730076765</v>
      </c>
      <c r="BP136" s="26" t="n">
        <f aca="false">MIN(BP21,BP76)</f>
        <v>6.39229728561663</v>
      </c>
      <c r="BQ136" s="26" t="n">
        <f aca="false">MIN(BQ21,BQ76)</f>
        <v>1</v>
      </c>
      <c r="BR136" s="26" t="n">
        <f aca="false">MIN(BR21,BR76)</f>
        <v>66.8951190230294</v>
      </c>
      <c r="BS136" s="26" t="n">
        <f aca="false">MIN(BS21,BS76)</f>
        <v>668.951345716618</v>
      </c>
      <c r="BT136" s="26" t="n">
        <f aca="false">MIN(BT21,BT76)</f>
        <v>1</v>
      </c>
      <c r="BU136" s="26" t="n">
        <f aca="false">MIN(BU21,BU76)</f>
        <v>10</v>
      </c>
      <c r="BV136" s="26" t="n">
        <f aca="false">MIN(BV21,BV76)</f>
        <v>100</v>
      </c>
      <c r="BW136" s="26" t="n">
        <f aca="false">MIN(BW21,BW76)</f>
        <v>14.7648287732814</v>
      </c>
      <c r="BX136" s="26" t="n">
        <f aca="false">MIN(BX21,BX76)</f>
        <v>6.34712377207493</v>
      </c>
      <c r="BY136" s="26" t="n">
        <f aca="false">MIN(BY21,BY76)</f>
        <v>11.35258000215</v>
      </c>
      <c r="BZ136" s="26" t="n">
        <f aca="false">MIN(BZ21,BZ76)</f>
        <v>29741.5836358041</v>
      </c>
      <c r="CA136" s="26" t="n">
        <f aca="false">MIN(CA21,CA76)</f>
        <v>54792.4551995752</v>
      </c>
      <c r="CB136" s="26" t="n">
        <f aca="false">MIN(CB21,CB76)</f>
        <v>25.1203207150013</v>
      </c>
      <c r="CC136" s="26" t="n">
        <f aca="false">MIN(CC21,CC76)</f>
        <v>11.4617582262589</v>
      </c>
      <c r="CD136" s="26" t="n">
        <f aca="false">MIN(CD21,CD76)</f>
        <v>51.764671382344</v>
      </c>
      <c r="CE136" s="26" t="n">
        <f aca="false">MIN(CE21,CE76)</f>
        <v>9.83683146241717</v>
      </c>
      <c r="CF136" s="26" t="n">
        <f aca="false">MIN(CF21,CF76)</f>
        <v>1</v>
      </c>
      <c r="CG136" s="26" t="n">
        <f aca="false">MIN(CG21,CG76)</f>
        <v>6.0113100742759</v>
      </c>
      <c r="CH136" s="26" t="n">
        <f aca="false">MIN(CH21,CH76)</f>
        <v>4.47653873603446</v>
      </c>
      <c r="CI136" s="26" t="n">
        <f aca="false">MIN(CI21,CI76)</f>
        <v>63.9198083541728</v>
      </c>
      <c r="CJ136" s="26" t="n">
        <f aca="false">MIN(CJ21,CJ76)</f>
        <v>755.394241809652</v>
      </c>
      <c r="CK136" s="26" t="n">
        <f aca="false">MIN(CK21,CK76)</f>
        <v>452.619680994835</v>
      </c>
      <c r="CL136" s="22" t="s">
        <v>320</v>
      </c>
    </row>
    <row r="137" customFormat="false" ht="12.8" hidden="false" customHeight="false" outlineLevel="0" collapsed="false">
      <c r="A137" s="7" t="s">
        <v>153</v>
      </c>
      <c r="B137" s="7" t="s">
        <v>39</v>
      </c>
      <c r="C137" s="10" t="n">
        <f aca="false">MIN(C22,C77)</f>
        <v>50950.8803755739</v>
      </c>
      <c r="D137" s="10" t="n">
        <f aca="false">MIN(D22,D77)</f>
        <v>4.79284217093627</v>
      </c>
      <c r="E137" s="10" t="n">
        <f aca="false">MIN(E22,E77)</f>
        <v>8.84069771443808</v>
      </c>
      <c r="F137" s="10" t="n">
        <f aca="false">MIN(F22,F77)</f>
        <v>38.5544091238271</v>
      </c>
      <c r="G137" s="10" t="n">
        <f aca="false">MIN(G22,G77)</f>
        <v>30.1235136628838</v>
      </c>
      <c r="H137" s="10" t="n">
        <f aca="false">MIN(H22,H77)</f>
        <v>2687.29036370568</v>
      </c>
      <c r="I137" s="10" t="n">
        <f aca="false">MIN(I22,I77)</f>
        <v>3683.33932180128</v>
      </c>
      <c r="J137" s="10" t="n">
        <f aca="false">MIN(J22,J77)</f>
        <v>4367.86125757075</v>
      </c>
      <c r="K137" s="10" t="n">
        <f aca="false">MIN(K22,K77)</f>
        <v>26138.6406565777</v>
      </c>
      <c r="L137" s="10" t="n">
        <f aca="false">MIN(L22,L77)</f>
        <v>158066.364759916</v>
      </c>
      <c r="M137" s="10" t="n">
        <f aca="false">MIN(M22,M77)</f>
        <v>117830.348871549</v>
      </c>
      <c r="N137" s="10" t="n">
        <f aca="false">MIN(N22,N77)</f>
        <v>4.35251837988418</v>
      </c>
      <c r="O137" s="10" t="n">
        <f aca="false">MIN(O22,O77)</f>
        <v>3.83427373674902</v>
      </c>
      <c r="P137" s="10" t="n">
        <f aca="false">MIN(P22,P77)</f>
        <v>2.30056424204941</v>
      </c>
      <c r="Q137" s="10" t="n">
        <f aca="false">MIN(Q22,Q77)</f>
        <v>1160.63899380204</v>
      </c>
      <c r="R137" s="10" t="n">
        <f aca="false">MIN(R22,R77)</f>
        <v>54.4661578714877</v>
      </c>
      <c r="S137" s="10" t="n">
        <f aca="false">MIN(S22,S77)</f>
        <v>1354.85455508499</v>
      </c>
      <c r="T137" s="10" t="n">
        <f aca="false">MIN(T22,T77)</f>
        <v>2424.12702257854</v>
      </c>
      <c r="U137" s="10" t="n">
        <f aca="false">MIN(U22,U77)</f>
        <v>7855.35659143663</v>
      </c>
      <c r="V137" s="10" t="n">
        <f aca="false">MIN(V22,V77)</f>
        <v>215.275980170087</v>
      </c>
      <c r="W137" s="10" t="n">
        <f aca="false">MIN(W22,W77)</f>
        <v>5.2352984839771</v>
      </c>
      <c r="X137" s="10" t="n">
        <f aca="false">MIN(X22,X77)</f>
        <v>12.9890611535201</v>
      </c>
      <c r="Y137" s="10" t="n">
        <f aca="false">MIN(Y22,Y77)</f>
        <v>790.331823799582</v>
      </c>
      <c r="Z137" s="10" t="n">
        <f aca="false">MIN(Z22,Z77)</f>
        <v>5765.45763962835</v>
      </c>
      <c r="AA137" s="10" t="n">
        <f aca="false">MIN(AA22,AA77)</f>
        <v>7658.00037954548</v>
      </c>
      <c r="AB137" s="10" t="n">
        <f aca="false">MIN(AB22,AB77)</f>
        <v>7964.69390325841</v>
      </c>
      <c r="AC137" s="10" t="n">
        <f aca="false">MIN(AC22,AC77)</f>
        <v>37772.3920579383</v>
      </c>
      <c r="AD137" s="10" t="n">
        <f aca="false">MIN(AD22,AD77)</f>
        <v>50171.384614436</v>
      </c>
      <c r="AE137" s="10" t="n">
        <f aca="false">MIN(AE22,AE77)</f>
        <v>102656.038192688</v>
      </c>
      <c r="AF137" s="10" t="n">
        <f aca="false">MIN(AF22,AF77)</f>
        <v>325.73973516646</v>
      </c>
      <c r="AG137" s="10" t="n">
        <f aca="false">MIN(AG22,AG77)</f>
        <v>646.608320215958</v>
      </c>
      <c r="AH137" s="10" t="n">
        <f aca="false">MIN(AH22,AH77)</f>
        <v>203.353030260478</v>
      </c>
      <c r="AI137" s="10" t="n">
        <f aca="false">MIN(AI22,AI77)</f>
        <v>1228.78236522078</v>
      </c>
      <c r="AJ137" s="10" t="n">
        <f aca="false">MIN(AJ22,AJ77)</f>
        <v>867.664394389549</v>
      </c>
      <c r="AK137" s="10" t="n">
        <f aca="false">MIN(AK22,AK77)</f>
        <v>203.229980578251</v>
      </c>
      <c r="AL137" s="10" t="n">
        <f aca="false">MIN(AL22,AL77)</f>
        <v>465.140344458969</v>
      </c>
      <c r="AM137" s="10" t="n">
        <f aca="false">MIN(AM22,AM77)</f>
        <v>1374.97003474666</v>
      </c>
      <c r="AN137" s="10" t="n">
        <f aca="false">MIN(AN22,AN77)</f>
        <v>1145.62997192987</v>
      </c>
      <c r="AO137" s="10" t="n">
        <f aca="false">MIN(AO22,AO77)</f>
        <v>7569.07555501899</v>
      </c>
      <c r="AP137" s="10" t="n">
        <f aca="false">MIN(AP22,AP77)</f>
        <v>34358.0385374062</v>
      </c>
      <c r="AQ137" s="10" t="n">
        <f aca="false">MIN(AQ22,AQ77)</f>
        <v>9308.93329783653</v>
      </c>
      <c r="AR137" s="10" t="n">
        <f aca="false">MIN(AR22,AR77)</f>
        <v>14883.4644762733</v>
      </c>
      <c r="AS137" s="10" t="n">
        <f aca="false">MIN(AS22,AS77)</f>
        <v>1911.60318527508</v>
      </c>
      <c r="AT137" s="10" t="n">
        <f aca="false">MIN(AT22,AT77)</f>
        <v>252.270136908965</v>
      </c>
      <c r="AU137" s="10" t="n">
        <f aca="false">MIN(AU22,AU77)</f>
        <v>914.156852872464</v>
      </c>
      <c r="AV137" s="10" t="n">
        <f aca="false">MIN(AV22,AV77)</f>
        <v>8163.98281573468</v>
      </c>
      <c r="AW137" s="10" t="n">
        <f aca="false">MIN(AW22,AW77)</f>
        <v>12.1972883127906</v>
      </c>
      <c r="AX137" s="10" t="n">
        <f aca="false">MIN(AX22,AX77)</f>
        <v>2227.76945475437</v>
      </c>
      <c r="AY137" s="10" t="n">
        <f aca="false">MIN(AY22,AY77)</f>
        <v>341.284699190762</v>
      </c>
      <c r="AZ137" s="10" t="n">
        <f aca="false">MIN(AZ22,AZ77)</f>
        <v>117.363887527386</v>
      </c>
      <c r="BA137" s="10" t="n">
        <f aca="false">MIN(BA22,BA77)</f>
        <v>8061.38460275574</v>
      </c>
      <c r="BB137" s="10" t="n">
        <f aca="false">MIN(BB22,BB77)</f>
        <v>3119.27815567251</v>
      </c>
      <c r="BC137" s="10" t="n">
        <f aca="false">MIN(BC22,BC77)</f>
        <v>663.896614169979</v>
      </c>
      <c r="BD137" s="10" t="n">
        <f aca="false">MIN(BD22,BD77)</f>
        <v>3459.25990894799</v>
      </c>
      <c r="BE137" s="10" t="n">
        <f aca="false">MIN(BE22,BE77)</f>
        <v>9846.93588821688</v>
      </c>
      <c r="BF137" s="10" t="n">
        <f aca="false">MIN(BF22,BF77)</f>
        <v>1838.32611738802</v>
      </c>
      <c r="BG137" s="10" t="n">
        <f aca="false">MIN(BG22,BG77)</f>
        <v>406.954997191014</v>
      </c>
      <c r="BH137" s="10" t="n">
        <f aca="false">MIN(BH22,BH77)</f>
        <v>203.477498595507</v>
      </c>
      <c r="BI137" s="10" t="n">
        <f aca="false">MIN(BI22,BI77)</f>
        <v>152.60812394663</v>
      </c>
      <c r="BJ137" s="10" t="n">
        <f aca="false">MIN(BJ22,BJ77)</f>
        <v>62.2003459948829</v>
      </c>
      <c r="BK137" s="10" t="n">
        <f aca="false">MIN(BK22,BK77)</f>
        <v>305.21624789326</v>
      </c>
      <c r="BL137" s="10" t="n">
        <f aca="false">MIN(BL22,BL77)</f>
        <v>137.797533820109</v>
      </c>
      <c r="BM137" s="10" t="n">
        <f aca="false">MIN(BM22,BM77)</f>
        <v>21.7996892404825</v>
      </c>
      <c r="BN137" s="10" t="n">
        <f aca="false">MIN(BN22,BN77)</f>
        <v>789515.575159241</v>
      </c>
      <c r="BO137" s="10" t="n">
        <f aca="false">MIN(BO22,BO77)</f>
        <v>18.2915339714016</v>
      </c>
      <c r="BP137" s="10" t="n">
        <f aca="false">MIN(BP22,BP77)</f>
        <v>32.1142855707654</v>
      </c>
      <c r="BQ137" s="10" t="n">
        <f aca="false">MIN(BQ22,BQ77)</f>
        <v>1214639.34639883</v>
      </c>
      <c r="BR137" s="10" t="n">
        <f aca="false">MIN(BR22,BR77)</f>
        <v>548.745906654937</v>
      </c>
      <c r="BS137" s="10" t="n">
        <f aca="false">MIN(BS22,BS77)</f>
        <v>5487.45906654937</v>
      </c>
      <c r="BT137" s="10" t="n">
        <f aca="false">MIN(BT22,BT77)</f>
        <v>2.91549890683677</v>
      </c>
      <c r="BU137" s="10" t="n">
        <f aca="false">MIN(BU22,BU77)</f>
        <v>29.1549890683677</v>
      </c>
      <c r="BV137" s="10" t="n">
        <f aca="false">MIN(BV22,BV77)</f>
        <v>291.549890683677</v>
      </c>
      <c r="BW137" s="10" t="n">
        <f aca="false">MIN(BW22,BW77)</f>
        <v>26.5220931433143</v>
      </c>
      <c r="BX137" s="10" t="n">
        <f aca="false">MIN(BX22,BX77)</f>
        <v>926.888267007041</v>
      </c>
      <c r="BY137" s="10" t="n">
        <f aca="false">MIN(BY22,BY77)</f>
        <v>15.5078359784737</v>
      </c>
      <c r="BZ137" s="10" t="n">
        <f aca="false">MIN(BZ22,BZ77)</f>
        <v>55953.8544000659</v>
      </c>
      <c r="CA137" s="10" t="n">
        <f aca="false">MIN(CA22,CA77)</f>
        <v>16085.8654570014</v>
      </c>
      <c r="CB137" s="10" t="n">
        <f aca="false">MIN(CB22,CB77)</f>
        <v>19.4751649045211</v>
      </c>
      <c r="CC137" s="10" t="n">
        <f aca="false">MIN(CC22,CC77)</f>
        <v>9.00557667302905</v>
      </c>
      <c r="CD137" s="10" t="n">
        <f aca="false">MIN(CD22,CD77)</f>
        <v>89.8007490779861</v>
      </c>
      <c r="CE137" s="10" t="n">
        <f aca="false">MIN(CE22,CE77)</f>
        <v>12.9097760976966</v>
      </c>
      <c r="CF137" s="10" t="n">
        <f aca="false">MIN(CF22,CF77)</f>
        <v>1</v>
      </c>
      <c r="CG137" s="10" t="n">
        <f aca="false">MIN(CG22,CG77)</f>
        <v>50.9920329164369</v>
      </c>
      <c r="CH137" s="10" t="n">
        <f aca="false">MIN(CH22,CH77)</f>
        <v>136.551189975535</v>
      </c>
      <c r="CI137" s="10" t="n">
        <f aca="false">MIN(CI22,CI77)</f>
        <v>799.545480769835</v>
      </c>
      <c r="CJ137" s="10" t="n">
        <f aca="false">MIN(CJ22,CJ77)</f>
        <v>1035.66249962224</v>
      </c>
      <c r="CK137" s="10" t="n">
        <f aca="false">MIN(CK22,CK77)</f>
        <v>837.425478159956</v>
      </c>
      <c r="CL137" s="7" t="s">
        <v>320</v>
      </c>
    </row>
    <row r="138" customFormat="false" ht="12.8" hidden="false" customHeight="false" outlineLevel="0" collapsed="false">
      <c r="A138" s="7" t="s">
        <v>155</v>
      </c>
      <c r="B138" s="7" t="s">
        <v>39</v>
      </c>
      <c r="C138" s="10" t="n">
        <f aca="false">MIN(C23,C78)</f>
        <v>199083.461117601</v>
      </c>
      <c r="D138" s="10" t="n">
        <f aca="false">MIN(D23,D78)</f>
        <v>30.8391721904625</v>
      </c>
      <c r="E138" s="10" t="n">
        <f aca="false">MIN(E23,E78)</f>
        <v>90.6880703358104</v>
      </c>
      <c r="F138" s="10" t="n">
        <f aca="false">MIN(F23,F78)</f>
        <v>490.858252197661</v>
      </c>
      <c r="G138" s="10" t="n">
        <f aca="false">MIN(G23,G78)</f>
        <v>761.787296845756</v>
      </c>
      <c r="H138" s="10" t="n">
        <f aca="false">MIN(H23,H78)</f>
        <v>304109.020867055</v>
      </c>
      <c r="I138" s="10" t="n">
        <f aca="false">MIN(I23,I78)</f>
        <v>7219.18352562984</v>
      </c>
      <c r="J138" s="10" t="n">
        <f aca="false">MIN(J23,J78)</f>
        <v>8089.68211631989</v>
      </c>
      <c r="K138" s="10" t="n">
        <f aca="false">MIN(K23,K78)</f>
        <v>91827.1398461063</v>
      </c>
      <c r="L138" s="10" t="n">
        <f aca="false">MIN(L23,L78)</f>
        <v>565421.785681883</v>
      </c>
      <c r="M138" s="10" t="n">
        <f aca="false">MIN(M23,M78)</f>
        <v>423231.715500795</v>
      </c>
      <c r="N138" s="10" t="n">
        <f aca="false">MIN(N23,N78)</f>
        <v>83.0917781694418</v>
      </c>
      <c r="O138" s="10" t="n">
        <f aca="false">MIN(O23,O78)</f>
        <v>24.67133775237</v>
      </c>
      <c r="P138" s="10" t="n">
        <f aca="false">MIN(P23,P78)</f>
        <v>14.802802651422</v>
      </c>
      <c r="Q138" s="10" t="n">
        <f aca="false">MIN(Q23,Q78)</f>
        <v>3686.77976951276</v>
      </c>
      <c r="R138" s="10" t="n">
        <f aca="false">MIN(R23,R78)</f>
        <v>72.3621182012463</v>
      </c>
      <c r="S138" s="10" t="n">
        <f aca="false">MIN(S23,S78)</f>
        <v>4846.47244870184</v>
      </c>
      <c r="T138" s="10" t="n">
        <f aca="false">MIN(T23,T78)</f>
        <v>8671.38452831455</v>
      </c>
      <c r="U138" s="10" t="n">
        <f aca="false">MIN(U23,U78)</f>
        <v>28215.447700053</v>
      </c>
      <c r="V138" s="10" t="n">
        <f aca="false">MIN(V23,V78)</f>
        <v>224.019219697314</v>
      </c>
      <c r="W138" s="10" t="n">
        <f aca="false">MIN(W23,W78)</f>
        <v>6.66910982081951</v>
      </c>
      <c r="X138" s="10" t="n">
        <f aca="false">MIN(X23,X78)</f>
        <v>3.87041577702752</v>
      </c>
      <c r="Y138" s="10" t="n">
        <f aca="false">MIN(Y23,Y78)</f>
        <v>2827.10892840941</v>
      </c>
      <c r="Z138" s="10" t="n">
        <f aca="false">MIN(Z23,Z78)</f>
        <v>355031.452539832</v>
      </c>
      <c r="AA138" s="10" t="n">
        <f aca="false">MIN(AA23,AA78)</f>
        <v>224721.669527635</v>
      </c>
      <c r="AB138" s="10" t="n">
        <f aca="false">MIN(AB23,AB78)</f>
        <v>97187.4895998271</v>
      </c>
      <c r="AC138" s="10" t="n">
        <f aca="false">MIN(AC23,AC78)</f>
        <v>578359.086918481</v>
      </c>
      <c r="AD138" s="10" t="n">
        <f aca="false">MIN(AD23,AD78)</f>
        <v>612205.689214196</v>
      </c>
      <c r="AE138" s="10" t="n">
        <f aca="false">MIN(AE23,AE78)</f>
        <v>636195.212307142</v>
      </c>
      <c r="AF138" s="10" t="n">
        <f aca="false">MIN(AF23,AF78)</f>
        <v>858.376303826788</v>
      </c>
      <c r="AG138" s="10" t="n">
        <f aca="false">MIN(AG23,AG78)</f>
        <v>1233.56787488</v>
      </c>
      <c r="AH138" s="10" t="n">
        <f aca="false">MIN(AH23,AH78)</f>
        <v>2395.62792578971</v>
      </c>
      <c r="AI138" s="10" t="n">
        <f aca="false">MIN(AI23,AI78)</f>
        <v>2977.0823869217</v>
      </c>
      <c r="AJ138" s="10" t="n">
        <f aca="false">MIN(AJ23,AJ78)</f>
        <v>5609.06083275646</v>
      </c>
      <c r="AK138" s="10" t="n">
        <f aca="false">MIN(AK23,AK78)</f>
        <v>610.92338961364</v>
      </c>
      <c r="AL138" s="10" t="n">
        <f aca="false">MIN(AL23,AL78)</f>
        <v>1327.76738475545</v>
      </c>
      <c r="AM138" s="10" t="n">
        <f aca="false">MIN(AM23,AM78)</f>
        <v>1597.92934962726</v>
      </c>
      <c r="AN138" s="10" t="n">
        <f aca="false">MIN(AN23,AN78)</f>
        <v>4039.55693640903</v>
      </c>
      <c r="AO138" s="10" t="n">
        <f aca="false">MIN(AO23,AO78)</f>
        <v>55272.257835251</v>
      </c>
      <c r="AP138" s="10" t="n">
        <f aca="false">MIN(AP23,AP78)</f>
        <v>172156.480358461</v>
      </c>
      <c r="AQ138" s="10" t="n">
        <f aca="false">MIN(AQ23,AQ78)</f>
        <v>16208.0438802607</v>
      </c>
      <c r="AR138" s="10" t="n">
        <f aca="false">MIN(AR23,AR78)</f>
        <v>16118.7452558848</v>
      </c>
      <c r="AS138" s="10" t="n">
        <f aca="false">MIN(AS23,AS78)</f>
        <v>3907.25917509188</v>
      </c>
      <c r="AT138" s="10" t="n">
        <f aca="false">MIN(AT23,AT78)</f>
        <v>2232.5254373102</v>
      </c>
      <c r="AU138" s="10" t="n">
        <f aca="false">MIN(AU23,AU78)</f>
        <v>1615.9181293427</v>
      </c>
      <c r="AV138" s="10" t="n">
        <f aca="false">MIN(AV23,AV78)</f>
        <v>11967.7824988634</v>
      </c>
      <c r="AW138" s="10" t="n">
        <f aca="false">MIN(AW23,AW78)</f>
        <v>182.782936565881</v>
      </c>
      <c r="AX138" s="10" t="n">
        <f aca="false">MIN(AX23,AX78)</f>
        <v>3617.51669489818</v>
      </c>
      <c r="AY138" s="10" t="n">
        <f aca="false">MIN(AY23,AY78)</f>
        <v>12410.4245286119</v>
      </c>
      <c r="AZ138" s="10" t="n">
        <f aca="false">MIN(AZ23,AZ78)</f>
        <v>2408.41703457205</v>
      </c>
      <c r="BA138" s="10" t="n">
        <f aca="false">MIN(BA23,BA78)</f>
        <v>28836.511069776</v>
      </c>
      <c r="BB138" s="10" t="n">
        <f aca="false">MIN(BB23,BB78)</f>
        <v>5653.87307193309</v>
      </c>
      <c r="BC138" s="10" t="n">
        <f aca="false">MIN(BC23,BC78)</f>
        <v>1645.19584330161</v>
      </c>
      <c r="BD138" s="10" t="n">
        <f aca="false">MIN(BD23,BD78)</f>
        <v>7470.01113634944</v>
      </c>
      <c r="BE138" s="10" t="n">
        <f aca="false">MIN(BE23,BE78)</f>
        <v>24972.8712519806</v>
      </c>
      <c r="BF138" s="10" t="n">
        <f aca="false">MIN(BF23,BF78)</f>
        <v>1954.41292665265</v>
      </c>
      <c r="BG138" s="10" t="n">
        <f aca="false">MIN(BG23,BG78)</f>
        <v>2982.61449072073</v>
      </c>
      <c r="BH138" s="10" t="n">
        <f aca="false">MIN(BH23,BH78)</f>
        <v>2249450.47328431</v>
      </c>
      <c r="BI138" s="10" t="n">
        <f aca="false">MIN(BI23,BI78)</f>
        <v>1118.48043402027</v>
      </c>
      <c r="BJ138" s="10" t="n">
        <f aca="false">MIN(BJ23,BJ78)</f>
        <v>7.78771778254713</v>
      </c>
      <c r="BK138" s="10" t="n">
        <f aca="false">MIN(BK23,BK78)</f>
        <v>2236.96086804054</v>
      </c>
      <c r="BL138" s="10" t="n">
        <f aca="false">MIN(BL23,BL78)</f>
        <v>252.148344520648</v>
      </c>
      <c r="BM138" s="10" t="n">
        <f aca="false">MIN(BM23,BM78)</f>
        <v>161.041965616561</v>
      </c>
      <c r="BN138" s="10" t="n">
        <f aca="false">MIN(BN23,BN78)</f>
        <v>10.5762666420759</v>
      </c>
      <c r="BO138" s="10" t="n">
        <f aca="false">MIN(BO23,BO78)</f>
        <v>1762.71110701265</v>
      </c>
      <c r="BP138" s="10" t="n">
        <f aca="false">MIN(BP23,BP78)</f>
        <v>1307.3893011605</v>
      </c>
      <c r="BQ138" s="10" t="n">
        <f aca="false">MIN(BQ23,BQ78)</f>
        <v>16.2711794493475</v>
      </c>
      <c r="BR138" s="10" t="n">
        <f aca="false">MIN(BR23,BR78)</f>
        <v>52881.3332103794</v>
      </c>
      <c r="BS138" s="10" t="n">
        <f aca="false">MIN(BS23,BS78)</f>
        <v>528813.452516391</v>
      </c>
      <c r="BT138" s="10" t="n">
        <f aca="false">MIN(BT23,BT78)</f>
        <v>149.348383925833</v>
      </c>
      <c r="BU138" s="10" t="n">
        <f aca="false">MIN(BU23,BU78)</f>
        <v>1493.48383925833</v>
      </c>
      <c r="BV138" s="10" t="n">
        <f aca="false">MIN(BV23,BV78)</f>
        <v>14934.8383925833</v>
      </c>
      <c r="BW138" s="10" t="n">
        <f aca="false">MIN(BW23,BW78)</f>
        <v>272.064211007432</v>
      </c>
      <c r="BX138" s="10" t="n">
        <f aca="false">MIN(BX23,BX78)</f>
        <v>46.8326520040954</v>
      </c>
      <c r="BY138" s="10" t="n">
        <f aca="false">MIN(BY23,BY78)</f>
        <v>41.8811093447455</v>
      </c>
      <c r="BZ138" s="10" t="n">
        <f aca="false">MIN(BZ23,BZ78)</f>
        <v>242750.955458563</v>
      </c>
      <c r="CA138" s="10" t="n">
        <f aca="false">MIN(CA23,CA78)</f>
        <v>78334.2860084605</v>
      </c>
      <c r="CB138" s="10" t="n">
        <f aca="false">MIN(CB23,CB78)</f>
        <v>119.294256958786</v>
      </c>
      <c r="CC138" s="10" t="n">
        <f aca="false">MIN(CC23,CC78)</f>
        <v>17.9796415375469</v>
      </c>
      <c r="CD138" s="10" t="n">
        <f aca="false">MIN(CD23,CD78)</f>
        <v>738.157679010695</v>
      </c>
      <c r="CE138" s="10" t="n">
        <f aca="false">MIN(CE23,CE78)</f>
        <v>380.978341357255</v>
      </c>
      <c r="CF138" s="10" t="n">
        <f aca="false">MIN(CF23,CF78)</f>
        <v>1</v>
      </c>
      <c r="CG138" s="10" t="n">
        <f aca="false">MIN(CG23,CG78)</f>
        <v>403.99349139338</v>
      </c>
      <c r="CH138" s="10" t="n">
        <f aca="false">MIN(CH23,CH78)</f>
        <v>22.7373308811757</v>
      </c>
      <c r="CI138" s="10" t="n">
        <f aca="false">MIN(CI23,CI78)</f>
        <v>450.026294288232</v>
      </c>
      <c r="CJ138" s="10" t="n">
        <f aca="false">MIN(CJ23,CJ78)</f>
        <v>15975.7782869396</v>
      </c>
      <c r="CK138" s="10" t="n">
        <f aca="false">MIN(CK23,CK78)</f>
        <v>1533.20132665754</v>
      </c>
      <c r="CL138" s="7" t="s">
        <v>320</v>
      </c>
    </row>
    <row r="139" customFormat="false" ht="12.8" hidden="false" customHeight="false" outlineLevel="0" collapsed="false">
      <c r="A139" s="7" t="s">
        <v>156</v>
      </c>
      <c r="B139" s="7" t="s">
        <v>39</v>
      </c>
      <c r="C139" s="10" t="n">
        <f aca="false">MIN(C24,C79)</f>
        <v>15642.9990106465</v>
      </c>
      <c r="D139" s="10" t="n">
        <f aca="false">MIN(D24,D79)</f>
        <v>1.48267491914032</v>
      </c>
      <c r="E139" s="10" t="n">
        <f aca="false">MIN(E24,E79)</f>
        <v>2.96592703447898</v>
      </c>
      <c r="F139" s="10" t="n">
        <f aca="false">MIN(F24,F79)</f>
        <v>8.30008646969688</v>
      </c>
      <c r="G139" s="10" t="n">
        <f aca="false">MIN(G24,G79)</f>
        <v>1.20563994497931</v>
      </c>
      <c r="H139" s="10" t="n">
        <f aca="false">MIN(H24,H79)</f>
        <v>839.448185609653</v>
      </c>
      <c r="I139" s="10" t="n">
        <f aca="false">MIN(I24,I79)</f>
        <v>1794.03691578478</v>
      </c>
      <c r="J139" s="10" t="n">
        <f aca="false">MIN(J24,J79)</f>
        <v>965.901155004887</v>
      </c>
      <c r="K139" s="10" t="n">
        <f aca="false">MIN(K24,K79)</f>
        <v>13047.7491748722</v>
      </c>
      <c r="L139" s="10" t="n">
        <f aca="false">MIN(L24,L79)</f>
        <v>66379.4434424713</v>
      </c>
      <c r="M139" s="10" t="n">
        <f aca="false">MIN(M24,M79)</f>
        <v>47773.4044120515</v>
      </c>
      <c r="N139" s="10" t="n">
        <f aca="false">MIN(N24,N79)</f>
        <v>1.48344098243933</v>
      </c>
      <c r="O139" s="10" t="n">
        <f aca="false">MIN(O24,O79)</f>
        <v>1.90610308495832</v>
      </c>
      <c r="P139" s="10" t="n">
        <f aca="false">MIN(P24,P79)</f>
        <v>1.14366185097499</v>
      </c>
      <c r="Q139" s="10" t="n">
        <f aca="false">MIN(Q24,Q79)</f>
        <v>80.2033569525577</v>
      </c>
      <c r="R139" s="10" t="n">
        <f aca="false">MIN(R24,R79)</f>
        <v>35.7472580133484</v>
      </c>
      <c r="S139" s="10" t="n">
        <f aca="false">MIN(S24,S79)</f>
        <v>568.966658078324</v>
      </c>
      <c r="T139" s="10" t="n">
        <f aca="false">MIN(T24,T79)</f>
        <v>1018.00406960093</v>
      </c>
      <c r="U139" s="10" t="n">
        <f aca="false">MIN(U24,U79)</f>
        <v>3184.8936274701</v>
      </c>
      <c r="V139" s="10" t="n">
        <f aca="false">MIN(V24,V79)</f>
        <v>86.7859698033835</v>
      </c>
      <c r="W139" s="10" t="n">
        <f aca="false">MIN(W24,W79)</f>
        <v>2.37215287895973</v>
      </c>
      <c r="X139" s="10" t="n">
        <f aca="false">MIN(X24,X79)</f>
        <v>5.60989803007575</v>
      </c>
      <c r="Y139" s="10" t="n">
        <f aca="false">MIN(Y24,Y79)</f>
        <v>331.897217212357</v>
      </c>
      <c r="Z139" s="10" t="n">
        <f aca="false">MIN(Z24,Z79)</f>
        <v>2262.26603814256</v>
      </c>
      <c r="AA139" s="10" t="n">
        <f aca="false">MIN(AA24,AA79)</f>
        <v>2926.24825260962</v>
      </c>
      <c r="AB139" s="10" t="n">
        <f aca="false">MIN(AB24,AB79)</f>
        <v>3072.50586936035</v>
      </c>
      <c r="AC139" s="10" t="n">
        <f aca="false">MIN(AC24,AC79)</f>
        <v>14962.7777969604</v>
      </c>
      <c r="AD139" s="10" t="n">
        <f aca="false">MIN(AD24,AD79)</f>
        <v>19354.4002536903</v>
      </c>
      <c r="AE139" s="10" t="n">
        <f aca="false">MIN(AE24,AE79)</f>
        <v>57182.0079621155</v>
      </c>
      <c r="AF139" s="10" t="n">
        <f aca="false">MIN(AF24,AF79)</f>
        <v>227.333753156614</v>
      </c>
      <c r="AG139" s="10" t="n">
        <f aca="false">MIN(AG24,AG79)</f>
        <v>206.947304695758</v>
      </c>
      <c r="AH139" s="10" t="n">
        <f aca="false">MIN(AH24,AH79)</f>
        <v>147.692848547271</v>
      </c>
      <c r="AI139" s="10" t="n">
        <f aca="false">MIN(AI24,AI79)</f>
        <v>786.118735436914</v>
      </c>
      <c r="AJ139" s="10" t="n">
        <f aca="false">MIN(AJ24,AJ79)</f>
        <v>317.554318347177</v>
      </c>
      <c r="AK139" s="10" t="n">
        <f aca="false">MIN(AK24,AK79)</f>
        <v>137.175284305952</v>
      </c>
      <c r="AL139" s="10" t="n">
        <f aca="false">MIN(AL24,AL79)</f>
        <v>256.065725120888</v>
      </c>
      <c r="AM139" s="10" t="n">
        <f aca="false">MIN(AM24,AM79)</f>
        <v>457.210069603456</v>
      </c>
      <c r="AN139" s="10" t="n">
        <f aca="false">MIN(AN24,AN79)</f>
        <v>551.201854163394</v>
      </c>
      <c r="AO139" s="10" t="n">
        <f aca="false">MIN(AO24,AO79)</f>
        <v>5166.21634808478</v>
      </c>
      <c r="AP139" s="10" t="n">
        <f aca="false">MIN(AP24,AP79)</f>
        <v>12383.0274601716</v>
      </c>
      <c r="AQ139" s="10" t="n">
        <f aca="false">MIN(AQ24,AQ79)</f>
        <v>3540.33985375466</v>
      </c>
      <c r="AR139" s="10" t="n">
        <f aca="false">MIN(AR24,AR79)</f>
        <v>5061.76739637181</v>
      </c>
      <c r="AS139" s="10" t="n">
        <f aca="false">MIN(AS24,AS79)</f>
        <v>773.996063855952</v>
      </c>
      <c r="AT139" s="10" t="n">
        <f aca="false">MIN(AT24,AT79)</f>
        <v>227.496647228014</v>
      </c>
      <c r="AU139" s="10" t="n">
        <f aca="false">MIN(AU24,AU79)</f>
        <v>267.108239690195</v>
      </c>
      <c r="AV139" s="10" t="n">
        <f aca="false">MIN(AV24,AV79)</f>
        <v>3086.33551293159</v>
      </c>
      <c r="AW139" s="10" t="n">
        <f aca="false">MIN(AW24,AW79)</f>
        <v>4.84226533113715</v>
      </c>
      <c r="AX139" s="10" t="n">
        <f aca="false">MIN(AX24,AX79)</f>
        <v>1161.80101188344</v>
      </c>
      <c r="AY139" s="10" t="n">
        <f aca="false">MIN(AY24,AY79)</f>
        <v>148.141413711554</v>
      </c>
      <c r="AZ139" s="10" t="n">
        <f aca="false">MIN(AZ24,AZ79)</f>
        <v>45.4285656479124</v>
      </c>
      <c r="BA139" s="10" t="n">
        <f aca="false">MIN(BA24,BA79)</f>
        <v>3385.35161556604</v>
      </c>
      <c r="BB139" s="10" t="n">
        <f aca="false">MIN(BB24,BB79)</f>
        <v>1241.24386585861</v>
      </c>
      <c r="BC139" s="10" t="n">
        <f aca="false">MIN(BC24,BC79)</f>
        <v>476.263992945331</v>
      </c>
      <c r="BD139" s="10" t="n">
        <f aca="false">MIN(BD24,BD79)</f>
        <v>2065.42710136683</v>
      </c>
      <c r="BE139" s="10" t="n">
        <f aca="false">MIN(BE24,BE79)</f>
        <v>4134.89458508002</v>
      </c>
      <c r="BF139" s="10" t="n">
        <f aca="false">MIN(BF24,BF79)</f>
        <v>749.043443212126</v>
      </c>
      <c r="BG139" s="10" t="n">
        <f aca="false">MIN(BG24,BG79)</f>
        <v>172.318254841277</v>
      </c>
      <c r="BH139" s="10" t="n">
        <f aca="false">MIN(BH24,BH79)</f>
        <v>85.3786534554817</v>
      </c>
      <c r="BI139" s="10" t="n">
        <f aca="false">MIN(BI24,BI79)</f>
        <v>44.3479490537657</v>
      </c>
      <c r="BJ139" s="10" t="n">
        <f aca="false">MIN(BJ24,BJ79)</f>
        <v>3.31202461609823</v>
      </c>
      <c r="BK139" s="10" t="n">
        <f aca="false">MIN(BK24,BK79)</f>
        <v>88.6958981075314</v>
      </c>
      <c r="BL139" s="10" t="n">
        <f aca="false">MIN(BL24,BL79)</f>
        <v>2344.68633921665</v>
      </c>
      <c r="BM139" s="10" t="n">
        <f aca="false">MIN(BM24,BM79)</f>
        <v>10.3368096952944</v>
      </c>
      <c r="BN139" s="10" t="n">
        <f aca="false">MIN(BN24,BN79)</f>
        <v>214996.275729121</v>
      </c>
      <c r="BO139" s="10" t="n">
        <f aca="false">MIN(BO24,BO79)</f>
        <v>4.61325712910418</v>
      </c>
      <c r="BP139" s="10" t="n">
        <f aca="false">MIN(BP24,BP79)</f>
        <v>12.9274841630434</v>
      </c>
      <c r="BQ139" s="10" t="n">
        <f aca="false">MIN(BQ24,BQ79)</f>
        <v>330763.501121724</v>
      </c>
      <c r="BR139" s="10" t="n">
        <f aca="false">MIN(BR24,BR79)</f>
        <v>138.397683053334</v>
      </c>
      <c r="BS139" s="10" t="n">
        <f aca="false">MIN(BS24,BS79)</f>
        <v>1383.97683053334</v>
      </c>
      <c r="BT139" s="10" t="n">
        <f aca="false">MIN(BT24,BT79)</f>
        <v>1</v>
      </c>
      <c r="BU139" s="10" t="n">
        <f aca="false">MIN(BU24,BU79)</f>
        <v>7.16071357429833</v>
      </c>
      <c r="BV139" s="10" t="n">
        <f aca="false">MIN(BV24,BV79)</f>
        <v>71.6071357429833</v>
      </c>
      <c r="BW139" s="10" t="n">
        <f aca="false">MIN(BW24,BW79)</f>
        <v>11.2303346481541</v>
      </c>
      <c r="BX139" s="10" t="n">
        <f aca="false">MIN(BX24,BX79)</f>
        <v>4.49521789083344</v>
      </c>
      <c r="BY139" s="10" t="n">
        <f aca="false">MIN(BY24,BY79)</f>
        <v>32.1234470376771</v>
      </c>
      <c r="BZ139" s="10" t="n">
        <f aca="false">MIN(BZ24,BZ79)</f>
        <v>1274725.19830861</v>
      </c>
      <c r="CA139" s="10" t="n">
        <f aca="false">MIN(CA24,CA79)</f>
        <v>633688.395538689</v>
      </c>
      <c r="CB139" s="10" t="n">
        <f aca="false">MIN(CB24,CB79)</f>
        <v>212.731845172353</v>
      </c>
      <c r="CC139" s="10" t="n">
        <f aca="false">MIN(CC24,CC79)</f>
        <v>305.998966087318</v>
      </c>
      <c r="CD139" s="10" t="n">
        <f aca="false">MIN(CD24,CD79)</f>
        <v>38.0572651106826</v>
      </c>
      <c r="CE139" s="10" t="n">
        <f aca="false">MIN(CE24,CE79)</f>
        <v>2.31548992008946</v>
      </c>
      <c r="CF139" s="10" t="n">
        <f aca="false">MIN(CF24,CF79)</f>
        <v>43.57918348012</v>
      </c>
      <c r="CG139" s="10" t="n">
        <f aca="false">MIN(CG24,CG79)</f>
        <v>944.436549018606</v>
      </c>
      <c r="CH139" s="10" t="n">
        <f aca="false">MIN(CH24,CH79)</f>
        <v>942.740017604046</v>
      </c>
      <c r="CI139" s="10" t="n">
        <f aca="false">MIN(CI24,CI79)</f>
        <v>72.3845286046103</v>
      </c>
      <c r="CJ139" s="10" t="n">
        <f aca="false">MIN(CJ24,CJ79)</f>
        <v>667.043634324878</v>
      </c>
      <c r="CK139" s="10" t="n">
        <f aca="false">MIN(CK24,CK79)</f>
        <v>219.359748927306</v>
      </c>
      <c r="CL139" s="7" t="s">
        <v>320</v>
      </c>
    </row>
    <row r="140" customFormat="false" ht="12.8" hidden="false" customHeight="false" outlineLevel="0" collapsed="false">
      <c r="A140" s="7" t="s">
        <v>157</v>
      </c>
      <c r="B140" s="7" t="s">
        <v>39</v>
      </c>
      <c r="C140" s="10" t="n">
        <f aca="false">MIN(C25,C80)</f>
        <v>59804.8549129531</v>
      </c>
      <c r="D140" s="10" t="n">
        <f aca="false">MIN(D25,D80)</f>
        <v>10.8609067257562</v>
      </c>
      <c r="E140" s="10" t="n">
        <f aca="false">MIN(E25,E80)</f>
        <v>30.7743020591855</v>
      </c>
      <c r="F140" s="10" t="n">
        <f aca="false">MIN(F25,F80)</f>
        <v>87.450127024542</v>
      </c>
      <c r="G140" s="10" t="n">
        <f aca="false">MIN(G25,G80)</f>
        <v>23.81252298776</v>
      </c>
      <c r="H140" s="10" t="n">
        <f aca="false">MIN(H25,H80)</f>
        <v>24392.8363566842</v>
      </c>
      <c r="I140" s="10" t="n">
        <f aca="false">MIN(I25,I80)</f>
        <v>2817.24932651775</v>
      </c>
      <c r="J140" s="10" t="n">
        <f aca="false">MIN(J25,J80)</f>
        <v>2527.16385648811</v>
      </c>
      <c r="K140" s="10" t="n">
        <f aca="false">MIN(K25,K80)</f>
        <v>29662.5751118589</v>
      </c>
      <c r="L140" s="10" t="n">
        <f aca="false">MIN(L25,L80)</f>
        <v>189224.776302244</v>
      </c>
      <c r="M140" s="10" t="n">
        <f aca="false">MIN(M25,M80)</f>
        <v>142824.791570536</v>
      </c>
      <c r="N140" s="10" t="n">
        <f aca="false">MIN(N25,N80)</f>
        <v>30.4421742002458</v>
      </c>
      <c r="O140" s="10" t="n">
        <f aca="false">MIN(O25,O80)</f>
        <v>8.68872538060496</v>
      </c>
      <c r="P140" s="10" t="n">
        <f aca="false">MIN(P25,P80)</f>
        <v>5.21323522836297</v>
      </c>
      <c r="Q140" s="10" t="n">
        <f aca="false">MIN(Q25,Q80)</f>
        <v>287.693229524836</v>
      </c>
      <c r="R140" s="10" t="n">
        <f aca="false">MIN(R25,R80)</f>
        <v>44.7177035392773</v>
      </c>
      <c r="S140" s="10" t="n">
        <f aca="false">MIN(S25,S80)</f>
        <v>1621.92665401923</v>
      </c>
      <c r="T140" s="10" t="n">
        <f aca="false">MIN(T25,T80)</f>
        <v>2901.97661135793</v>
      </c>
      <c r="U140" s="10" t="n">
        <f aca="false">MIN(U25,U80)</f>
        <v>9521.65277136905</v>
      </c>
      <c r="V140" s="10" t="n">
        <f aca="false">MIN(V25,V80)</f>
        <v>1431.43451784395</v>
      </c>
      <c r="W140" s="10" t="n">
        <f aca="false">MIN(W25,W80)</f>
        <v>12.7077316867821</v>
      </c>
      <c r="X140" s="10" t="n">
        <f aca="false">MIN(X25,X80)</f>
        <v>4.44410030733832</v>
      </c>
      <c r="Y140" s="10" t="n">
        <f aca="false">MIN(Y25,Y80)</f>
        <v>946.123881511218</v>
      </c>
      <c r="Z140" s="10" t="n">
        <f aca="false">MIN(Z25,Z80)</f>
        <v>81450.4436974376</v>
      </c>
      <c r="AA140" s="10" t="n">
        <f aca="false">MIN(AA25,AA80)</f>
        <v>50212.59974908</v>
      </c>
      <c r="AB140" s="10" t="n">
        <f aca="false">MIN(AB25,AB80)</f>
        <v>32979.8302052746</v>
      </c>
      <c r="AC140" s="10" t="n">
        <f aca="false">MIN(AC25,AC80)</f>
        <v>176650.71618579</v>
      </c>
      <c r="AD140" s="10" t="n">
        <f aca="false">MIN(AD25,AD80)</f>
        <v>207747.311553392</v>
      </c>
      <c r="AE140" s="10" t="n">
        <f aca="false">MIN(AE25,AE80)</f>
        <v>354901.782310198</v>
      </c>
      <c r="AF140" s="10" t="n">
        <f aca="false">MIN(AF25,AF80)</f>
        <v>531.225413501401</v>
      </c>
      <c r="AG140" s="10" t="n">
        <f aca="false">MIN(AG25,AG80)</f>
        <v>963.825918157863</v>
      </c>
      <c r="AH140" s="10" t="n">
        <f aca="false">MIN(AH25,AH80)</f>
        <v>656.425267972457</v>
      </c>
      <c r="AI140" s="10" t="n">
        <f aca="false">MIN(AI25,AI80)</f>
        <v>4376.70814258766</v>
      </c>
      <c r="AJ140" s="10" t="n">
        <f aca="false">MIN(AJ25,AJ80)</f>
        <v>5064.6892485705</v>
      </c>
      <c r="AK140" s="10" t="n">
        <f aca="false">MIN(AK25,AK80)</f>
        <v>2147.76506192016</v>
      </c>
      <c r="AL140" s="10" t="n">
        <f aca="false">MIN(AL25,AL80)</f>
        <v>1580.83314964415</v>
      </c>
      <c r="AM140" s="10" t="n">
        <f aca="false">MIN(AM25,AM80)</f>
        <v>2580.81350514571</v>
      </c>
      <c r="AN140" s="10" t="n">
        <f aca="false">MIN(AN25,AN80)</f>
        <v>8588.37943657955</v>
      </c>
      <c r="AO140" s="10" t="n">
        <f aca="false">MIN(AO25,AO80)</f>
        <v>42111.3232019763</v>
      </c>
      <c r="AP140" s="10" t="n">
        <f aca="false">MIN(AP25,AP80)</f>
        <v>107130.888046724</v>
      </c>
      <c r="AQ140" s="10" t="n">
        <f aca="false">MIN(AQ25,AQ80)</f>
        <v>19459.0594860314</v>
      </c>
      <c r="AR140" s="10" t="n">
        <f aca="false">MIN(AR25,AR80)</f>
        <v>17173.2049799888</v>
      </c>
      <c r="AS140" s="10" t="n">
        <f aca="false">MIN(AS25,AS80)</f>
        <v>1781.44580730922</v>
      </c>
      <c r="AT140" s="10" t="n">
        <f aca="false">MIN(AT25,AT80)</f>
        <v>889.019076675029</v>
      </c>
      <c r="AU140" s="10" t="n">
        <f aca="false">MIN(AU25,AU80)</f>
        <v>3506.28872704792</v>
      </c>
      <c r="AV140" s="10" t="n">
        <f aca="false">MIN(AV25,AV80)</f>
        <v>8685.49510301167</v>
      </c>
      <c r="AW140" s="10" t="n">
        <f aca="false">MIN(AW25,AW80)</f>
        <v>55.8159264821911</v>
      </c>
      <c r="AX140" s="10" t="n">
        <f aca="false">MIN(AX25,AX80)</f>
        <v>3720.47241294036</v>
      </c>
      <c r="AY140" s="10" t="n">
        <f aca="false">MIN(AY25,AY80)</f>
        <v>2782.41325729738</v>
      </c>
      <c r="AZ140" s="10" t="n">
        <f aca="false">MIN(AZ25,AZ80)</f>
        <v>760.444774330983</v>
      </c>
      <c r="BA140" s="10" t="n">
        <f aca="false">MIN(BA25,BA80)</f>
        <v>9650.46359141442</v>
      </c>
      <c r="BB140" s="10" t="n">
        <f aca="false">MIN(BB25,BB80)</f>
        <v>2905.69004195049</v>
      </c>
      <c r="BC140" s="10" t="n">
        <f aca="false">MIN(BC25,BC80)</f>
        <v>966.903035397625</v>
      </c>
      <c r="BD140" s="10" t="n">
        <f aca="false">MIN(BD25,BD80)</f>
        <v>7703.41723624727</v>
      </c>
      <c r="BE140" s="10" t="n">
        <f aca="false">MIN(BE25,BE80)</f>
        <v>48023.6222999265</v>
      </c>
      <c r="BF140" s="10" t="n">
        <f aca="false">MIN(BF25,BF80)</f>
        <v>1677.70715385509</v>
      </c>
      <c r="BG140" s="10" t="n">
        <f aca="false">MIN(BG25,BG80)</f>
        <v>1011.95436159836</v>
      </c>
      <c r="BH140" s="10" t="n">
        <f aca="false">MIN(BH25,BH80)</f>
        <v>2148686.05045032</v>
      </c>
      <c r="BI140" s="10" t="n">
        <f aca="false">MIN(BI25,BI80)</f>
        <v>379.482885599384</v>
      </c>
      <c r="BJ140" s="10" t="n">
        <f aca="false">MIN(BJ25,BJ80)</f>
        <v>8.85975275714075</v>
      </c>
      <c r="BK140" s="10" t="n">
        <f aca="false">MIN(BK25,BK80)</f>
        <v>758.965771198768</v>
      </c>
      <c r="BL140" s="10" t="n">
        <f aca="false">MIN(BL25,BL80)</f>
        <v>90.5938257606436</v>
      </c>
      <c r="BM140" s="10" t="n">
        <f aca="false">MIN(BM25,BM80)</f>
        <v>44.8710428681425</v>
      </c>
      <c r="BN140" s="10" t="n">
        <f aca="false">MIN(BN25,BN80)</f>
        <v>1</v>
      </c>
      <c r="BO140" s="10" t="n">
        <f aca="false">MIN(BO25,BO80)</f>
        <v>129.259057353387</v>
      </c>
      <c r="BP140" s="10" t="n">
        <f aca="false">MIN(BP25,BP80)</f>
        <v>183.048329963371</v>
      </c>
      <c r="BQ140" s="10" t="n">
        <f aca="false">MIN(BQ25,BQ80)</f>
        <v>1.19316052941588</v>
      </c>
      <c r="BR140" s="10" t="n">
        <f aca="false">MIN(BR25,BR80)</f>
        <v>3877.7717206016</v>
      </c>
      <c r="BS140" s="10" t="n">
        <f aca="false">MIN(BS25,BS80)</f>
        <v>38777.7271771966</v>
      </c>
      <c r="BT140" s="10" t="n">
        <f aca="false">MIN(BT25,BT80)</f>
        <v>21.0694471358657</v>
      </c>
      <c r="BU140" s="10" t="n">
        <f aca="false">MIN(BU25,BU80)</f>
        <v>210.694471358657</v>
      </c>
      <c r="BV140" s="10" t="n">
        <f aca="false">MIN(BV25,BV80)</f>
        <v>2106.94471358657</v>
      </c>
      <c r="BW140" s="10" t="n">
        <f aca="false">MIN(BW25,BW80)</f>
        <v>92.3229061775565</v>
      </c>
      <c r="BX140" s="10" t="n">
        <f aca="false">MIN(BX25,BX80)</f>
        <v>63.6248359028828</v>
      </c>
      <c r="BY140" s="10" t="n">
        <f aca="false">MIN(BY25,BY80)</f>
        <v>286.130995436955</v>
      </c>
      <c r="BZ140" s="10" t="n">
        <f aca="false">MIN(BZ25,BZ80)</f>
        <v>35553.3071586242</v>
      </c>
      <c r="CA140" s="10" t="n">
        <f aca="false">MIN(CA25,CA80)</f>
        <v>108265.13891846</v>
      </c>
      <c r="CB140" s="10" t="n">
        <f aca="false">MIN(CB25,CB80)</f>
        <v>53.0005705904275</v>
      </c>
      <c r="CC140" s="10" t="n">
        <f aca="false">MIN(CC25,CC80)</f>
        <v>12.1858025761264</v>
      </c>
      <c r="CD140" s="10" t="n">
        <f aca="false">MIN(CD25,CD80)</f>
        <v>251.269483896839</v>
      </c>
      <c r="CE140" s="10" t="n">
        <f aca="false">MIN(CE25,CE80)</f>
        <v>52.3789244439842</v>
      </c>
      <c r="CF140" s="10" t="n">
        <f aca="false">MIN(CF25,CF80)</f>
        <v>1</v>
      </c>
      <c r="CG140" s="10" t="n">
        <f aca="false">MIN(CG25,CG80)</f>
        <v>39.2630944345152</v>
      </c>
      <c r="CH140" s="10" t="n">
        <f aca="false">MIN(CH25,CH80)</f>
        <v>15.7375784102872</v>
      </c>
      <c r="CI140" s="10" t="n">
        <f aca="false">MIN(CI25,CI80)</f>
        <v>141.373160958609</v>
      </c>
      <c r="CJ140" s="10" t="n">
        <f aca="false">MIN(CJ25,CJ80)</f>
        <v>8212.30397309212</v>
      </c>
      <c r="CK140" s="10" t="n">
        <f aca="false">MIN(CK25,CK80)</f>
        <v>529.218761392395</v>
      </c>
      <c r="CL140" s="7" t="s">
        <v>320</v>
      </c>
    </row>
    <row r="141" customFormat="false" ht="12.8" hidden="false" customHeight="false" outlineLevel="0" collapsed="false">
      <c r="A141" s="7" t="s">
        <v>158</v>
      </c>
      <c r="B141" s="7" t="s">
        <v>39</v>
      </c>
      <c r="C141" s="10" t="n">
        <f aca="false">MIN(C26,C81)</f>
        <v>15256.0399872679</v>
      </c>
      <c r="D141" s="10" t="n">
        <f aca="false">MIN(D26,D81)</f>
        <v>2.78357314170114</v>
      </c>
      <c r="E141" s="10" t="n">
        <f aca="false">MIN(E26,E81)</f>
        <v>4.4988008969821</v>
      </c>
      <c r="F141" s="10" t="n">
        <f aca="false">MIN(F26,F81)</f>
        <v>11.711074839403</v>
      </c>
      <c r="G141" s="10" t="n">
        <f aca="false">MIN(G26,G81)</f>
        <v>8.26683843207814</v>
      </c>
      <c r="H141" s="10" t="n">
        <f aca="false">MIN(H26,H81)</f>
        <v>1125.57287678869</v>
      </c>
      <c r="I141" s="10" t="n">
        <f aca="false">MIN(I26,I81)</f>
        <v>3224.84033635516</v>
      </c>
      <c r="J141" s="10" t="n">
        <f aca="false">MIN(J26,J81)</f>
        <v>2482.60416682403</v>
      </c>
      <c r="K141" s="10" t="n">
        <f aca="false">MIN(K26,K81)</f>
        <v>14149.6383410539</v>
      </c>
      <c r="L141" s="10" t="n">
        <f aca="false">MIN(L26,L81)</f>
        <v>89947.5816465517</v>
      </c>
      <c r="M141" s="10" t="n">
        <f aca="false">MIN(M26,M81)</f>
        <v>67834.2060413732</v>
      </c>
      <c r="N141" s="10" t="n">
        <f aca="false">MIN(N26,N81)</f>
        <v>3.58532553632681</v>
      </c>
      <c r="O141" s="10" t="n">
        <f aca="false">MIN(O26,O81)</f>
        <v>2.8476574325057</v>
      </c>
      <c r="P141" s="10" t="n">
        <f aca="false">MIN(P26,P81)</f>
        <v>1.70859445950342</v>
      </c>
      <c r="Q141" s="10" t="n">
        <f aca="false">MIN(Q26,Q81)</f>
        <v>391.27208461314</v>
      </c>
      <c r="R141" s="10" t="n">
        <f aca="false">MIN(R26,R81)</f>
        <v>38.7661324412435</v>
      </c>
      <c r="S141" s="10" t="n">
        <f aca="false">MIN(S26,S81)</f>
        <v>770.979271256156</v>
      </c>
      <c r="T141" s="10" t="n">
        <f aca="false">MIN(T26,T81)</f>
        <v>1379.448205924</v>
      </c>
      <c r="U141" s="10" t="n">
        <f aca="false">MIN(U26,U81)</f>
        <v>4522.28040275821</v>
      </c>
      <c r="V141" s="10" t="n">
        <f aca="false">MIN(V26,V81)</f>
        <v>194.05332127454</v>
      </c>
      <c r="W141" s="10" t="n">
        <f aca="false">MIN(W26,W81)</f>
        <v>4.1290108413432</v>
      </c>
      <c r="X141" s="10" t="n">
        <f aca="false">MIN(X26,X81)</f>
        <v>6.26539622294171</v>
      </c>
      <c r="Y141" s="10" t="n">
        <f aca="false">MIN(Y26,Y81)</f>
        <v>449.737908232759</v>
      </c>
      <c r="Z141" s="10" t="n">
        <f aca="false">MIN(Z26,Z81)</f>
        <v>5357.12865765377</v>
      </c>
      <c r="AA141" s="10" t="n">
        <f aca="false">MIN(AA26,AA81)</f>
        <v>6260.31728860307</v>
      </c>
      <c r="AB141" s="10" t="n">
        <f aca="false">MIN(AB26,AB81)</f>
        <v>6446.94926938755</v>
      </c>
      <c r="AC141" s="10" t="n">
        <f aca="false">MIN(AC26,AC81)</f>
        <v>28252.6353923767</v>
      </c>
      <c r="AD141" s="10" t="n">
        <f aca="false">MIN(AD26,AD81)</f>
        <v>40610.7724054371</v>
      </c>
      <c r="AE141" s="10" t="n">
        <f aca="false">MIN(AE26,AE81)</f>
        <v>77080.0647756052</v>
      </c>
      <c r="AF141" s="10" t="n">
        <f aca="false">MIN(AF26,AF81)</f>
        <v>435.327797368223</v>
      </c>
      <c r="AG141" s="10" t="n">
        <f aca="false">MIN(AG26,AG81)</f>
        <v>287.155063806649</v>
      </c>
      <c r="AH141" s="10" t="n">
        <f aca="false">MIN(AH26,AH81)</f>
        <v>329.163258385645</v>
      </c>
      <c r="AI141" s="10" t="n">
        <f aca="false">MIN(AI26,AI81)</f>
        <v>1393.2675083841</v>
      </c>
      <c r="AJ141" s="10" t="n">
        <f aca="false">MIN(AJ26,AJ81)</f>
        <v>399.365600995996</v>
      </c>
      <c r="AK141" s="10" t="n">
        <f aca="false">MIN(AK26,AK81)</f>
        <v>319.788209143037</v>
      </c>
      <c r="AL141" s="10" t="n">
        <f aca="false">MIN(AL26,AL81)</f>
        <v>398.698420765288</v>
      </c>
      <c r="AM141" s="10" t="n">
        <f aca="false">MIN(AM26,AM81)</f>
        <v>627.547266328036</v>
      </c>
      <c r="AN141" s="10" t="n">
        <f aca="false">MIN(AN26,AN81)</f>
        <v>814.54660455607</v>
      </c>
      <c r="AO141" s="10" t="n">
        <f aca="false">MIN(AO26,AO81)</f>
        <v>8302.28911413884</v>
      </c>
      <c r="AP141" s="10" t="n">
        <f aca="false">MIN(AP26,AP81)</f>
        <v>17307.9176008461</v>
      </c>
      <c r="AQ141" s="10" t="n">
        <f aca="false">MIN(AQ26,AQ81)</f>
        <v>5663.4558818654</v>
      </c>
      <c r="AR141" s="10" t="n">
        <f aca="false">MIN(AR26,AR81)</f>
        <v>8149.47162601603</v>
      </c>
      <c r="AS141" s="10" t="n">
        <f aca="false">MIN(AS26,AS81)</f>
        <v>1812.38785694989</v>
      </c>
      <c r="AT141" s="10" t="n">
        <f aca="false">MIN(AT26,AT81)</f>
        <v>522.56429698841</v>
      </c>
      <c r="AU141" s="10" t="n">
        <f aca="false">MIN(AU26,AU81)</f>
        <v>611.212096916484</v>
      </c>
      <c r="AV141" s="10" t="n">
        <f aca="false">MIN(AV26,AV81)</f>
        <v>6577.31788676519</v>
      </c>
      <c r="AW141" s="10" t="n">
        <f aca="false">MIN(AW26,AW81)</f>
        <v>8.99123031231046</v>
      </c>
      <c r="AX141" s="10" t="n">
        <f aca="false">MIN(AX26,AX81)</f>
        <v>1559.4516787669</v>
      </c>
      <c r="AY141" s="10" t="n">
        <f aca="false">MIN(AY26,AY81)</f>
        <v>326.929725702979</v>
      </c>
      <c r="AZ141" s="10" t="n">
        <f aca="false">MIN(AZ26,AZ81)</f>
        <v>93.6758854117669</v>
      </c>
      <c r="BA141" s="10" t="n">
        <f aca="false">MIN(BA26,BA81)</f>
        <v>4587.32666397414</v>
      </c>
      <c r="BB141" s="10" t="n">
        <f aca="false">MIN(BB26,BB81)</f>
        <v>2813.87540630146</v>
      </c>
      <c r="BC141" s="10" t="n">
        <f aca="false">MIN(BC26,BC81)</f>
        <v>1096.43792891756</v>
      </c>
      <c r="BD141" s="10" t="n">
        <f aca="false">MIN(BD26,BD81)</f>
        <v>4864.67589366383</v>
      </c>
      <c r="BE141" s="10" t="n">
        <f aca="false">MIN(BE26,BE81)</f>
        <v>9195.26855674568</v>
      </c>
      <c r="BF141" s="10" t="n">
        <f aca="false">MIN(BF26,BF81)</f>
        <v>1018.06455810682</v>
      </c>
      <c r="BG141" s="10" t="n">
        <f aca="false">MIN(BG26,BG81)</f>
        <v>229.076478339367</v>
      </c>
      <c r="BH141" s="10" t="n">
        <f aca="false">MIN(BH26,BH81)</f>
        <v>109.574286796419</v>
      </c>
      <c r="BI141" s="10" t="n">
        <f aca="false">MIN(BI26,BI81)</f>
        <v>89.2081232881371</v>
      </c>
      <c r="BJ141" s="10" t="n">
        <f aca="false">MIN(BJ26,BJ81)</f>
        <v>1.96091795439771</v>
      </c>
      <c r="BK141" s="10" t="n">
        <f aca="false">MIN(BK26,BK81)</f>
        <v>178.416246576274</v>
      </c>
      <c r="BL141" s="10" t="n">
        <f aca="false">MIN(BL26,BL81)</f>
        <v>134.804745480984</v>
      </c>
      <c r="BM141" s="10" t="n">
        <f aca="false">MIN(BM26,BM81)</f>
        <v>24.282968672792</v>
      </c>
      <c r="BN141" s="10" t="n">
        <f aca="false">MIN(BN26,BN81)</f>
        <v>544007.553959007</v>
      </c>
      <c r="BO141" s="10" t="n">
        <f aca="false">MIN(BO26,BO81)</f>
        <v>15.9632885208572</v>
      </c>
      <c r="BP141" s="10" t="n">
        <f aca="false">MIN(BP26,BP81)</f>
        <v>31.3400248512522</v>
      </c>
      <c r="BQ141" s="10" t="n">
        <f aca="false">MIN(BQ26,BQ81)</f>
        <v>836934.698398472</v>
      </c>
      <c r="BR141" s="10" t="n">
        <f aca="false">MIN(BR26,BR81)</f>
        <v>478.898516402652</v>
      </c>
      <c r="BS141" s="10" t="n">
        <f aca="false">MIN(BS26,BS81)</f>
        <v>4788.98516402652</v>
      </c>
      <c r="BT141" s="10" t="n">
        <f aca="false">MIN(BT26,BT81)</f>
        <v>2.23855490753505</v>
      </c>
      <c r="BU141" s="10" t="n">
        <f aca="false">MIN(BU26,BU81)</f>
        <v>22.3855490753506</v>
      </c>
      <c r="BV141" s="10" t="n">
        <f aca="false">MIN(BV26,BV81)</f>
        <v>223.855490753506</v>
      </c>
      <c r="BW141" s="10" t="n">
        <f aca="false">MIN(BW26,BW81)</f>
        <v>18.0474274374505</v>
      </c>
      <c r="BX141" s="10" t="n">
        <f aca="false">MIN(BX26,BX81)</f>
        <v>27.1300339647143</v>
      </c>
      <c r="BY141" s="10" t="n">
        <f aca="false">MIN(BY26,BY81)</f>
        <v>37.579103867878</v>
      </c>
      <c r="BZ141" s="10" t="n">
        <f aca="false">MIN(BZ26,BZ81)</f>
        <v>26194.6457911762</v>
      </c>
      <c r="CA141" s="10" t="n">
        <f aca="false">MIN(CA26,CA81)</f>
        <v>40898.2363790022</v>
      </c>
      <c r="CB141" s="10" t="n">
        <f aca="false">MIN(CB26,CB81)</f>
        <v>107.44663033322</v>
      </c>
      <c r="CC141" s="10" t="n">
        <f aca="false">MIN(CC26,CC81)</f>
        <v>7.57733996336903</v>
      </c>
      <c r="CD141" s="10" t="n">
        <f aca="false">MIN(CD26,CD81)</f>
        <v>62.3682675999708</v>
      </c>
      <c r="CE141" s="10" t="n">
        <f aca="false">MIN(CE26,CE81)</f>
        <v>108.642830002465</v>
      </c>
      <c r="CF141" s="10" t="n">
        <f aca="false">MIN(CF26,CF81)</f>
        <v>1</v>
      </c>
      <c r="CG141" s="10" t="n">
        <f aca="false">MIN(CG26,CG81)</f>
        <v>54.4419983946261</v>
      </c>
      <c r="CH141" s="10" t="n">
        <f aca="false">MIN(CH26,CH81)</f>
        <v>88.2180152136258</v>
      </c>
      <c r="CI141" s="10" t="n">
        <f aca="false">MIN(CI26,CI81)</f>
        <v>111.664601428343</v>
      </c>
      <c r="CJ141" s="10" t="n">
        <f aca="false">MIN(CJ26,CJ81)</f>
        <v>620.384849708173</v>
      </c>
      <c r="CK141" s="10" t="n">
        <f aca="false">MIN(CK26,CK81)</f>
        <v>8497.12928416151</v>
      </c>
      <c r="CL141" s="7" t="s">
        <v>320</v>
      </c>
    </row>
    <row r="142" customFormat="false" ht="12.8" hidden="false" customHeight="false" outlineLevel="0" collapsed="false">
      <c r="A142" s="7" t="s">
        <v>159</v>
      </c>
      <c r="B142" s="7" t="s">
        <v>39</v>
      </c>
      <c r="C142" s="10" t="n">
        <f aca="false">MIN(C27,C82)</f>
        <v>74150.511782638</v>
      </c>
      <c r="D142" s="10" t="n">
        <f aca="false">MIN(D27,D82)</f>
        <v>16.6087180223466</v>
      </c>
      <c r="E142" s="10" t="n">
        <f aca="false">MIN(E27,E82)</f>
        <v>51.7940285185816</v>
      </c>
      <c r="F142" s="10" t="n">
        <f aca="false">MIN(F27,F82)</f>
        <v>252.653111378996</v>
      </c>
      <c r="G142" s="10" t="n">
        <f aca="false">MIN(G27,G82)</f>
        <v>70.6933793783254</v>
      </c>
      <c r="H142" s="10" t="n">
        <f aca="false">MIN(H27,H82)</f>
        <v>30977.9628043963</v>
      </c>
      <c r="I142" s="10" t="n">
        <f aca="false">MIN(I27,I82)</f>
        <v>3281.75304692876</v>
      </c>
      <c r="J142" s="10" t="n">
        <f aca="false">MIN(J27,J82)</f>
        <v>3435.90584643016</v>
      </c>
      <c r="K142" s="10" t="n">
        <f aca="false">MIN(K27,K82)</f>
        <v>41251.947174377</v>
      </c>
      <c r="L142" s="10" t="n">
        <f aca="false">MIN(L27,L82)</f>
        <v>375383.920454257</v>
      </c>
      <c r="M142" s="10" t="n">
        <f aca="false">MIN(M27,M82)</f>
        <v>315754.800595076</v>
      </c>
      <c r="N142" s="10" t="n">
        <f aca="false">MIN(N27,N82)</f>
        <v>42.980153167417</v>
      </c>
      <c r="O142" s="10" t="n">
        <f aca="false">MIN(O27,O82)</f>
        <v>13.2869744178773</v>
      </c>
      <c r="P142" s="10" t="n">
        <f aca="false">MIN(P27,P82)</f>
        <v>7.97218465072634</v>
      </c>
      <c r="Q142" s="10" t="n">
        <f aca="false">MIN(Q27,Q82)</f>
        <v>583.523812902306</v>
      </c>
      <c r="R142" s="10" t="n">
        <f aca="false">MIN(R27,R82)</f>
        <v>72.2581605129467</v>
      </c>
      <c r="S142" s="10" t="n">
        <f aca="false">MIN(S27,S82)</f>
        <v>3217.57646103648</v>
      </c>
      <c r="T142" s="10" t="n">
        <f aca="false">MIN(T27,T82)</f>
        <v>5756.93827587408</v>
      </c>
      <c r="U142" s="10" t="n">
        <f aca="false">MIN(U27,U82)</f>
        <v>21050.3200396718</v>
      </c>
      <c r="V142" s="10" t="n">
        <f aca="false">MIN(V27,V82)</f>
        <v>319.599901417523</v>
      </c>
      <c r="W142" s="10" t="n">
        <f aca="false">MIN(W27,W82)</f>
        <v>27.0980251005092</v>
      </c>
      <c r="X142" s="10" t="n">
        <f aca="false">MIN(X27,X82)</f>
        <v>15.5691253218107</v>
      </c>
      <c r="Y142" s="10" t="n">
        <f aca="false">MIN(Y27,Y82)</f>
        <v>1876.91960227128</v>
      </c>
      <c r="Z142" s="10" t="n">
        <f aca="false">MIN(Z27,Z82)</f>
        <v>47402.3377127935</v>
      </c>
      <c r="AA142" s="10" t="n">
        <f aca="false">MIN(AA27,AA82)</f>
        <v>77175.9829189233</v>
      </c>
      <c r="AB142" s="10" t="n">
        <f aca="false">MIN(AB27,AB82)</f>
        <v>55505.9953237874</v>
      </c>
      <c r="AC142" s="10" t="n">
        <f aca="false">MIN(AC27,AC82)</f>
        <v>298850.576419548</v>
      </c>
      <c r="AD142" s="10" t="n">
        <f aca="false">MIN(AD27,AD82)</f>
        <v>349644.653469675</v>
      </c>
      <c r="AE142" s="10" t="n">
        <f aca="false">MIN(AE27,AE82)</f>
        <v>1494391.87831401</v>
      </c>
      <c r="AF142" s="10" t="n">
        <f aca="false">MIN(AF27,AF82)</f>
        <v>887.561089350194</v>
      </c>
      <c r="AG142" s="10" t="n">
        <f aca="false">MIN(AG27,AG82)</f>
        <v>652.185777854903</v>
      </c>
      <c r="AH142" s="10" t="n">
        <f aca="false">MIN(AH27,AH82)</f>
        <v>471.624623354241</v>
      </c>
      <c r="AI142" s="10" t="n">
        <f aca="false">MIN(AI27,AI82)</f>
        <v>19445.7752236562</v>
      </c>
      <c r="AJ142" s="10" t="n">
        <f aca="false">MIN(AJ27,AJ82)</f>
        <v>2729.22359428623</v>
      </c>
      <c r="AK142" s="10" t="n">
        <f aca="false">MIN(AK27,AK82)</f>
        <v>2747.04249120749</v>
      </c>
      <c r="AL142" s="10" t="n">
        <f aca="false">MIN(AL27,AL82)</f>
        <v>2991.74626935046</v>
      </c>
      <c r="AM142" s="10" t="n">
        <f aca="false">MIN(AM27,AM82)</f>
        <v>11499.0377385489</v>
      </c>
      <c r="AN142" s="10" t="n">
        <f aca="false">MIN(AN27,AN82)</f>
        <v>1426.57938011651</v>
      </c>
      <c r="AO142" s="10" t="n">
        <f aca="false">MIN(AO27,AO82)</f>
        <v>28279.4761287418</v>
      </c>
      <c r="AP142" s="10" t="n">
        <f aca="false">MIN(AP27,AP82)</f>
        <v>46978.5729024182</v>
      </c>
      <c r="AQ142" s="10" t="n">
        <f aca="false">MIN(AQ27,AQ82)</f>
        <v>19790.8464117675</v>
      </c>
      <c r="AR142" s="10" t="n">
        <f aca="false">MIN(AR27,AR82)</f>
        <v>68819.5434170365</v>
      </c>
      <c r="AS142" s="10" t="n">
        <f aca="false">MIN(AS27,AS82)</f>
        <v>2679.62970192533</v>
      </c>
      <c r="AT142" s="10" t="n">
        <f aca="false">MIN(AT27,AT82)</f>
        <v>720.102929304241</v>
      </c>
      <c r="AU142" s="10" t="n">
        <f aca="false">MIN(AU27,AU82)</f>
        <v>509.099382307532</v>
      </c>
      <c r="AV142" s="10" t="n">
        <f aca="false">MIN(AV27,AV82)</f>
        <v>45540.6855625809</v>
      </c>
      <c r="AW142" s="10" t="n">
        <f aca="false">MIN(AW27,AW82)</f>
        <v>94.4407891725176</v>
      </c>
      <c r="AX142" s="10" t="n">
        <f aca="false">MIN(AX27,AX82)</f>
        <v>2748.24733512237</v>
      </c>
      <c r="AY142" s="10" t="n">
        <f aca="false">MIN(AY27,AY82)</f>
        <v>3784.99117570027</v>
      </c>
      <c r="AZ142" s="10" t="n">
        <f aca="false">MIN(AZ27,AZ82)</f>
        <v>869.821221075543</v>
      </c>
      <c r="BA142" s="10" t="n">
        <f aca="false">MIN(BA27,BA82)</f>
        <v>19144.5799431671</v>
      </c>
      <c r="BB142" s="10" t="n">
        <f aca="false">MIN(BB27,BB82)</f>
        <v>12377.8704543173</v>
      </c>
      <c r="BC142" s="10" t="n">
        <f aca="false">MIN(BC27,BC82)</f>
        <v>1866.92712002519</v>
      </c>
      <c r="BD142" s="10" t="n">
        <f aca="false">MIN(BD27,BD82)</f>
        <v>21262.5086184864</v>
      </c>
      <c r="BE142" s="10" t="n">
        <f aca="false">MIN(BE27,BE82)</f>
        <v>12117.6343573734</v>
      </c>
      <c r="BF142" s="10" t="n">
        <f aca="false">MIN(BF27,BF82)</f>
        <v>7920.51155988434</v>
      </c>
      <c r="BG142" s="10" t="n">
        <f aca="false">MIN(BG27,BG82)</f>
        <v>2150.39142288687</v>
      </c>
      <c r="BH142" s="10" t="n">
        <f aca="false">MIN(BH27,BH82)</f>
        <v>1091.11207301966</v>
      </c>
      <c r="BI142" s="10" t="n">
        <f aca="false">MIN(BI27,BI82)</f>
        <v>894.068520287756</v>
      </c>
      <c r="BJ142" s="10" t="n">
        <f aca="false">MIN(BJ27,BJ82)</f>
        <v>9.25800941497586</v>
      </c>
      <c r="BK142" s="10" t="n">
        <f aca="false">MIN(BK27,BK82)</f>
        <v>1788.13704057551</v>
      </c>
      <c r="BL142" s="10" t="n">
        <f aca="false">MIN(BL27,BL82)</f>
        <v>141.765662079736</v>
      </c>
      <c r="BM142" s="10" t="n">
        <f aca="false">MIN(BM27,BM82)</f>
        <v>157.632988539976</v>
      </c>
      <c r="BN142" s="10" t="n">
        <f aca="false">MIN(BN27,BN82)</f>
        <v>7467533.39440551</v>
      </c>
      <c r="BO142" s="10" t="n">
        <f aca="false">MIN(BO27,BO82)</f>
        <v>366.396957602554</v>
      </c>
      <c r="BP142" s="10" t="n">
        <f aca="false">MIN(BP27,BP82)</f>
        <v>329.499443581855</v>
      </c>
      <c r="BQ142" s="10" t="n">
        <f aca="false">MIN(BQ27,BQ82)</f>
        <v>11488512.91447</v>
      </c>
      <c r="BR142" s="10" t="n">
        <f aca="false">MIN(BR27,BR82)</f>
        <v>10991.9046096349</v>
      </c>
      <c r="BS142" s="10" t="n">
        <f aca="false">MIN(BS27,BS82)</f>
        <v>109919.046096349</v>
      </c>
      <c r="BT142" s="10" t="n">
        <f aca="false">MIN(BT27,BT82)</f>
        <v>47.1593223594299</v>
      </c>
      <c r="BU142" s="10" t="n">
        <f aca="false">MIN(BU27,BU82)</f>
        <v>471.593223594299</v>
      </c>
      <c r="BV142" s="10" t="n">
        <f aca="false">MIN(BV27,BV82)</f>
        <v>4715.93223594299</v>
      </c>
      <c r="BW142" s="10" t="n">
        <f aca="false">MIN(BW27,BW82)</f>
        <v>155.382085555745</v>
      </c>
      <c r="BX142" s="10" t="n">
        <f aca="false">MIN(BX27,BX82)</f>
        <v>23.6137234847343</v>
      </c>
      <c r="BY142" s="10" t="n">
        <f aca="false">MIN(BY27,BY82)</f>
        <v>27.3992865495134</v>
      </c>
      <c r="BZ142" s="10" t="n">
        <f aca="false">MIN(BZ27,BZ82)</f>
        <v>55830.7520735866</v>
      </c>
      <c r="CA142" s="10" t="n">
        <f aca="false">MIN(CA27,CA82)</f>
        <v>25087.5054389165</v>
      </c>
      <c r="CB142" s="10" t="n">
        <f aca="false">MIN(CB27,CB82)</f>
        <v>67.2363168328255</v>
      </c>
      <c r="CC142" s="10" t="n">
        <f aca="false">MIN(CC27,CC82)</f>
        <v>6.84725572624211</v>
      </c>
      <c r="CD142" s="10" t="n">
        <f aca="false">MIN(CD27,CD82)</f>
        <v>620.094151289603</v>
      </c>
      <c r="CE142" s="10" t="n">
        <f aca="false">MIN(CE27,CE82)</f>
        <v>1090.86847923406</v>
      </c>
      <c r="CF142" s="10" t="n">
        <f aca="false">MIN(CF27,CF82)</f>
        <v>1</v>
      </c>
      <c r="CG142" s="10" t="n">
        <f aca="false">MIN(CG27,CG82)</f>
        <v>611.380703585655</v>
      </c>
      <c r="CH142" s="10" t="n">
        <f aca="false">MIN(CH27,CH82)</f>
        <v>163.917715567247</v>
      </c>
      <c r="CI142" s="10" t="n">
        <f aca="false">MIN(CI27,CI82)</f>
        <v>200.202583173065</v>
      </c>
      <c r="CJ142" s="10" t="n">
        <f aca="false">MIN(CJ27,CJ82)</f>
        <v>1236.33078966659</v>
      </c>
      <c r="CK142" s="10" t="n">
        <f aca="false">MIN(CK27,CK82)</f>
        <v>13943.395334191</v>
      </c>
      <c r="CL142" s="7" t="s">
        <v>320</v>
      </c>
    </row>
    <row r="143" customFormat="false" ht="12.8" hidden="false" customHeight="false" outlineLevel="0" collapsed="false">
      <c r="A143" s="7" t="s">
        <v>160</v>
      </c>
      <c r="B143" s="7" t="s">
        <v>39</v>
      </c>
      <c r="C143" s="10" t="n">
        <f aca="false">MIN(C28,C83)</f>
        <v>47668.0956678359</v>
      </c>
      <c r="D143" s="10" t="n">
        <f aca="false">MIN(D28,D83)</f>
        <v>11.0885358903195</v>
      </c>
      <c r="E143" s="10" t="n">
        <f aca="false">MIN(E28,E83)</f>
        <v>33.9097285723822</v>
      </c>
      <c r="F143" s="10" t="n">
        <f aca="false">MIN(F28,F83)</f>
        <v>118.733652836997</v>
      </c>
      <c r="G143" s="10" t="n">
        <f aca="false">MIN(G28,G83)</f>
        <v>37.7046051321292</v>
      </c>
      <c r="H143" s="10" t="n">
        <f aca="false">MIN(H28,H83)</f>
        <v>24992.9721374624</v>
      </c>
      <c r="I143" s="10" t="n">
        <f aca="false">MIN(I28,I83)</f>
        <v>2648.96609671</v>
      </c>
      <c r="J143" s="10" t="n">
        <f aca="false">MIN(J28,J83)</f>
        <v>1218.06511428641</v>
      </c>
      <c r="K143" s="10" t="n">
        <f aca="false">MIN(K28,K83)</f>
        <v>26652.2862768478</v>
      </c>
      <c r="L143" s="10" t="n">
        <f aca="false">MIN(L28,L83)</f>
        <v>244398.588151413</v>
      </c>
      <c r="M143" s="10" t="n">
        <f aca="false">MIN(M28,M83)</f>
        <v>206184.199583866</v>
      </c>
      <c r="N143" s="10" t="n">
        <f aca="false">MIN(N28,N83)</f>
        <v>24.663174173957</v>
      </c>
      <c r="O143" s="10" t="n">
        <f aca="false">MIN(O28,O83)</f>
        <v>8.8708287122556</v>
      </c>
      <c r="P143" s="10" t="n">
        <f aca="false">MIN(P28,P83)</f>
        <v>5.32249722735336</v>
      </c>
      <c r="Q143" s="10" t="n">
        <f aca="false">MIN(Q28,Q83)</f>
        <v>491.13859712571</v>
      </c>
      <c r="R143" s="10" t="n">
        <f aca="false">MIN(R28,R83)</f>
        <v>65.6850559283162</v>
      </c>
      <c r="S143" s="10" t="n">
        <f aca="false">MIN(S28,S83)</f>
        <v>2094.84504129782</v>
      </c>
      <c r="T143" s="10" t="n">
        <f aca="false">MIN(T28,T83)</f>
        <v>3748.12960820443</v>
      </c>
      <c r="U143" s="10" t="n">
        <f aca="false">MIN(U28,U83)</f>
        <v>13745.6133055911</v>
      </c>
      <c r="V143" s="10" t="n">
        <f aca="false">MIN(V28,V83)</f>
        <v>267.487478226446</v>
      </c>
      <c r="W143" s="10" t="n">
        <f aca="false">MIN(W28,W83)</f>
        <v>11.0164983657727</v>
      </c>
      <c r="X143" s="10" t="n">
        <f aca="false">MIN(X28,X83)</f>
        <v>11.0735254521404</v>
      </c>
      <c r="Y143" s="10" t="n">
        <f aca="false">MIN(Y28,Y83)</f>
        <v>1221.99294075707</v>
      </c>
      <c r="Z143" s="10" t="n">
        <f aca="false">MIN(Z28,Z83)</f>
        <v>34976.686418302</v>
      </c>
      <c r="AA143" s="10" t="n">
        <f aca="false">MIN(AA28,AA83)</f>
        <v>44552.3434272807</v>
      </c>
      <c r="AB143" s="10" t="n">
        <f aca="false">MIN(AB28,AB83)</f>
        <v>36339.9660038857</v>
      </c>
      <c r="AC143" s="10" t="n">
        <f aca="false">MIN(AC28,AC83)</f>
        <v>204522.146305191</v>
      </c>
      <c r="AD143" s="10" t="n">
        <f aca="false">MIN(AD28,AD83)</f>
        <v>228913.556930366</v>
      </c>
      <c r="AE143" s="10" t="n">
        <f aca="false">MIN(AE28,AE83)</f>
        <v>297276.169602642</v>
      </c>
      <c r="AF143" s="10" t="n">
        <f aca="false">MIN(AF28,AF83)</f>
        <v>1717.87125082874</v>
      </c>
      <c r="AG143" s="10" t="n">
        <f aca="false">MIN(AG28,AG83)</f>
        <v>708.955024466416</v>
      </c>
      <c r="AH143" s="10" t="n">
        <f aca="false">MIN(AH28,AH83)</f>
        <v>360.578707751921</v>
      </c>
      <c r="AI143" s="10" t="n">
        <f aca="false">MIN(AI28,AI83)</f>
        <v>7996.83342307191</v>
      </c>
      <c r="AJ143" s="10" t="n">
        <f aca="false">MIN(AJ28,AJ83)</f>
        <v>787.992883443928</v>
      </c>
      <c r="AK143" s="10" t="n">
        <f aca="false">MIN(AK28,AK83)</f>
        <v>321.871566647639</v>
      </c>
      <c r="AL143" s="10" t="n">
        <f aca="false">MIN(AL28,AL83)</f>
        <v>3257.10533915821</v>
      </c>
      <c r="AM143" s="10" t="n">
        <f aca="false">MIN(AM28,AM83)</f>
        <v>1197.21109749035</v>
      </c>
      <c r="AN143" s="10" t="n">
        <f aca="false">MIN(AN28,AN83)</f>
        <v>1246.90828848284</v>
      </c>
      <c r="AO143" s="10" t="n">
        <f aca="false">MIN(AO28,AO83)</f>
        <v>30147.7366691702</v>
      </c>
      <c r="AP143" s="10" t="n">
        <f aca="false">MIN(AP28,AP83)</f>
        <v>151869.87181841</v>
      </c>
      <c r="AQ143" s="10" t="n">
        <f aca="false">MIN(AQ28,AQ83)</f>
        <v>9875.88759019032</v>
      </c>
      <c r="AR143" s="10" t="n">
        <f aca="false">MIN(AR28,AR83)</f>
        <v>69501.8109786701</v>
      </c>
      <c r="AS143" s="10" t="n">
        <f aca="false">MIN(AS28,AS83)</f>
        <v>2155.02575847613</v>
      </c>
      <c r="AT143" s="10" t="n">
        <f aca="false">MIN(AT28,AT83)</f>
        <v>521.950677391799</v>
      </c>
      <c r="AU143" s="10" t="n">
        <f aca="false">MIN(AU28,AU83)</f>
        <v>985.690060633849</v>
      </c>
      <c r="AV143" s="10" t="n">
        <f aca="false">MIN(AV28,AV83)</f>
        <v>4878.83610171904</v>
      </c>
      <c r="AW143" s="10" t="n">
        <f aca="false">MIN(AW28,AW83)</f>
        <v>64.4823344647761</v>
      </c>
      <c r="AX143" s="10" t="n">
        <f aca="false">MIN(AX28,AX83)</f>
        <v>2714.11187912036</v>
      </c>
      <c r="AY143" s="10" t="n">
        <f aca="false">MIN(AY28,AY83)</f>
        <v>2010.76740817715</v>
      </c>
      <c r="AZ143" s="10" t="n">
        <f aca="false">MIN(AZ28,AZ83)</f>
        <v>537.338986060015</v>
      </c>
      <c r="BA143" s="10" t="n">
        <f aca="false">MIN(BA28,BA83)</f>
        <v>12464.3279957221</v>
      </c>
      <c r="BB143" s="10" t="n">
        <f aca="false">MIN(BB28,BB83)</f>
        <v>2666.82264520589</v>
      </c>
      <c r="BC143" s="10" t="n">
        <f aca="false">MIN(BC28,BC83)</f>
        <v>1775.84604382681</v>
      </c>
      <c r="BD143" s="10" t="n">
        <f aca="false">MIN(BD28,BD83)</f>
        <v>28329.9522597124</v>
      </c>
      <c r="BE143" s="10" t="n">
        <f aca="false">MIN(BE28,BE83)</f>
        <v>15430.6708930279</v>
      </c>
      <c r="BF143" s="10" t="n">
        <f aca="false">MIN(BF28,BF83)</f>
        <v>100</v>
      </c>
      <c r="BG143" s="10" t="n">
        <f aca="false">MIN(BG28,BG83)</f>
        <v>1391.77165238069</v>
      </c>
      <c r="BH143" s="10" t="n">
        <f aca="false">MIN(BH28,BH83)</f>
        <v>704.069310660545</v>
      </c>
      <c r="BI143" s="10" t="n">
        <f aca="false">MIN(BI28,BI83)</f>
        <v>585.349734616461</v>
      </c>
      <c r="BJ143" s="10" t="n">
        <f aca="false">MIN(BJ28,BJ83)</f>
        <v>6.32813844642848</v>
      </c>
      <c r="BK143" s="10" t="n">
        <f aca="false">MIN(BK28,BK83)</f>
        <v>1170.69946923292</v>
      </c>
      <c r="BL143" s="10" t="n">
        <f aca="false">MIN(BL28,BL83)</f>
        <v>157.261114188777</v>
      </c>
      <c r="BM143" s="10" t="n">
        <f aca="false">MIN(BM28,BM83)</f>
        <v>88.1808422822463</v>
      </c>
      <c r="BN143" s="10" t="n">
        <f aca="false">MIN(BN28,BN83)</f>
        <v>3208083.05149239</v>
      </c>
      <c r="BO143" s="10" t="n">
        <f aca="false">MIN(BO28,BO83)</f>
        <v>149.938684602026</v>
      </c>
      <c r="BP143" s="10" t="n">
        <f aca="false">MIN(BP28,BP83)</f>
        <v>193.113556145955</v>
      </c>
      <c r="BQ143" s="10" t="n">
        <f aca="false">MIN(BQ28,BQ83)</f>
        <v>4935512.38691138</v>
      </c>
      <c r="BR143" s="10" t="n">
        <f aca="false">MIN(BR28,BR83)</f>
        <v>4498.15886427909</v>
      </c>
      <c r="BS143" s="10" t="n">
        <f aca="false">MIN(BS28,BS83)</f>
        <v>44981.5886427909</v>
      </c>
      <c r="BT143" s="10" t="n">
        <f aca="false">MIN(BT28,BT83)</f>
        <v>19.9515124309831</v>
      </c>
      <c r="BU143" s="10" t="n">
        <f aca="false">MIN(BU28,BU83)</f>
        <v>199.515124309831</v>
      </c>
      <c r="BV143" s="10" t="n">
        <f aca="false">MIN(BV28,BV83)</f>
        <v>1995.15124309831</v>
      </c>
      <c r="BW143" s="10" t="n">
        <f aca="false">MIN(BW28,BW83)</f>
        <v>101.729185717147</v>
      </c>
      <c r="BX143" s="10" t="n">
        <f aca="false">MIN(BX28,BX83)</f>
        <v>20.2348796486045</v>
      </c>
      <c r="BY143" s="10" t="n">
        <f aca="false">MIN(BY28,BY83)</f>
        <v>58.5289107621226</v>
      </c>
      <c r="BZ143" s="10" t="n">
        <f aca="false">MIN(BZ28,BZ83)</f>
        <v>35557.9810865648</v>
      </c>
      <c r="CA143" s="10" t="n">
        <f aca="false">MIN(CA28,CA83)</f>
        <v>56570.5453623245</v>
      </c>
      <c r="CB143" s="10" t="n">
        <f aca="false">MIN(CB28,CB83)</f>
        <v>112.879746967657</v>
      </c>
      <c r="CC143" s="10" t="n">
        <f aca="false">MIN(CC28,CC83)</f>
        <v>11.4456139114662</v>
      </c>
      <c r="CD143" s="10" t="n">
        <f aca="false">MIN(CD28,CD83)</f>
        <v>406.660912220931</v>
      </c>
      <c r="CE143" s="10" t="n">
        <f aca="false">MIN(CE28,CE83)</f>
        <v>122.672154666182</v>
      </c>
      <c r="CF143" s="10" t="n">
        <f aca="false">MIN(CF28,CF83)</f>
        <v>1</v>
      </c>
      <c r="CG143" s="10" t="n">
        <f aca="false">MIN(CG28,CG83)</f>
        <v>112.971023037213</v>
      </c>
      <c r="CH143" s="10" t="n">
        <f aca="false">MIN(CH28,CH83)</f>
        <v>40.001114063164</v>
      </c>
      <c r="CI143" s="10" t="n">
        <f aca="false">MIN(CI28,CI83)</f>
        <v>462.494088499529</v>
      </c>
      <c r="CJ143" s="10" t="n">
        <f aca="false">MIN(CJ28,CJ83)</f>
        <v>4292.95977098777</v>
      </c>
      <c r="CK143" s="10" t="n">
        <f aca="false">MIN(CK28,CK83)</f>
        <v>2213.54567219239</v>
      </c>
      <c r="CL143" s="7" t="s">
        <v>320</v>
      </c>
    </row>
    <row r="150" customFormat="false" ht="12.8" hidden="false" customHeight="false" outlineLevel="0" collapsed="false">
      <c r="C150" s="0" t="s">
        <v>413</v>
      </c>
      <c r="D150" s="0" t="s">
        <v>411</v>
      </c>
      <c r="E150" s="0" t="s">
        <v>411</v>
      </c>
      <c r="F150" s="0" t="s">
        <v>411</v>
      </c>
      <c r="G150" s="0" t="s">
        <v>411</v>
      </c>
      <c r="H150" s="0" t="s">
        <v>414</v>
      </c>
      <c r="I150" s="0" t="s">
        <v>282</v>
      </c>
      <c r="J150" s="0" t="s">
        <v>282</v>
      </c>
      <c r="K150" s="0" t="s">
        <v>412</v>
      </c>
      <c r="L150" s="0" t="s">
        <v>412</v>
      </c>
      <c r="M150" s="0" t="s">
        <v>412</v>
      </c>
      <c r="N150" s="0" t="s">
        <v>411</v>
      </c>
      <c r="O150" s="0" t="s">
        <v>413</v>
      </c>
      <c r="P150" s="0" t="s">
        <v>413</v>
      </c>
      <c r="Q150" s="0" t="s">
        <v>413</v>
      </c>
      <c r="R150" s="0" t="s">
        <v>413</v>
      </c>
      <c r="S150" s="0" t="s">
        <v>412</v>
      </c>
      <c r="T150" s="0" t="s">
        <v>412</v>
      </c>
      <c r="U150" s="0" t="s">
        <v>412</v>
      </c>
      <c r="V150" s="0" t="s">
        <v>413</v>
      </c>
      <c r="W150" s="0" t="s">
        <v>413</v>
      </c>
      <c r="X150" s="0" t="s">
        <v>411</v>
      </c>
      <c r="Y150" s="0" t="s">
        <v>414</v>
      </c>
      <c r="Z150" s="0" t="s">
        <v>417</v>
      </c>
      <c r="AA150" s="0" t="s">
        <v>417</v>
      </c>
      <c r="AB150" s="0" t="s">
        <v>419</v>
      </c>
      <c r="AC150" s="0" t="s">
        <v>416</v>
      </c>
      <c r="AD150" s="0" t="s">
        <v>419</v>
      </c>
      <c r="AE150" s="0" t="s">
        <v>412</v>
      </c>
      <c r="AF150" s="0" t="s">
        <v>415</v>
      </c>
      <c r="AG150" s="0" t="s">
        <v>415</v>
      </c>
      <c r="AH150" s="0" t="s">
        <v>415</v>
      </c>
      <c r="AI150" s="0" t="s">
        <v>415</v>
      </c>
      <c r="AJ150" s="0" t="s">
        <v>415</v>
      </c>
      <c r="AK150" s="0" t="s">
        <v>415</v>
      </c>
      <c r="AL150" s="0" t="s">
        <v>415</v>
      </c>
      <c r="AM150" s="0" t="s">
        <v>415</v>
      </c>
      <c r="AN150" s="0" t="s">
        <v>415</v>
      </c>
      <c r="AO150" s="0" t="s">
        <v>415</v>
      </c>
      <c r="AP150" s="0" t="s">
        <v>415</v>
      </c>
      <c r="AQ150" s="0" t="s">
        <v>415</v>
      </c>
      <c r="AR150" s="0" t="s">
        <v>415</v>
      </c>
      <c r="AS150" s="0" t="s">
        <v>415</v>
      </c>
      <c r="AT150" s="0" t="s">
        <v>417</v>
      </c>
      <c r="AU150" s="0" t="s">
        <v>417</v>
      </c>
      <c r="AV150" s="0" t="s">
        <v>415</v>
      </c>
      <c r="AW150" s="0" t="s">
        <v>414</v>
      </c>
      <c r="AX150" s="0" t="s">
        <v>414</v>
      </c>
      <c r="AY150" s="0" t="s">
        <v>414</v>
      </c>
      <c r="AZ150" s="0" t="s">
        <v>414</v>
      </c>
      <c r="BA150" s="0" t="s">
        <v>412</v>
      </c>
      <c r="BB150" s="0" t="s">
        <v>414</v>
      </c>
      <c r="BC150" s="0" t="s">
        <v>414</v>
      </c>
      <c r="BD150" s="0" t="s">
        <v>414</v>
      </c>
      <c r="BE150" s="0" t="s">
        <v>414</v>
      </c>
      <c r="BF150" s="0" t="s">
        <v>416</v>
      </c>
      <c r="BG150" s="0" t="s">
        <v>412</v>
      </c>
      <c r="BH150" s="0" t="s">
        <v>412</v>
      </c>
      <c r="BI150" s="0" t="s">
        <v>412</v>
      </c>
      <c r="BJ150" s="0" t="s">
        <v>413</v>
      </c>
      <c r="BK150" s="0" t="s">
        <v>412</v>
      </c>
      <c r="BL150" s="0" t="s">
        <v>417</v>
      </c>
      <c r="BM150" s="0" t="s">
        <v>418</v>
      </c>
      <c r="BN150" s="0" t="s">
        <v>416</v>
      </c>
      <c r="BO150" s="0" t="s">
        <v>416</v>
      </c>
      <c r="BP150" s="0" t="s">
        <v>416</v>
      </c>
      <c r="BQ150" s="0" t="s">
        <v>416</v>
      </c>
      <c r="BR150" s="0" t="s">
        <v>416</v>
      </c>
      <c r="BS150" s="0" t="s">
        <v>416</v>
      </c>
      <c r="BT150" s="0" t="s">
        <v>416</v>
      </c>
      <c r="BU150" s="0" t="s">
        <v>416</v>
      </c>
      <c r="BV150" s="0" t="s">
        <v>416</v>
      </c>
      <c r="BW150" s="0" t="s">
        <v>413</v>
      </c>
      <c r="BX150" s="0" t="s">
        <v>414</v>
      </c>
      <c r="BY150" s="0" t="s">
        <v>414</v>
      </c>
      <c r="BZ150" s="0" t="s">
        <v>412</v>
      </c>
      <c r="CA150" s="0" t="s">
        <v>412</v>
      </c>
      <c r="CB150" s="0" t="s">
        <v>413</v>
      </c>
      <c r="CC150" s="0" t="s">
        <v>412</v>
      </c>
      <c r="CD150" s="0" t="s">
        <v>412</v>
      </c>
      <c r="CE150" s="0" t="s">
        <v>412</v>
      </c>
      <c r="CF150" s="0" t="s">
        <v>418</v>
      </c>
      <c r="CG150" s="0" t="s">
        <v>416</v>
      </c>
      <c r="CH150" s="0" t="s">
        <v>416</v>
      </c>
      <c r="CI150" s="0" t="s">
        <v>415</v>
      </c>
      <c r="CJ150" s="0" t="s">
        <v>412</v>
      </c>
      <c r="CK150" s="0" t="s">
        <v>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52"/>
    <col collapsed="false" customWidth="true" hidden="false" outlineLevel="0" max="4" min="3" style="0" width="14.88"/>
    <col collapsed="false" customWidth="true" hidden="false" outlineLevel="0" max="5" min="5" style="0" width="10.84"/>
    <col collapsed="false" customWidth="true" hidden="false" outlineLevel="0" max="6" min="6" style="0" width="18.63"/>
    <col collapsed="false" customWidth="false" hidden="false" outlineLevel="0" max="8" min="7" style="0" width="11.52"/>
    <col collapsed="false" customWidth="true" hidden="false" outlineLevel="0" max="9" min="9" style="0" width="10.69"/>
    <col collapsed="false" customWidth="true" hidden="false" outlineLevel="0" max="10" min="10" style="0" width="11.84"/>
    <col collapsed="false" customWidth="true" hidden="false" outlineLevel="0" max="11" min="11" style="0" width="12.9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436</v>
      </c>
      <c r="B1" s="1" t="s">
        <v>437</v>
      </c>
      <c r="C1" s="1" t="n">
        <v>1</v>
      </c>
      <c r="D1" s="1" t="s">
        <v>438</v>
      </c>
      <c r="E1" s="7" t="n">
        <f aca="false">INDEX(F3:F13,MATCH(C1,E3:E13,1))</f>
        <v>36500</v>
      </c>
      <c r="F1" s="1"/>
    </row>
    <row r="2" customFormat="false" ht="12.8" hidden="false" customHeight="false" outlineLevel="0" collapsed="false">
      <c r="A2" s="1" t="s">
        <v>22</v>
      </c>
      <c r="B2" s="1" t="s">
        <v>439</v>
      </c>
      <c r="C2" s="1" t="s">
        <v>440</v>
      </c>
      <c r="D2" s="28" t="s">
        <v>441</v>
      </c>
      <c r="E2" s="1" t="s">
        <v>26</v>
      </c>
      <c r="F2" s="1" t="s">
        <v>442</v>
      </c>
    </row>
    <row r="3" customFormat="false" ht="12.8" hidden="false" customHeight="false" outlineLevel="0" collapsed="false">
      <c r="A3" s="0" t="s">
        <v>443</v>
      </c>
      <c r="B3" s="0" t="n">
        <v>2</v>
      </c>
      <c r="C3" s="0" t="n">
        <v>200</v>
      </c>
      <c r="D3" s="5" t="n">
        <v>0.5</v>
      </c>
      <c r="E3" s="29" t="n">
        <v>1</v>
      </c>
      <c r="F3" s="4" t="n">
        <f aca="false">C3*365/(B3)</f>
        <v>36500</v>
      </c>
      <c r="I3" s="0" t="s">
        <v>444</v>
      </c>
      <c r="J3" s="0" t="n">
        <v>400</v>
      </c>
      <c r="K3" s="0" t="s">
        <v>445</v>
      </c>
    </row>
    <row r="4" customFormat="false" ht="12.8" hidden="false" customHeight="false" outlineLevel="0" collapsed="false">
      <c r="A4" s="0" t="s">
        <v>446</v>
      </c>
      <c r="B4" s="0" t="n">
        <v>2</v>
      </c>
      <c r="C4" s="0" t="n">
        <v>4000</v>
      </c>
      <c r="D4" s="5" t="n">
        <v>0.5</v>
      </c>
      <c r="E4" s="29" t="n">
        <v>2</v>
      </c>
      <c r="F4" s="4" t="n">
        <f aca="false">C4*365/(B4)</f>
        <v>730000</v>
      </c>
      <c r="I4" s="0" t="s">
        <v>447</v>
      </c>
      <c r="J4" s="0" t="s">
        <v>448</v>
      </c>
      <c r="K4" s="0" t="s">
        <v>445</v>
      </c>
    </row>
    <row r="5" customFormat="false" ht="12.8" hidden="false" customHeight="false" outlineLevel="0" collapsed="false">
      <c r="D5" s="5"/>
      <c r="E5" s="29"/>
      <c r="F5" s="4"/>
      <c r="I5" s="0" t="s">
        <v>449</v>
      </c>
      <c r="J5" s="0" t="s">
        <v>450</v>
      </c>
      <c r="K5" s="0" t="s">
        <v>445</v>
      </c>
    </row>
    <row r="6" customFormat="false" ht="12.8" hidden="false" customHeight="false" outlineLevel="0" collapsed="false">
      <c r="E6" s="29"/>
      <c r="F6" s="4"/>
    </row>
    <row r="7" customFormat="false" ht="12.8" hidden="false" customHeight="false" outlineLevel="0" collapsed="false">
      <c r="E7" s="29"/>
      <c r="F7" s="4"/>
    </row>
    <row r="8" customFormat="false" ht="12.8" hidden="false" customHeight="false" outlineLevel="0" collapsed="false">
      <c r="E8" s="29"/>
      <c r="F8" s="4"/>
    </row>
    <row r="9" customFormat="false" ht="12.8" hidden="false" customHeight="false" outlineLevel="0" collapsed="false">
      <c r="E9" s="29"/>
      <c r="F9" s="4"/>
    </row>
    <row r="10" customFormat="false" ht="12.8" hidden="false" customHeight="false" outlineLevel="0" collapsed="false">
      <c r="E10" s="29"/>
      <c r="F10" s="4"/>
    </row>
    <row r="14" customFormat="false" ht="12.8" hidden="false" customHeight="false" outlineLevel="0" collapsed="false">
      <c r="A14" s="1" t="s">
        <v>451</v>
      </c>
      <c r="B14" s="1" t="s">
        <v>437</v>
      </c>
      <c r="C14" s="1" t="n">
        <v>4</v>
      </c>
      <c r="D14" s="1" t="s">
        <v>438</v>
      </c>
      <c r="E14" s="7" t="n">
        <f aca="false">INDEX(F16:F23,MATCH(C14,E16:E23,1))</f>
        <v>1.06666666666667</v>
      </c>
      <c r="F14" s="1"/>
    </row>
    <row r="15" customFormat="false" ht="12.8" hidden="false" customHeight="false" outlineLevel="0" collapsed="false">
      <c r="A15" s="1" t="s">
        <v>22</v>
      </c>
      <c r="B15" s="1" t="s">
        <v>439</v>
      </c>
      <c r="C15" s="1" t="s">
        <v>452</v>
      </c>
      <c r="D15" s="28" t="s">
        <v>441</v>
      </c>
      <c r="E15" s="1" t="s">
        <v>26</v>
      </c>
      <c r="F15" s="1" t="s">
        <v>453</v>
      </c>
    </row>
    <row r="16" customFormat="false" ht="12.8" hidden="false" customHeight="false" outlineLevel="0" collapsed="false">
      <c r="A16" s="0" t="s">
        <v>443</v>
      </c>
      <c r="B16" s="0" t="n">
        <v>2</v>
      </c>
      <c r="C16" s="0" t="n">
        <v>200</v>
      </c>
      <c r="D16" s="5" t="n">
        <v>0.5</v>
      </c>
      <c r="E16" s="29" t="n">
        <v>1</v>
      </c>
      <c r="F16" s="4" t="n">
        <f aca="false">20*B16/(15*C16*D16)</f>
        <v>0.0266666666666667</v>
      </c>
    </row>
    <row r="17" customFormat="false" ht="12.8" hidden="false" customHeight="false" outlineLevel="0" collapsed="false">
      <c r="A17" s="0" t="s">
        <v>446</v>
      </c>
      <c r="B17" s="0" t="n">
        <v>2</v>
      </c>
      <c r="C17" s="0" t="n">
        <v>5</v>
      </c>
      <c r="D17" s="5" t="n">
        <v>0.5</v>
      </c>
      <c r="E17" s="29" t="n">
        <v>2</v>
      </c>
      <c r="F17" s="4" t="n">
        <f aca="false">20*B17/(15*C17*D17)</f>
        <v>1.06666666666667</v>
      </c>
    </row>
    <row r="18" customFormat="false" ht="12.8" hidden="false" customHeight="false" outlineLevel="0" collapsed="false">
      <c r="D18" s="5"/>
      <c r="E18" s="29"/>
      <c r="F1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7"/>
    <col collapsed="false" customWidth="true" hidden="false" outlineLevel="0" max="2" min="2" style="0" width="10.84"/>
    <col collapsed="false" customWidth="true" hidden="false" outlineLevel="0" max="5" min="3" style="0" width="11.7"/>
    <col collapsed="false" customWidth="true" hidden="false" outlineLevel="0" max="15" min="6" style="0" width="10.84"/>
    <col collapsed="false" customWidth="true" hidden="false" outlineLevel="0" max="16" min="16" style="0" width="11.7"/>
    <col collapsed="false" customWidth="true" hidden="false" outlineLevel="0" max="24" min="17" style="0" width="10.84"/>
    <col collapsed="false" customWidth="false" hidden="false" outlineLevel="0" max="25" min="25" style="0" width="11.52"/>
    <col collapsed="false" customWidth="true" hidden="false" outlineLevel="0" max="26" min="26" style="0" width="11.7"/>
    <col collapsed="false" customWidth="true" hidden="false" outlineLevel="0" max="27" min="27" style="0" width="13.43"/>
    <col collapsed="false" customWidth="false" hidden="false" outlineLevel="0" max="28" min="28" style="0" width="11.56"/>
    <col collapsed="false" customWidth="true" hidden="false" outlineLevel="0" max="29" min="29" style="0" width="7.95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1" t="s">
        <v>454</v>
      </c>
      <c r="B1" s="1" t="s">
        <v>131</v>
      </c>
      <c r="C1" s="1" t="s">
        <v>133</v>
      </c>
      <c r="D1" s="1" t="s">
        <v>135</v>
      </c>
      <c r="E1" s="1" t="s">
        <v>137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AA1" s="1" t="s">
        <v>455</v>
      </c>
      <c r="AB1" s="1" t="s">
        <v>456</v>
      </c>
      <c r="AC1" s="1" t="s">
        <v>457</v>
      </c>
    </row>
    <row r="2" customFormat="false" ht="12.8" hidden="false" customHeight="false" outlineLevel="0" collapsed="false">
      <c r="A2" s="1" t="s">
        <v>131</v>
      </c>
      <c r="B2" s="4" t="n">
        <f aca="false">(2-1)*(0.5*SQRT(Capacity!$C3*1.5/PI())*0.000308219178082192+0.5*SQRT(Capacity!$C3*1.5/PI())*0.00292237442922374)</f>
        <v>0.012774934282773</v>
      </c>
      <c r="C2" s="4" t="n">
        <v>0.207940639269406</v>
      </c>
      <c r="D2" s="4" t="n">
        <v>0.0498150783482803</v>
      </c>
      <c r="E2" s="4" t="n">
        <v>0.0591689497716896</v>
      </c>
      <c r="F2" s="4" t="n">
        <v>0.0901689497716896</v>
      </c>
      <c r="G2" s="4" t="n">
        <v>0.107259132420091</v>
      </c>
      <c r="H2" s="4" t="n">
        <v>0.072632019316054</v>
      </c>
      <c r="I2" s="4" t="n">
        <v>0.164676539863999</v>
      </c>
      <c r="J2" s="4" t="n">
        <v>0.0858869863013699</v>
      </c>
      <c r="K2" s="4" t="n">
        <v>0.121611815525114</v>
      </c>
      <c r="L2" s="4" t="n">
        <v>0.136089254623698</v>
      </c>
      <c r="M2" s="4" t="n">
        <v>0.0954489602838277</v>
      </c>
      <c r="N2" s="4" t="n">
        <v>0.178973343516967</v>
      </c>
      <c r="O2" s="4" t="n">
        <v>0.100310734246575</v>
      </c>
      <c r="P2" s="4" t="n">
        <v>0.131326717256332</v>
      </c>
      <c r="Q2" s="4" t="n">
        <v>0.108046126027397</v>
      </c>
      <c r="R2" s="4" t="n">
        <v>0.104182591780822</v>
      </c>
      <c r="S2" s="4" t="n">
        <v>0.230324144292237</v>
      </c>
      <c r="T2" s="4" t="n">
        <v>0.130155326027397</v>
      </c>
      <c r="U2" s="4" t="n">
        <v>0.203146062100457</v>
      </c>
      <c r="V2" s="4" t="n">
        <v>0.135946465753425</v>
      </c>
      <c r="W2" s="4" t="n">
        <v>0.176007912092244</v>
      </c>
      <c r="X2" s="4" t="n">
        <v>0.207145833119805</v>
      </c>
      <c r="Z2" s="1" t="s">
        <v>131</v>
      </c>
      <c r="AA2" s="5" t="n">
        <f aca="false">SUM(B2:X2)</f>
        <v>2.90903851599165</v>
      </c>
      <c r="AB2" s="5" t="n">
        <f aca="false">Capacity!J3/AA2</f>
        <v>344.127447779338</v>
      </c>
      <c r="AC2" s="4" t="n">
        <f aca="false">AB2/AB$28</f>
        <v>0.0302376744221899</v>
      </c>
    </row>
    <row r="3" customFormat="false" ht="12.8" hidden="false" customHeight="false" outlineLevel="0" collapsed="false">
      <c r="A3" s="1" t="s">
        <v>133</v>
      </c>
      <c r="B3" s="4" t="n">
        <v>0.207940639269406</v>
      </c>
      <c r="C3" s="4" t="n">
        <f aca="false">(2-1)*(0.5*SQRT(Capacity!$C4*1.5/PI())*0.000308219178082192+0.5*SQRT(Capacity!$C4*1.5/PI())*0.00292237442922374)</f>
        <v>0.0162130325466643</v>
      </c>
      <c r="D3" s="4" t="n">
        <v>0.317061643835616</v>
      </c>
      <c r="E3" s="4" t="n">
        <v>0.313917808219178</v>
      </c>
      <c r="F3" s="4" t="n">
        <v>0.0347704477513879</v>
      </c>
      <c r="G3" s="4" t="n">
        <v>0.0176802651029861</v>
      </c>
      <c r="H3" s="4" t="n">
        <v>0.213120107854538</v>
      </c>
      <c r="I3" s="4" t="n">
        <v>0.121075587306593</v>
      </c>
      <c r="J3" s="4" t="n">
        <v>0.105754622923032</v>
      </c>
      <c r="K3" s="4" t="n">
        <v>0.0700297936992871</v>
      </c>
      <c r="L3" s="4" t="n">
        <v>0.0465103873065931</v>
      </c>
      <c r="M3" s="4" t="n">
        <v>0.149445235044841</v>
      </c>
      <c r="N3" s="4" t="n">
        <v>0.191664484110246</v>
      </c>
      <c r="O3" s="4" t="n">
        <v>0.113456721553168</v>
      </c>
      <c r="P3" s="4" t="n">
        <v>0.113567478072337</v>
      </c>
      <c r="Q3" s="4" t="n">
        <v>0.109618157169607</v>
      </c>
      <c r="R3" s="4" t="n">
        <v>0.0874590174435794</v>
      </c>
      <c r="S3" s="4" t="n">
        <v>0.17874212246641</v>
      </c>
      <c r="T3" s="4" t="n">
        <v>0.113258900548602</v>
      </c>
      <c r="U3" s="4" t="n">
        <v>0.0717486265759995</v>
      </c>
      <c r="V3" s="4" t="n">
        <v>0.217416253749877</v>
      </c>
      <c r="W3" s="4" t="n">
        <v>0.162209039124864</v>
      </c>
      <c r="X3" s="4" t="n">
        <v>0.08282639696462</v>
      </c>
      <c r="Z3" s="1" t="s">
        <v>133</v>
      </c>
      <c r="AA3" s="5" t="n">
        <f aca="false">SUM(B3:X3)</f>
        <v>3.05548676863943</v>
      </c>
      <c r="AB3" s="5" t="n">
        <f aca="false">Capacity!J4/AA3</f>
        <v>235.641668420841</v>
      </c>
      <c r="AC3" s="4" t="n">
        <f aca="false">AB3/AB$28</f>
        <v>0.0207052825805976</v>
      </c>
    </row>
    <row r="4" customFormat="false" ht="12.8" hidden="false" customHeight="false" outlineLevel="0" collapsed="false">
      <c r="A4" s="1" t="s">
        <v>135</v>
      </c>
      <c r="B4" s="4" t="n">
        <v>0.0498150783482803</v>
      </c>
      <c r="C4" s="4" t="n">
        <v>0.317061643835616</v>
      </c>
      <c r="D4" s="4" t="n">
        <f aca="false">(2-1)*(0.5*SQRT(Capacity!$C5*1.5/PI())*0.000308219178082192+0.5*SQRT(Capacity!$C5*1.5/PI())*0.00292237442922374)</f>
        <v>0.0116529605406056</v>
      </c>
      <c r="E4" s="4" t="n">
        <v>0.0152876712328767</v>
      </c>
      <c r="F4" s="4" t="n">
        <v>0.123308219178082</v>
      </c>
      <c r="G4" s="4" t="n">
        <v>0.130080065582602</v>
      </c>
      <c r="H4" s="4" t="n">
        <v>0.0228169409677737</v>
      </c>
      <c r="I4" s="4" t="n">
        <v>0.114861461515719</v>
      </c>
      <c r="J4" s="4" t="n">
        <v>0.042005707762557</v>
      </c>
      <c r="K4" s="4" t="n">
        <v>0.0777305369863014</v>
      </c>
      <c r="L4" s="4" t="n">
        <v>0.101249943378995</v>
      </c>
      <c r="M4" s="4" t="n">
        <v>0.0456338819355474</v>
      </c>
      <c r="N4" s="4" t="n">
        <v>0.129158265168687</v>
      </c>
      <c r="O4" s="4" t="n">
        <v>0.0564294557077625</v>
      </c>
      <c r="P4" s="4" t="n">
        <v>0.0815116389080515</v>
      </c>
      <c r="Q4" s="4" t="n">
        <v>0.0641648474885844</v>
      </c>
      <c r="R4" s="4" t="n">
        <v>0.060301313242009</v>
      </c>
      <c r="S4" s="4" t="n">
        <v>0.186442865753425</v>
      </c>
      <c r="T4" s="4" t="n">
        <v>0.0862740474885844</v>
      </c>
      <c r="U4" s="4" t="n">
        <v>0.159264783561644</v>
      </c>
      <c r="V4" s="4" t="n">
        <v>0.0920651872146118</v>
      </c>
      <c r="W4" s="4" t="n">
        <v>0.132126633553431</v>
      </c>
      <c r="X4" s="4" t="n">
        <v>0.112252720015768</v>
      </c>
      <c r="Z4" s="1" t="s">
        <v>135</v>
      </c>
      <c r="AA4" s="5" t="n">
        <f aca="false">SUM(B4:X4)</f>
        <v>2.21149586936751</v>
      </c>
      <c r="AB4" s="5" t="n">
        <f aca="false">Capacity!J5/AA4</f>
        <v>516.220724539043</v>
      </c>
      <c r="AC4" s="4" t="n">
        <f aca="false">AB4/AB$28</f>
        <v>0.0453591083748938</v>
      </c>
    </row>
    <row r="5" customFormat="false" ht="12.8" hidden="false" customHeight="false" outlineLevel="0" collapsed="false">
      <c r="A5" s="1" t="s">
        <v>137</v>
      </c>
      <c r="B5" s="4" t="n">
        <v>0.0591689497716896</v>
      </c>
      <c r="C5" s="4" t="n">
        <v>0.313917808219178</v>
      </c>
      <c r="D5" s="4" t="n">
        <v>0.0152876712328767</v>
      </c>
      <c r="E5" s="4" t="n">
        <f aca="false">(2-1)*(0.5*SQRT(Capacity!$C6*1.5/PI())*0.000308219178082192+0.5*SQRT(Capacity!$C6*1.5/PI())*0.00292237442922374)</f>
        <v>0.0237821412007078</v>
      </c>
      <c r="F5" s="4" t="n">
        <v>0.120164383561644</v>
      </c>
      <c r="G5" s="4" t="n">
        <v>0.114792394349726</v>
      </c>
      <c r="H5" s="4" t="n">
        <v>0.0381046122006504</v>
      </c>
      <c r="I5" s="4" t="n">
        <v>0.0629816913242008</v>
      </c>
      <c r="J5" s="4" t="n">
        <v>0.0267180365296804</v>
      </c>
      <c r="K5" s="4" t="n">
        <v>0.0624428657534247</v>
      </c>
      <c r="L5" s="4" t="n">
        <v>0.0859622721461186</v>
      </c>
      <c r="M5" s="4" t="n">
        <v>0.0609215531684241</v>
      </c>
      <c r="N5" s="4" t="n">
        <v>0.144445936401564</v>
      </c>
      <c r="O5" s="4" t="n">
        <v>0.0411417844748858</v>
      </c>
      <c r="P5" s="4" t="n">
        <v>0.133780469406393</v>
      </c>
      <c r="Q5" s="4" t="n">
        <v>0.0488771762557077</v>
      </c>
      <c r="R5" s="4" t="n">
        <v>0.0450136420091323</v>
      </c>
      <c r="S5" s="4" t="n">
        <v>0.171155194520548</v>
      </c>
      <c r="T5" s="4" t="n">
        <v>0.0709863762557077</v>
      </c>
      <c r="U5" s="4" t="n">
        <v>0.143977112328767</v>
      </c>
      <c r="V5" s="4" t="n">
        <v>0.0767775159817351</v>
      </c>
      <c r="W5" s="4" t="n">
        <v>0.116838962320555</v>
      </c>
      <c r="X5" s="4" t="n">
        <v>0.147976883348116</v>
      </c>
      <c r="Z5" s="1" t="s">
        <v>137</v>
      </c>
      <c r="AA5" s="5" t="n">
        <f aca="false">SUM(B5:X5)</f>
        <v>2.12521543276143</v>
      </c>
      <c r="AB5" s="5" t="n">
        <f aca="false">Capacity!J6/AA5</f>
        <v>415.910776090822</v>
      </c>
      <c r="AC5" s="4" t="n">
        <f aca="false">AB5/AB$28</f>
        <v>0.036545107683996</v>
      </c>
    </row>
    <row r="6" customFormat="false" ht="12.8" hidden="false" customHeight="false" outlineLevel="0" collapsed="false">
      <c r="A6" s="1" t="s">
        <v>139</v>
      </c>
      <c r="B6" s="4" t="n">
        <v>0.0901689497716896</v>
      </c>
      <c r="C6" s="4" t="n">
        <v>0.0347704477513879</v>
      </c>
      <c r="D6" s="4" t="n">
        <v>0.123308219178082</v>
      </c>
      <c r="E6" s="4" t="n">
        <v>0.120164383561644</v>
      </c>
      <c r="F6" s="4" t="n">
        <f aca="false">(2-1)*(0.5*SQRT(Capacity!$C7*1.5/PI())*0.000308219178082192+0.5*SQRT(Capacity!$C7*1.5/PI())*0.00292237442922374)</f>
        <v>0.0113276974040914</v>
      </c>
      <c r="G6" s="4" t="n">
        <v>0.0170901826484018</v>
      </c>
      <c r="H6" s="4" t="n">
        <v>0.212530025399954</v>
      </c>
      <c r="I6" s="4" t="n">
        <v>0.120485504852009</v>
      </c>
      <c r="J6" s="4" t="n">
        <v>0.105164540468447</v>
      </c>
      <c r="K6" s="4" t="n">
        <v>0.0694397112447027</v>
      </c>
      <c r="L6" s="4" t="n">
        <v>0.0459203048520088</v>
      </c>
      <c r="M6" s="4" t="n">
        <v>0.148855152590256</v>
      </c>
      <c r="N6" s="4" t="n">
        <v>0.191074401655662</v>
      </c>
      <c r="O6" s="4" t="n">
        <v>0.112866639098584</v>
      </c>
      <c r="P6" s="4" t="n">
        <v>0.112977395617752</v>
      </c>
      <c r="Q6" s="4" t="n">
        <v>0.109028074715022</v>
      </c>
      <c r="R6" s="4" t="n">
        <v>0.0868689349889951</v>
      </c>
      <c r="S6" s="4" t="n">
        <v>0.178152040011826</v>
      </c>
      <c r="T6" s="4" t="n">
        <v>0.112668818094018</v>
      </c>
      <c r="U6" s="4" t="n">
        <v>0.0711585441214151</v>
      </c>
      <c r="V6" s="4" t="n">
        <v>0.216826171295293</v>
      </c>
      <c r="W6" s="4" t="n">
        <v>0.16161895667028</v>
      </c>
      <c r="X6" s="4" t="n">
        <v>0.0822363145100359</v>
      </c>
      <c r="Z6" s="1" t="s">
        <v>139</v>
      </c>
      <c r="AA6" s="5" t="n">
        <f aca="false">SUM(B6:X6)</f>
        <v>2.53470141050156</v>
      </c>
      <c r="AB6" s="5" t="n">
        <f aca="false">Capacity!J7/AA6</f>
        <v>284.057126814605</v>
      </c>
      <c r="AC6" s="4" t="n">
        <f aca="false">AB6/AB$28</f>
        <v>0.0249594357362344</v>
      </c>
    </row>
    <row r="7" customFormat="false" ht="12.8" hidden="false" customHeight="false" outlineLevel="0" collapsed="false">
      <c r="A7" s="1" t="s">
        <v>140</v>
      </c>
      <c r="B7" s="4" t="n">
        <v>0.107259132420091</v>
      </c>
      <c r="C7" s="4" t="n">
        <v>0.0176802651029861</v>
      </c>
      <c r="D7" s="4" t="n">
        <v>0.130080065582602</v>
      </c>
      <c r="E7" s="4" t="n">
        <v>0.114792394349726</v>
      </c>
      <c r="F7" s="4" t="n">
        <v>0.0170901826484018</v>
      </c>
      <c r="G7" s="4" t="n">
        <f aca="false">(2-1)*(0.5*SQRT(Capacity!$C8*1.5/PI())*0.000308219178082192+0.5*SQRT(Capacity!$C8*1.5/PI())*0.00292237442922374)</f>
        <v>0.00913609124216412</v>
      </c>
      <c r="H7" s="4" t="n">
        <v>0.195439842751552</v>
      </c>
      <c r="I7" s="4" t="n">
        <v>0.103395322203607</v>
      </c>
      <c r="J7" s="4" t="n">
        <v>0.0880743578200452</v>
      </c>
      <c r="K7" s="4" t="n">
        <v>0.0523495285963011</v>
      </c>
      <c r="L7" s="4" t="n">
        <v>0.0288301222036068</v>
      </c>
      <c r="M7" s="4" t="n">
        <v>0.131764969941855</v>
      </c>
      <c r="N7" s="4" t="n">
        <v>0.17398421900726</v>
      </c>
      <c r="O7" s="4" t="n">
        <v>0.0957764564501822</v>
      </c>
      <c r="P7" s="4" t="n">
        <v>0.0958872129693504</v>
      </c>
      <c r="Q7" s="4" t="n">
        <v>0.0919378920666206</v>
      </c>
      <c r="R7" s="4" t="n">
        <v>0.0697787523405932</v>
      </c>
      <c r="S7" s="4" t="n">
        <v>0.161061857363424</v>
      </c>
      <c r="T7" s="4" t="n">
        <v>0.0955786354456162</v>
      </c>
      <c r="U7" s="4" t="n">
        <v>0.0540683614730134</v>
      </c>
      <c r="V7" s="4" t="n">
        <v>0.199735988646891</v>
      </c>
      <c r="W7" s="4" t="n">
        <v>0.144528774021878</v>
      </c>
      <c r="X7" s="4" t="n">
        <v>0.065146131861634</v>
      </c>
      <c r="Z7" s="1" t="s">
        <v>140</v>
      </c>
      <c r="AA7" s="5" t="n">
        <f aca="false">SUM(B7:X7)</f>
        <v>2.2433765565094</v>
      </c>
      <c r="AB7" s="5" t="n">
        <f aca="false">Capacity!J8/AA7</f>
        <v>508.884697349389</v>
      </c>
      <c r="AC7" s="4" t="n">
        <f aca="false">AB7/AB$28</f>
        <v>0.0447145088140492</v>
      </c>
    </row>
    <row r="8" customFormat="false" ht="12.8" hidden="false" customHeight="false" outlineLevel="0" collapsed="false">
      <c r="A8" s="1" t="s">
        <v>141</v>
      </c>
      <c r="B8" s="4" t="n">
        <v>0.072632019316054</v>
      </c>
      <c r="C8" s="4" t="n">
        <v>0.213120107854538</v>
      </c>
      <c r="D8" s="4" t="n">
        <v>0.0228169409677737</v>
      </c>
      <c r="E8" s="4" t="n">
        <v>0.0381046122006504</v>
      </c>
      <c r="F8" s="4" t="n">
        <v>0.212530025399954</v>
      </c>
      <c r="G8" s="4" t="n">
        <v>0.195439842751552</v>
      </c>
      <c r="H8" s="4" t="n">
        <f aca="false">(2-1)*(0.5*SQRT(Capacity!$C9*1.5/PI())*0.000308219178082192+0.5*SQRT(Capacity!$C9*1.5/PI())*0.00292237442922374)</f>
        <v>0.0100453607157933</v>
      </c>
      <c r="I8" s="4" t="n">
        <v>0.0920445205479452</v>
      </c>
      <c r="J8" s="4" t="n">
        <v>0.0648226487303307</v>
      </c>
      <c r="K8" s="4" t="n">
        <v>0.100547477954075</v>
      </c>
      <c r="L8" s="4" t="n">
        <v>0.125751788706021</v>
      </c>
      <c r="M8" s="4" t="n">
        <v>0.0228169409677737</v>
      </c>
      <c r="N8" s="4" t="n">
        <v>0.106341324200913</v>
      </c>
      <c r="O8" s="4" t="n">
        <v>0.0792463966755362</v>
      </c>
      <c r="P8" s="4" t="n">
        <v>0.0586946979402778</v>
      </c>
      <c r="Q8" s="4" t="n">
        <v>0.106868188351237</v>
      </c>
      <c r="R8" s="4" t="n">
        <v>0.147461525337538</v>
      </c>
      <c r="S8" s="4" t="n">
        <v>0.209259806721198</v>
      </c>
      <c r="T8" s="4" t="n">
        <v>0.102049174652607</v>
      </c>
      <c r="U8" s="4" t="n">
        <v>0.182081724529418</v>
      </c>
      <c r="V8" s="4" t="n">
        <v>0.0933749499950723</v>
      </c>
      <c r="W8" s="4" t="n">
        <v>0.133436396333892</v>
      </c>
      <c r="X8" s="4" t="n">
        <v>0.0894357790479945</v>
      </c>
      <c r="Z8" s="1" t="s">
        <v>141</v>
      </c>
      <c r="AA8" s="5" t="n">
        <f aca="false">SUM(B8:X8)</f>
        <v>2.47892224989815</v>
      </c>
      <c r="AB8" s="5" t="n">
        <f aca="false">Capacity!J9/AA8</f>
        <v>460.530781087187</v>
      </c>
      <c r="AC8" s="4" t="n">
        <f aca="false">AB8/AB$28</f>
        <v>0.0404657632216552</v>
      </c>
    </row>
    <row r="9" customFormat="false" ht="12.8" hidden="false" customHeight="false" outlineLevel="0" collapsed="false">
      <c r="A9" s="1" t="s">
        <v>142</v>
      </c>
      <c r="B9" s="4" t="n">
        <v>0.164676539863999</v>
      </c>
      <c r="C9" s="4" t="n">
        <v>0.121075587306593</v>
      </c>
      <c r="D9" s="4" t="n">
        <v>0.114861461515719</v>
      </c>
      <c r="E9" s="4" t="n">
        <v>0.0629816913242008</v>
      </c>
      <c r="F9" s="4" t="n">
        <v>0.120485504852009</v>
      </c>
      <c r="G9" s="4" t="n">
        <v>0.103395322203607</v>
      </c>
      <c r="H9" s="4" t="n">
        <v>0.0920445205479452</v>
      </c>
      <c r="I9" s="4" t="n">
        <f aca="false">(2-1)*(0.5*SQRT(Capacity!$C10*1.5/PI())*0.000308219178082192+0.5*SQRT(Capacity!$C10*1.5/PI())*0.00292237442922374)</f>
        <v>0.0133938142877244</v>
      </c>
      <c r="J9" s="4" t="n">
        <v>0.0362636547945205</v>
      </c>
      <c r="K9" s="4" t="n">
        <v>0.051045793607306</v>
      </c>
      <c r="L9" s="4" t="n">
        <v>0.0745652</v>
      </c>
      <c r="M9" s="4" t="n">
        <v>0.0991929223744293</v>
      </c>
      <c r="N9" s="4" t="n">
        <v>0.0815342465753425</v>
      </c>
      <c r="O9" s="4" t="n">
        <v>0.0181707561643836</v>
      </c>
      <c r="P9" s="4" t="n">
        <v>0.0750351178082192</v>
      </c>
      <c r="Q9" s="4" t="n">
        <v>0.0268616273972603</v>
      </c>
      <c r="R9" s="4" t="n">
        <v>0.0336165698630137</v>
      </c>
      <c r="S9" s="4" t="n">
        <v>0.110015347945205</v>
      </c>
      <c r="T9" s="4" t="n">
        <v>0.0711470958904109</v>
      </c>
      <c r="U9" s="4" t="n">
        <v>0.0895256219178082</v>
      </c>
      <c r="V9" s="4" t="n">
        <v>0.0806744547945205</v>
      </c>
      <c r="W9" s="4" t="n">
        <v>0.0938679340100523</v>
      </c>
      <c r="X9" s="4" t="n">
        <v>0.125005855037614</v>
      </c>
      <c r="Z9" s="1" t="s">
        <v>142</v>
      </c>
      <c r="AA9" s="5" t="n">
        <f aca="false">SUM(B9:X9)</f>
        <v>1.85943664008188</v>
      </c>
      <c r="AB9" s="5" t="n">
        <f aca="false">Capacity!J10/AA9</f>
        <v>387.214054235423</v>
      </c>
      <c r="AC9" s="4" t="n">
        <f aca="false">AB9/AB$28</f>
        <v>0.0340235938145063</v>
      </c>
    </row>
    <row r="10" customFormat="false" ht="12.8" hidden="false" customHeight="false" outlineLevel="0" collapsed="false">
      <c r="A10" s="1" t="s">
        <v>143</v>
      </c>
      <c r="B10" s="4" t="n">
        <v>0.0858869863013699</v>
      </c>
      <c r="C10" s="4" t="n">
        <v>0.105754622923032</v>
      </c>
      <c r="D10" s="4" t="n">
        <v>0.042005707762557</v>
      </c>
      <c r="E10" s="4" t="n">
        <v>0.0267180365296804</v>
      </c>
      <c r="F10" s="4" t="n">
        <v>0.105164540468447</v>
      </c>
      <c r="G10" s="4" t="n">
        <v>0.0880743578200452</v>
      </c>
      <c r="H10" s="4" t="n">
        <v>0.0648226487303307</v>
      </c>
      <c r="I10" s="4" t="n">
        <v>0.0362636547945205</v>
      </c>
      <c r="J10" s="4" t="n">
        <f aca="false">(2-1)*(0.5*SQRT(Capacity!$C11*1.5/PI())*0.000308219178082192+0.5*SQRT(Capacity!$C11*1.5/PI())*0.00292237442922374)</f>
        <v>0.0133472269664404</v>
      </c>
      <c r="K10" s="4" t="n">
        <v>0.0357248292237444</v>
      </c>
      <c r="L10" s="4" t="n">
        <v>0.0592442356164384</v>
      </c>
      <c r="M10" s="4" t="n">
        <v>0.131787426484018</v>
      </c>
      <c r="N10" s="4" t="n">
        <v>0.092631510502283</v>
      </c>
      <c r="O10" s="4" t="n">
        <v>0.0144237479452055</v>
      </c>
      <c r="P10" s="4" t="n">
        <v>0.107062432876712</v>
      </c>
      <c r="Q10" s="4" t="n">
        <v>0.0221591397260274</v>
      </c>
      <c r="R10" s="4" t="n">
        <v>0.0182956054794521</v>
      </c>
      <c r="S10" s="4" t="n">
        <v>0.144437157990868</v>
      </c>
      <c r="T10" s="4" t="n">
        <v>0.0442683397260274</v>
      </c>
      <c r="U10" s="4" t="n">
        <v>0.117259075799087</v>
      </c>
      <c r="V10" s="4" t="n">
        <v>0.0500594794520548</v>
      </c>
      <c r="W10" s="4" t="n">
        <v>0.0901209257908743</v>
      </c>
      <c r="X10" s="4" t="n">
        <v>0.121258846818436</v>
      </c>
      <c r="Z10" s="1" t="s">
        <v>143</v>
      </c>
      <c r="AA10" s="5" t="n">
        <f aca="false">SUM(B10:X10)</f>
        <v>1.61677053572765</v>
      </c>
      <c r="AB10" s="5" t="n">
        <f aca="false">Capacity!J11/AA10</f>
        <v>706.111334151817</v>
      </c>
      <c r="AC10" s="4" t="n">
        <f aca="false">AB10/AB$28</f>
        <v>0.0620443523632897</v>
      </c>
    </row>
    <row r="11" customFormat="false" ht="12.8" hidden="false" customHeight="false" outlineLevel="0" collapsed="false">
      <c r="A11" s="1" t="s">
        <v>144</v>
      </c>
      <c r="B11" s="4" t="n">
        <v>0.121611815525114</v>
      </c>
      <c r="C11" s="4" t="n">
        <v>0.0700297936992871</v>
      </c>
      <c r="D11" s="4" t="n">
        <v>0.0777305369863014</v>
      </c>
      <c r="E11" s="4" t="n">
        <v>0.0624428657534247</v>
      </c>
      <c r="F11" s="4" t="n">
        <v>0.0694397112447027</v>
      </c>
      <c r="G11" s="4" t="n">
        <v>0.0523495285963011</v>
      </c>
      <c r="H11" s="4" t="n">
        <v>0.100547477954075</v>
      </c>
      <c r="I11" s="4" t="n">
        <v>0.051045793607306</v>
      </c>
      <c r="J11" s="4" t="n">
        <v>0.0357248292237444</v>
      </c>
      <c r="K11" s="4" t="n">
        <f aca="false">(2-1)*(0.5*SQRT(Capacity!$C12*1.5/PI())*0.000308219178082192+0.5*SQRT(Capacity!$C12*1.5/PI())*0.00292237442922374)</f>
        <v>0.0138959702596896</v>
      </c>
      <c r="L11" s="4" t="n">
        <v>0.0235194063926941</v>
      </c>
      <c r="M11" s="4" t="n">
        <v>0.150238715981735</v>
      </c>
      <c r="N11" s="4" t="n">
        <v>0.121634690410959</v>
      </c>
      <c r="O11" s="4" t="n">
        <v>0.0434269278538814</v>
      </c>
      <c r="P11" s="4" t="n">
        <v>0.106196051141553</v>
      </c>
      <c r="Q11" s="4" t="n">
        <v>0.0395883634703197</v>
      </c>
      <c r="R11" s="4" t="n">
        <v>0.0174292237442922</v>
      </c>
      <c r="S11" s="4" t="n">
        <v>0.108712328767123</v>
      </c>
      <c r="T11" s="4" t="n">
        <v>0.0444073771689499</v>
      </c>
      <c r="U11" s="4" t="n">
        <v>0.0815342465753425</v>
      </c>
      <c r="V11" s="4" t="n">
        <v>0.0521177990867581</v>
      </c>
      <c r="W11" s="4" t="n">
        <v>0.0921792454255773</v>
      </c>
      <c r="X11" s="4" t="n">
        <v>0.0598354160507211</v>
      </c>
      <c r="Z11" s="1" t="s">
        <v>144</v>
      </c>
      <c r="AA11" s="5" t="n">
        <f aca="false">SUM(B11:X11)</f>
        <v>1.59563811491985</v>
      </c>
      <c r="AB11" s="5" t="n">
        <f aca="false">Capacity!J12/AA11</f>
        <v>451.230133742553</v>
      </c>
      <c r="AC11" s="4" t="n">
        <f aca="false">AB11/AB$28</f>
        <v>0.0396485370801851</v>
      </c>
    </row>
    <row r="12" customFormat="false" ht="12.8" hidden="false" customHeight="false" outlineLevel="0" collapsed="false">
      <c r="A12" s="1" t="s">
        <v>145</v>
      </c>
      <c r="B12" s="4" t="n">
        <v>0.136089254623698</v>
      </c>
      <c r="C12" s="4" t="n">
        <v>0.0465103873065931</v>
      </c>
      <c r="D12" s="4" t="n">
        <v>0.101249943378995</v>
      </c>
      <c r="E12" s="4" t="n">
        <v>0.0859622721461186</v>
      </c>
      <c r="F12" s="4" t="n">
        <v>0.0459203048520088</v>
      </c>
      <c r="G12" s="4" t="n">
        <v>0.0288301222036068</v>
      </c>
      <c r="H12" s="4" t="n">
        <v>0.125751788706021</v>
      </c>
      <c r="I12" s="4" t="n">
        <v>0.0745652</v>
      </c>
      <c r="J12" s="4" t="n">
        <v>0.0592442356164384</v>
      </c>
      <c r="K12" s="4" t="n">
        <v>0.0235194063926941</v>
      </c>
      <c r="L12" s="4" t="n">
        <f aca="false">(2-1)*(0.5*SQRT(Capacity!$C13*1.5/PI())*0.000308219178082192+0.5*SQRT(Capacity!$C13*1.5/PI())*0.00292237442922374)</f>
        <v>0.0125783851112799</v>
      </c>
      <c r="M12" s="4" t="n">
        <v>0.102934847738248</v>
      </c>
      <c r="N12" s="4" t="n">
        <v>0.145154096803653</v>
      </c>
      <c r="O12" s="4" t="n">
        <v>0.0669463342465754</v>
      </c>
      <c r="P12" s="4" t="n">
        <v>0.0670570907657436</v>
      </c>
      <c r="Q12" s="4" t="n">
        <v>0.0631077698630137</v>
      </c>
      <c r="R12" s="4" t="n">
        <v>0.0409486301369863</v>
      </c>
      <c r="S12" s="4" t="n">
        <v>0.132231735159817</v>
      </c>
      <c r="T12" s="4" t="n">
        <v>0.066748513242009</v>
      </c>
      <c r="U12" s="4" t="n">
        <v>0.0252382392694064</v>
      </c>
      <c r="V12" s="4" t="n">
        <v>0.170905866443284</v>
      </c>
      <c r="W12" s="4" t="n">
        <v>0.115698651818272</v>
      </c>
      <c r="X12" s="4" t="n">
        <v>0.0363160096580271</v>
      </c>
      <c r="Z12" s="1" t="s">
        <v>145</v>
      </c>
      <c r="AA12" s="5" t="n">
        <f aca="false">SUM(B12:X12)</f>
        <v>1.77350908548249</v>
      </c>
      <c r="AB12" s="5" t="n">
        <f aca="false">Capacity!J13/AA12</f>
        <v>548.618559647975</v>
      </c>
      <c r="AC12" s="4" t="n">
        <f aca="false">AB12/AB$28</f>
        <v>0.0482058304144441</v>
      </c>
    </row>
    <row r="13" customFormat="false" ht="12.8" hidden="false" customHeight="false" outlineLevel="0" collapsed="false">
      <c r="A13" s="1" t="s">
        <v>147</v>
      </c>
      <c r="B13" s="4" t="n">
        <v>0.0954489602838277</v>
      </c>
      <c r="C13" s="4" t="n">
        <v>0.149445235044841</v>
      </c>
      <c r="D13" s="4" t="n">
        <v>0.0456338819355474</v>
      </c>
      <c r="E13" s="4" t="n">
        <v>0.0609215531684241</v>
      </c>
      <c r="F13" s="4" t="n">
        <v>0.148855152590256</v>
      </c>
      <c r="G13" s="4" t="n">
        <v>0.131764969941855</v>
      </c>
      <c r="H13" s="4" t="n">
        <v>0.0228169409677737</v>
      </c>
      <c r="I13" s="4" t="n">
        <v>0.0991929223744293</v>
      </c>
      <c r="J13" s="4" t="n">
        <v>0.131787426484018</v>
      </c>
      <c r="K13" s="4" t="n">
        <v>0.150238715981735</v>
      </c>
      <c r="L13" s="4" t="n">
        <v>0.102934847738248</v>
      </c>
      <c r="M13" s="4" t="n">
        <f aca="false">(2-1)*(0.5*SQRT(Capacity!$C14*1.5/PI())*0.000308219178082192+0.5*SQRT(Capacity!$C14*1.5/PI())*0.00292237442922374)</f>
        <v>0.0111055641260207</v>
      </c>
      <c r="N13" s="4" t="n">
        <v>0.0610445205479452</v>
      </c>
      <c r="O13" s="4" t="n">
        <v>0.139252283105023</v>
      </c>
      <c r="P13" s="4" t="n">
        <v>0.0358777569725041</v>
      </c>
      <c r="Q13" s="4" t="n">
        <v>0.084051247383463</v>
      </c>
      <c r="R13" s="4" t="n">
        <v>0.124644584369764</v>
      </c>
      <c r="S13" s="4" t="n">
        <v>0.141232233684833</v>
      </c>
      <c r="T13" s="4" t="n">
        <v>0.0792322336848329</v>
      </c>
      <c r="U13" s="4" t="n">
        <v>0.120742507657436</v>
      </c>
      <c r="V13" s="4" t="n">
        <v>0.0705580090272986</v>
      </c>
      <c r="W13" s="4" t="n">
        <v>0.110619455366118</v>
      </c>
      <c r="X13" s="4" t="n">
        <v>0.0666188380802208</v>
      </c>
      <c r="Z13" s="1" t="s">
        <v>147</v>
      </c>
      <c r="AA13" s="5" t="n">
        <f aca="false">SUM(B13:X13)</f>
        <v>2.18401984051641</v>
      </c>
      <c r="AB13" s="5" t="n">
        <f aca="false">Capacity!J14/AA13</f>
        <v>445.499615868846</v>
      </c>
      <c r="AC13" s="4" t="n">
        <f aca="false">AB13/AB$28</f>
        <v>0.0391450098699789</v>
      </c>
    </row>
    <row r="14" customFormat="false" ht="12.8" hidden="false" customHeight="false" outlineLevel="0" collapsed="false">
      <c r="A14" s="1" t="s">
        <v>148</v>
      </c>
      <c r="B14" s="4" t="n">
        <v>0.178973343516967</v>
      </c>
      <c r="C14" s="4" t="n">
        <v>0.191664484110246</v>
      </c>
      <c r="D14" s="4" t="n">
        <v>0.129158265168687</v>
      </c>
      <c r="E14" s="4" t="n">
        <v>0.144445936401564</v>
      </c>
      <c r="F14" s="4" t="n">
        <v>0.191074401655662</v>
      </c>
      <c r="G14" s="4" t="n">
        <v>0.17398421900726</v>
      </c>
      <c r="H14" s="4" t="n">
        <v>0.106341324200913</v>
      </c>
      <c r="I14" s="4" t="n">
        <v>0.0815342465753425</v>
      </c>
      <c r="J14" s="4" t="n">
        <v>0.092631510502283</v>
      </c>
      <c r="K14" s="4" t="n">
        <v>0.121634690410959</v>
      </c>
      <c r="L14" s="4" t="n">
        <v>0.145154096803653</v>
      </c>
      <c r="M14" s="4" t="n">
        <v>0.0610445205479452</v>
      </c>
      <c r="N14" s="4" t="n">
        <f aca="false">(2-1)*(0.5*SQRT(Capacity!$C15*1.5/PI())*0.000308219178082192+0.5*SQRT(Capacity!$C15*1.5/PI())*0.00292237442922374)</f>
        <v>0.00998315974178653</v>
      </c>
      <c r="O14" s="4" t="n">
        <v>0.0782077625570775</v>
      </c>
      <c r="P14" s="4" t="n">
        <v>0.0577180365296803</v>
      </c>
      <c r="Q14" s="4" t="n">
        <v>0.105891526940639</v>
      </c>
      <c r="R14" s="4" t="n">
        <v>0.146484863926941</v>
      </c>
      <c r="S14" s="4" t="n">
        <v>0.163072513242009</v>
      </c>
      <c r="T14" s="4" t="n">
        <v>0.101072513242009</v>
      </c>
      <c r="U14" s="4" t="n">
        <v>0.142582787214612</v>
      </c>
      <c r="V14" s="4" t="n">
        <v>0.0923982885844748</v>
      </c>
      <c r="W14" s="4" t="n">
        <v>0.132459734923294</v>
      </c>
      <c r="X14" s="4" t="n">
        <v>0.088459117637397</v>
      </c>
      <c r="Z14" s="1" t="s">
        <v>148</v>
      </c>
      <c r="AA14" s="5" t="n">
        <f aca="false">SUM(B14:X14)</f>
        <v>2.7359713434414</v>
      </c>
      <c r="AB14" s="5" t="n">
        <f aca="false">Capacity!J15/AA14</f>
        <v>379.33145845547</v>
      </c>
      <c r="AC14" s="4" t="n">
        <f aca="false">AB14/AB$28</f>
        <v>0.0333309685492622</v>
      </c>
    </row>
    <row r="15" customFormat="false" ht="12.8" hidden="false" customHeight="false" outlineLevel="0" collapsed="false">
      <c r="A15" s="1" t="s">
        <v>150</v>
      </c>
      <c r="B15" s="4" t="n">
        <v>0.100310734246575</v>
      </c>
      <c r="C15" s="4" t="n">
        <v>0.113456721553168</v>
      </c>
      <c r="D15" s="4" t="n">
        <v>0.0564294557077625</v>
      </c>
      <c r="E15" s="4" t="n">
        <v>0.0411417844748858</v>
      </c>
      <c r="F15" s="4" t="n">
        <v>0.112866639098584</v>
      </c>
      <c r="G15" s="4" t="n">
        <v>0.0957764564501822</v>
      </c>
      <c r="H15" s="4" t="n">
        <v>0.0792463966755362</v>
      </c>
      <c r="I15" s="4" t="n">
        <v>0.0181707561643836</v>
      </c>
      <c r="J15" s="4" t="n">
        <v>0.0144237479452055</v>
      </c>
      <c r="K15" s="4" t="n">
        <v>0.0434269278538814</v>
      </c>
      <c r="L15" s="4" t="n">
        <v>0.0669463342465754</v>
      </c>
      <c r="M15" s="4" t="n">
        <v>0.139252283105023</v>
      </c>
      <c r="N15" s="4" t="n">
        <v>0.0782077625570775</v>
      </c>
      <c r="O15" s="4" t="n">
        <f aca="false">(2-1)*(0.5*SQRT(Capacity!$C16*1.5/PI())*0.000308219178082192+0.5*SQRT(Capacity!$C16*1.5/PI())*0.00292237442922374)</f>
        <v>0.0119693880479816</v>
      </c>
      <c r="P15" s="4" t="n">
        <v>0.0616334356164384</v>
      </c>
      <c r="Q15" s="4" t="n">
        <v>0.0134599452054795</v>
      </c>
      <c r="R15" s="4" t="n">
        <v>0.025997704109589</v>
      </c>
      <c r="S15" s="4" t="n">
        <v>0.0918445917808219</v>
      </c>
      <c r="T15" s="4" t="n">
        <v>0.0298445917808219</v>
      </c>
      <c r="U15" s="4" t="n">
        <v>0.0713548657534247</v>
      </c>
      <c r="V15" s="4" t="n">
        <v>0.0356357315068493</v>
      </c>
      <c r="W15" s="4" t="n">
        <v>0.0756971778456688</v>
      </c>
      <c r="X15" s="4" t="n">
        <v>0.10683509887323</v>
      </c>
      <c r="Z15" s="1" t="s">
        <v>150</v>
      </c>
      <c r="AA15" s="5" t="n">
        <f aca="false">SUM(B15:X15)</f>
        <v>1.48392853059915</v>
      </c>
      <c r="AB15" s="5" t="n">
        <f aca="false">Capacity!J16/AA15</f>
        <v>655.678477727734</v>
      </c>
      <c r="AC15" s="4" t="n">
        <f aca="false">AB15/AB$28</f>
        <v>0.057612935158492</v>
      </c>
    </row>
    <row r="16" customFormat="false" ht="12.8" hidden="false" customHeight="false" outlineLevel="0" collapsed="false">
      <c r="A16" s="1" t="s">
        <v>151</v>
      </c>
      <c r="B16" s="4" t="n">
        <v>0.131326717256332</v>
      </c>
      <c r="C16" s="4" t="n">
        <v>0.113567478072337</v>
      </c>
      <c r="D16" s="4" t="n">
        <v>0.0815116389080515</v>
      </c>
      <c r="E16" s="4" t="n">
        <v>0.133780469406393</v>
      </c>
      <c r="F16" s="4" t="n">
        <v>0.112977395617752</v>
      </c>
      <c r="G16" s="4" t="n">
        <v>0.0958872129693504</v>
      </c>
      <c r="H16" s="4" t="n">
        <v>0.0586946979402778</v>
      </c>
      <c r="I16" s="4" t="n">
        <v>0.0750351178082192</v>
      </c>
      <c r="J16" s="4" t="n">
        <v>0.107062432876712</v>
      </c>
      <c r="K16" s="4" t="n">
        <v>0.106196051141553</v>
      </c>
      <c r="L16" s="4" t="n">
        <v>0.0670570907657436</v>
      </c>
      <c r="M16" s="4" t="n">
        <v>0.0358777569725041</v>
      </c>
      <c r="N16" s="4" t="n">
        <v>0.0577180365296803</v>
      </c>
      <c r="O16" s="4" t="n">
        <v>0.0616334356164384</v>
      </c>
      <c r="P16" s="4" t="n">
        <f aca="false">(2-1)*(0.5*SQRT(Capacity!$C17*1.5/PI())*0.000308219178082192+0.5*SQRT(Capacity!$C17*1.5/PI())*0.00292237442922374)</f>
        <v>0.0138959702596896</v>
      </c>
      <c r="Q16" s="4" t="n">
        <v>0.0481734904109589</v>
      </c>
      <c r="R16" s="4" t="n">
        <v>0.0887668273972603</v>
      </c>
      <c r="S16" s="4" t="n">
        <v>0.105354476712329</v>
      </c>
      <c r="T16" s="4" t="n">
        <v>0.0433544767123288</v>
      </c>
      <c r="U16" s="4" t="n">
        <v>0.0848647506849315</v>
      </c>
      <c r="V16" s="4" t="n">
        <v>0.0346802520547945</v>
      </c>
      <c r="W16" s="4" t="n">
        <v>0.074741698393614</v>
      </c>
      <c r="X16" s="4" t="n">
        <v>0.0307410811077164</v>
      </c>
      <c r="Z16" s="1" t="s">
        <v>151</v>
      </c>
      <c r="AA16" s="5" t="n">
        <f aca="false">SUM(B16:X16)</f>
        <v>1.76289855561497</v>
      </c>
      <c r="AB16" s="5" t="n">
        <f aca="false">Capacity!J17/AA16</f>
        <v>647.581221485407</v>
      </c>
      <c r="AC16" s="4" t="n">
        <f aca="false">AB16/AB$28</f>
        <v>0.056901448180198</v>
      </c>
    </row>
    <row r="17" customFormat="false" ht="12.8" hidden="false" customHeight="false" outlineLevel="0" collapsed="false">
      <c r="A17" s="1" t="s">
        <v>152</v>
      </c>
      <c r="B17" s="4" t="n">
        <v>0.108046126027397</v>
      </c>
      <c r="C17" s="4" t="n">
        <v>0.109618157169607</v>
      </c>
      <c r="D17" s="4" t="n">
        <v>0.0641648474885844</v>
      </c>
      <c r="E17" s="4" t="n">
        <v>0.0488771762557077</v>
      </c>
      <c r="F17" s="4" t="n">
        <v>0.109028074715022</v>
      </c>
      <c r="G17" s="4" t="n">
        <v>0.0919378920666206</v>
      </c>
      <c r="H17" s="4" t="n">
        <v>0.106868188351237</v>
      </c>
      <c r="I17" s="4" t="n">
        <v>0.0268616273972603</v>
      </c>
      <c r="J17" s="4" t="n">
        <v>0.0221591397260274</v>
      </c>
      <c r="K17" s="4" t="n">
        <v>0.0395883634703197</v>
      </c>
      <c r="L17" s="4" t="n">
        <v>0.0631077698630137</v>
      </c>
      <c r="M17" s="4" t="n">
        <v>0.084051247383463</v>
      </c>
      <c r="N17" s="4" t="n">
        <v>0.105891526940639</v>
      </c>
      <c r="O17" s="4" t="n">
        <v>0.0134599452054795</v>
      </c>
      <c r="P17" s="4" t="n">
        <v>0.0481734904109589</v>
      </c>
      <c r="Q17" s="4" t="n">
        <f aca="false">(2-1)*(0.5*SQRT(Capacity!$C18*1.5/PI())*0.000308219178082192+0.5*SQRT(Capacity!$C18*1.5/PI())*0.00292237442922374)</f>
        <v>0.0133472269664404</v>
      </c>
      <c r="R17" s="4" t="n">
        <v>0.0221591397260274</v>
      </c>
      <c r="S17" s="4" t="n">
        <v>0.0841591397260274</v>
      </c>
      <c r="T17" s="4" t="n">
        <v>0.0221591397260274</v>
      </c>
      <c r="U17" s="4" t="n">
        <v>0.0636694136986301</v>
      </c>
      <c r="V17" s="4" t="n">
        <v>0.0289057589041096</v>
      </c>
      <c r="W17" s="4" t="n">
        <v>0.068967205242929</v>
      </c>
      <c r="X17" s="4" t="n">
        <v>0.0991496468184356</v>
      </c>
      <c r="Z17" s="1" t="s">
        <v>152</v>
      </c>
      <c r="AA17" s="5" t="n">
        <f aca="false">SUM(B17:X17)</f>
        <v>1.44435024327996</v>
      </c>
      <c r="AB17" s="5" t="n">
        <f aca="false">Capacity!J18/AA17</f>
        <v>790.403854820908</v>
      </c>
      <c r="AC17" s="4" t="n">
        <f aca="false">AB17/AB$28</f>
        <v>0.06945093911673</v>
      </c>
    </row>
    <row r="18" customFormat="false" ht="12.8" hidden="false" customHeight="false" outlineLevel="0" collapsed="false">
      <c r="A18" s="1" t="s">
        <v>153</v>
      </c>
      <c r="B18" s="4" t="n">
        <v>0.104182591780822</v>
      </c>
      <c r="C18" s="4" t="n">
        <v>0.0874590174435794</v>
      </c>
      <c r="D18" s="4" t="n">
        <v>0.060301313242009</v>
      </c>
      <c r="E18" s="4" t="n">
        <v>0.0450136420091323</v>
      </c>
      <c r="F18" s="4" t="n">
        <v>0.0868689349889951</v>
      </c>
      <c r="G18" s="4" t="n">
        <v>0.0697787523405932</v>
      </c>
      <c r="H18" s="4" t="n">
        <v>0.147461525337538</v>
      </c>
      <c r="I18" s="4" t="n">
        <v>0.0336165698630137</v>
      </c>
      <c r="J18" s="4" t="n">
        <v>0.0182956054794521</v>
      </c>
      <c r="K18" s="4" t="n">
        <v>0.0174292237442922</v>
      </c>
      <c r="L18" s="4" t="n">
        <v>0.0409486301369863</v>
      </c>
      <c r="M18" s="4" t="n">
        <v>0.124644584369764</v>
      </c>
      <c r="N18" s="4" t="n">
        <v>0.146484863926941</v>
      </c>
      <c r="O18" s="4" t="n">
        <v>0.025997704109589</v>
      </c>
      <c r="P18" s="4" t="n">
        <v>0.0887668273972603</v>
      </c>
      <c r="Q18" s="4" t="n">
        <v>0.0221591397260274</v>
      </c>
      <c r="R18" s="4" t="n">
        <f aca="false">(2-1)*(0.5*SQRT(Capacity!$C19*1.5/PI())*0.000308219178082192+0.5*SQRT(Capacity!$C19*1.5/PI())*0.00292237442922374)</f>
        <v>0.0102296946362797</v>
      </c>
      <c r="S18" s="4" t="n">
        <v>0.126141552511416</v>
      </c>
      <c r="T18" s="4" t="n">
        <v>0.0269781534246575</v>
      </c>
      <c r="U18" s="4" t="n">
        <v>0.0989634703196348</v>
      </c>
      <c r="V18" s="4" t="n">
        <v>0.0346885753424658</v>
      </c>
      <c r="W18" s="4" t="n">
        <v>0.0747500216812852</v>
      </c>
      <c r="X18" s="4" t="n">
        <v>0.103968660517066</v>
      </c>
      <c r="Z18" s="1" t="s">
        <v>153</v>
      </c>
      <c r="AA18" s="5" t="n">
        <f aca="false">SUM(B18:X18)</f>
        <v>1.5951290543288</v>
      </c>
      <c r="AB18" s="5" t="n">
        <f aca="false">Capacity!J19/AA18</f>
        <v>802.442909886435</v>
      </c>
      <c r="AC18" s="4" t="n">
        <f aca="false">AB18/AB$28</f>
        <v>0.0705087827434775</v>
      </c>
    </row>
    <row r="19" customFormat="false" ht="12.8" hidden="false" customHeight="false" outlineLevel="0" collapsed="false">
      <c r="A19" s="1" t="s">
        <v>155</v>
      </c>
      <c r="B19" s="4" t="n">
        <v>0.230324144292237</v>
      </c>
      <c r="C19" s="4" t="n">
        <v>0.17874212246641</v>
      </c>
      <c r="D19" s="4" t="n">
        <v>0.186442865753425</v>
      </c>
      <c r="E19" s="4" t="n">
        <v>0.171155194520548</v>
      </c>
      <c r="F19" s="4" t="n">
        <v>0.178152040011826</v>
      </c>
      <c r="G19" s="4" t="n">
        <v>0.161061857363424</v>
      </c>
      <c r="H19" s="4" t="n">
        <v>0.209259806721198</v>
      </c>
      <c r="I19" s="4" t="n">
        <v>0.110015347945205</v>
      </c>
      <c r="J19" s="4" t="n">
        <v>0.144437157990868</v>
      </c>
      <c r="K19" s="4" t="n">
        <v>0.108712328767123</v>
      </c>
      <c r="L19" s="4" t="n">
        <v>0.132231735159817</v>
      </c>
      <c r="M19" s="4" t="n">
        <v>0.141232233684833</v>
      </c>
      <c r="N19" s="4" t="n">
        <v>0.163072513242009</v>
      </c>
      <c r="O19" s="4" t="n">
        <v>0.0918445917808219</v>
      </c>
      <c r="P19" s="4" t="n">
        <v>0.105354476712329</v>
      </c>
      <c r="Q19" s="4" t="n">
        <v>0.0841591397260274</v>
      </c>
      <c r="R19" s="4" t="n">
        <v>0.126141552511416</v>
      </c>
      <c r="S19" s="4" t="n">
        <f aca="false">(2-1)*(0.5*SQRT(Capacity!$C20*1.5/PI())*0.000308219178082192+0.5*SQRT(Capacity!$C20*1.5/PI())*0.00292237442922374)</f>
        <v>0.00740370941734716</v>
      </c>
      <c r="T19" s="4" t="n">
        <v>0.062</v>
      </c>
      <c r="U19" s="4" t="n">
        <v>0.0815342465753425</v>
      </c>
      <c r="V19" s="4" t="n">
        <v>0.0764487178082192</v>
      </c>
      <c r="W19" s="4" t="n">
        <v>0.116510164147039</v>
      </c>
      <c r="X19" s="4" t="n">
        <v>0.138990507092408</v>
      </c>
      <c r="Z19" s="1" t="s">
        <v>155</v>
      </c>
      <c r="AA19" s="5" t="n">
        <f aca="false">SUM(B19:X19)</f>
        <v>3.00522645368987</v>
      </c>
      <c r="AB19" s="5" t="n">
        <f aca="false">Capacity!J20/AA19</f>
        <v>239.582610859814</v>
      </c>
      <c r="AC19" s="4" t="n">
        <f aca="false">AB19/AB$28</f>
        <v>0.0210515639805708</v>
      </c>
    </row>
    <row r="20" customFormat="false" ht="12.8" hidden="false" customHeight="false" outlineLevel="0" collapsed="false">
      <c r="A20" s="1" t="s">
        <v>156</v>
      </c>
      <c r="B20" s="4" t="n">
        <v>0.130155326027397</v>
      </c>
      <c r="C20" s="4" t="n">
        <v>0.113258900548602</v>
      </c>
      <c r="D20" s="4" t="n">
        <v>0.0862740474885844</v>
      </c>
      <c r="E20" s="4" t="n">
        <v>0.0709863762557077</v>
      </c>
      <c r="F20" s="4" t="n">
        <v>0.112668818094018</v>
      </c>
      <c r="G20" s="4" t="n">
        <v>0.0955786354456162</v>
      </c>
      <c r="H20" s="4" t="n">
        <v>0.102049174652607</v>
      </c>
      <c r="I20" s="4" t="n">
        <v>0.0711470958904109</v>
      </c>
      <c r="J20" s="4" t="n">
        <v>0.0442683397260274</v>
      </c>
      <c r="K20" s="4" t="n">
        <v>0.0444073771689499</v>
      </c>
      <c r="L20" s="4" t="n">
        <v>0.066748513242009</v>
      </c>
      <c r="M20" s="4" t="n">
        <v>0.0792322336848329</v>
      </c>
      <c r="N20" s="4" t="n">
        <v>0.101072513242009</v>
      </c>
      <c r="O20" s="4" t="n">
        <v>0.0298445917808219</v>
      </c>
      <c r="P20" s="4" t="n">
        <v>0.0433544767123288</v>
      </c>
      <c r="Q20" s="4" t="n">
        <v>0.0221591397260274</v>
      </c>
      <c r="R20" s="4" t="n">
        <v>0.0269781534246575</v>
      </c>
      <c r="S20" s="4" t="n">
        <v>0.062</v>
      </c>
      <c r="T20" s="4" t="n">
        <f aca="false">(2-1)*(0.5*SQRT(Capacity!$C21*1.5/PI())*0.000308219178082192+0.5*SQRT(Capacity!$C21*1.5/PI())*0.00292237442922374)</f>
        <v>0.0156261166690118</v>
      </c>
      <c r="U20" s="4" t="n">
        <v>0.0415102739726027</v>
      </c>
      <c r="V20" s="4" t="n">
        <v>0.0144487178082192</v>
      </c>
      <c r="W20" s="4" t="n">
        <v>0.0545101641470386</v>
      </c>
      <c r="X20" s="4" t="n">
        <v>0.0769905070924082</v>
      </c>
      <c r="Z20" s="1" t="s">
        <v>156</v>
      </c>
      <c r="AA20" s="5" t="n">
        <f aca="false">SUM(B20:X20)</f>
        <v>1.50526949279989</v>
      </c>
      <c r="AB20" s="5" t="n">
        <f aca="false">Capacity!J21/AA20</f>
        <v>850.346071665298</v>
      </c>
      <c r="AC20" s="4" t="n">
        <f aca="false">AB20/AB$28</f>
        <v>0.0747179215930805</v>
      </c>
    </row>
    <row r="21" customFormat="false" ht="12.8" hidden="false" customHeight="false" outlineLevel="0" collapsed="false">
      <c r="A21" s="1" t="s">
        <v>157</v>
      </c>
      <c r="B21" s="4" t="n">
        <v>0.203146062100457</v>
      </c>
      <c r="C21" s="4" t="n">
        <v>0.0717486265759995</v>
      </c>
      <c r="D21" s="4" t="n">
        <v>0.159264783561644</v>
      </c>
      <c r="E21" s="4" t="n">
        <v>0.143977112328767</v>
      </c>
      <c r="F21" s="4" t="n">
        <v>0.0711585441214151</v>
      </c>
      <c r="G21" s="4" t="n">
        <v>0.0540683614730134</v>
      </c>
      <c r="H21" s="4" t="n">
        <v>0.182081724529418</v>
      </c>
      <c r="I21" s="4" t="n">
        <v>0.0895256219178082</v>
      </c>
      <c r="J21" s="4" t="n">
        <v>0.117259075799087</v>
      </c>
      <c r="K21" s="4" t="n">
        <v>0.0815342465753425</v>
      </c>
      <c r="L21" s="4" t="n">
        <v>0.0252382392694064</v>
      </c>
      <c r="M21" s="4" t="n">
        <v>0.120742507657436</v>
      </c>
      <c r="N21" s="4" t="n">
        <v>0.142582787214612</v>
      </c>
      <c r="O21" s="4" t="n">
        <v>0.0713548657534247</v>
      </c>
      <c r="P21" s="4" t="n">
        <v>0.0848647506849315</v>
      </c>
      <c r="Q21" s="4" t="n">
        <v>0.0636694136986301</v>
      </c>
      <c r="R21" s="4" t="n">
        <v>0.0989634703196348</v>
      </c>
      <c r="S21" s="4" t="n">
        <v>0.0815342465753425</v>
      </c>
      <c r="T21" s="4" t="n">
        <v>0.0415102739726027</v>
      </c>
      <c r="U21" s="4" t="n">
        <f aca="false">(2-1)*(0.5*SQRT(Capacity!$C22*1.5/PI())*0.000308219178082192+0.5*SQRT(Capacity!$C22*1.5/PI())*0.00292237442922374)</f>
        <v>0.0125287660416856</v>
      </c>
      <c r="V21" s="4" t="n">
        <v>0.0559589917808219</v>
      </c>
      <c r="W21" s="4" t="n">
        <v>0.0960204381196414</v>
      </c>
      <c r="X21" s="4" t="n">
        <v>0.0615542489274334</v>
      </c>
      <c r="Z21" s="1" t="s">
        <v>157</v>
      </c>
      <c r="AA21" s="5" t="n">
        <f aca="false">SUM(B21:X21)</f>
        <v>2.13028715899855</v>
      </c>
      <c r="AB21" s="5" t="n">
        <f aca="false">Capacity!J22/AA21</f>
        <v>337.98260340567</v>
      </c>
      <c r="AC21" s="4" t="n">
        <f aca="false">AB21/AB$28</f>
        <v>0.02969774131094</v>
      </c>
    </row>
    <row r="22" customFormat="false" ht="12.8" hidden="false" customHeight="false" outlineLevel="0" collapsed="false">
      <c r="A22" s="1" t="s">
        <v>158</v>
      </c>
      <c r="B22" s="4" t="n">
        <v>0.135946465753425</v>
      </c>
      <c r="C22" s="4" t="n">
        <v>0.217416253749877</v>
      </c>
      <c r="D22" s="4" t="n">
        <v>0.0920651872146118</v>
      </c>
      <c r="E22" s="4" t="n">
        <v>0.0767775159817351</v>
      </c>
      <c r="F22" s="4" t="n">
        <v>0.216826171295293</v>
      </c>
      <c r="G22" s="4" t="n">
        <v>0.199735988646891</v>
      </c>
      <c r="H22" s="4" t="n">
        <v>0.0933749499950723</v>
      </c>
      <c r="I22" s="4" t="n">
        <v>0.0806744547945205</v>
      </c>
      <c r="J22" s="4" t="n">
        <v>0.0500594794520548</v>
      </c>
      <c r="K22" s="4" t="n">
        <v>0.0521177990867581</v>
      </c>
      <c r="L22" s="4" t="n">
        <v>0.170905866443284</v>
      </c>
      <c r="M22" s="4" t="n">
        <v>0.0705580090272986</v>
      </c>
      <c r="N22" s="4" t="n">
        <v>0.0923982885844748</v>
      </c>
      <c r="O22" s="4" t="n">
        <v>0.0356357315068493</v>
      </c>
      <c r="P22" s="4" t="n">
        <v>0.0346802520547945</v>
      </c>
      <c r="Q22" s="4" t="n">
        <v>0.0289057589041096</v>
      </c>
      <c r="R22" s="4" t="n">
        <v>0.0346885753424658</v>
      </c>
      <c r="S22" s="4" t="n">
        <v>0.0764487178082192</v>
      </c>
      <c r="T22" s="4" t="n">
        <v>0.0144487178082192</v>
      </c>
      <c r="U22" s="4" t="n">
        <v>0.0559589917808219</v>
      </c>
      <c r="V22" s="4" t="n">
        <f aca="false">(2-1)*(0.5*SQRT(Capacity!$C23*1.5/PI())*0.000308219178082192+0.5*SQRT(Capacity!$C23*1.5/PI())*0.00292237442922374)</f>
        <v>0.0118648499055999</v>
      </c>
      <c r="W22" s="4" t="n">
        <v>0.0400614463388195</v>
      </c>
      <c r="X22" s="4" t="n">
        <v>0.134589856785257</v>
      </c>
      <c r="Z22" s="1" t="s">
        <v>158</v>
      </c>
      <c r="AA22" s="5" t="n">
        <f aca="false">SUM(B22:X22)</f>
        <v>2.01613932826045</v>
      </c>
      <c r="AB22" s="5" t="n">
        <f aca="false">Capacity!J23/AA22</f>
        <v>514.766011184088</v>
      </c>
      <c r="AC22" s="4" t="n">
        <f aca="false">AB22/AB$28</f>
        <v>0.0452312861128551</v>
      </c>
    </row>
    <row r="23" customFormat="false" ht="12.8" hidden="false" customHeight="false" outlineLevel="0" collapsed="false">
      <c r="A23" s="1" t="s">
        <v>159</v>
      </c>
      <c r="B23" s="4" t="n">
        <v>0.176007912092244</v>
      </c>
      <c r="C23" s="4" t="n">
        <v>0.162209039124864</v>
      </c>
      <c r="D23" s="4" t="n">
        <v>0.132126633553431</v>
      </c>
      <c r="E23" s="4" t="n">
        <v>0.116838962320555</v>
      </c>
      <c r="F23" s="4" t="n">
        <v>0.16161895667028</v>
      </c>
      <c r="G23" s="4" t="n">
        <v>0.144528774021878</v>
      </c>
      <c r="H23" s="4" t="n">
        <v>0.133436396333892</v>
      </c>
      <c r="I23" s="4" t="n">
        <v>0.0938679340100523</v>
      </c>
      <c r="J23" s="4" t="n">
        <v>0.0901209257908743</v>
      </c>
      <c r="K23" s="4" t="n">
        <v>0.0921792454255773</v>
      </c>
      <c r="L23" s="4" t="n">
        <v>0.115698651818272</v>
      </c>
      <c r="M23" s="4" t="n">
        <v>0.110619455366118</v>
      </c>
      <c r="N23" s="4" t="n">
        <v>0.132459734923294</v>
      </c>
      <c r="O23" s="4" t="n">
        <v>0.0756971778456688</v>
      </c>
      <c r="P23" s="4" t="n">
        <v>0.074741698393614</v>
      </c>
      <c r="Q23" s="4" t="n">
        <v>0.068967205242929</v>
      </c>
      <c r="R23" s="4" t="n">
        <v>0.0747500216812852</v>
      </c>
      <c r="S23" s="4" t="n">
        <v>0.116510164147039</v>
      </c>
      <c r="T23" s="4" t="n">
        <v>0.0545101641470386</v>
      </c>
      <c r="U23" s="4" t="n">
        <v>0.0960204381196414</v>
      </c>
      <c r="V23" s="4" t="n">
        <v>0.0400614463388195</v>
      </c>
      <c r="W23" s="4" t="n">
        <f aca="false">(2-1)*(0.5*SQRT(Capacity!$C24*1.5/PI())*0.000308219178082192+0.5*SQRT(Capacity!$C24*1.5/PI())*0.00292237442922374)</f>
        <v>0.011161511906437</v>
      </c>
      <c r="X23" s="4" t="n">
        <v>0.174651303124076</v>
      </c>
      <c r="Z23" s="1" t="s">
        <v>159</v>
      </c>
      <c r="AA23" s="5" t="n">
        <f aca="false">SUM(B23:X23)</f>
        <v>2.44878375239788</v>
      </c>
      <c r="AB23" s="5" t="n">
        <f aca="false">Capacity!J24/AA23</f>
        <v>408.807024719814</v>
      </c>
      <c r="AC23" s="4" t="n">
        <f aca="false">AB23/AB$28</f>
        <v>0.0359209176563803</v>
      </c>
    </row>
    <row r="24" customFormat="false" ht="12.8" hidden="false" customHeight="false" outlineLevel="0" collapsed="false">
      <c r="A24" s="1" t="s">
        <v>160</v>
      </c>
      <c r="B24" s="4" t="n">
        <v>0.207145833119805</v>
      </c>
      <c r="C24" s="4" t="n">
        <v>0.08282639696462</v>
      </c>
      <c r="D24" s="4" t="n">
        <v>0.112252720015768</v>
      </c>
      <c r="E24" s="4" t="n">
        <v>0.147976883348116</v>
      </c>
      <c r="F24" s="4" t="n">
        <v>0.0822363145100359</v>
      </c>
      <c r="G24" s="4" t="n">
        <v>0.065146131861634</v>
      </c>
      <c r="H24" s="4" t="n">
        <v>0.0894357790479945</v>
      </c>
      <c r="I24" s="4" t="n">
        <v>0.125005855037614</v>
      </c>
      <c r="J24" s="4" t="n">
        <v>0.121258846818436</v>
      </c>
      <c r="K24" s="4" t="n">
        <v>0.0598354160507211</v>
      </c>
      <c r="L24" s="4" t="n">
        <v>0.0363160096580271</v>
      </c>
      <c r="M24" s="4" t="n">
        <v>0.0666188380802208</v>
      </c>
      <c r="N24" s="4" t="n">
        <v>0.088459117637397</v>
      </c>
      <c r="O24" s="4" t="n">
        <v>0.10683509887323</v>
      </c>
      <c r="P24" s="4" t="n">
        <v>0.0307410811077164</v>
      </c>
      <c r="Q24" s="4" t="n">
        <v>0.0991496468184356</v>
      </c>
      <c r="R24" s="4" t="n">
        <v>0.103968660517066</v>
      </c>
      <c r="S24" s="4" t="n">
        <v>0.138990507092408</v>
      </c>
      <c r="T24" s="4" t="n">
        <v>0.0769905070924082</v>
      </c>
      <c r="U24" s="4" t="n">
        <v>0.0615542489274334</v>
      </c>
      <c r="V24" s="4" t="n">
        <v>0.134589856785257</v>
      </c>
      <c r="W24" s="4" t="n">
        <v>0.174651303124076</v>
      </c>
      <c r="X24" s="4" t="n">
        <f aca="false">(2-1)*(0.5*SQRT(Capacity!$C25*1.5/PI())*0.000308219178082192+0.5*SQRT(Capacity!$C25*1.5/PI())*0.00292237442922374)</f>
        <v>0.0137154954535619</v>
      </c>
      <c r="Z24" s="1" t="s">
        <v>160</v>
      </c>
      <c r="AA24" s="5" t="n">
        <f aca="false">SUM(B24:X24)</f>
        <v>2.22570054794198</v>
      </c>
      <c r="AB24" s="5" t="n">
        <f aca="false">Capacity!J25/AA24</f>
        <v>449.781980296343</v>
      </c>
      <c r="AC24" s="4" t="n">
        <f aca="false">AB24/AB$28</f>
        <v>0.0395212912219937</v>
      </c>
    </row>
    <row r="26" customFormat="false" ht="12.8" hidden="false" customHeight="false" outlineLevel="0" collapsed="false">
      <c r="Z26" s="1" t="s">
        <v>458</v>
      </c>
      <c r="AA26" s="5" t="n">
        <f aca="false">MIN(AA2:AA24)</f>
        <v>1.44435024327996</v>
      </c>
      <c r="AB26" s="5" t="n">
        <f aca="false">MIN(AB2:AB24)</f>
        <v>235.641668420841</v>
      </c>
      <c r="AC26" s="4" t="n">
        <v>0.021</v>
      </c>
    </row>
    <row r="27" customFormat="false" ht="12.8" hidden="false" customHeight="false" outlineLevel="0" collapsed="false">
      <c r="D27" s="4"/>
      <c r="Z27" s="1" t="s">
        <v>459</v>
      </c>
      <c r="AA27" s="5" t="n">
        <f aca="false">MAX(AA2:AA24)</f>
        <v>3.05548676863943</v>
      </c>
      <c r="AB27" s="5" t="n">
        <f aca="false">MAX(AB2:AB24)</f>
        <v>850.346071665298</v>
      </c>
      <c r="AC27" s="4" t="n">
        <v>0.07</v>
      </c>
    </row>
    <row r="28" customFormat="false" ht="12.8" hidden="false" customHeight="false" outlineLevel="0" collapsed="false">
      <c r="Z28" s="1" t="s">
        <v>460</v>
      </c>
      <c r="AA28" s="5" t="n">
        <f aca="false">SUM(AA2:AA24)</f>
        <v>48.9412954817503</v>
      </c>
      <c r="AB28" s="5" t="n">
        <f aca="false">SUM(AB2:AB24)</f>
        <v>11380.7511442348</v>
      </c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A30" s="1"/>
      <c r="AB30" s="1"/>
      <c r="AC30" s="1"/>
    </row>
    <row r="31" customFormat="false" ht="12.8" hidden="false" customHeight="false" outlineLevel="0" collapsed="false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Z31" s="1"/>
      <c r="AA31" s="5"/>
      <c r="AB31" s="5"/>
      <c r="AC31" s="4"/>
    </row>
    <row r="32" customFormat="false" ht="12.8" hidden="false" customHeight="false" outlineLevel="0" collapsed="false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Z32" s="1"/>
      <c r="AA32" s="5"/>
      <c r="AB32" s="5"/>
      <c r="AC32" s="4"/>
    </row>
    <row r="33" customFormat="false" ht="12.8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Z33" s="1"/>
      <c r="AA33" s="5"/>
      <c r="AB33" s="5"/>
      <c r="AC33" s="4"/>
    </row>
    <row r="34" customFormat="false" ht="12.8" hidden="false" customHeight="false" outlineLevel="0" collapsed="false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Z34" s="1"/>
      <c r="AA34" s="5"/>
      <c r="AB34" s="5"/>
      <c r="AC34" s="4"/>
    </row>
    <row r="35" customFormat="false" ht="12.8" hidden="false" customHeight="false" outlineLevel="0" collapsed="false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1"/>
      <c r="AA35" s="5"/>
      <c r="AB35" s="5"/>
      <c r="AC35" s="4"/>
    </row>
    <row r="36" customFormat="false" ht="12.8" hidden="false" customHeight="false" outlineLevel="0" collapsed="false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1"/>
      <c r="AA36" s="5"/>
      <c r="AB36" s="5"/>
      <c r="AC36" s="4"/>
    </row>
    <row r="37" customFormat="false" ht="12.8" hidden="false" customHeight="false" outlineLevel="0" collapsed="false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1"/>
      <c r="AA37" s="5"/>
      <c r="AB37" s="5"/>
      <c r="AC37" s="4"/>
    </row>
    <row r="38" customFormat="false" ht="12.8" hidden="false" customHeight="false" outlineLevel="0" collapsed="false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1"/>
      <c r="AA38" s="5"/>
      <c r="AB38" s="5"/>
      <c r="AC38" s="4"/>
    </row>
    <row r="39" customFormat="false" ht="12.8" hidden="false" customHeight="false" outlineLevel="0" collapsed="false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1"/>
      <c r="AA39" s="5"/>
      <c r="AB39" s="5"/>
      <c r="AC39" s="4"/>
    </row>
    <row r="40" customFormat="false" ht="12.8" hidden="false" customHeight="false" outlineLevel="0" collapsed="false">
      <c r="A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30"/>
      <c r="AA40" s="5"/>
      <c r="AB40" s="5"/>
      <c r="AC40" s="4"/>
    </row>
    <row r="41" customFormat="false" ht="12.8" hidden="false" customHeight="false" outlineLevel="0" collapsed="false">
      <c r="A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Z41" s="1"/>
      <c r="AA41" s="5"/>
      <c r="AB41" s="5"/>
      <c r="AC41" s="4"/>
    </row>
    <row r="42" customFormat="false" ht="12.8" hidden="false" customHeight="false" outlineLevel="0" collapsed="false">
      <c r="A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Z42" s="1"/>
      <c r="AA42" s="5"/>
      <c r="AB42" s="5"/>
      <c r="AC42" s="4"/>
    </row>
    <row r="43" customFormat="false" ht="12.8" hidden="false" customHeight="false" outlineLevel="0" collapsed="false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Z43" s="1"/>
      <c r="AA43" s="5"/>
      <c r="AB43" s="5"/>
      <c r="AC43" s="4"/>
    </row>
    <row r="44" customFormat="false" ht="12.8" hidden="false" customHeight="false" outlineLevel="0" collapsed="false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Z44" s="1"/>
      <c r="AA44" s="5"/>
      <c r="AB44" s="5"/>
      <c r="AC44" s="4"/>
    </row>
    <row r="45" customFormat="false" ht="12.8" hidden="false" customHeight="false" outlineLevel="0" collapsed="false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Z45" s="1"/>
      <c r="AA45" s="5"/>
      <c r="AB45" s="5"/>
      <c r="AC45" s="4"/>
    </row>
    <row r="46" customFormat="false" ht="12.8" hidden="false" customHeight="false" outlineLevel="0" collapsed="false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Z46" s="1"/>
      <c r="AA46" s="5"/>
      <c r="AB46" s="5"/>
      <c r="AC46" s="4"/>
    </row>
    <row r="47" customFormat="false" ht="12.8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Z47" s="1"/>
      <c r="AA47" s="5"/>
      <c r="AB47" s="5"/>
      <c r="AC47" s="4"/>
    </row>
    <row r="48" customFormat="false" ht="12.8" hidden="false" customHeight="false" outlineLevel="0" collapsed="false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Z48" s="1"/>
      <c r="AA48" s="5"/>
      <c r="AB48" s="5"/>
      <c r="AC48" s="4"/>
    </row>
    <row r="49" customFormat="false" ht="12.8" hidden="false" customHeight="false" outlineLevel="0" collapsed="false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Z49" s="1"/>
      <c r="AA49" s="5"/>
      <c r="AB49" s="5"/>
      <c r="AC49" s="4"/>
    </row>
    <row r="50" customFormat="false" ht="12.8" hidden="false" customHeight="false" outlineLevel="0" collapsed="false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Z50" s="1"/>
      <c r="AA50" s="5"/>
      <c r="AB50" s="5"/>
      <c r="AC50" s="4"/>
    </row>
    <row r="51" customFormat="false" ht="12.8" hidden="false" customHeight="false" outlineLevel="0" collapsed="false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Z51" s="1"/>
      <c r="AA51" s="5"/>
      <c r="AB51" s="5"/>
      <c r="AC51" s="4"/>
    </row>
    <row r="52" customFormat="false" ht="12.8" hidden="false" customHeight="false" outlineLevel="0" collapsed="false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Z52" s="1"/>
      <c r="AA52" s="5"/>
      <c r="AB52" s="5"/>
      <c r="AC52" s="4"/>
    </row>
    <row r="53" customFormat="false" ht="12.8" hidden="false" customHeight="false" outlineLevel="0" collapsed="false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Z53" s="1"/>
      <c r="AA53" s="5"/>
      <c r="AB53" s="5"/>
      <c r="AC53" s="4"/>
    </row>
    <row r="55" customFormat="false" ht="12.8" hidden="false" customHeight="false" outlineLevel="0" collapsed="false">
      <c r="Z55" s="1"/>
      <c r="AA55" s="5"/>
      <c r="AB55" s="5"/>
      <c r="AC55" s="4"/>
    </row>
    <row r="56" customFormat="false" ht="12.8" hidden="false" customHeight="false" outlineLevel="0" collapsed="false">
      <c r="Z56" s="1"/>
      <c r="AA56" s="5"/>
      <c r="AB56" s="5"/>
      <c r="AC56" s="4"/>
    </row>
    <row r="57" customFormat="false" ht="12.8" hidden="false" customHeight="false" outlineLevel="0" collapsed="false">
      <c r="Z57" s="1"/>
      <c r="AA57" s="5"/>
      <c r="AB5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1" activeCellId="0" sqref="V1"/>
    </sheetView>
  </sheetViews>
  <sheetFormatPr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7.52"/>
    <col collapsed="false" customWidth="true" hidden="false" outlineLevel="0" max="3" min="3" style="0" width="17.33"/>
    <col collapsed="false" customWidth="true" hidden="false" outlineLevel="0" max="4" min="4" style="0" width="11.99"/>
    <col collapsed="false" customWidth="true" hidden="false" outlineLevel="0" max="5" min="5" style="0" width="12.99"/>
    <col collapsed="false" customWidth="true" hidden="false" outlineLevel="0" max="6" min="6" style="0" width="9.82"/>
    <col collapsed="false" customWidth="true" hidden="false" outlineLevel="0" max="7" min="7" style="0" width="9.39"/>
    <col collapsed="false" customWidth="true" hidden="false" outlineLevel="0" max="8" min="8" style="0" width="7.66"/>
    <col collapsed="false" customWidth="true" hidden="false" outlineLevel="0" max="9" min="9" style="0" width="8.38"/>
    <col collapsed="false" customWidth="true" hidden="false" outlineLevel="0" max="10" min="10" style="0" width="10.39"/>
    <col collapsed="false" customWidth="true" hidden="false" outlineLevel="0" max="11" min="11" style="0" width="11.27"/>
    <col collapsed="false" customWidth="true" hidden="false" outlineLevel="0" max="12" min="12" style="0" width="11.41"/>
    <col collapsed="false" customWidth="true" hidden="false" outlineLevel="0" max="13" min="13" style="0" width="11.27"/>
    <col collapsed="false" customWidth="true" hidden="false" outlineLevel="0" max="14" min="14" style="0" width="9.53"/>
    <col collapsed="false" customWidth="true" hidden="false" outlineLevel="0" max="15" min="15" style="0" width="10.84"/>
    <col collapsed="false" customWidth="true" hidden="false" outlineLevel="0" max="16" min="16" style="0" width="16.03"/>
    <col collapsed="false" customWidth="true" hidden="false" outlineLevel="0" max="17" min="17" style="0" width="13.43"/>
    <col collapsed="false" customWidth="true" hidden="false" outlineLevel="0" max="18" min="18" style="10" width="10.84"/>
    <col collapsed="false" customWidth="true" hidden="false" outlineLevel="0" max="19" min="19" style="10" width="10.11"/>
    <col collapsed="false" customWidth="true" hidden="false" outlineLevel="0" max="20" min="20" style="0" width="9.24"/>
    <col collapsed="false" customWidth="true" hidden="false" outlineLevel="0" max="21" min="21" style="0" width="12.56"/>
    <col collapsed="false" customWidth="true" hidden="false" outlineLevel="0" max="22" min="22" style="0" width="15.45"/>
    <col collapsed="false" customWidth="true" hidden="false" outlineLevel="0" max="23" min="23" style="0" width="9.82"/>
    <col collapsed="false" customWidth="true" hidden="false" outlineLevel="0" max="24" min="24" style="0" width="11.12"/>
    <col collapsed="false" customWidth="true" hidden="false" outlineLevel="0" max="25" min="25" style="0" width="12.42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1" t="s">
        <v>461</v>
      </c>
      <c r="B1" s="1"/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6" t="s">
        <v>477</v>
      </c>
      <c r="S1" s="6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</row>
    <row r="2" customFormat="false" ht="12.8" hidden="false" customHeight="false" outlineLevel="0" collapsed="false">
      <c r="A2" s="0" t="s">
        <v>131</v>
      </c>
      <c r="B2" s="0" t="s">
        <v>132</v>
      </c>
      <c r="C2" s="5" t="n">
        <f aca="false">IF(B2="Taiga",10,IF(B2="Mts",15,IF(B2="Temp",30,IF(B2="Steppe",20,IF(B2="Jungle",45,IF(B2="Sav",30,IF(B2="Medi",45,0)))))))*$C$28</f>
        <v>10</v>
      </c>
      <c r="D2" s="4" t="n">
        <f aca="false">Dists!AB2</f>
        <v>344.127447779338</v>
      </c>
      <c r="E2" s="4" t="n">
        <f aca="false">(D2-MIN($D$2:$D$24))*(0.1)/(MAX($D$2:$D$24)-MIN($D$2:$D$24))+0.05</f>
        <v>0.0676484467633388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f aca="false">Capacity!C3</f>
        <v>131</v>
      </c>
      <c r="K2" s="4" t="n">
        <f aca="false">$E2*L2*100/3</f>
        <v>25.8551045927352</v>
      </c>
      <c r="L2" s="4" t="n">
        <f aca="false">$E2*M2*100/3</f>
        <v>11.4659415684088</v>
      </c>
      <c r="M2" s="4" t="n">
        <f aca="false">$E2*N2*100/3</f>
        <v>5.08479149943587</v>
      </c>
      <c r="N2" s="4" t="n">
        <f aca="false">$E2*O2*100/3</f>
        <v>2.25494822544463</v>
      </c>
      <c r="O2" s="4" t="n">
        <v>1</v>
      </c>
      <c r="P2" s="5" t="n">
        <f aca="false">Capacity!C3*Capacity!F3*Capacity!G3*3604.861727</f>
        <v>87316.6002652213</v>
      </c>
      <c r="Q2" s="10" t="n">
        <f aca="false">ROUND($C2*P2,0)</f>
        <v>873166</v>
      </c>
      <c r="R2" s="10" t="n">
        <f aca="false">(1-E2)*Q2</f>
        <v>814097.676333443</v>
      </c>
      <c r="S2" s="10" t="n">
        <f aca="false">ROUND($E2*Q2,0)</f>
        <v>59068</v>
      </c>
      <c r="T2" s="8" t="n">
        <f aca="false">S2/(($K2*F2)+($L2*G2)+($M2*H2)+($N2*I2)+($O2*J2))</f>
        <v>371.239899389003</v>
      </c>
      <c r="U2" s="10" t="n">
        <f aca="false">IF(F2=0,0,$K2*$T2)</f>
        <v>9598.44642769917</v>
      </c>
      <c r="V2" s="10" t="n">
        <f aca="false">IF(G2=0,0,$L2*$T2)</f>
        <v>0</v>
      </c>
      <c r="W2" s="10" t="n">
        <f aca="false">IF(H2=0,0,$M2*$T2)</f>
        <v>0</v>
      </c>
      <c r="X2" s="10" t="n">
        <f aca="false">IF(I2=0,0,$N2*$T2)</f>
        <v>837.126752341473</v>
      </c>
      <c r="Y2" s="10" t="n">
        <f aca="false">IF(J2=0,0,$O2*$T2)</f>
        <v>371.239899389003</v>
      </c>
      <c r="Z2" s="4"/>
      <c r="AA2" s="4"/>
    </row>
    <row r="3" customFormat="false" ht="12.8" hidden="false" customHeight="false" outlineLevel="0" collapsed="false">
      <c r="A3" s="0" t="s">
        <v>133</v>
      </c>
      <c r="B3" s="0" t="s">
        <v>134</v>
      </c>
      <c r="C3" s="5" t="n">
        <f aca="false">IF(B3="Taiga",10,IF(B3="Mts",15,IF(B3="Temp",30,IF(B3="Steppe",20,IF(B3="Jungle",45,IF(B3="Sav",30,IF(B3="Medi",45,0)))))))*$C$28</f>
        <v>15</v>
      </c>
      <c r="D3" s="4" t="n">
        <f aca="false">Dists!AB3</f>
        <v>235.641668420841</v>
      </c>
      <c r="E3" s="4" t="n">
        <f aca="false">(D3-MIN($D$2:$D$24))*(0.1)/(MAX($D$2:$D$24)-MIN($D$2:$D$24))+0.05</f>
        <v>0.05</v>
      </c>
      <c r="F3" s="0" t="n">
        <v>1</v>
      </c>
      <c r="G3" s="0" t="n">
        <v>3</v>
      </c>
      <c r="H3" s="0" t="n">
        <v>6</v>
      </c>
      <c r="I3" s="0" t="n">
        <v>5</v>
      </c>
      <c r="J3" s="0" t="n">
        <f aca="false">Capacity!C4</f>
        <v>211</v>
      </c>
      <c r="K3" s="4" t="n">
        <f aca="false">$E3*L3*100/3</f>
        <v>7.71604938271605</v>
      </c>
      <c r="L3" s="4" t="n">
        <f aca="false">$E3*M3*100/3</f>
        <v>4.62962962962963</v>
      </c>
      <c r="M3" s="4" t="n">
        <f aca="false">$E3*N3*100/3</f>
        <v>2.77777777777778</v>
      </c>
      <c r="N3" s="4" t="n">
        <f aca="false">$E3*O3*100/3</f>
        <v>1.66666666666667</v>
      </c>
      <c r="O3" s="4" t="n">
        <v>1</v>
      </c>
      <c r="P3" s="5" t="n">
        <f aca="false">Capacity!C4*Capacity!F4*Capacity!G4*3604.861727</f>
        <v>127785.138498696</v>
      </c>
      <c r="Q3" s="10" t="n">
        <f aca="false">ROUND($C3*P3,0)</f>
        <v>1916777</v>
      </c>
      <c r="R3" s="10" t="n">
        <f aca="false">(1-E3)*Q3</f>
        <v>1820938.15</v>
      </c>
      <c r="S3" s="10" t="n">
        <f aca="false">ROUND($E3*Q3,0)</f>
        <v>95839</v>
      </c>
      <c r="T3" s="8" t="n">
        <f aca="false">S3/(($K3*F3)+($L3*G3)+($M3*H3)+($N3*I3)+($O3*J3))</f>
        <v>372.03867535704</v>
      </c>
      <c r="U3" s="10" t="n">
        <f aca="false">IF(F3=0,0,$K3*$T3)</f>
        <v>2870.66879133519</v>
      </c>
      <c r="V3" s="10" t="n">
        <f aca="false">IF(G3=0,0,$L3*$T3)</f>
        <v>1722.40127480111</v>
      </c>
      <c r="W3" s="10" t="n">
        <f aca="false">IF(H3=0,0,$M3*$T3)</f>
        <v>1033.44076488067</v>
      </c>
      <c r="X3" s="10" t="n">
        <f aca="false">IF(I3=0,0,$N3*$T3)</f>
        <v>620.0644589284</v>
      </c>
      <c r="Y3" s="10" t="n">
        <f aca="false">IF(J3=0,0,$O3*$T3)</f>
        <v>372.03867535704</v>
      </c>
      <c r="Z3" s="4"/>
      <c r="AA3" s="4"/>
    </row>
    <row r="4" customFormat="false" ht="12.8" hidden="false" customHeight="false" outlineLevel="0" collapsed="false">
      <c r="A4" s="0" t="s">
        <v>135</v>
      </c>
      <c r="B4" s="0" t="s">
        <v>136</v>
      </c>
      <c r="C4" s="5" t="n">
        <f aca="false">IF(B4="Taiga",10,IF(B4="Mts",15,IF(B4="Temp",30,IF(B4="Steppe",20,IF(B4="Jungle",45,IF(B4="Sav",30,IF(B4="Medi",45,0)))))))*$C$28</f>
        <v>30</v>
      </c>
      <c r="D4" s="4" t="n">
        <f aca="false">Dists!AB4</f>
        <v>516.220724539043</v>
      </c>
      <c r="E4" s="4" t="n">
        <f aca="false">(D4-MIN($D$2:$D$24))*(0.1)/(MAX($D$2:$D$24)-MIN($D$2:$D$24))+0.05</f>
        <v>0.0956445495814386</v>
      </c>
      <c r="F4" s="0" t="n">
        <v>1</v>
      </c>
      <c r="G4" s="0" t="n">
        <v>1</v>
      </c>
      <c r="H4" s="0" t="n">
        <v>0</v>
      </c>
      <c r="I4" s="0" t="n">
        <v>3</v>
      </c>
      <c r="J4" s="0" t="n">
        <f aca="false">Capacity!C5</f>
        <v>109</v>
      </c>
      <c r="K4" s="4" t="n">
        <f aca="false">$E4*L4*100/3</f>
        <v>103.313217305948</v>
      </c>
      <c r="L4" s="4" t="n">
        <f aca="false">$E4*M4*100/3</f>
        <v>32.4053647880832</v>
      </c>
      <c r="M4" s="4" t="n">
        <f aca="false">$E4*N4*100/3</f>
        <v>10.164310960707</v>
      </c>
      <c r="N4" s="4" t="n">
        <f aca="false">$E4*O4*100/3</f>
        <v>3.18815165271462</v>
      </c>
      <c r="O4" s="4" t="n">
        <v>1</v>
      </c>
      <c r="P4" s="5" t="n">
        <f aca="false">Capacity!C5*Capacity!F5*Capacity!G5*3604.861727</f>
        <v>160944.098608333</v>
      </c>
      <c r="Q4" s="10" t="n">
        <f aca="false">ROUND($C4*P4,0)</f>
        <v>4828323</v>
      </c>
      <c r="R4" s="10" t="n">
        <f aca="false">(1-E4)*Q4</f>
        <v>4366520.2214313</v>
      </c>
      <c r="S4" s="10" t="n">
        <f aca="false">ROUND($E4*Q4,0)</f>
        <v>461803</v>
      </c>
      <c r="T4" s="8" t="n">
        <f aca="false">S4/(($K4*F4)+($L4*G4)+($M4*H4)+($N4*I4)+($O4*J4))</f>
        <v>1816.0983341773</v>
      </c>
      <c r="U4" s="10" t="n">
        <f aca="false">IF(F4=0,0,$K4*$T4)</f>
        <v>187626.961847829</v>
      </c>
      <c r="V4" s="10" t="n">
        <f aca="false">IF(G4=0,0,$L4*$T4)</f>
        <v>58851.3290100458</v>
      </c>
      <c r="W4" s="10" t="n">
        <f aca="false">IF(H4=0,0,$M4*$T4)</f>
        <v>0</v>
      </c>
      <c r="X4" s="10" t="n">
        <f aca="false">IF(I4=0,0,$N4*$T4)</f>
        <v>5789.99690559964</v>
      </c>
      <c r="Y4" s="10" t="n">
        <f aca="false">IF(J4=0,0,$O4*$T4)</f>
        <v>1816.0983341773</v>
      </c>
      <c r="Z4" s="4"/>
      <c r="AA4" s="4"/>
    </row>
    <row r="5" customFormat="false" ht="12.8" hidden="false" customHeight="false" outlineLevel="0" collapsed="false">
      <c r="A5" s="0" t="s">
        <v>137</v>
      </c>
      <c r="B5" s="0" t="s">
        <v>138</v>
      </c>
      <c r="C5" s="5" t="n">
        <f aca="false">IF(B5="Taiga",10,IF(B5="Mts",15,IF(B5="Temp",30,IF(B5="Steppe",20,IF(B5="Jungle",45,IF(B5="Sav",30,IF(B5="Medi",45,0)))))))*$C$28</f>
        <v>20</v>
      </c>
      <c r="D5" s="4" t="n">
        <f aca="false">Dists!AB5</f>
        <v>415.910776090822</v>
      </c>
      <c r="E5" s="4" t="n">
        <f aca="false">(D5-MIN($D$2:$D$24))*(0.1)/(MAX($D$2:$D$24)-MIN($D$2:$D$24))+0.05</f>
        <v>0.0793261454966822</v>
      </c>
      <c r="F5" s="0" t="n">
        <v>1</v>
      </c>
      <c r="G5" s="0" t="n">
        <v>3</v>
      </c>
      <c r="H5" s="0" t="n">
        <v>4</v>
      </c>
      <c r="I5" s="0" t="n">
        <v>4</v>
      </c>
      <c r="J5" s="0" t="n">
        <f aca="false">Capacity!C6</f>
        <v>454</v>
      </c>
      <c r="K5" s="4" t="n">
        <f aca="false">$E5*L5*100/3</f>
        <v>48.8855369585471</v>
      </c>
      <c r="L5" s="4" t="n">
        <f aca="false">$E5*M5*100/3</f>
        <v>18.4878024713523</v>
      </c>
      <c r="M5" s="4" t="n">
        <f aca="false">$E5*N5*100/3</f>
        <v>6.99181928817865</v>
      </c>
      <c r="N5" s="4" t="n">
        <f aca="false">$E5*O5*100/3</f>
        <v>2.64420484988941</v>
      </c>
      <c r="O5" s="4" t="n">
        <v>1</v>
      </c>
      <c r="P5" s="5" t="n">
        <f aca="false">Capacity!C6*Capacity!F6*Capacity!G6*3604.861727</f>
        <v>597034.315336359</v>
      </c>
      <c r="Q5" s="10" t="n">
        <f aca="false">ROUND($C5*P5,0)</f>
        <v>11940686</v>
      </c>
      <c r="R5" s="10" t="n">
        <f aca="false">(1-E5)*Q5</f>
        <v>10993477.4050338</v>
      </c>
      <c r="S5" s="10" t="n">
        <f aca="false">ROUND($E5*Q5,0)</f>
        <v>947209</v>
      </c>
      <c r="T5" s="8" t="n">
        <f aca="false">S5/(($K5*F5)+($L5*G5)+($M5*H5)+($N5*I5)+($O5*J5))</f>
        <v>1586.89905067802</v>
      </c>
      <c r="U5" s="10" t="n">
        <f aca="false">IF(F5=0,0,$K5*$T5)</f>
        <v>77576.4121914034</v>
      </c>
      <c r="V5" s="10" t="n">
        <f aca="false">IF(G5=0,0,$L5*$T5)</f>
        <v>29338.2761909116</v>
      </c>
      <c r="W5" s="10" t="n">
        <f aca="false">IF(H5=0,0,$M5*$T5)</f>
        <v>11095.3113909229</v>
      </c>
      <c r="X5" s="10" t="n">
        <f aca="false">IF(I5=0,0,$N5*$T5)</f>
        <v>4196.0861660877</v>
      </c>
      <c r="Y5" s="10" t="n">
        <f aca="false">IF(J5=0,0,$O5*$T5)</f>
        <v>1586.89905067802</v>
      </c>
      <c r="Z5" s="4"/>
      <c r="AA5" s="4"/>
    </row>
    <row r="6" customFormat="false" ht="12.8" hidden="false" customHeight="false" outlineLevel="0" collapsed="false">
      <c r="A6" s="0" t="s">
        <v>139</v>
      </c>
      <c r="B6" s="0" t="s">
        <v>134</v>
      </c>
      <c r="C6" s="5" t="n">
        <f aca="false">IF(B6="Taiga",10,IF(B6="Mts",15,IF(B6="Temp",30,IF(B6="Steppe",20,IF(B6="Jungle",45,IF(B6="Sav",30,IF(B6="Medi",45,0)))))))*$C$28</f>
        <v>15</v>
      </c>
      <c r="D6" s="4" t="n">
        <f aca="false">Dists!AB6</f>
        <v>284.057126814605</v>
      </c>
      <c r="E6" s="4" t="n">
        <f aca="false">(D6-MIN($D$2:$D$24))*(0.1)/(MAX($D$2:$D$24)-MIN($D$2:$D$24))+0.05</f>
        <v>0.0578762179249447</v>
      </c>
      <c r="F6" s="0" t="n">
        <v>1</v>
      </c>
      <c r="G6" s="0" t="n">
        <v>0</v>
      </c>
      <c r="H6" s="0" t="n">
        <v>0</v>
      </c>
      <c r="I6" s="0" t="n">
        <v>3</v>
      </c>
      <c r="J6" s="0" t="n">
        <f aca="false">Capacity!C7</f>
        <v>103</v>
      </c>
      <c r="K6" s="4" t="n">
        <f aca="false">$E6*L6*100/3</f>
        <v>13.8520979587702</v>
      </c>
      <c r="L6" s="4" t="n">
        <f aca="false">$E6*M6*100/3</f>
        <v>7.18020205297479</v>
      </c>
      <c r="M6" s="4" t="n">
        <f aca="false">$E6*N6*100/3</f>
        <v>3.72184066810633</v>
      </c>
      <c r="N6" s="4" t="n">
        <f aca="false">$E6*O6*100/3</f>
        <v>1.92920726416482</v>
      </c>
      <c r="O6" s="4" t="n">
        <v>1</v>
      </c>
      <c r="P6" s="5" t="n">
        <f aca="false">Capacity!C7*Capacity!F7*Capacity!G7*3604.861727</f>
        <v>62378.527324008</v>
      </c>
      <c r="Q6" s="10" t="n">
        <f aca="false">ROUND($C6*P6,0)</f>
        <v>935678</v>
      </c>
      <c r="R6" s="10" t="n">
        <f aca="false">(1-E6)*Q6</f>
        <v>881524.496164424</v>
      </c>
      <c r="S6" s="10" t="n">
        <f aca="false">ROUND($E6*Q6,0)</f>
        <v>54154</v>
      </c>
      <c r="T6" s="8" t="n">
        <f aca="false">S6/(($K6*F6)+($L6*G6)+($M6*H6)+($N6*I6)+($O6*J6))</f>
        <v>441.569828354419</v>
      </c>
      <c r="U6" s="10" t="n">
        <f aca="false">IF(F6=0,0,$K6*$T6)</f>
        <v>6116.66851800274</v>
      </c>
      <c r="V6" s="10" t="n">
        <f aca="false">IF(G6=0,0,$L6*$T6)</f>
        <v>0</v>
      </c>
      <c r="W6" s="10" t="n">
        <f aca="false">IF(H6=0,0,$M6*$T6)</f>
        <v>0</v>
      </c>
      <c r="X6" s="10" t="n">
        <f aca="false">IF(I6=0,0,$N6*$T6)</f>
        <v>851.87972049736</v>
      </c>
      <c r="Y6" s="10" t="n">
        <f aca="false">IF(J6=0,0,$O6*$T6)</f>
        <v>441.569828354419</v>
      </c>
      <c r="Z6" s="4"/>
      <c r="AA6" s="4"/>
    </row>
    <row r="7" customFormat="false" ht="12.8" hidden="false" customHeight="false" outlineLevel="0" collapsed="false">
      <c r="A7" s="0" t="s">
        <v>140</v>
      </c>
      <c r="B7" s="0" t="s">
        <v>136</v>
      </c>
      <c r="C7" s="5" t="n">
        <f aca="false">IF(B7="Taiga",10,IF(B7="Mts",15,IF(B7="Temp",30,IF(B7="Steppe",20,IF(B7="Jungle",45,IF(B7="Sav",30,IF(B7="Medi",45,0)))))))*$C$28</f>
        <v>30</v>
      </c>
      <c r="D7" s="4" t="n">
        <f aca="false">Dists!AB7</f>
        <v>508.884697349389</v>
      </c>
      <c r="E7" s="4" t="n">
        <f aca="false">(D7-MIN($D$2:$D$24))*(0.1)/(MAX($D$2:$D$24)-MIN($D$2:$D$24))+0.05</f>
        <v>0.0944511260186766</v>
      </c>
      <c r="F7" s="0" t="n">
        <v>1</v>
      </c>
      <c r="G7" s="0" t="n">
        <v>0</v>
      </c>
      <c r="H7" s="0" t="n">
        <v>1</v>
      </c>
      <c r="I7" s="0" t="n">
        <v>3</v>
      </c>
      <c r="J7" s="0" t="n">
        <f aca="false">Capacity!C8</f>
        <v>67</v>
      </c>
      <c r="K7" s="4" t="n">
        <f aca="false">$E7*L7*100/3</f>
        <v>98.2524843323198</v>
      </c>
      <c r="L7" s="4" t="n">
        <f aca="false">$E7*M7*100/3</f>
        <v>31.2074048687016</v>
      </c>
      <c r="M7" s="4" t="n">
        <f aca="false">$E7*N7*100/3</f>
        <v>9.91223911799548</v>
      </c>
      <c r="N7" s="4" t="n">
        <f aca="false">$E7*O7*100/3</f>
        <v>3.14837086728922</v>
      </c>
      <c r="O7" s="4" t="n">
        <v>1</v>
      </c>
      <c r="P7" s="5" t="n">
        <f aca="false">Capacity!C8*Capacity!F8*Capacity!G8*3604.861727</f>
        <v>98928.9413464064</v>
      </c>
      <c r="Q7" s="10" t="n">
        <f aca="false">ROUND($C7*P7,0)</f>
        <v>2967868</v>
      </c>
      <c r="R7" s="10" t="n">
        <f aca="false">(1-E7)*Q7</f>
        <v>2687549.5255252</v>
      </c>
      <c r="S7" s="10" t="n">
        <f aca="false">ROUND($E7*Q7,0)</f>
        <v>280318</v>
      </c>
      <c r="T7" s="8" t="n">
        <f aca="false">S7/(($K7*F7)+($L7*G7)+($M7*H7)+($N7*I7)+($O7*J7))</f>
        <v>1518.43480279547</v>
      </c>
      <c r="U7" s="10" t="n">
        <f aca="false">IF(F7=0,0,$K7*$T7)</f>
        <v>149189.991671311</v>
      </c>
      <c r="V7" s="10" t="n">
        <f aca="false">IF(G7=0,0,$L7*$T7)</f>
        <v>0</v>
      </c>
      <c r="W7" s="10" t="n">
        <f aca="false">IF(H7=0,0,$M7*$T7)</f>
        <v>15051.088850395</v>
      </c>
      <c r="X7" s="10" t="n">
        <f aca="false">IF(I7=0,0,$N7*$T7)</f>
        <v>4780.5958969993</v>
      </c>
      <c r="Y7" s="10" t="n">
        <f aca="false">IF(J7=0,0,$O7*$T7)</f>
        <v>1518.43480279547</v>
      </c>
      <c r="Z7" s="4"/>
      <c r="AA7" s="4"/>
    </row>
    <row r="8" customFormat="false" ht="12.8" hidden="false" customHeight="false" outlineLevel="0" collapsed="false">
      <c r="A8" s="0" t="s">
        <v>141</v>
      </c>
      <c r="B8" s="0" t="s">
        <v>136</v>
      </c>
      <c r="C8" s="5" t="n">
        <f aca="false">IF(B8="Taiga",10,IF(B8="Mts",15,IF(B8="Temp",30,IF(B8="Steppe",20,IF(B8="Jungle",45,IF(B8="Sav",30,IF(B8="Medi",45,0)))))))*$C$28</f>
        <v>30</v>
      </c>
      <c r="D8" s="4" t="n">
        <f aca="false">Dists!AB8</f>
        <v>460.530781087187</v>
      </c>
      <c r="E8" s="4" t="n">
        <f aca="false">(D8-MIN($D$2:$D$24))*(0.1)/(MAX($D$2:$D$24)-MIN($D$2:$D$24))+0.05</f>
        <v>0.0865849197564495</v>
      </c>
      <c r="F8" s="0" t="n">
        <v>1</v>
      </c>
      <c r="G8" s="0" t="n">
        <v>0</v>
      </c>
      <c r="H8" s="0" t="n">
        <v>1</v>
      </c>
      <c r="I8" s="0" t="n">
        <v>3</v>
      </c>
      <c r="J8" s="0" t="n">
        <f aca="false">Capacity!C9</f>
        <v>81</v>
      </c>
      <c r="K8" s="4" t="n">
        <f aca="false">$E8*L8*100/3</f>
        <v>69.3879435199461</v>
      </c>
      <c r="L8" s="4" t="n">
        <f aca="false">$E8*M8*100/3</f>
        <v>24.0415803520258</v>
      </c>
      <c r="M8" s="4" t="n">
        <f aca="false">$E8*N8*100/3</f>
        <v>8.32994258803422</v>
      </c>
      <c r="N8" s="4" t="n">
        <f aca="false">$E8*O8*100/3</f>
        <v>2.88616399188165</v>
      </c>
      <c r="O8" s="4" t="n">
        <v>1</v>
      </c>
      <c r="P8" s="5" t="n">
        <f aca="false">Capacity!C9*Capacity!F9*Capacity!G9*3604.861727</f>
        <v>119600.660433715</v>
      </c>
      <c r="Q8" s="10" t="n">
        <f aca="false">ROUND($C8*P8,0)</f>
        <v>3588020</v>
      </c>
      <c r="R8" s="10" t="n">
        <f aca="false">(1-E8)*Q8</f>
        <v>3277351.57621546</v>
      </c>
      <c r="S8" s="10" t="n">
        <f aca="false">ROUND($E8*Q8,0)</f>
        <v>310668</v>
      </c>
      <c r="T8" s="8" t="n">
        <f aca="false">S8/(($K8*F8)+($L8*G8)+($M8*H8)+($N8*I8)+($O8*J8))</f>
        <v>1856.10420990698</v>
      </c>
      <c r="U8" s="10" t="n">
        <f aca="false">IF(F8=0,0,$K8*$T8)</f>
        <v>128791.25408416</v>
      </c>
      <c r="V8" s="10" t="n">
        <f aca="false">IF(G8=0,0,$L8*$T8)</f>
        <v>0</v>
      </c>
      <c r="W8" s="10" t="n">
        <f aca="false">IF(H8=0,0,$M8*$T8)</f>
        <v>15461.2415059338</v>
      </c>
      <c r="X8" s="10" t="n">
        <f aca="false">IF(I8=0,0,$N8*$T8)</f>
        <v>5357.02113581348</v>
      </c>
      <c r="Y8" s="10" t="n">
        <f aca="false">IF(J8=0,0,$O8*$T8)</f>
        <v>1856.10420990698</v>
      </c>
      <c r="Z8" s="4"/>
      <c r="AA8" s="4"/>
    </row>
    <row r="9" customFormat="false" ht="12.8" hidden="false" customHeight="false" outlineLevel="0" collapsed="false">
      <c r="A9" s="0" t="s">
        <v>142</v>
      </c>
      <c r="B9" s="0" t="s">
        <v>134</v>
      </c>
      <c r="C9" s="5" t="n">
        <f aca="false">IF(B9="Taiga",10,IF(B9="Mts",15,IF(B9="Temp",30,IF(B9="Steppe",20,IF(B9="Jungle",45,IF(B9="Sav",30,IF(B9="Medi",45,0)))))))*$C$28</f>
        <v>15</v>
      </c>
      <c r="D9" s="4" t="n">
        <f aca="false">Dists!AB9</f>
        <v>387.214054235423</v>
      </c>
      <c r="E9" s="4" t="n">
        <f aca="false">(D9-MIN($D$2:$D$24))*(0.1)/(MAX($D$2:$D$24)-MIN($D$2:$D$24))+0.05</f>
        <v>0.0746577680287585</v>
      </c>
      <c r="F9" s="0" t="n">
        <v>1</v>
      </c>
      <c r="G9" s="0" t="n">
        <v>0</v>
      </c>
      <c r="H9" s="0" t="n">
        <v>2</v>
      </c>
      <c r="I9" s="0" t="n">
        <v>3</v>
      </c>
      <c r="J9" s="0" t="n">
        <f aca="false">Capacity!C10</f>
        <v>144</v>
      </c>
      <c r="K9" s="4" t="n">
        <f aca="false">$E9*L9*100/3</f>
        <v>38.3543820113308</v>
      </c>
      <c r="L9" s="4" t="n">
        <f aca="false">$E9*M9*100/3</f>
        <v>15.4120795560978</v>
      </c>
      <c r="M9" s="4" t="n">
        <f aca="false">$E9*N9*100/3</f>
        <v>6.19309147448435</v>
      </c>
      <c r="N9" s="4" t="n">
        <f aca="false">$E9*O9*100/3</f>
        <v>2.48859226762528</v>
      </c>
      <c r="O9" s="4" t="n">
        <v>1</v>
      </c>
      <c r="P9" s="5" t="n">
        <f aca="false">Capacity!C10*Capacity!F10*Capacity!G10*3604.861727</f>
        <v>87208.814899584</v>
      </c>
      <c r="Q9" s="10" t="n">
        <f aca="false">ROUND($C9*P9,0)</f>
        <v>1308132</v>
      </c>
      <c r="R9" s="10" t="n">
        <f aca="false">(1-E9)*Q9</f>
        <v>1210469.784593</v>
      </c>
      <c r="S9" s="10" t="n">
        <f aca="false">ROUND($E9*Q9,0)</f>
        <v>97662</v>
      </c>
      <c r="T9" s="8" t="n">
        <f aca="false">S9/(($K9*F9)+($L9*G9)+($M9*H9)+($N9*I9)+($O9*J9))</f>
        <v>482.981884486996</v>
      </c>
      <c r="U9" s="10" t="n">
        <f aca="false">IF(F9=0,0,$K9*$T9)</f>
        <v>18524.4717021667</v>
      </c>
      <c r="V9" s="10" t="n">
        <f aca="false">IF(G9=0,0,$L9*$T9)</f>
        <v>0</v>
      </c>
      <c r="W9" s="10" t="n">
        <f aca="false">IF(H9=0,0,$M9*$T9)</f>
        <v>2991.1509911468</v>
      </c>
      <c r="X9" s="10" t="n">
        <f aca="false">IF(I9=0,0,$N9*$T9)</f>
        <v>1201.94498313743</v>
      </c>
      <c r="Y9" s="10" t="n">
        <f aca="false">IF(J9=0,0,$O9*$T9)</f>
        <v>482.981884486996</v>
      </c>
      <c r="Z9" s="4"/>
      <c r="AA9" s="4"/>
    </row>
    <row r="10" customFormat="false" ht="12.8" hidden="false" customHeight="false" outlineLevel="0" collapsed="false">
      <c r="A10" s="0" t="s">
        <v>143</v>
      </c>
      <c r="B10" s="0" t="s">
        <v>136</v>
      </c>
      <c r="C10" s="5" t="n">
        <f aca="false">IF(B10="Taiga",10,IF(B10="Mts",15,IF(B10="Temp",30,IF(B10="Steppe",20,IF(B10="Jungle",45,IF(B10="Sav",30,IF(B10="Medi",45,0)))))))*$C$28</f>
        <v>30</v>
      </c>
      <c r="D10" s="4" t="n">
        <f aca="false">Dists!AB10</f>
        <v>706.111334151817</v>
      </c>
      <c r="E10" s="4" t="n">
        <f aca="false">(D10-MIN($D$2:$D$24))*(0.1)/(MAX($D$2:$D$24)-MIN($D$2:$D$24))+0.05</f>
        <v>0.126535919256117</v>
      </c>
      <c r="F10" s="0" t="n">
        <v>1</v>
      </c>
      <c r="G10" s="0" t="n">
        <v>2</v>
      </c>
      <c r="H10" s="0" t="n">
        <v>5</v>
      </c>
      <c r="I10" s="0" t="n">
        <v>3</v>
      </c>
      <c r="J10" s="0" t="n">
        <f aca="false">Capacity!C11</f>
        <v>143</v>
      </c>
      <c r="K10" s="4" t="n">
        <f aca="false">$E10*L10*100/3</f>
        <v>316.497496485793</v>
      </c>
      <c r="L10" s="4" t="n">
        <f aca="false">$E10*M10*100/3</f>
        <v>75.0373882008588</v>
      </c>
      <c r="M10" s="4" t="n">
        <f aca="false">$E10*N10*100/3</f>
        <v>17.790376513323</v>
      </c>
      <c r="N10" s="4" t="n">
        <f aca="false">$E10*O10*100/3</f>
        <v>4.21786397520391</v>
      </c>
      <c r="O10" s="4" t="n">
        <v>1</v>
      </c>
      <c r="P10" s="5" t="n">
        <f aca="false">Capacity!C11*Capacity!F11*Capacity!G11*3604.861727</f>
        <v>211146.844963226</v>
      </c>
      <c r="Q10" s="10" t="n">
        <f aca="false">ROUND($C10*P10,0)</f>
        <v>6334405</v>
      </c>
      <c r="R10" s="10" t="n">
        <f aca="false">(1-E10)*Q10</f>
        <v>5532875.24038445</v>
      </c>
      <c r="S10" s="10" t="n">
        <f aca="false">ROUND($E10*Q10,0)</f>
        <v>801530</v>
      </c>
      <c r="T10" s="8" t="n">
        <f aca="false">S10/(($K10*F10)+($L10*G10)+($M10*H10)+($N10*I10)+($O10*J10))</f>
        <v>1127.04595012028</v>
      </c>
      <c r="U10" s="10" t="n">
        <f aca="false">IF(F10=0,0,$K10*$T10)</f>
        <v>356707.221637522</v>
      </c>
      <c r="V10" s="10" t="n">
        <f aca="false">IF(G10=0,0,$L10*$T10)</f>
        <v>84570.5844793815</v>
      </c>
      <c r="W10" s="10" t="n">
        <f aca="false">IF(H10=0,0,$M10*$T10)</f>
        <v>20050.5718004557</v>
      </c>
      <c r="X10" s="10" t="n">
        <f aca="false">IF(I10=0,0,$N10*$T10)</f>
        <v>4753.72651141182</v>
      </c>
      <c r="Y10" s="10" t="n">
        <f aca="false">IF(J10=0,0,$O10*$T10)</f>
        <v>1127.04595012028</v>
      </c>
      <c r="Z10" s="4"/>
      <c r="AA10" s="4"/>
    </row>
    <row r="11" customFormat="false" ht="12.8" hidden="false" customHeight="false" outlineLevel="0" collapsed="false">
      <c r="A11" s="0" t="s">
        <v>144</v>
      </c>
      <c r="B11" s="0" t="s">
        <v>134</v>
      </c>
      <c r="C11" s="5" t="n">
        <f aca="false">IF(B11="Taiga",10,IF(B11="Mts",15,IF(B11="Temp",30,IF(B11="Steppe",20,IF(B11="Jungle",45,IF(B11="Sav",30,IF(B11="Medi",45,0)))))))*$C$28</f>
        <v>15</v>
      </c>
      <c r="D11" s="4" t="n">
        <f aca="false">Dists!AB11</f>
        <v>451.230133742553</v>
      </c>
      <c r="E11" s="4" t="n">
        <f aca="false">(D11-MIN($D$2:$D$24))*(0.1)/(MAX($D$2:$D$24)-MIN($D$2:$D$24))+0.05</f>
        <v>0.0850718921458541</v>
      </c>
      <c r="F11" s="0" t="n">
        <v>1</v>
      </c>
      <c r="G11" s="0" t="n">
        <v>0</v>
      </c>
      <c r="H11" s="0" t="n">
        <v>0</v>
      </c>
      <c r="I11" s="0" t="n">
        <v>2</v>
      </c>
      <c r="J11" s="0" t="n">
        <f aca="false">Capacity!C12</f>
        <v>155</v>
      </c>
      <c r="K11" s="4" t="n">
        <f aca="false">$E11*L11*100/3</f>
        <v>64.6635212793676</v>
      </c>
      <c r="L11" s="4" t="n">
        <f aca="false">$E11*M11*100/3</f>
        <v>22.803132614649</v>
      </c>
      <c r="M11" s="4" t="n">
        <f aca="false">$E11*N11*100/3</f>
        <v>8.04136314808426</v>
      </c>
      <c r="N11" s="4" t="n">
        <f aca="false">$E11*O11*100/3</f>
        <v>2.83572973819514</v>
      </c>
      <c r="O11" s="4" t="n">
        <v>1</v>
      </c>
      <c r="P11" s="5" t="n">
        <f aca="false">Capacity!C12*Capacity!F12*Capacity!G12*3604.861727</f>
        <v>93870.59937108</v>
      </c>
      <c r="Q11" s="10" t="n">
        <f aca="false">ROUND($C11*P11,0)</f>
        <v>1408059</v>
      </c>
      <c r="R11" s="10" t="n">
        <f aca="false">(1-E11)*Q11</f>
        <v>1288272.756617</v>
      </c>
      <c r="S11" s="10" t="n">
        <f aca="false">ROUND($E11*Q11,0)</f>
        <v>119786</v>
      </c>
      <c r="T11" s="8" t="n">
        <f aca="false">S11/(($K11*F11)+($L11*G11)+($M11*H11)+($N11*I11)+($O11*J11))</f>
        <v>531.590788071369</v>
      </c>
      <c r="U11" s="10" t="n">
        <f aca="false">IF(F11=0,0,$K11*$T11)</f>
        <v>34374.5322363687</v>
      </c>
      <c r="V11" s="10" t="n">
        <f aca="false">IF(G11=0,0,$L11*$T11)</f>
        <v>0</v>
      </c>
      <c r="W11" s="10" t="n">
        <f aca="false">IF(H11=0,0,$M11*$T11)</f>
        <v>0</v>
      </c>
      <c r="X11" s="10" t="n">
        <f aca="false">IF(I11=0,0,$N11*$T11)</f>
        <v>1507.44780628457</v>
      </c>
      <c r="Y11" s="10" t="n">
        <f aca="false">IF(J11=0,0,$O11*$T11)</f>
        <v>531.590788071369</v>
      </c>
      <c r="Z11" s="4"/>
      <c r="AA11" s="4"/>
    </row>
    <row r="12" customFormat="false" ht="12.8" hidden="false" customHeight="false" outlineLevel="0" collapsed="false">
      <c r="A12" s="0" t="s">
        <v>145</v>
      </c>
      <c r="B12" s="0" t="s">
        <v>146</v>
      </c>
      <c r="C12" s="5" t="n">
        <f aca="false">IF(B12="Taiga",10,IF(B12="Mts",15,IF(B12="Temp",30,IF(B12="Steppe",20,IF(B12="Jungle",45,IF(B12="Sav",30,IF(B12="Medi",45,0)))))))*$C$28</f>
        <v>45</v>
      </c>
      <c r="D12" s="4" t="n">
        <f aca="false">Dists!AB12</f>
        <v>548.618559647975</v>
      </c>
      <c r="E12" s="4" t="n">
        <f aca="false">(D12-MIN($D$2:$D$24))*(0.1)/(MAX($D$2:$D$24)-MIN($D$2:$D$24))+0.05</f>
        <v>0.100915023477173</v>
      </c>
      <c r="F12" s="0" t="n">
        <v>1</v>
      </c>
      <c r="G12" s="0" t="n">
        <v>4</v>
      </c>
      <c r="H12" s="0" t="n">
        <v>1</v>
      </c>
      <c r="I12" s="0" t="n">
        <v>6</v>
      </c>
      <c r="J12" s="0" t="n">
        <f aca="false">Capacity!C13</f>
        <v>127</v>
      </c>
      <c r="K12" s="4" t="n">
        <f aca="false">$E12*L12*100/3</f>
        <v>128.037823624044</v>
      </c>
      <c r="L12" s="4" t="n">
        <f aca="false">$E12*M12*100/3</f>
        <v>38.0630611416362</v>
      </c>
      <c r="M12" s="4" t="n">
        <f aca="false">$E12*N12*100/3</f>
        <v>11.3153799593316</v>
      </c>
      <c r="N12" s="4" t="n">
        <f aca="false">$E12*O12*100/3</f>
        <v>3.36383411590578</v>
      </c>
      <c r="O12" s="4" t="n">
        <v>1</v>
      </c>
      <c r="P12" s="5" t="n">
        <f aca="false">Capacity!C13*Capacity!F13*Capacity!G13*3604.861727</f>
        <v>84650.4445319321</v>
      </c>
      <c r="Q12" s="10" t="n">
        <f aca="false">ROUND($C12*P12,0)</f>
        <v>3809270</v>
      </c>
      <c r="R12" s="10" t="n">
        <f aca="false">(1-E12)*Q12</f>
        <v>3424857.42851911</v>
      </c>
      <c r="S12" s="10" t="n">
        <f aca="false">ROUND($E12*Q12,0)</f>
        <v>384413</v>
      </c>
      <c r="T12" s="8" t="n">
        <f aca="false">S12/(($K12*F12)+($L12*G12)+($M12*H12)+($N12*I12)+($O12*J12))</f>
        <v>876.078204672996</v>
      </c>
      <c r="U12" s="10" t="n">
        <f aca="false">IF(F12=0,0,$K12*$T12)</f>
        <v>112171.14665079</v>
      </c>
      <c r="V12" s="10" t="n">
        <f aca="false">IF(G12=0,0,$L12*$T12)</f>
        <v>33346.2182693232</v>
      </c>
      <c r="W12" s="10" t="n">
        <f aca="false">IF(H12=0,0,$M12*$T12)</f>
        <v>9913.15775996404</v>
      </c>
      <c r="X12" s="10" t="n">
        <f aca="false">IF(I12=0,0,$N12*$T12)</f>
        <v>2946.98175308051</v>
      </c>
      <c r="Y12" s="10" t="n">
        <f aca="false">IF(J12=0,0,$O12*$T12)</f>
        <v>876.078204672996</v>
      </c>
      <c r="Z12" s="4"/>
      <c r="AA12" s="4"/>
    </row>
    <row r="13" customFormat="false" ht="12.8" hidden="false" customHeight="false" outlineLevel="0" collapsed="false">
      <c r="A13" s="0" t="s">
        <v>147</v>
      </c>
      <c r="B13" s="0" t="s">
        <v>146</v>
      </c>
      <c r="C13" s="5" t="n">
        <f aca="false">IF(B13="Taiga",10,IF(B13="Mts",15,IF(B13="Temp",30,IF(B13="Steppe",20,IF(B13="Jungle",45,IF(B13="Sav",30,IF(B13="Medi",45,0)))))))*$C$28</f>
        <v>45</v>
      </c>
      <c r="D13" s="4" t="n">
        <f aca="false">Dists!AB13</f>
        <v>445.499615868846</v>
      </c>
      <c r="E13" s="4" t="n">
        <f aca="false">(D13-MIN($D$2:$D$24))*(0.1)/(MAX($D$2:$D$24)-MIN($D$2:$D$24))+0.05</f>
        <v>0.0841396525452491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f aca="false">Capacity!C14</f>
        <v>99</v>
      </c>
      <c r="K13" s="4" t="n">
        <f aca="false">$E13*L13*100/3</f>
        <v>61.8753741681342</v>
      </c>
      <c r="L13" s="4" t="n">
        <f aca="false">$E13*M13*100/3</f>
        <v>22.0616697227952</v>
      </c>
      <c r="M13" s="4" t="n">
        <f aca="false">$E13*N13*100/3</f>
        <v>7.86609014492805</v>
      </c>
      <c r="N13" s="4" t="n">
        <f aca="false">$E13*O13*100/3</f>
        <v>2.80465508484164</v>
      </c>
      <c r="O13" s="4" t="n">
        <v>1</v>
      </c>
      <c r="P13" s="5" t="n">
        <f aca="false">Capacity!C14*Capacity!F14*Capacity!G14*3604.861727</f>
        <v>65987.3543989077</v>
      </c>
      <c r="Q13" s="10" t="n">
        <f aca="false">ROUND($C13*P13,0)</f>
        <v>2969431</v>
      </c>
      <c r="R13" s="10" t="n">
        <f aca="false">(1-E13)*Q13</f>
        <v>2719584.10740291</v>
      </c>
      <c r="S13" s="10" t="n">
        <f aca="false">ROUND($E13*Q13,0)</f>
        <v>249847</v>
      </c>
      <c r="T13" s="8" t="n">
        <f aca="false">S13/(($K13*F13)+($L13*G13)+($M13*H13)+($N13*I13)+($O13*J13))</f>
        <v>1240.09623932737</v>
      </c>
      <c r="U13" s="10" t="n">
        <f aca="false">IF(F13=0,0,$K13*$T13)</f>
        <v>76731.4188128769</v>
      </c>
      <c r="V13" s="10" t="n">
        <f aca="false">IF(G13=0,0,$L13*$T13)</f>
        <v>27358.5936565207</v>
      </c>
      <c r="W13" s="10" t="n">
        <f aca="false">IF(H13=0,0,$M13*$T13)</f>
        <v>9754.70880693533</v>
      </c>
      <c r="X13" s="10" t="n">
        <f aca="false">IF(I13=0,0,$N13*$T13)</f>
        <v>3478.04222332249</v>
      </c>
      <c r="Y13" s="10" t="n">
        <f aca="false">IF(J13=0,0,$O13*$T13)</f>
        <v>1240.09623932737</v>
      </c>
      <c r="Z13" s="4"/>
      <c r="AA13" s="4"/>
    </row>
    <row r="14" customFormat="false" ht="12.8" hidden="false" customHeight="false" outlineLevel="0" collapsed="false">
      <c r="A14" s="0" t="s">
        <v>148</v>
      </c>
      <c r="B14" s="0" t="s">
        <v>149</v>
      </c>
      <c r="C14" s="5" t="n">
        <f aca="false">IF(B14="Taiga",10,IF(B14="Mts",15,IF(B14="Temp",30,IF(B14="Steppe",20,IF(B14="Jungle",45,IF(B14="Sav",30,IF(B14="Medi",45,0)))))))*$C$28</f>
        <v>30</v>
      </c>
      <c r="D14" s="4" t="n">
        <f aca="false">Dists!AB14</f>
        <v>379.33145845547</v>
      </c>
      <c r="E14" s="4" t="n">
        <f aca="false">(D14-MIN($D$2:$D$24))*(0.1)/(MAX($D$2:$D$24)-MIN($D$2:$D$24))+0.05</f>
        <v>0.0733754287875967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f aca="false">Capacity!C15</f>
        <v>80</v>
      </c>
      <c r="K14" s="4" t="n">
        <f aca="false">$E14*L14*100/3</f>
        <v>35.7863652172999</v>
      </c>
      <c r="L14" s="4" t="n">
        <f aca="false">$E14*M14*100/3</f>
        <v>14.6314777883857</v>
      </c>
      <c r="M14" s="4" t="n">
        <f aca="false">$E14*N14*100/3</f>
        <v>5.98217061084853</v>
      </c>
      <c r="N14" s="4" t="n">
        <f aca="false">$E14*O14*100/3</f>
        <v>2.44584762625322</v>
      </c>
      <c r="O14" s="4" t="n">
        <v>1</v>
      </c>
      <c r="P14" s="5" t="n">
        <f aca="false">Capacity!C15*Capacity!F15*Capacity!G15*3604.861727</f>
        <v>131505.35580096</v>
      </c>
      <c r="Q14" s="10" t="n">
        <f aca="false">ROUND($C14*P14,0)</f>
        <v>3945161</v>
      </c>
      <c r="R14" s="10" t="n">
        <f aca="false">(1-E14)*Q14</f>
        <v>3655683.1199889</v>
      </c>
      <c r="S14" s="10" t="n">
        <f aca="false">ROUND($E14*Q14,0)</f>
        <v>289478</v>
      </c>
      <c r="T14" s="8" t="n">
        <f aca="false">S14/(($K14*F14)+($L14*G14)+($M14*H14)+($N14*I14)+($O14*J14))</f>
        <v>2448.38519924382</v>
      </c>
      <c r="U14" s="10" t="n">
        <f aca="false">IF(F14=0,0,$K14*$T14)</f>
        <v>87618.8069327707</v>
      </c>
      <c r="V14" s="10" t="n">
        <f aca="false">IF(G14=0,0,$L14*$T14)</f>
        <v>0</v>
      </c>
      <c r="W14" s="10" t="n">
        <f aca="false">IF(H14=0,0,$M14*$T14)</f>
        <v>0</v>
      </c>
      <c r="X14" s="10" t="n">
        <f aca="false">IF(I14=0,0,$N14*$T14)</f>
        <v>5988.37712772401</v>
      </c>
      <c r="Y14" s="10" t="n">
        <f aca="false">IF(J14=0,0,$O14*$T14)</f>
        <v>2448.38519924382</v>
      </c>
      <c r="Z14" s="4"/>
      <c r="AA14" s="4"/>
    </row>
    <row r="15" customFormat="false" ht="12.8" hidden="false" customHeight="false" outlineLevel="0" collapsed="false">
      <c r="A15" s="0" t="s">
        <v>150</v>
      </c>
      <c r="B15" s="0" t="s">
        <v>146</v>
      </c>
      <c r="C15" s="5" t="n">
        <f aca="false">IF(B15="Taiga",10,IF(B15="Mts",15,IF(B15="Temp",30,IF(B15="Steppe",20,IF(B15="Jungle",45,IF(B15="Sav",30,IF(B15="Medi",45,0)))))))*$C$28</f>
        <v>45</v>
      </c>
      <c r="D15" s="4" t="n">
        <f aca="false">Dists!AB15</f>
        <v>655.678477727734</v>
      </c>
      <c r="E15" s="4" t="n">
        <f aca="false">(D15-MIN($D$2:$D$24))*(0.1)/(MAX($D$2:$D$24)-MIN($D$2:$D$24))+0.05</f>
        <v>0.118331511388223</v>
      </c>
      <c r="F15" s="0" t="n">
        <v>1</v>
      </c>
      <c r="G15" s="0" t="n">
        <v>2</v>
      </c>
      <c r="H15" s="0" t="n">
        <v>1</v>
      </c>
      <c r="I15" s="0" t="n">
        <v>3</v>
      </c>
      <c r="J15" s="0" t="n">
        <f aca="false">Capacity!C16</f>
        <v>115</v>
      </c>
      <c r="K15" s="4" t="n">
        <f aca="false">$E15*L15*100/3</f>
        <v>242.0564320423</v>
      </c>
      <c r="L15" s="4" t="n">
        <f aca="false">$E15*M15*100/3</f>
        <v>61.3673642470837</v>
      </c>
      <c r="M15" s="4" t="n">
        <f aca="false">$E15*N15*100/3</f>
        <v>15.5581628749123</v>
      </c>
      <c r="N15" s="4" t="n">
        <f aca="false">$E15*O15*100/3</f>
        <v>3.94438371294076</v>
      </c>
      <c r="O15" s="4" t="n">
        <v>1</v>
      </c>
      <c r="P15" s="5" t="n">
        <f aca="false">Capacity!C16*Capacity!F16*Capacity!G16*3604.861727</f>
        <v>76651.9773320645</v>
      </c>
      <c r="Q15" s="10" t="n">
        <f aca="false">ROUND($C15*P15,0)</f>
        <v>3449339</v>
      </c>
      <c r="R15" s="10" t="n">
        <f aca="false">(1-E15)*Q15</f>
        <v>3041173.50283966</v>
      </c>
      <c r="S15" s="10" t="n">
        <f aca="false">ROUND($E15*Q15,0)</f>
        <v>408165</v>
      </c>
      <c r="T15" s="8" t="n">
        <f aca="false">S15/(($K15*F15)+($L15*G15)+($M15*H15)+($N15*I15)+($O15*J15))</f>
        <v>804.769526711237</v>
      </c>
      <c r="U15" s="10" t="n">
        <f aca="false">IF(F15=0,0,$K15*$T15)</f>
        <v>194799.640252092</v>
      </c>
      <c r="V15" s="10" t="n">
        <f aca="false">IF(G15=0,0,$L15*$T15)</f>
        <v>49386.5846806416</v>
      </c>
      <c r="W15" s="10" t="n">
        <f aca="false">IF(H15=0,0,$M15*$T15)</f>
        <v>12520.7353733395</v>
      </c>
      <c r="X15" s="10" t="n">
        <f aca="false">IF(I15=0,0,$N15*$T15)</f>
        <v>3174.31981383084</v>
      </c>
      <c r="Y15" s="10" t="n">
        <f aca="false">IF(J15=0,0,$O15*$T15)</f>
        <v>804.769526711237</v>
      </c>
      <c r="Z15" s="4"/>
      <c r="AA15" s="4"/>
    </row>
    <row r="16" customFormat="false" ht="12.8" hidden="false" customHeight="false" outlineLevel="0" collapsed="false">
      <c r="A16" s="0" t="s">
        <v>151</v>
      </c>
      <c r="B16" s="0" t="s">
        <v>136</v>
      </c>
      <c r="C16" s="5" t="n">
        <f aca="false">IF(B16="Taiga",10,IF(B16="Mts",15,IF(B16="Temp",30,IF(B16="Steppe",20,IF(B16="Jungle",45,IF(B16="Sav",30,IF(B16="Medi",45,0)))))))*$C$28</f>
        <v>30</v>
      </c>
      <c r="D16" s="4" t="n">
        <f aca="false">Dists!AB16</f>
        <v>647.581221485407</v>
      </c>
      <c r="E16" s="4" t="n">
        <f aca="false">(D16-MIN($D$2:$D$24))*(0.1)/(MAX($D$2:$D$24)-MIN($D$2:$D$24))+0.05</f>
        <v>0.117014251222265</v>
      </c>
      <c r="F16" s="0" t="n">
        <v>1</v>
      </c>
      <c r="G16" s="0" t="n">
        <v>0</v>
      </c>
      <c r="H16" s="0" t="n">
        <v>2</v>
      </c>
      <c r="I16" s="0" t="n">
        <v>9</v>
      </c>
      <c r="J16" s="0" t="n">
        <f aca="false">Capacity!C17</f>
        <v>155</v>
      </c>
      <c r="K16" s="4" t="n">
        <f aca="false">$E16*L16*100/3</f>
        <v>231.456836362881</v>
      </c>
      <c r="L16" s="4" t="n">
        <f aca="false">$E16*M16*100/3</f>
        <v>59.3406787494378</v>
      </c>
      <c r="M16" s="4" t="n">
        <f aca="false">$E16*N16*100/3</f>
        <v>15.2137055434526</v>
      </c>
      <c r="N16" s="4" t="n">
        <f aca="false">$E16*O16*100/3</f>
        <v>3.90047504074217</v>
      </c>
      <c r="O16" s="4" t="n">
        <v>1</v>
      </c>
      <c r="P16" s="5" t="n">
        <f aca="false">Capacity!C17*Capacity!F17*Capacity!G17*3604.861727</f>
        <v>228865.461323776</v>
      </c>
      <c r="Q16" s="10" t="n">
        <f aca="false">ROUND($C16*P16,0)</f>
        <v>6865964</v>
      </c>
      <c r="R16" s="10" t="n">
        <f aca="false">(1-E16)*Q16</f>
        <v>6062548.36362097</v>
      </c>
      <c r="S16" s="10" t="n">
        <f aca="false">ROUND($E16*Q16,0)</f>
        <v>803416</v>
      </c>
      <c r="T16" s="8" t="n">
        <f aca="false">S16/(($K16*F16)+($L16*G16)+($M16*H16)+($N16*I16)+($O16*J16))</f>
        <v>1777.51416118642</v>
      </c>
      <c r="U16" s="10" t="n">
        <f aca="false">IF(F16=0,0,$K16*$T16)</f>
        <v>411417.80433843</v>
      </c>
      <c r="V16" s="10" t="n">
        <f aca="false">IF(G16=0,0,$L16*$T16)</f>
        <v>0</v>
      </c>
      <c r="W16" s="10" t="n">
        <f aca="false">IF(H16=0,0,$M16*$T16)</f>
        <v>27042.5770476074</v>
      </c>
      <c r="X16" s="10" t="n">
        <f aca="false">IF(I16=0,0,$N16*$T16)</f>
        <v>6933.14962027339</v>
      </c>
      <c r="Y16" s="10" t="n">
        <f aca="false">IF(J16=0,0,$O16*$T16)</f>
        <v>1777.51416118642</v>
      </c>
      <c r="Z16" s="4"/>
      <c r="AA16" s="4"/>
    </row>
    <row r="17" s="18" customFormat="true" ht="12.8" hidden="false" customHeight="false" outlineLevel="0" collapsed="false">
      <c r="A17" s="18" t="s">
        <v>152</v>
      </c>
      <c r="B17" s="18" t="s">
        <v>136</v>
      </c>
      <c r="C17" s="31" t="n">
        <f aca="false">IF(B17="Taiga",10,IF(B17="Mts",15,IF(B17="Temp",30,IF(B17="Steppe",20,IF(B17="Jungle",45,IF(B17="Sav",30,IF(B17="Medi",45,0)))))))*$C$28</f>
        <v>30</v>
      </c>
      <c r="D17" s="21" t="n">
        <f aca="false">Dists!AB17</f>
        <v>790.403854820908</v>
      </c>
      <c r="E17" s="21" t="n">
        <f aca="false">(D17-MIN($D$2:$D$24))*(0.1)/(MAX($D$2:$D$24)-MIN($D$2:$D$24))+0.05</f>
        <v>0.140248611116496</v>
      </c>
      <c r="F17" s="18" t="n">
        <v>1</v>
      </c>
      <c r="G17" s="18" t="n">
        <v>3</v>
      </c>
      <c r="H17" s="18" t="n">
        <v>1</v>
      </c>
      <c r="I17" s="18" t="n">
        <v>7</v>
      </c>
      <c r="J17" s="18" t="n">
        <f aca="false">Capacity!C18</f>
        <v>143</v>
      </c>
      <c r="K17" s="21" t="n">
        <f aca="false">$E17*L17*100/3</f>
        <v>477.649423190069</v>
      </c>
      <c r="L17" s="21" t="n">
        <f aca="false">$E17*M17*100/3</f>
        <v>102.172011413357</v>
      </c>
      <c r="M17" s="21" t="n">
        <f aca="false">$E17*N17*100/3</f>
        <v>21.8551921334512</v>
      </c>
      <c r="N17" s="21" t="n">
        <f aca="false">$E17*O17*100/3</f>
        <v>4.6749537038832</v>
      </c>
      <c r="O17" s="21" t="n">
        <v>1</v>
      </c>
      <c r="P17" s="31" t="n">
        <f aca="false">Capacity!C18*Capacity!F18*Capacity!G18*3604.861727</f>
        <v>211146.844963226</v>
      </c>
      <c r="Q17" s="26" t="n">
        <f aca="false">ROUND($C17*P17,0)</f>
        <v>6334405</v>
      </c>
      <c r="R17" s="26" t="n">
        <f aca="false">(1-E17)*Q17</f>
        <v>5446013.49650061</v>
      </c>
      <c r="S17" s="26" t="n">
        <f aca="false">ROUND($E17*Q17,0)</f>
        <v>888392</v>
      </c>
      <c r="T17" s="32" t="n">
        <f aca="false">S17/(($K17*F17)+($L17*G17)+($M17*H17)+($N17*I17)+($O17*J17))</f>
        <v>904.910853082895</v>
      </c>
      <c r="U17" s="26" t="n">
        <f aca="false">IF(F17=0,0,$K17*$T17)</f>
        <v>432230.147013478</v>
      </c>
      <c r="V17" s="26" t="n">
        <f aca="false">IF(G17=0,0,$L17*$T17)</f>
        <v>92456.562009256</v>
      </c>
      <c r="W17" s="26" t="n">
        <f aca="false">IF(H17=0,0,$M17*$T17)</f>
        <v>19777.0005577719</v>
      </c>
      <c r="X17" s="26" t="n">
        <f aca="false">IF(I17=0,0,$N17*$T17)</f>
        <v>4230.41634430399</v>
      </c>
      <c r="Y17" s="26" t="n">
        <f aca="false">IF(J17=0,0,$O17*$T17)</f>
        <v>904.910853082895</v>
      </c>
      <c r="Z17" s="21"/>
      <c r="AA17" s="21"/>
    </row>
    <row r="18" customFormat="false" ht="12.8" hidden="false" customHeight="false" outlineLevel="0" collapsed="false">
      <c r="A18" s="0" t="s">
        <v>153</v>
      </c>
      <c r="B18" s="0" t="s">
        <v>154</v>
      </c>
      <c r="C18" s="5" t="n">
        <f aca="false">IF(B18="Taiga",10,IF(B18="Mts",15,IF(B18="Temp",30,IF(B18="Steppe",20,IF(B18="Jungle",45,IF(B18="Sav",30,IF(B18="Medi",45,0)))))))*$C$28</f>
        <v>45</v>
      </c>
      <c r="D18" s="4" t="n">
        <f aca="false">Dists!AB18</f>
        <v>802.442909886435</v>
      </c>
      <c r="E18" s="4" t="n">
        <f aca="false">(D18-MIN($D$2:$D$24))*(0.1)/(MAX($D$2:$D$24)-MIN($D$2:$D$24))+0.05</f>
        <v>0.14220712239476</v>
      </c>
      <c r="F18" s="0" t="n">
        <v>1</v>
      </c>
      <c r="G18" s="0" t="n">
        <v>0</v>
      </c>
      <c r="H18" s="0" t="n">
        <v>1</v>
      </c>
      <c r="I18" s="0" t="n">
        <v>5</v>
      </c>
      <c r="J18" s="0" t="n">
        <f aca="false">Capacity!C19</f>
        <v>84</v>
      </c>
      <c r="K18" s="4" t="n">
        <f aca="false">$E18*L18*100/3</f>
        <v>504.894191968205</v>
      </c>
      <c r="L18" s="4" t="n">
        <f aca="false">$E18*M18*100/3</f>
        <v>106.512427113174</v>
      </c>
      <c r="M18" s="4" t="n">
        <f aca="false">$E18*N18*100/3</f>
        <v>22.4698507331091</v>
      </c>
      <c r="N18" s="4" t="n">
        <f aca="false">$E18*O18*100/3</f>
        <v>4.74023741315866</v>
      </c>
      <c r="O18" s="4" t="n">
        <v>1</v>
      </c>
      <c r="P18" s="5" t="n">
        <f aca="false">Capacity!C19*Capacity!F19*Capacity!G19*3604.861727</f>
        <v>78124.563347544</v>
      </c>
      <c r="Q18" s="10" t="n">
        <f aca="false">ROUND($C18*P18,0)</f>
        <v>3515605</v>
      </c>
      <c r="R18" s="10" t="n">
        <f aca="false">(1-E18)*Q18</f>
        <v>3015660.92947337</v>
      </c>
      <c r="S18" s="10" t="n">
        <f aca="false">ROUND($E18*Q18,0)</f>
        <v>499944</v>
      </c>
      <c r="T18" s="8" t="n">
        <f aca="false">S18/(($K18*F18)+($L18*G18)+($M18*H18)+($N18*I18)+($O18*J18))</f>
        <v>787.232518119975</v>
      </c>
      <c r="U18" s="10" t="n">
        <f aca="false">IF(F18=0,0,$K18*$T18)</f>
        <v>397469.12612728</v>
      </c>
      <c r="V18" s="10" t="n">
        <f aca="false">IF(G18=0,0,$L18*$T18)</f>
        <v>0</v>
      </c>
      <c r="W18" s="10" t="n">
        <f aca="false">IF(H18=0,0,$M18*$T18)</f>
        <v>17688.9971744055</v>
      </c>
      <c r="X18" s="10" t="n">
        <f aca="false">IF(I18=0,0,$N18*$T18)</f>
        <v>3731.66903524741</v>
      </c>
      <c r="Y18" s="10" t="n">
        <f aca="false">IF(J18=0,0,$O18*$T18)</f>
        <v>787.232518119975</v>
      </c>
      <c r="Z18" s="4"/>
      <c r="AA18" s="4"/>
    </row>
    <row r="19" customFormat="false" ht="12.8" hidden="false" customHeight="false" outlineLevel="0" collapsed="false">
      <c r="A19" s="0" t="s">
        <v>155</v>
      </c>
      <c r="B19" s="0" t="s">
        <v>134</v>
      </c>
      <c r="C19" s="5" t="n">
        <f aca="false">IF(B19="Taiga",10,IF(B19="Mts",15,IF(B19="Temp",30,IF(B19="Steppe",20,IF(B19="Jungle",45,IF(B19="Sav",30,IF(B19="Medi",45,0)))))))*$C$28</f>
        <v>15</v>
      </c>
      <c r="D19" s="4" t="n">
        <f aca="false">Dists!AB19</f>
        <v>239.582610859814</v>
      </c>
      <c r="E19" s="4" t="n">
        <f aca="false">(D19-MIN($D$2:$D$24))*(0.1)/(MAX($D$2:$D$24)-MIN($D$2:$D$24))+0.05</f>
        <v>0.0506411117958766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f aca="false">Capacity!C20</f>
        <v>44</v>
      </c>
      <c r="K19" s="4" t="n">
        <f aca="false">$E19*L19*100/3</f>
        <v>8.11947424001406</v>
      </c>
      <c r="L19" s="4" t="n">
        <f aca="false">$E19*M19*100/3</f>
        <v>4.81000946784615</v>
      </c>
      <c r="M19" s="4" t="n">
        <f aca="false">$E19*N19*100/3</f>
        <v>2.84946911546942</v>
      </c>
      <c r="N19" s="4" t="n">
        <f aca="false">$E19*O19*100/3</f>
        <v>1.68803705986255</v>
      </c>
      <c r="O19" s="4" t="n">
        <v>1</v>
      </c>
      <c r="P19" s="5" t="n">
        <f aca="false">Capacity!C20*Capacity!F20*Capacity!G20*3604.861727</f>
        <v>26647.137885984</v>
      </c>
      <c r="Q19" s="10" t="n">
        <f aca="false">ROUND($C19*P19,0)</f>
        <v>399707</v>
      </c>
      <c r="R19" s="10" t="n">
        <f aca="false">(1-E19)*Q19</f>
        <v>379465.393127406</v>
      </c>
      <c r="S19" s="10" t="n">
        <f aca="false">ROUND($E19*Q19,0)</f>
        <v>20242</v>
      </c>
      <c r="T19" s="8" t="n">
        <f aca="false">S19/(($K19*F19)+($L19*G19)+($M19*H19)+($N19*I19)+($O19*J19))</f>
        <v>388.376903166446</v>
      </c>
      <c r="U19" s="10" t="n">
        <f aca="false">IF(F19=0,0,$K19*$T19)</f>
        <v>3153.41626067639</v>
      </c>
      <c r="V19" s="10" t="n">
        <f aca="false">IF(G19=0,0,$L19*$T19)</f>
        <v>0</v>
      </c>
      <c r="W19" s="10" t="n">
        <f aca="false">IF(H19=0,0,$M19*$T19)</f>
        <v>0</v>
      </c>
      <c r="X19" s="10" t="n">
        <f aca="false">IF(I19=0,0,$N19*$T19)</f>
        <v>0</v>
      </c>
      <c r="Y19" s="10" t="n">
        <f aca="false">IF(J19=0,0,$O19*$T19)</f>
        <v>388.376903166446</v>
      </c>
      <c r="Z19" s="4"/>
      <c r="AA19" s="4"/>
    </row>
    <row r="20" customFormat="false" ht="12.8" hidden="false" customHeight="false" outlineLevel="0" collapsed="false">
      <c r="A20" s="0" t="s">
        <v>156</v>
      </c>
      <c r="B20" s="0" t="s">
        <v>154</v>
      </c>
      <c r="C20" s="5" t="n">
        <f aca="false">IF(B20="Taiga",10,IF(B20="Mts",15,IF(B20="Temp",30,IF(B20="Steppe",20,IF(B20="Jungle",45,IF(B20="Sav",30,IF(B20="Medi",45,0)))))))*$C$28</f>
        <v>45</v>
      </c>
      <c r="D20" s="4" t="n">
        <f aca="false">Dists!AB20</f>
        <v>850.346071665298</v>
      </c>
      <c r="E20" s="4" t="n">
        <f aca="false">(D20-MIN($D$2:$D$24))*(0.1)/(MAX($D$2:$D$24)-MIN($D$2:$D$24))+0.05</f>
        <v>0.15</v>
      </c>
      <c r="F20" s="0" t="n">
        <v>1</v>
      </c>
      <c r="G20" s="0" t="n">
        <v>1</v>
      </c>
      <c r="H20" s="0" t="n">
        <v>7</v>
      </c>
      <c r="I20" s="0" t="n">
        <v>2</v>
      </c>
      <c r="J20" s="0" t="n">
        <f aca="false">Capacity!C21</f>
        <v>196</v>
      </c>
      <c r="K20" s="4" t="n">
        <f aca="false">$E20*L20*100/3</f>
        <v>625</v>
      </c>
      <c r="L20" s="4" t="n">
        <f aca="false">$E20*M20*100/3</f>
        <v>125</v>
      </c>
      <c r="M20" s="4" t="n">
        <f aca="false">$E20*N20*100/3</f>
        <v>25</v>
      </c>
      <c r="N20" s="4" t="n">
        <f aca="false">$E20*O20*100/3</f>
        <v>5</v>
      </c>
      <c r="O20" s="4" t="n">
        <v>1</v>
      </c>
      <c r="P20" s="5" t="n">
        <f aca="false">Capacity!C21*Capacity!F21*Capacity!G21*3604.861727</f>
        <v>182290.647810936</v>
      </c>
      <c r="Q20" s="10" t="n">
        <f aca="false">ROUND($C20*P20,0)</f>
        <v>8203079</v>
      </c>
      <c r="R20" s="10" t="n">
        <f aca="false">(1-E20)*Q20</f>
        <v>6972617.15</v>
      </c>
      <c r="S20" s="10" t="n">
        <f aca="false">ROUND($E20*Q20,0)</f>
        <v>1230462</v>
      </c>
      <c r="T20" s="8" t="n">
        <f aca="false">S20/(($K20*F20)+($L20*G20)+($M20*H20)+($N20*I20)+($O20*J20))</f>
        <v>1087.94164456233</v>
      </c>
      <c r="U20" s="10" t="n">
        <f aca="false">IF(F20=0,0,$K20*$T20)</f>
        <v>679963.527851459</v>
      </c>
      <c r="V20" s="10" t="n">
        <f aca="false">IF(G20=0,0,$L20*$T20)</f>
        <v>135992.705570292</v>
      </c>
      <c r="W20" s="10" t="n">
        <f aca="false">IF(H20=0,0,$M20*$T20)</f>
        <v>27198.5411140583</v>
      </c>
      <c r="X20" s="10" t="n">
        <f aca="false">IF(I20=0,0,$N20*$T20)</f>
        <v>5439.70822281167</v>
      </c>
      <c r="Y20" s="10" t="n">
        <f aca="false">IF(J20=0,0,$O20*$T20)</f>
        <v>1087.94164456233</v>
      </c>
      <c r="Z20" s="4"/>
      <c r="AA20" s="4"/>
    </row>
    <row r="21" customFormat="false" ht="12.8" hidden="false" customHeight="false" outlineLevel="0" collapsed="false">
      <c r="A21" s="0" t="s">
        <v>157</v>
      </c>
      <c r="B21" s="0" t="s">
        <v>134</v>
      </c>
      <c r="C21" s="5" t="n">
        <f aca="false">IF(B21="Taiga",10,IF(B21="Mts",15,IF(B21="Temp",30,IF(B21="Steppe",20,IF(B21="Jungle",45,IF(B21="Sav",30,IF(B21="Medi",45,0)))))))*$C$28</f>
        <v>15</v>
      </c>
      <c r="D21" s="4" t="n">
        <f aca="false">Dists!AB21</f>
        <v>337.98260340567</v>
      </c>
      <c r="E21" s="4" t="n">
        <f aca="false">(D21-MIN($D$2:$D$24))*(0.1)/(MAX($D$2:$D$24)-MIN($D$2:$D$24))+0.05</f>
        <v>0.0666488046034266</v>
      </c>
      <c r="F21" s="0" t="n">
        <v>1</v>
      </c>
      <c r="G21" s="0" t="n">
        <v>0</v>
      </c>
      <c r="H21" s="0" t="n">
        <v>0</v>
      </c>
      <c r="I21" s="0" t="n">
        <v>2</v>
      </c>
      <c r="J21" s="0" t="n">
        <f aca="false">Capacity!C22</f>
        <v>126</v>
      </c>
      <c r="K21" s="4" t="n">
        <f aca="false">$E21*L21*100/3</f>
        <v>24.3604013254229</v>
      </c>
      <c r="L21" s="4" t="n">
        <f aca="false">$E21*M21*100/3</f>
        <v>10.9651184910391</v>
      </c>
      <c r="M21" s="4" t="n">
        <f aca="false">$E21*N21*100/3</f>
        <v>4.93562572785082</v>
      </c>
      <c r="N21" s="4" t="n">
        <f aca="false">$E21*O21*100/3</f>
        <v>2.22162682011422</v>
      </c>
      <c r="O21" s="4" t="n">
        <v>1</v>
      </c>
      <c r="P21" s="5" t="n">
        <f aca="false">Capacity!C22*Capacity!F22*Capacity!G22*3604.861727</f>
        <v>76307.713037136</v>
      </c>
      <c r="Q21" s="10" t="n">
        <f aca="false">ROUND($C21*P21,0)</f>
        <v>1144616</v>
      </c>
      <c r="R21" s="10" t="n">
        <f aca="false">(1-E21)*Q21</f>
        <v>1068328.71187004</v>
      </c>
      <c r="S21" s="10" t="n">
        <f aca="false">ROUND($E21*Q21,0)</f>
        <v>76287</v>
      </c>
      <c r="T21" s="8" t="n">
        <f aca="false">S21/(($K21*F21)+($L21*G21)+($M21*H21)+($N21*I21)+($O21*J21))</f>
        <v>492.798442109955</v>
      </c>
      <c r="U21" s="10" t="n">
        <f aca="false">IF(F21=0,0,$K21*$T21)</f>
        <v>12004.7678223417</v>
      </c>
      <c r="V21" s="10" t="n">
        <f aca="false">IF(G21=0,0,$L21*$T21)</f>
        <v>0</v>
      </c>
      <c r="W21" s="10" t="n">
        <f aca="false">IF(H21=0,0,$M21*$T21)</f>
        <v>0</v>
      </c>
      <c r="X21" s="10" t="n">
        <f aca="false">IF(I21=0,0,$N21*$T21)</f>
        <v>1094.81423590198</v>
      </c>
      <c r="Y21" s="10" t="n">
        <f aca="false">IF(J21=0,0,$O21*$T21)</f>
        <v>492.798442109955</v>
      </c>
      <c r="Z21" s="4"/>
      <c r="AA21" s="4"/>
    </row>
    <row r="22" customFormat="false" ht="12.8" hidden="false" customHeight="false" outlineLevel="0" collapsed="false">
      <c r="A22" s="0" t="s">
        <v>158</v>
      </c>
      <c r="B22" s="0" t="s">
        <v>149</v>
      </c>
      <c r="C22" s="5" t="n">
        <f aca="false">IF(B22="Taiga",10,IF(B22="Mts",15,IF(B22="Temp",30,IF(B22="Steppe",20,IF(B22="Jungle",45,IF(B22="Sav",30,IF(B22="Medi",45,0)))))))*$C$28</f>
        <v>30</v>
      </c>
      <c r="D22" s="4" t="n">
        <f aca="false">Dists!AB22</f>
        <v>514.766011184088</v>
      </c>
      <c r="E22" s="4" t="n">
        <f aca="false">(D22-MIN($D$2:$D$24))*(0.1)/(MAX($D$2:$D$24)-MIN($D$2:$D$24))+0.05</f>
        <v>0.0954078970786621</v>
      </c>
      <c r="F22" s="0" t="n">
        <v>1</v>
      </c>
      <c r="G22" s="0" t="n">
        <v>3</v>
      </c>
      <c r="H22" s="0" t="n">
        <v>1</v>
      </c>
      <c r="I22" s="0" t="n">
        <v>5</v>
      </c>
      <c r="J22" s="0" t="n">
        <f aca="false">Capacity!C23</f>
        <v>113</v>
      </c>
      <c r="K22" s="4" t="n">
        <f aca="false">$E22*L22*100/3</f>
        <v>102.294497933897</v>
      </c>
      <c r="L22" s="4" t="n">
        <f aca="false">$E22*M22*100/3</f>
        <v>32.1654185029014</v>
      </c>
      <c r="M22" s="4" t="n">
        <f aca="false">$E22*N22*100/3</f>
        <v>10.1140742499695</v>
      </c>
      <c r="N22" s="4" t="n">
        <f aca="false">$E22*O22*100/3</f>
        <v>3.1802632359554</v>
      </c>
      <c r="O22" s="4" t="n">
        <v>1</v>
      </c>
      <c r="P22" s="5" t="n">
        <f aca="false">Capacity!C23*Capacity!F23*Capacity!G23*3604.861727</f>
        <v>185751.315068856</v>
      </c>
      <c r="Q22" s="10" t="n">
        <f aca="false">ROUND($C22*P22,0)</f>
        <v>5572539</v>
      </c>
      <c r="R22" s="10" t="n">
        <f aca="false">(1-E22)*Q22</f>
        <v>5040874.77262117</v>
      </c>
      <c r="S22" s="10" t="n">
        <f aca="false">ROUND($E22*Q22,0)</f>
        <v>531664</v>
      </c>
      <c r="T22" s="8" t="n">
        <f aca="false">S22/(($K22*F22)+($L22*G22)+($M22*H22)+($N22*I22)+($O22*J22))</f>
        <v>1573.87309154717</v>
      </c>
      <c r="U22" s="10" t="n">
        <f aca="false">IF(F22=0,0,$K22*$T22)</f>
        <v>160998.557711488</v>
      </c>
      <c r="V22" s="10" t="n">
        <f aca="false">IF(G22=0,0,$L22*$T22)</f>
        <v>50624.2866600699</v>
      </c>
      <c r="W22" s="10" t="n">
        <f aca="false">IF(H22=0,0,$M22*$T22)</f>
        <v>15918.2693079372</v>
      </c>
      <c r="X22" s="10" t="n">
        <f aca="false">IF(I22=0,0,$N22*$T22)</f>
        <v>5005.33073110694</v>
      </c>
      <c r="Y22" s="10" t="n">
        <f aca="false">IF(J22=0,0,$O22*$T22)</f>
        <v>1573.87309154717</v>
      </c>
      <c r="Z22" s="4"/>
      <c r="AA22" s="4"/>
    </row>
    <row r="23" customFormat="false" ht="12.8" hidden="false" customHeight="false" outlineLevel="0" collapsed="false">
      <c r="A23" s="0" t="s">
        <v>159</v>
      </c>
      <c r="B23" s="0" t="s">
        <v>132</v>
      </c>
      <c r="C23" s="5" t="n">
        <f aca="false">IF(B23="Taiga",10,IF(B23="Mts",15,IF(B23="Temp",30,IF(B23="Steppe",20,IF(B23="Jungle",45,IF(B23="Sav",30,IF(B23="Medi",45,0)))))))*$C$28</f>
        <v>10</v>
      </c>
      <c r="D23" s="4" t="n">
        <f aca="false">Dists!AB23</f>
        <v>408.807024719814</v>
      </c>
      <c r="E23" s="4" t="n">
        <f aca="false">(D23-MIN($D$2:$D$24))*(0.1)/(MAX($D$2:$D$24)-MIN($D$2:$D$24))+0.05</f>
        <v>0.0781705085216559</v>
      </c>
      <c r="F23" s="0" t="n">
        <v>1</v>
      </c>
      <c r="G23" s="0" t="n">
        <v>3</v>
      </c>
      <c r="H23" s="0" t="n">
        <v>0</v>
      </c>
      <c r="I23" s="0" t="n">
        <v>4</v>
      </c>
      <c r="J23" s="0" t="n">
        <f aca="false">Capacity!C24</f>
        <v>100</v>
      </c>
      <c r="K23" s="4" t="n">
        <f aca="false">$E23*L23*100/3</f>
        <v>46.0984931776031</v>
      </c>
      <c r="L23" s="4" t="n">
        <f aca="false">$E23*M23*100/3</f>
        <v>17.6915159115918</v>
      </c>
      <c r="M23" s="4" t="n">
        <f aca="false">$E23*N23*100/3</f>
        <v>6.78958711392697</v>
      </c>
      <c r="N23" s="4" t="n">
        <f aca="false">$E23*O23*100/3</f>
        <v>2.60568361738853</v>
      </c>
      <c r="O23" s="4" t="n">
        <v>1</v>
      </c>
      <c r="P23" s="5" t="n">
        <f aca="false">Capacity!C24*Capacity!F24*Capacity!G24*3604.861727</f>
        <v>66653.89333223</v>
      </c>
      <c r="Q23" s="10" t="n">
        <f aca="false">ROUND($C23*P23,0)</f>
        <v>666539</v>
      </c>
      <c r="R23" s="10" t="n">
        <f aca="false">(1-E23)*Q23</f>
        <v>614435.307420484</v>
      </c>
      <c r="S23" s="10" t="n">
        <f aca="false">ROUND($E23*Q23,0)</f>
        <v>52104</v>
      </c>
      <c r="T23" s="8" t="n">
        <f aca="false">S23/(($K23*F23)+($L23*G23)+($M23*H23)+($N23*I23)+($O23*J23))</f>
        <v>248.592796801626</v>
      </c>
      <c r="U23" s="10" t="n">
        <f aca="false">IF(F23=0,0,$K23*$T23)</f>
        <v>11459.753347361</v>
      </c>
      <c r="V23" s="10" t="n">
        <f aca="false">IF(G23=0,0,$L23*$T23)</f>
        <v>4397.98342012306</v>
      </c>
      <c r="W23" s="10" t="n">
        <f aca="false">IF(H23=0,0,$M23*$T23)</f>
        <v>0</v>
      </c>
      <c r="X23" s="10" t="n">
        <f aca="false">IF(I23=0,0,$N23*$T23)</f>
        <v>647.754178026792</v>
      </c>
      <c r="Y23" s="10" t="n">
        <f aca="false">IF(J23=0,0,$O23*$T23)</f>
        <v>248.592796801626</v>
      </c>
      <c r="Z23" s="4"/>
      <c r="AA23" s="4"/>
    </row>
    <row r="24" customFormat="false" ht="12.8" hidden="false" customHeight="false" outlineLevel="0" collapsed="false">
      <c r="A24" s="0" t="s">
        <v>160</v>
      </c>
      <c r="B24" s="0" t="s">
        <v>132</v>
      </c>
      <c r="C24" s="5" t="n">
        <f aca="false">IF(B24="Taiga",10,IF(B24="Mts",15,IF(B24="Temp",30,IF(B24="Steppe",20,IF(B24="Jungle",45,IF(B24="Sav",30,IF(B24="Medi",45,0)))))))*$C$28</f>
        <v>10</v>
      </c>
      <c r="D24" s="4" t="n">
        <f aca="false">Dists!AB24</f>
        <v>449.781980296343</v>
      </c>
      <c r="E24" s="4" t="n">
        <f aca="false">(D24-MIN($D$2:$D$24))*(0.1)/(MAX($D$2:$D$24)-MIN($D$2:$D$24))+0.05</f>
        <v>0.0848363068078336</v>
      </c>
      <c r="F24" s="0" t="n">
        <v>1</v>
      </c>
      <c r="G24" s="0" t="n">
        <v>0</v>
      </c>
      <c r="H24" s="0" t="n">
        <v>3</v>
      </c>
      <c r="I24" s="0" t="n">
        <v>6</v>
      </c>
      <c r="J24" s="0" t="n">
        <f aca="false">Capacity!C25</f>
        <v>151</v>
      </c>
      <c r="K24" s="4" t="n">
        <f aca="false">$E24*L24*100/3</f>
        <v>63.9502132914604</v>
      </c>
      <c r="L24" s="4" t="n">
        <f aca="false">$E24*M24*100/3</f>
        <v>22.6142140191169</v>
      </c>
      <c r="M24" s="4" t="n">
        <f aca="false">$E24*N24*100/3</f>
        <v>7.99688772532543</v>
      </c>
      <c r="N24" s="4" t="n">
        <f aca="false">$E24*O24*100/3</f>
        <v>2.82787689359446</v>
      </c>
      <c r="O24" s="4" t="n">
        <v>1</v>
      </c>
      <c r="P24" s="5" t="n">
        <f aca="false">Capacity!C25*Capacity!F25*Capacity!G25*3604.861727</f>
        <v>100647.378931667</v>
      </c>
      <c r="Q24" s="10" t="n">
        <f aca="false">ROUND($C24*P24,0)</f>
        <v>1006474</v>
      </c>
      <c r="R24" s="10" t="n">
        <f aca="false">(1-E24)*Q24</f>
        <v>921088.462941892</v>
      </c>
      <c r="S24" s="10" t="n">
        <f aca="false">ROUND($E24*Q24,0)</f>
        <v>85386</v>
      </c>
      <c r="T24" s="8" t="n">
        <f aca="false">S24/(($K24*F24)+($L24*G24)+($M24*H24)+($N24*I24)+($O24*J24))</f>
        <v>333.658791488118</v>
      </c>
      <c r="U24" s="10" t="n">
        <f aca="false">IF(F24=0,0,$K24*$T24)</f>
        <v>21337.5508822361</v>
      </c>
      <c r="V24" s="10" t="n">
        <f aca="false">IF(G24=0,0,$L24*$T24)</f>
        <v>0</v>
      </c>
      <c r="W24" s="10" t="n">
        <f aca="false">IF(H24=0,0,$M24*$T24)</f>
        <v>2668.23189409825</v>
      </c>
      <c r="X24" s="10" t="n">
        <f aca="false">IF(I24=0,0,$N24*$T24)</f>
        <v>943.545986793899</v>
      </c>
      <c r="Y24" s="10" t="n">
        <f aca="false">IF(J24=0,0,$O24*$T24)</f>
        <v>333.658791488118</v>
      </c>
      <c r="Z24" s="4"/>
      <c r="AA24" s="4"/>
    </row>
    <row r="25" customFormat="false" ht="12.8" hidden="false" customHeight="false" outlineLevel="0" collapsed="false">
      <c r="A25" s="30"/>
      <c r="B25" s="30"/>
      <c r="C25" s="1" t="s">
        <v>485</v>
      </c>
      <c r="D25" s="7" t="s">
        <v>486</v>
      </c>
      <c r="P25" s="1" t="s">
        <v>486</v>
      </c>
      <c r="Q25" s="1" t="s">
        <v>486</v>
      </c>
    </row>
    <row r="26" customFormat="false" ht="12.8" hidden="false" customHeight="false" outlineLevel="0" collapsed="false">
      <c r="A26" s="30"/>
      <c r="B26" s="30"/>
      <c r="C26" s="33" t="n">
        <f aca="false" t="array" ref="C26:C26">SUM($C$2:$C$24*$P$2:$P$24)/$P$26</f>
        <v>26.5648315776595</v>
      </c>
      <c r="D26" s="4" t="n">
        <f aca="false">SUM(D2:D24)</f>
        <v>11380.7511442348</v>
      </c>
      <c r="P26" s="5" t="n">
        <f aca="false">SUM(P2:P24)</f>
        <v>3161444.62881185</v>
      </c>
      <c r="Q26" s="5" t="n">
        <f aca="false">SUM(Q2:Q24)</f>
        <v>83983243</v>
      </c>
    </row>
    <row r="27" customFormat="false" ht="12.8" hidden="false" customHeight="false" outlineLevel="0" collapsed="false">
      <c r="A27" s="30"/>
      <c r="B27" s="30"/>
      <c r="C27" s="1" t="s">
        <v>487</v>
      </c>
    </row>
    <row r="28" customFormat="false" ht="12.8" hidden="false" customHeight="false" outlineLevel="0" collapsed="false">
      <c r="A28" s="30"/>
      <c r="B28" s="30"/>
      <c r="C28" s="4" t="n">
        <f aca="false">Demand!D27</f>
        <v>1</v>
      </c>
    </row>
    <row r="29" customFormat="false" ht="12.8" hidden="false" customHeight="false" outlineLevel="0" collapsed="false">
      <c r="C29" s="10"/>
      <c r="O29" s="1"/>
      <c r="Q29" s="1"/>
    </row>
    <row r="30" customFormat="false" ht="12.8" hidden="false" customHeight="false" outlineLevel="0" collapsed="false">
      <c r="C30" s="33" t="n">
        <f aca="false">30/25.33</f>
        <v>1.18436636399526</v>
      </c>
      <c r="Q30" s="4"/>
    </row>
    <row r="31" customFormat="false" ht="12.8" hidden="false" customHeight="false" outlineLevel="0" collapsed="false">
      <c r="C31" s="10"/>
      <c r="Q31" s="4"/>
    </row>
    <row r="32" customFormat="false" ht="12.8" hidden="false" customHeight="false" outlineLevel="0" collapsed="false">
      <c r="C32" s="10"/>
      <c r="Q32" s="4"/>
    </row>
    <row r="33" customFormat="false" ht="12.8" hidden="false" customHeight="false" outlineLevel="0" collapsed="false">
      <c r="C33" s="10"/>
      <c r="Q33" s="4"/>
    </row>
    <row r="34" customFormat="false" ht="12.8" hidden="false" customHeight="false" outlineLevel="0" collapsed="false">
      <c r="C34" s="10"/>
      <c r="Q34" s="4"/>
    </row>
    <row r="35" customFormat="false" ht="12.8" hidden="false" customHeight="false" outlineLevel="0" collapsed="false">
      <c r="C35" s="10"/>
      <c r="Q35" s="4"/>
    </row>
    <row r="36" customFormat="false" ht="12.8" hidden="false" customHeight="false" outlineLevel="0" collapsed="false">
      <c r="C36" s="10"/>
      <c r="Q36" s="4"/>
    </row>
    <row r="37" customFormat="false" ht="12.8" hidden="false" customHeight="false" outlineLevel="0" collapsed="false">
      <c r="C37" s="10"/>
      <c r="Q37" s="4"/>
    </row>
    <row r="38" customFormat="false" ht="12.8" hidden="false" customHeight="false" outlineLevel="0" collapsed="false">
      <c r="C38" s="10"/>
      <c r="Q38" s="4"/>
    </row>
    <row r="39" customFormat="false" ht="12.8" hidden="false" customHeight="false" outlineLevel="0" collapsed="false">
      <c r="C39" s="10"/>
      <c r="Q39" s="4"/>
    </row>
    <row r="40" customFormat="false" ht="12.8" hidden="false" customHeight="false" outlineLevel="0" collapsed="false">
      <c r="C40" s="10"/>
      <c r="Q40" s="4"/>
    </row>
    <row r="41" customFormat="false" ht="12.8" hidden="false" customHeight="false" outlineLevel="0" collapsed="false">
      <c r="C41" s="10"/>
      <c r="Q41" s="4"/>
    </row>
    <row r="42" customFormat="false" ht="12.8" hidden="false" customHeight="false" outlineLevel="0" collapsed="false">
      <c r="C42" s="10"/>
      <c r="Q42" s="4"/>
    </row>
    <row r="43" customFormat="false" ht="12.8" hidden="false" customHeight="false" outlineLevel="0" collapsed="false">
      <c r="C43" s="10"/>
      <c r="Q43" s="4"/>
    </row>
    <row r="44" customFormat="false" ht="12.8" hidden="false" customHeight="false" outlineLevel="0" collapsed="false">
      <c r="C44" s="10"/>
      <c r="Q44" s="4"/>
    </row>
    <row r="45" customFormat="false" ht="12.8" hidden="false" customHeight="false" outlineLevel="0" collapsed="false">
      <c r="C45" s="10"/>
      <c r="Q45" s="4"/>
    </row>
    <row r="46" customFormat="false" ht="12.8" hidden="false" customHeight="false" outlineLevel="0" collapsed="false">
      <c r="C46" s="10"/>
      <c r="Q46" s="4"/>
    </row>
    <row r="47" customFormat="false" ht="12.8" hidden="false" customHeight="false" outlineLevel="0" collapsed="false">
      <c r="C47" s="10"/>
      <c r="Q47" s="4"/>
    </row>
    <row r="48" customFormat="false" ht="12.8" hidden="false" customHeight="false" outlineLevel="0" collapsed="false">
      <c r="C48" s="10"/>
      <c r="Q48" s="4"/>
    </row>
    <row r="49" customFormat="false" ht="12.8" hidden="false" customHeight="false" outlineLevel="0" collapsed="false">
      <c r="C49" s="10"/>
      <c r="Q49" s="4"/>
    </row>
    <row r="50" customFormat="false" ht="12.8" hidden="false" customHeight="false" outlineLevel="0" collapsed="false">
      <c r="C50" s="10"/>
      <c r="Q50" s="4"/>
    </row>
    <row r="51" customFormat="false" ht="12.8" hidden="false" customHeight="false" outlineLevel="0" collapsed="false">
      <c r="Q51" s="4"/>
    </row>
    <row r="52" customFormat="false" ht="12.8" hidden="false" customHeight="false" outlineLevel="0" collapsed="false">
      <c r="Q52" s="4"/>
    </row>
    <row r="54" customFormat="false" ht="12.8" hidden="false" customHeight="false" outlineLevel="0" collapsed="false">
      <c r="Q5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34" width="22.09"/>
    <col collapsed="false" customWidth="true" hidden="false" outlineLevel="0" max="4" min="2" style="0" width="18.34"/>
    <col collapsed="false" customWidth="true" hidden="false" outlineLevel="0" max="5" min="5" style="0" width="21.09"/>
    <col collapsed="false" customWidth="true" hidden="false" outlineLevel="0" max="6" min="6" style="0" width="18.34"/>
    <col collapsed="false" customWidth="true" hidden="false" outlineLevel="0" max="7" min="7" style="0" width="2.6"/>
    <col collapsed="false" customWidth="true" hidden="false" outlineLevel="0" max="8" min="8" style="0" width="27.73"/>
    <col collapsed="false" customWidth="true" hidden="false" outlineLevel="0" max="9" min="9" style="0" width="17.33"/>
    <col collapsed="false" customWidth="false" hidden="false" outlineLevel="0" max="1025" min="10" style="0" width="11.52"/>
  </cols>
  <sheetData>
    <row r="1" customFormat="false" ht="13.6" hidden="false" customHeight="false" outlineLevel="0" collapsed="false">
      <c r="A1" s="35" t="s">
        <v>461</v>
      </c>
      <c r="B1" s="36" t="s">
        <v>152</v>
      </c>
      <c r="C1" s="36"/>
      <c r="D1" s="36"/>
      <c r="E1" s="36"/>
      <c r="F1" s="36"/>
      <c r="G1" s="37"/>
      <c r="H1" s="37"/>
      <c r="I1" s="37"/>
      <c r="J1" s="37"/>
      <c r="K1" s="37"/>
      <c r="L1" s="37"/>
    </row>
    <row r="2" customFormat="false" ht="12.8" hidden="false" customHeight="false" outlineLevel="0" collapsed="false">
      <c r="A2" s="35" t="s">
        <v>488</v>
      </c>
      <c r="B2" s="38" t="s">
        <v>489</v>
      </c>
      <c r="C2" s="38" t="s">
        <v>490</v>
      </c>
      <c r="D2" s="38" t="s">
        <v>491</v>
      </c>
      <c r="E2" s="38" t="s">
        <v>492</v>
      </c>
      <c r="F2" s="38" t="s">
        <v>493</v>
      </c>
      <c r="G2" s="37"/>
      <c r="H2" s="38"/>
      <c r="I2" s="37"/>
      <c r="J2" s="37"/>
      <c r="K2" s="37"/>
      <c r="L2" s="37"/>
    </row>
    <row r="3" customFormat="false" ht="12.8" hidden="false" customHeight="false" outlineLevel="0" collapsed="false">
      <c r="A3" s="35" t="s">
        <v>494</v>
      </c>
      <c r="B3" s="39" t="n">
        <f aca="false">Populations!U17</f>
        <v>432230.147013478</v>
      </c>
      <c r="C3" s="39" t="n">
        <f aca="false">Populations!V17</f>
        <v>92456.562009256</v>
      </c>
      <c r="D3" s="39" t="n">
        <f aca="false">Populations!W17</f>
        <v>19777.0005577719</v>
      </c>
      <c r="E3" s="39" t="n">
        <f aca="false">Populations!X17</f>
        <v>4230.41634430399</v>
      </c>
      <c r="F3" s="39" t="n">
        <f aca="false">Populations!Y17</f>
        <v>904.910853082895</v>
      </c>
      <c r="G3" s="40"/>
      <c r="H3" s="41"/>
      <c r="J3" s="40"/>
      <c r="K3" s="40"/>
      <c r="L3" s="40"/>
    </row>
    <row r="4" customFormat="false" ht="13.6" hidden="false" customHeight="false" outlineLevel="0" collapsed="false">
      <c r="A4" s="34" t="s">
        <v>495</v>
      </c>
      <c r="B4" s="0" t="n">
        <f aca="false">ROUND(B$3/(750),0)</f>
        <v>576</v>
      </c>
      <c r="C4" s="0" t="n">
        <f aca="false">ROUND(C$3/750,0)</f>
        <v>123</v>
      </c>
      <c r="D4" s="0" t="n">
        <f aca="false">ROUND(D$3/750,0)</f>
        <v>26</v>
      </c>
      <c r="E4" s="0" t="n">
        <f aca="false">ROUND(E$3/750,0)</f>
        <v>6</v>
      </c>
      <c r="F4" s="0" t="n">
        <f aca="false">ROUND(F$3/750,0)</f>
        <v>1</v>
      </c>
      <c r="G4" s="0" t="s">
        <v>496</v>
      </c>
    </row>
    <row r="5" customFormat="false" ht="13.6" hidden="false" customHeight="false" outlineLevel="0" collapsed="false">
      <c r="A5" s="34" t="s">
        <v>497</v>
      </c>
      <c r="B5" s="0" t="n">
        <f aca="false">ROUND(B$3*3/(1500*4),0)</f>
        <v>216</v>
      </c>
      <c r="C5" s="0" t="n">
        <f aca="false">ROUND(C$3*3/(1500*4),0)</f>
        <v>46</v>
      </c>
      <c r="D5" s="0" t="n">
        <f aca="false">ROUND(D$3*3/(1500*4),0)</f>
        <v>10</v>
      </c>
      <c r="E5" s="0" t="n">
        <f aca="false">ROUND(E$3*3/(1500*4),0)</f>
        <v>2</v>
      </c>
      <c r="F5" s="0" t="n">
        <f aca="false">ROUND(F$3*3/(1500*4),0)</f>
        <v>0</v>
      </c>
      <c r="G5" s="0" t="s">
        <v>496</v>
      </c>
    </row>
    <row r="6" customFormat="false" ht="13.6" hidden="false" customHeight="false" outlineLevel="0" collapsed="false">
      <c r="A6" s="34" t="s">
        <v>498</v>
      </c>
      <c r="B6" s="0" t="n">
        <f aca="false">ROUND(B$3/(1500*4),0)</f>
        <v>72</v>
      </c>
      <c r="C6" s="0" t="n">
        <f aca="false">ROUND(C$3/(1500*4),0)</f>
        <v>15</v>
      </c>
      <c r="D6" s="0" t="n">
        <f aca="false">ROUND(D$3/(1500*4),0)</f>
        <v>3</v>
      </c>
      <c r="E6" s="0" t="n">
        <f aca="false">ROUND(E$3/(1500*4),0)</f>
        <v>1</v>
      </c>
      <c r="F6" s="0" t="n">
        <f aca="false">ROUND(F$3/(1500*4),0)</f>
        <v>0</v>
      </c>
    </row>
    <row r="7" customFormat="false" ht="13.6" hidden="false" customHeight="false" outlineLevel="0" collapsed="false">
      <c r="A7" s="34" t="s">
        <v>499</v>
      </c>
      <c r="B7" s="0" t="n">
        <f aca="false">ROUND(B$3/800,0)</f>
        <v>540</v>
      </c>
      <c r="C7" s="0" t="n">
        <f aca="false">ROUND(C$3/800,0)</f>
        <v>116</v>
      </c>
      <c r="D7" s="0" t="n">
        <f aca="false">ROUND(D$3/800,0)</f>
        <v>25</v>
      </c>
      <c r="E7" s="0" t="n">
        <f aca="false">ROUND(E$3/800,0)</f>
        <v>5</v>
      </c>
      <c r="F7" s="0" t="n">
        <f aca="false">ROUND(F$3/800,0)</f>
        <v>1</v>
      </c>
      <c r="H7" s="30" t="n">
        <v>102</v>
      </c>
      <c r="I7" s="0" t="s">
        <v>500</v>
      </c>
    </row>
    <row r="8" customFormat="false" ht="13.6" hidden="false" customHeight="false" outlineLevel="0" collapsed="false">
      <c r="A8" s="34" t="s">
        <v>501</v>
      </c>
      <c r="B8" s="0" t="n">
        <f aca="false">ROUND(B$3*2/(500*3),0)</f>
        <v>576</v>
      </c>
      <c r="C8" s="0" t="n">
        <f aca="false">ROUND(C$3*2/(500*3),0)</f>
        <v>123</v>
      </c>
      <c r="D8" s="0" t="n">
        <f aca="false">ROUND(D$3*2/(500*3),0)</f>
        <v>26</v>
      </c>
      <c r="E8" s="0" t="n">
        <f aca="false">ROUND(E$3*2/(500*3),0)</f>
        <v>6</v>
      </c>
      <c r="F8" s="0" t="n">
        <f aca="false">ROUND(F$3*2/(500*3),0)</f>
        <v>1</v>
      </c>
      <c r="G8" s="0" t="s">
        <v>496</v>
      </c>
      <c r="H8" s="0" t="n">
        <v>88</v>
      </c>
      <c r="I8" s="40" t="s">
        <v>502</v>
      </c>
    </row>
    <row r="9" customFormat="false" ht="49.6" hidden="false" customHeight="false" outlineLevel="0" collapsed="false">
      <c r="A9" s="34" t="s">
        <v>503</v>
      </c>
      <c r="B9" s="0" t="n">
        <f aca="false">ROUND(B$3/(500*3),0)</f>
        <v>288</v>
      </c>
      <c r="C9" s="0" t="n">
        <f aca="false">ROUND(C$3/(500*3),0)</f>
        <v>62</v>
      </c>
      <c r="D9" s="0" t="n">
        <f aca="false">ROUND(D$3/(500*3),0)</f>
        <v>13</v>
      </c>
      <c r="E9" s="0" t="n">
        <f aca="false">ROUND(E$3/(500*3),0)</f>
        <v>3</v>
      </c>
      <c r="F9" s="0" t="n">
        <f aca="false">ROUND(F$3/(500*3),0)</f>
        <v>1</v>
      </c>
    </row>
    <row r="10" customFormat="false" ht="13.6" hidden="false" customHeight="false" outlineLevel="0" collapsed="false">
      <c r="A10" s="34" t="s">
        <v>504</v>
      </c>
      <c r="B10" s="0" t="n">
        <f aca="false">ROUND(B$3/750,0)</f>
        <v>576</v>
      </c>
      <c r="C10" s="0" t="n">
        <f aca="false">ROUND(C$3/750,0)</f>
        <v>123</v>
      </c>
      <c r="D10" s="0" t="n">
        <f aca="false">ROUND(D$3/750,0)</f>
        <v>26</v>
      </c>
      <c r="E10" s="0" t="n">
        <f aca="false">ROUND(E$3/750,0)</f>
        <v>6</v>
      </c>
      <c r="F10" s="0" t="n">
        <f aca="false">ROUND(F$3/750,0)</f>
        <v>1</v>
      </c>
      <c r="G10" s="0" t="s">
        <v>496</v>
      </c>
      <c r="H10" s="0" t="n">
        <f aca="false">H7*H8</f>
        <v>8976</v>
      </c>
      <c r="I10" s="0" t="s">
        <v>505</v>
      </c>
    </row>
    <row r="11" customFormat="false" ht="13.6" hidden="false" customHeight="false" outlineLevel="0" collapsed="false">
      <c r="A11" s="34" t="s">
        <v>506</v>
      </c>
      <c r="B11" s="0" t="n">
        <f aca="false">ROUND(B$3/200,0)</f>
        <v>2161</v>
      </c>
      <c r="C11" s="0" t="n">
        <f aca="false">ROUND(C$3/200,0)</f>
        <v>462</v>
      </c>
      <c r="D11" s="0" t="n">
        <f aca="false">ROUND(D$3/200,0)</f>
        <v>99</v>
      </c>
      <c r="E11" s="0" t="n">
        <f aca="false">ROUND(E$3/200,0)</f>
        <v>21</v>
      </c>
      <c r="F11" s="0" t="n">
        <f aca="false">ROUND(F$3/200,0)</f>
        <v>5</v>
      </c>
      <c r="H11" s="0" t="n">
        <f aca="false">2*26*44</f>
        <v>2288</v>
      </c>
      <c r="I11" s="0" t="s">
        <v>507</v>
      </c>
    </row>
    <row r="12" customFormat="false" ht="13.6" hidden="false" customHeight="false" outlineLevel="0" collapsed="false">
      <c r="A12" s="34" t="s">
        <v>508</v>
      </c>
      <c r="B12" s="0" t="n">
        <f aca="false">ROUND(B$3/3000,0)</f>
        <v>144</v>
      </c>
      <c r="C12" s="0" t="n">
        <f aca="false">ROUND(C$3/3000,0)</f>
        <v>31</v>
      </c>
      <c r="D12" s="0" t="n">
        <f aca="false">ROUND(D$3/3000,0)</f>
        <v>7</v>
      </c>
      <c r="E12" s="0" t="n">
        <f aca="false">ROUND(E$3/3000,0)</f>
        <v>1</v>
      </c>
      <c r="F12" s="0" t="n">
        <f aca="false">ROUND(F$3/3000,0)</f>
        <v>0</v>
      </c>
      <c r="G12" s="0" t="s">
        <v>496</v>
      </c>
      <c r="H12" s="0" t="n">
        <f aca="false">H10-H11</f>
        <v>6688</v>
      </c>
      <c r="I12" s="0" t="s">
        <v>509</v>
      </c>
    </row>
    <row r="13" customFormat="false" ht="13.6" hidden="false" customHeight="false" outlineLevel="0" collapsed="false">
      <c r="A13" s="34" t="s">
        <v>510</v>
      </c>
      <c r="B13" s="0" t="n">
        <f aca="false">ROUND(B$3/(1200*3),0)</f>
        <v>120</v>
      </c>
      <c r="C13" s="0" t="n">
        <f aca="false">ROUND(C$3/(1200*3),0)</f>
        <v>26</v>
      </c>
      <c r="D13" s="0" t="n">
        <f aca="false">ROUND(D$3/(1200*3),0)</f>
        <v>5</v>
      </c>
      <c r="E13" s="0" t="n">
        <f aca="false">ROUND(E$3/(1200*3),0)</f>
        <v>1</v>
      </c>
      <c r="F13" s="0" t="n">
        <f aca="false">ROUND(F$3/(1200*3),0)</f>
        <v>0</v>
      </c>
    </row>
    <row r="14" customFormat="false" ht="13.6" hidden="false" customHeight="false" outlineLevel="0" collapsed="false">
      <c r="A14" s="34" t="s">
        <v>511</v>
      </c>
      <c r="B14" s="0" t="n">
        <f aca="false">ROUND(B$3*2/(1200*3),0)</f>
        <v>240</v>
      </c>
      <c r="C14" s="0" t="n">
        <f aca="false">ROUND(C$3*2/(1200*3),0)</f>
        <v>51</v>
      </c>
      <c r="D14" s="0" t="n">
        <f aca="false">ROUND(D$3*2/(1200*3),0)</f>
        <v>11</v>
      </c>
      <c r="E14" s="0" t="n">
        <f aca="false">ROUND(E$3*2/(1200*3),0)</f>
        <v>2</v>
      </c>
      <c r="F14" s="0" t="n">
        <f aca="false">ROUND(F$3*2/(1200*3),0)</f>
        <v>1</v>
      </c>
    </row>
    <row r="15" customFormat="false" ht="13.6" hidden="false" customHeight="false" outlineLevel="0" collapsed="false">
      <c r="A15" s="34" t="s">
        <v>512</v>
      </c>
      <c r="B15" s="0" t="n">
        <f aca="false">ROUND(B$3/1000,0)</f>
        <v>432</v>
      </c>
      <c r="C15" s="0" t="n">
        <f aca="false">ROUND(C$3/1000,0)</f>
        <v>92</v>
      </c>
      <c r="D15" s="0" t="n">
        <f aca="false">ROUND(D$3/1000,0)</f>
        <v>20</v>
      </c>
      <c r="E15" s="0" t="n">
        <f aca="false">ROUND(E$3/1000,0)</f>
        <v>4</v>
      </c>
      <c r="F15" s="0" t="n">
        <f aca="false">ROUND(F$3/1000,0)</f>
        <v>1</v>
      </c>
    </row>
    <row r="16" customFormat="false" ht="13.6" hidden="false" customHeight="false" outlineLevel="0" collapsed="false">
      <c r="A16" s="34" t="s">
        <v>513</v>
      </c>
      <c r="B16" s="0" t="n">
        <f aca="false">ROUND(B$3/5000,0)</f>
        <v>86</v>
      </c>
      <c r="C16" s="0" t="n">
        <f aca="false">ROUND(C$3/5000,0)</f>
        <v>18</v>
      </c>
      <c r="D16" s="0" t="n">
        <f aca="false">ROUND(D$3/5000,0)</f>
        <v>4</v>
      </c>
      <c r="E16" s="0" t="n">
        <f aca="false">ROUND(E$3/5000,0)</f>
        <v>1</v>
      </c>
      <c r="F16" s="0" t="n">
        <f aca="false">ROUND(F$3/5000,0)</f>
        <v>0</v>
      </c>
      <c r="G16" s="0" t="s">
        <v>496</v>
      </c>
      <c r="H16" s="0" t="n">
        <v>3</v>
      </c>
      <c r="I16" s="0" t="n">
        <v>25</v>
      </c>
    </row>
    <row r="17" customFormat="false" ht="13.6" hidden="false" customHeight="false" outlineLevel="0" collapsed="false">
      <c r="A17" s="34" t="s">
        <v>514</v>
      </c>
      <c r="B17" s="0" t="n">
        <f aca="false">ROUND(B$3*3/(350*5),0)</f>
        <v>741</v>
      </c>
      <c r="C17" s="0" t="n">
        <f aca="false">ROUND(C$3*3/(350*5),0)</f>
        <v>158</v>
      </c>
      <c r="D17" s="0" t="n">
        <f aca="false">ROUND(D$3*3/(350*5),0)</f>
        <v>34</v>
      </c>
      <c r="E17" s="0" t="n">
        <f aca="false">ROUND(E$3*3/(350*5),0)</f>
        <v>7</v>
      </c>
      <c r="F17" s="0" t="n">
        <f aca="false">ROUND(F$3*3/(350*5),0)</f>
        <v>2</v>
      </c>
      <c r="H17" s="0" t="n">
        <f aca="false">H16*42/10</f>
        <v>12.6</v>
      </c>
      <c r="I17" s="0" t="n">
        <f aca="false">I16*10/42</f>
        <v>5.95238095238095</v>
      </c>
    </row>
    <row r="18" customFormat="false" ht="13.6" hidden="false" customHeight="false" outlineLevel="0" collapsed="false">
      <c r="A18" s="34" t="s">
        <v>515</v>
      </c>
      <c r="B18" s="0" t="n">
        <f aca="false">ROUND(B$3/(350*5),0)</f>
        <v>247</v>
      </c>
      <c r="C18" s="0" t="n">
        <f aca="false">ROUND(C$3/(350*5),0)</f>
        <v>53</v>
      </c>
      <c r="D18" s="0" t="n">
        <f aca="false">ROUND(D$3/(350*5),0)</f>
        <v>11</v>
      </c>
      <c r="E18" s="0" t="n">
        <f aca="false">ROUND(E$3/(350*5),0)</f>
        <v>2</v>
      </c>
      <c r="F18" s="0" t="n">
        <f aca="false">ROUND(F$3/(350*5),0)</f>
        <v>1</v>
      </c>
    </row>
    <row r="19" customFormat="false" ht="13.6" hidden="false" customHeight="false" outlineLevel="0" collapsed="false">
      <c r="A19" s="34" t="s">
        <v>516</v>
      </c>
      <c r="B19" s="0" t="n">
        <f aca="false">ROUND(B$3/(350*5),0)</f>
        <v>247</v>
      </c>
      <c r="C19" s="0" t="n">
        <f aca="false">ROUND(C$3/(350*5),0)</f>
        <v>53</v>
      </c>
      <c r="D19" s="0" t="n">
        <f aca="false">ROUND(D$3/(350*5),0)</f>
        <v>11</v>
      </c>
      <c r="E19" s="0" t="n">
        <f aca="false">ROUND(E$3/(350*5),0)</f>
        <v>2</v>
      </c>
      <c r="F19" s="0" t="n">
        <f aca="false">ROUND(F$3/(350*5),0)</f>
        <v>1</v>
      </c>
    </row>
    <row r="20" customFormat="false" ht="13.6" hidden="false" customHeight="false" outlineLevel="0" collapsed="false">
      <c r="A20" s="34" t="s">
        <v>517</v>
      </c>
      <c r="B20" s="0" t="n">
        <f aca="false">ROUND(B$3/(200*6),0)</f>
        <v>360</v>
      </c>
      <c r="C20" s="0" t="n">
        <f aca="false">ROUND(C$3/(200*6),0)</f>
        <v>77</v>
      </c>
      <c r="D20" s="0" t="n">
        <f aca="false">ROUND(D$3/(200*6),0)</f>
        <v>16</v>
      </c>
      <c r="E20" s="0" t="n">
        <f aca="false">ROUND(E$3/(200*6),0)</f>
        <v>4</v>
      </c>
      <c r="F20" s="0" t="n">
        <f aca="false">ROUND(F$3/(200*6),0)</f>
        <v>1</v>
      </c>
      <c r="G20" s="0" t="s">
        <v>496</v>
      </c>
    </row>
    <row r="21" customFormat="false" ht="13.6" hidden="false" customHeight="false" outlineLevel="0" collapsed="false">
      <c r="A21" s="34" t="s">
        <v>518</v>
      </c>
      <c r="B21" s="0" t="n">
        <f aca="false">ROUND(B$3*5/(200*6),0)</f>
        <v>1801</v>
      </c>
      <c r="C21" s="0" t="n">
        <f aca="false">ROUND(C$3*5/(200*6),0)</f>
        <v>385</v>
      </c>
      <c r="D21" s="0" t="n">
        <f aca="false">ROUND(D$3*5/(200*6),0)</f>
        <v>82</v>
      </c>
      <c r="E21" s="0" t="n">
        <f aca="false">ROUND(E$3*5/(200*6),0)</f>
        <v>18</v>
      </c>
      <c r="F21" s="0" t="n">
        <f aca="false">ROUND(F$3*5/(200*6),0)</f>
        <v>4</v>
      </c>
      <c r="G21" s="0" t="s">
        <v>496</v>
      </c>
    </row>
    <row r="22" customFormat="false" ht="13.6" hidden="false" customHeight="false" outlineLevel="0" collapsed="false">
      <c r="A22" s="34" t="s">
        <v>519</v>
      </c>
      <c r="B22" s="0" t="n">
        <f aca="false">ROUND(B$3*2/(800*3),0)</f>
        <v>360</v>
      </c>
      <c r="C22" s="0" t="n">
        <f aca="false">ROUND(C$3*2/(800*3),0)</f>
        <v>77</v>
      </c>
      <c r="D22" s="0" t="n">
        <f aca="false">ROUND(D$3*2/(800*3),0)</f>
        <v>16</v>
      </c>
      <c r="E22" s="0" t="n">
        <f aca="false">ROUND(E$3*2/(800*3),0)</f>
        <v>4</v>
      </c>
      <c r="F22" s="0" t="n">
        <f aca="false">ROUND(F$3*2/(800*3),0)</f>
        <v>1</v>
      </c>
    </row>
    <row r="23" customFormat="false" ht="13.6" hidden="false" customHeight="false" outlineLevel="0" collapsed="false">
      <c r="A23" s="34" t="s">
        <v>520</v>
      </c>
      <c r="B23" s="0" t="n">
        <f aca="false">ROUND(B$3/(800*3),0)</f>
        <v>180</v>
      </c>
      <c r="C23" s="0" t="n">
        <f aca="false">ROUND(C$3/(800*3),0)</f>
        <v>39</v>
      </c>
      <c r="D23" s="0" t="n">
        <f aca="false">ROUND(D$3/(800*3),0)</f>
        <v>8</v>
      </c>
      <c r="E23" s="0" t="n">
        <f aca="false">ROUND(E$3/(800*3),0)</f>
        <v>2</v>
      </c>
      <c r="F23" s="0" t="n">
        <f aca="false">ROUND(F$3/(800*3),0)</f>
        <v>0</v>
      </c>
    </row>
    <row r="24" customFormat="false" ht="13.6" hidden="false" customHeight="false" outlineLevel="0" collapsed="false">
      <c r="A24" s="34" t="s">
        <v>521</v>
      </c>
      <c r="B24" s="0" t="n">
        <f aca="false">ROUND(B$3/(750*7),0)</f>
        <v>82</v>
      </c>
      <c r="C24" s="0" t="n">
        <f aca="false">ROUND(C$3/(750*7),0)</f>
        <v>18</v>
      </c>
      <c r="D24" s="0" t="n">
        <f aca="false">ROUND(D$3/(750*7),0)</f>
        <v>4</v>
      </c>
      <c r="E24" s="0" t="n">
        <f aca="false">ROUND(E$3/(750*7),0)</f>
        <v>1</v>
      </c>
      <c r="F24" s="0" t="n">
        <f aca="false">ROUND(F$3/(750*7),0)</f>
        <v>0</v>
      </c>
    </row>
    <row r="25" customFormat="false" ht="13.6" hidden="false" customHeight="false" outlineLevel="0" collapsed="false">
      <c r="A25" s="34" t="s">
        <v>522</v>
      </c>
      <c r="B25" s="0" t="n">
        <f aca="false">ROUND(B$3*2/(750*7),0)</f>
        <v>165</v>
      </c>
      <c r="C25" s="0" t="n">
        <f aca="false">ROUND(C$3*2/(750*7),0)</f>
        <v>35</v>
      </c>
      <c r="D25" s="0" t="n">
        <f aca="false">ROUND(D$3*2/(750*7),0)</f>
        <v>8</v>
      </c>
      <c r="E25" s="0" t="n">
        <f aca="false">ROUND(E$3*2/(750*7),0)</f>
        <v>2</v>
      </c>
      <c r="F25" s="0" t="n">
        <f aca="false">ROUND(F$3*2/(750*7),0)</f>
        <v>0</v>
      </c>
    </row>
    <row r="26" customFormat="false" ht="13.6" hidden="false" customHeight="false" outlineLevel="0" collapsed="false">
      <c r="A26" s="34" t="s">
        <v>523</v>
      </c>
      <c r="B26" s="0" t="n">
        <f aca="false">ROUND(B$3*4/(750*7),0)</f>
        <v>329</v>
      </c>
      <c r="C26" s="0" t="n">
        <f aca="false">ROUND(C$3*4/(750*7),0)</f>
        <v>70</v>
      </c>
      <c r="D26" s="0" t="n">
        <f aca="false">ROUND(D$3*4/(750*7),0)</f>
        <v>15</v>
      </c>
      <c r="E26" s="0" t="n">
        <f aca="false">ROUND(E$3*4/(750*7),0)</f>
        <v>3</v>
      </c>
      <c r="F26" s="0" t="n">
        <f aca="false">ROUND(F$3*4/(750*7),0)</f>
        <v>1</v>
      </c>
    </row>
    <row r="27" customFormat="false" ht="13.6" hidden="false" customHeight="false" outlineLevel="0" collapsed="false">
      <c r="A27" s="34" t="s">
        <v>524</v>
      </c>
      <c r="B27" s="0" t="n">
        <f aca="false">ROUND(B$3*3/(600*4),0)</f>
        <v>540</v>
      </c>
      <c r="C27" s="0" t="n">
        <f aca="false">ROUND(C$3*3/(600*4),0)</f>
        <v>116</v>
      </c>
      <c r="D27" s="0" t="n">
        <f aca="false">ROUND(D$3*3/(600*4),0)</f>
        <v>25</v>
      </c>
      <c r="E27" s="0" t="n">
        <f aca="false">ROUND(E$3*3/(600*4),0)</f>
        <v>5</v>
      </c>
      <c r="F27" s="0" t="n">
        <f aca="false">ROUND(F$3*3/(600*4),0)</f>
        <v>1</v>
      </c>
      <c r="G27" s="0" t="s">
        <v>496</v>
      </c>
    </row>
    <row r="28" customFormat="false" ht="25.6" hidden="false" customHeight="false" outlineLevel="0" collapsed="false">
      <c r="A28" s="34" t="s">
        <v>525</v>
      </c>
      <c r="B28" s="0" t="n">
        <f aca="false">ROUND(B$3/(600*4),0)</f>
        <v>180</v>
      </c>
      <c r="C28" s="0" t="n">
        <f aca="false">ROUND(C$3/(600*4),0)</f>
        <v>39</v>
      </c>
      <c r="D28" s="0" t="n">
        <f aca="false">ROUND(D$3/(600*4),0)</f>
        <v>8</v>
      </c>
      <c r="E28" s="0" t="n">
        <f aca="false">ROUND(E$3/(600*4),0)</f>
        <v>2</v>
      </c>
      <c r="F28" s="0" t="n">
        <f aca="false">ROUND(F$3/(600*4),0)</f>
        <v>0</v>
      </c>
      <c r="G28" s="0" t="s">
        <v>496</v>
      </c>
    </row>
    <row r="29" customFormat="false" ht="13.6" hidden="false" customHeight="false" outlineLevel="0" collapsed="false">
      <c r="A29" s="34" t="s">
        <v>526</v>
      </c>
      <c r="B29" s="0" t="n">
        <f aca="false">ROUND(B$3/(500*5),0)</f>
        <v>173</v>
      </c>
      <c r="C29" s="0" t="n">
        <f aca="false">ROUND(C$3/(500*5),0)</f>
        <v>37</v>
      </c>
      <c r="D29" s="0" t="n">
        <f aca="false">ROUND(D$3/(500*5),0)</f>
        <v>8</v>
      </c>
      <c r="E29" s="0" t="n">
        <f aca="false">ROUND(E$3/(500*5),0)</f>
        <v>2</v>
      </c>
      <c r="F29" s="0" t="n">
        <f aca="false">ROUND(F$3/(500*5),0)</f>
        <v>0</v>
      </c>
    </row>
    <row r="30" customFormat="false" ht="13.6" hidden="false" customHeight="false" outlineLevel="0" collapsed="false">
      <c r="A30" s="34" t="s">
        <v>527</v>
      </c>
      <c r="B30" s="0" t="n">
        <f aca="false">ROUND(B$3*4/(500*5),0)</f>
        <v>692</v>
      </c>
      <c r="C30" s="0" t="n">
        <f aca="false">ROUND(C$3*4/(500*5),0)</f>
        <v>148</v>
      </c>
      <c r="D30" s="0" t="n">
        <f aca="false">ROUND(D$3*4/(500*5),0)</f>
        <v>32</v>
      </c>
      <c r="E30" s="0" t="n">
        <f aca="false">ROUND(E$3*4/(500*5),0)</f>
        <v>7</v>
      </c>
      <c r="F30" s="0" t="n">
        <f aca="false">ROUND(F$3*4/(500*5),0)</f>
        <v>1</v>
      </c>
    </row>
    <row r="31" customFormat="false" ht="13.6" hidden="false" customHeight="false" outlineLevel="0" collapsed="false">
      <c r="A31" s="34" t="s">
        <v>528</v>
      </c>
      <c r="B31" s="0" t="n">
        <f aca="false">ROUND(B$3/(150*8),0)</f>
        <v>360</v>
      </c>
      <c r="C31" s="0" t="n">
        <f aca="false">ROUND(C$3/(150*8),0)</f>
        <v>77</v>
      </c>
      <c r="D31" s="0" t="n">
        <f aca="false">ROUND(D$3/(150*8),0)</f>
        <v>16</v>
      </c>
      <c r="E31" s="0" t="n">
        <f aca="false">ROUND(E$3/(150*8),0)</f>
        <v>4</v>
      </c>
      <c r="F31" s="0" t="n">
        <f aca="false">ROUND(F$3/(150*8),0)</f>
        <v>1</v>
      </c>
    </row>
    <row r="32" customFormat="false" ht="13.6" hidden="false" customHeight="false" outlineLevel="0" collapsed="false">
      <c r="A32" s="34" t="s">
        <v>529</v>
      </c>
      <c r="B32" s="0" t="n">
        <f aca="false">ROUND(B$3*2/(150*8),0)</f>
        <v>720</v>
      </c>
      <c r="C32" s="0" t="n">
        <f aca="false">ROUND(C$3*2/(150*8),0)</f>
        <v>154</v>
      </c>
      <c r="D32" s="0" t="n">
        <f aca="false">ROUND(D$3*2/(150*8),0)</f>
        <v>33</v>
      </c>
      <c r="E32" s="0" t="n">
        <f aca="false">ROUND(E$3*2/(150*8),0)</f>
        <v>7</v>
      </c>
      <c r="F32" s="0" t="n">
        <f aca="false">ROUND(F$3*2/(150*8),0)</f>
        <v>2</v>
      </c>
    </row>
    <row r="33" customFormat="false" ht="13.6" hidden="false" customHeight="false" outlineLevel="0" collapsed="false">
      <c r="A33" s="34" t="s">
        <v>530</v>
      </c>
      <c r="B33" s="0" t="n">
        <f aca="false">ROUND(B$3*5/(150*8),0)</f>
        <v>1801</v>
      </c>
      <c r="C33" s="0" t="n">
        <f aca="false">ROUND(C$3*5/(150*8),0)</f>
        <v>385</v>
      </c>
      <c r="D33" s="0" t="n">
        <f aca="false">ROUND(D$3*5/(150*8),0)</f>
        <v>82</v>
      </c>
      <c r="E33" s="0" t="n">
        <f aca="false">ROUND(E$3*5/(150*8),0)</f>
        <v>18</v>
      </c>
      <c r="F33" s="0" t="n">
        <f aca="false">ROUND(F$3*5/(150*8),0)</f>
        <v>4</v>
      </c>
    </row>
    <row r="34" customFormat="false" ht="13.6" hidden="false" customHeight="false" outlineLevel="0" collapsed="false">
      <c r="A34" s="34" t="s">
        <v>531</v>
      </c>
      <c r="B34" s="0" t="n">
        <f aca="false">ROUND(B$3*3/(500*4),0)</f>
        <v>648</v>
      </c>
      <c r="C34" s="0" t="n">
        <f aca="false">ROUND(C$3*3/(500*4),0)</f>
        <v>139</v>
      </c>
      <c r="D34" s="0" t="n">
        <f aca="false">ROUND(D$3*3/(500*4),0)</f>
        <v>30</v>
      </c>
      <c r="E34" s="0" t="n">
        <f aca="false">ROUND(E$3*3/(500*4),0)</f>
        <v>6</v>
      </c>
      <c r="F34" s="0" t="n">
        <f aca="false">ROUND(F$3*3/(500*4),0)</f>
        <v>1</v>
      </c>
      <c r="G34" s="0" t="s">
        <v>496</v>
      </c>
    </row>
    <row r="35" customFormat="false" ht="13.6" hidden="false" customHeight="false" outlineLevel="0" collapsed="false">
      <c r="A35" s="34" t="s">
        <v>532</v>
      </c>
      <c r="B35" s="0" t="n">
        <f aca="false">ROUND(B$3/(500*4),0)</f>
        <v>216</v>
      </c>
      <c r="C35" s="0" t="n">
        <f aca="false">ROUND(C$3/(500*4),0)</f>
        <v>46</v>
      </c>
      <c r="D35" s="0" t="n">
        <f aca="false">ROUND(D$3/(500*4),0)</f>
        <v>10</v>
      </c>
      <c r="E35" s="0" t="n">
        <f aca="false">ROUND(E$3/(500*4),0)</f>
        <v>2</v>
      </c>
      <c r="F35" s="0" t="n">
        <f aca="false">ROUND(F$3/(500*4),0)</f>
        <v>0</v>
      </c>
    </row>
    <row r="36" customFormat="false" ht="13.6" hidden="false" customHeight="false" outlineLevel="0" collapsed="false">
      <c r="A36" s="34" t="s">
        <v>533</v>
      </c>
      <c r="B36" s="0" t="n">
        <f aca="false">ROUND(B$3/(3500),0)</f>
        <v>123</v>
      </c>
      <c r="C36" s="0" t="n">
        <f aca="false">ROUND(C$3/(3500),0)</f>
        <v>26</v>
      </c>
      <c r="D36" s="0" t="n">
        <f aca="false">ROUND(D$3/(3500),0)</f>
        <v>6</v>
      </c>
      <c r="E36" s="0" t="n">
        <f aca="false">ROUND(E$3/(3500),0)</f>
        <v>1</v>
      </c>
      <c r="F36" s="0" t="n">
        <f aca="false">ROUND(F$3/(3500),0)</f>
        <v>0</v>
      </c>
    </row>
    <row r="37" customFormat="false" ht="13.6" hidden="false" customHeight="false" outlineLevel="0" collapsed="false">
      <c r="A37" s="34" t="s">
        <v>534</v>
      </c>
      <c r="B37" s="0" t="n">
        <f aca="false">ROUND(B$3*3/(200*4),0)</f>
        <v>1621</v>
      </c>
      <c r="C37" s="0" t="n">
        <f aca="false">ROUND(C$3*3/(200*4),0)</f>
        <v>347</v>
      </c>
      <c r="D37" s="0" t="n">
        <f aca="false">ROUND(D$3*3/(200*4),0)</f>
        <v>74</v>
      </c>
      <c r="E37" s="0" t="n">
        <f aca="false">ROUND(E$3*3/(200*4),0)</f>
        <v>16</v>
      </c>
      <c r="F37" s="0" t="n">
        <f aca="false">ROUND(F$3*3/(200*4),0)</f>
        <v>3</v>
      </c>
    </row>
    <row r="38" customFormat="false" ht="13.6" hidden="false" customHeight="false" outlineLevel="0" collapsed="false">
      <c r="A38" s="34" t="s">
        <v>535</v>
      </c>
      <c r="B38" s="0" t="n">
        <f aca="false">ROUND(B$3/(200*4),0)</f>
        <v>540</v>
      </c>
      <c r="C38" s="0" t="n">
        <f aca="false">ROUND(C$3/(200*4),0)</f>
        <v>116</v>
      </c>
      <c r="D38" s="0" t="n">
        <f aca="false">ROUND(D$3/(200*4),0)</f>
        <v>25</v>
      </c>
      <c r="E38" s="0" t="n">
        <f aca="false">ROUND(E$3/(200*4),0)</f>
        <v>5</v>
      </c>
      <c r="F38" s="0" t="n">
        <f aca="false">ROUND(F$3/(200*4),0)</f>
        <v>1</v>
      </c>
    </row>
    <row r="39" customFormat="false" ht="25.6" hidden="false" customHeight="false" outlineLevel="0" collapsed="false">
      <c r="A39" s="34" t="s">
        <v>536</v>
      </c>
      <c r="B39" s="0" t="n">
        <f aca="false">ROUND(B$3*3/(100*5),0)</f>
        <v>2593</v>
      </c>
      <c r="C39" s="0" t="n">
        <f aca="false">ROUND(C$3*3/(100*5),0)</f>
        <v>555</v>
      </c>
      <c r="D39" s="0" t="n">
        <f aca="false">ROUND(D$3*3/(100*5),0)</f>
        <v>119</v>
      </c>
      <c r="E39" s="0" t="n">
        <f aca="false">ROUND(E$3*3/(100*5),0)</f>
        <v>25</v>
      </c>
      <c r="F39" s="0" t="n">
        <f aca="false">ROUND(F$3*3/(100*5),0)</f>
        <v>5</v>
      </c>
      <c r="G39" s="0" t="s">
        <v>496</v>
      </c>
    </row>
    <row r="40" customFormat="false" ht="25.6" hidden="false" customHeight="false" outlineLevel="0" collapsed="false">
      <c r="A40" s="34" t="s">
        <v>537</v>
      </c>
      <c r="B40" s="0" t="n">
        <f aca="false">ROUND(B$3/(100*5),0)</f>
        <v>864</v>
      </c>
      <c r="C40" s="0" t="n">
        <f aca="false">ROUND(C$3/(100*5),0)</f>
        <v>185</v>
      </c>
      <c r="D40" s="0" t="n">
        <f aca="false">ROUND(D$3/(100*5),0)</f>
        <v>40</v>
      </c>
      <c r="E40" s="0" t="n">
        <f aca="false">ROUND(E$3/(100*5),0)</f>
        <v>8</v>
      </c>
      <c r="F40" s="0" t="n">
        <f aca="false">ROUND(F$3/(100*5),0)</f>
        <v>2</v>
      </c>
      <c r="G40" s="0" t="s">
        <v>496</v>
      </c>
    </row>
    <row r="41" customFormat="false" ht="13.6" hidden="false" customHeight="false" outlineLevel="0" collapsed="false">
      <c r="A41" s="34" t="s">
        <v>538</v>
      </c>
      <c r="B41" s="0" t="n">
        <f aca="false">ROUND(B$3/(100*5),0)</f>
        <v>864</v>
      </c>
      <c r="C41" s="0" t="n">
        <f aca="false">ROUND(C$3/(100*5),0)</f>
        <v>185</v>
      </c>
      <c r="D41" s="0" t="n">
        <f aca="false">ROUND(D$3/(100*5),0)</f>
        <v>40</v>
      </c>
      <c r="E41" s="0" t="n">
        <f aca="false">ROUND(E$3/(100*5),0)</f>
        <v>8</v>
      </c>
      <c r="F41" s="0" t="n">
        <f aca="false">ROUND(F$3/(100*5),0)</f>
        <v>2</v>
      </c>
    </row>
    <row r="42" customFormat="false" ht="13.6" hidden="false" customHeight="false" outlineLevel="0" collapsed="false">
      <c r="A42" s="34" t="s">
        <v>539</v>
      </c>
      <c r="B42" s="0" t="n">
        <f aca="false">IF(B$3&gt;=10000,1,0)</f>
        <v>1</v>
      </c>
      <c r="C42" s="0" t="n">
        <f aca="false">IF(C$3&gt;=10000,1,0)</f>
        <v>1</v>
      </c>
      <c r="D42" s="0" t="n">
        <f aca="false">IF(D$3&gt;=10000,1,0)</f>
        <v>1</v>
      </c>
      <c r="E42" s="0" t="n">
        <f aca="false">IF(E$3&gt;=10000,1,0)</f>
        <v>0</v>
      </c>
      <c r="F42" s="0" t="n">
        <f aca="false">IF(F$3&gt;=10000,1,0)</f>
        <v>0</v>
      </c>
    </row>
    <row r="44" customFormat="false" ht="13.6" hidden="false" customHeight="false" outlineLevel="0" collapsed="false">
      <c r="A44" s="34" t="s">
        <v>540</v>
      </c>
      <c r="B44" s="0" t="n">
        <f aca="false">ROUND(B$3*B124/(200*B$158),0)</f>
        <v>119</v>
      </c>
      <c r="C44" s="0" t="n">
        <f aca="false">ROUND(C$3*C124/(200*C$158),0)</f>
        <v>14</v>
      </c>
      <c r="D44" s="0" t="n">
        <f aca="false">ROUND(D$3*D124/(200*D$158),0)</f>
        <v>4</v>
      </c>
      <c r="E44" s="0" t="n">
        <f aca="false">ROUND(E$3*E124/(200*E$158),0)</f>
        <v>1</v>
      </c>
      <c r="F44" s="0" t="n">
        <f aca="false">ROUND(F$3*F124/(200*F$158),0)</f>
        <v>0</v>
      </c>
      <c r="H44" s="0" t="s">
        <v>541</v>
      </c>
    </row>
    <row r="45" customFormat="false" ht="13.6" hidden="false" customHeight="false" outlineLevel="0" collapsed="false">
      <c r="A45" s="34" t="s">
        <v>542</v>
      </c>
      <c r="B45" s="0" t="n">
        <f aca="false">ROUND(B$3*B125/(200*B$158),0)</f>
        <v>142</v>
      </c>
      <c r="C45" s="0" t="n">
        <f aca="false">ROUND(C$3*C125/(200*C$158),0)</f>
        <v>40</v>
      </c>
      <c r="D45" s="0" t="n">
        <f aca="false">ROUND(D$3*D125/(200*D$158),0)</f>
        <v>6</v>
      </c>
      <c r="E45" s="0" t="n">
        <f aca="false">ROUND(E$3*E125/(200*E$158),0)</f>
        <v>2</v>
      </c>
      <c r="F45" s="0" t="n">
        <f aca="false">ROUND(F$3*F125/(200*F$158),0)</f>
        <v>0</v>
      </c>
      <c r="H45" s="0" t="s">
        <v>543</v>
      </c>
    </row>
    <row r="46" customFormat="false" ht="13.6" hidden="false" customHeight="false" outlineLevel="0" collapsed="false">
      <c r="A46" s="34" t="s">
        <v>544</v>
      </c>
      <c r="B46" s="0" t="n">
        <f aca="false">ROUND(B$3*B126/(200*B$158),0)</f>
        <v>87</v>
      </c>
      <c r="C46" s="0" t="n">
        <f aca="false">ROUND(C$3*C126/(200*C$158),0)</f>
        <v>25</v>
      </c>
      <c r="D46" s="0" t="n">
        <f aca="false">ROUND(D$3*D126/(200*D$158),0)</f>
        <v>2</v>
      </c>
      <c r="E46" s="0" t="n">
        <f aca="false">ROUND(E$3*E126/(200*E$158),0)</f>
        <v>1</v>
      </c>
      <c r="F46" s="0" t="n">
        <f aca="false">ROUND(F$3*F126/(200*F$158),0)</f>
        <v>0</v>
      </c>
      <c r="H46" s="0" t="s">
        <v>543</v>
      </c>
    </row>
    <row r="47" customFormat="false" ht="13.6" hidden="false" customHeight="false" outlineLevel="0" collapsed="false">
      <c r="A47" s="34" t="s">
        <v>545</v>
      </c>
      <c r="B47" s="0" t="n">
        <f aca="false">ROUND(B$3*B127/(200*B$158),0)</f>
        <v>88</v>
      </c>
      <c r="C47" s="0" t="n">
        <f aca="false">ROUND(C$3*C127/(200*C$158),0)</f>
        <v>26</v>
      </c>
      <c r="D47" s="0" t="n">
        <f aca="false">ROUND(D$3*D127/(200*D$158),0)</f>
        <v>6</v>
      </c>
      <c r="E47" s="0" t="n">
        <f aca="false">ROUND(E$3*E127/(200*E$158),0)</f>
        <v>1</v>
      </c>
      <c r="F47" s="0" t="n">
        <f aca="false">ROUND(F$3*F127/(200*F$158),0)</f>
        <v>0</v>
      </c>
      <c r="H47" s="0" t="s">
        <v>543</v>
      </c>
    </row>
    <row r="48" customFormat="false" ht="13.6" hidden="false" customHeight="false" outlineLevel="0" collapsed="false">
      <c r="A48" s="34" t="s">
        <v>546</v>
      </c>
      <c r="B48" s="0" t="n">
        <f aca="false">ROUND(B$3*B128/(200*B$158),0)</f>
        <v>76</v>
      </c>
      <c r="C48" s="0" t="n">
        <f aca="false">ROUND(C$3*C128/(200*C$158),0)</f>
        <v>14</v>
      </c>
      <c r="D48" s="0" t="n">
        <f aca="false">ROUND(D$3*D128/(200*D$158),0)</f>
        <v>9</v>
      </c>
      <c r="E48" s="0" t="n">
        <f aca="false">ROUND(E$3*E128/(200*E$158),0)</f>
        <v>0</v>
      </c>
      <c r="F48" s="0" t="n">
        <f aca="false">ROUND(F$3*F128/(200*F$158),0)</f>
        <v>0</v>
      </c>
      <c r="H48" s="0" t="s">
        <v>543</v>
      </c>
    </row>
    <row r="49" customFormat="false" ht="13.6" hidden="false" customHeight="false" outlineLevel="0" collapsed="false">
      <c r="A49" s="34" t="s">
        <v>547</v>
      </c>
      <c r="B49" s="0" t="n">
        <f aca="false">ROUND(B$3*B129/(200*B$158),0)</f>
        <v>130</v>
      </c>
      <c r="C49" s="0" t="n">
        <f aca="false">ROUND(C$3*C129/(200*C$158),0)</f>
        <v>9</v>
      </c>
      <c r="D49" s="0" t="n">
        <f aca="false">ROUND(D$3*D129/(200*D$158),0)</f>
        <v>7</v>
      </c>
      <c r="E49" s="0" t="n">
        <f aca="false">ROUND(E$3*E129/(200*E$158),0)</f>
        <v>1</v>
      </c>
      <c r="F49" s="0" t="n">
        <f aca="false">ROUND(F$3*F129/(200*F$158),0)</f>
        <v>0</v>
      </c>
      <c r="H49" s="0" t="s">
        <v>543</v>
      </c>
    </row>
    <row r="50" customFormat="false" ht="13.6" hidden="false" customHeight="false" outlineLevel="0" collapsed="false">
      <c r="A50" s="34" t="s">
        <v>548</v>
      </c>
      <c r="B50" s="0" t="n">
        <f aca="false">ROUND(B$3*B130/(200*B$158),0)</f>
        <v>145</v>
      </c>
      <c r="C50" s="0" t="n">
        <f aca="false">ROUND(C$3*C130/(200*C$158),0)</f>
        <v>39</v>
      </c>
      <c r="D50" s="0" t="n">
        <f aca="false">ROUND(D$3*D130/(200*D$158),0)</f>
        <v>2</v>
      </c>
      <c r="E50" s="0" t="n">
        <f aca="false">ROUND(E$3*E130/(200*E$158),0)</f>
        <v>1</v>
      </c>
      <c r="F50" s="0" t="n">
        <f aca="false">ROUND(F$3*F130/(200*F$158),0)</f>
        <v>0</v>
      </c>
      <c r="H50" s="0" t="s">
        <v>543</v>
      </c>
    </row>
    <row r="51" customFormat="false" ht="13.6" hidden="false" customHeight="false" outlineLevel="0" collapsed="false">
      <c r="A51" s="34" t="s">
        <v>549</v>
      </c>
      <c r="B51" s="0" t="n">
        <f aca="false">ROUND(B$3*B131/(200*B$158),0)</f>
        <v>152</v>
      </c>
      <c r="C51" s="0" t="n">
        <f aca="false">ROUND(C$3*C131/(200*C$158),0)</f>
        <v>39</v>
      </c>
      <c r="D51" s="0" t="n">
        <f aca="false">ROUND(D$3*D131/(200*D$158),0)</f>
        <v>4</v>
      </c>
      <c r="E51" s="0" t="n">
        <f aca="false">ROUND(E$3*E131/(200*E$158),0)</f>
        <v>1</v>
      </c>
      <c r="F51" s="0" t="n">
        <f aca="false">ROUND(F$3*F131/(200*F$158),0)</f>
        <v>0</v>
      </c>
      <c r="G51" s="0" t="s">
        <v>496</v>
      </c>
      <c r="H51" s="0" t="s">
        <v>543</v>
      </c>
    </row>
    <row r="52" customFormat="false" ht="13.6" hidden="false" customHeight="false" outlineLevel="0" collapsed="false">
      <c r="A52" s="34" t="s">
        <v>550</v>
      </c>
      <c r="B52" s="0" t="n">
        <f aca="false">ROUND(B$3*B132/(200*B$158),0)</f>
        <v>157</v>
      </c>
      <c r="C52" s="0" t="n">
        <f aca="false">ROUND(C$3*C132/(200*C$158),0)</f>
        <v>10</v>
      </c>
      <c r="D52" s="0" t="n">
        <f aca="false">ROUND(D$3*D132/(200*D$158),0)</f>
        <v>8</v>
      </c>
      <c r="E52" s="0" t="n">
        <f aca="false">ROUND(E$3*E132/(200*E$158),0)</f>
        <v>1</v>
      </c>
      <c r="F52" s="0" t="n">
        <f aca="false">ROUND(F$3*F132/(200*F$158),0)</f>
        <v>0</v>
      </c>
      <c r="H52" s="0" t="s">
        <v>543</v>
      </c>
    </row>
    <row r="53" customFormat="false" ht="13.6" hidden="false" customHeight="false" outlineLevel="0" collapsed="false">
      <c r="A53" s="34" t="s">
        <v>551</v>
      </c>
      <c r="B53" s="0" t="n">
        <f aca="false">ROUND(B$3*B133/(200*B$158),0)</f>
        <v>145</v>
      </c>
      <c r="C53" s="0" t="n">
        <f aca="false">ROUND(C$3*C133/(200*C$158),0)</f>
        <v>18</v>
      </c>
      <c r="D53" s="0" t="n">
        <f aca="false">ROUND(D$3*D133/(200*D$158),0)</f>
        <v>1</v>
      </c>
      <c r="E53" s="0" t="n">
        <f aca="false">ROUND(E$3*E133/(200*E$158),0)</f>
        <v>0</v>
      </c>
      <c r="F53" s="0" t="n">
        <f aca="false">ROUND(F$3*F133/(200*F$158),0)</f>
        <v>0</v>
      </c>
      <c r="H53" s="0" t="s">
        <v>543</v>
      </c>
    </row>
    <row r="54" customFormat="false" ht="12.8" hidden="false" customHeight="false" outlineLevel="0" collapsed="false">
      <c r="H54" s="0" t="s">
        <v>543</v>
      </c>
    </row>
    <row r="55" customFormat="false" ht="13.6" hidden="false" customHeight="false" outlineLevel="0" collapsed="false">
      <c r="A55" s="34" t="s">
        <v>552</v>
      </c>
      <c r="B55" s="0" t="n">
        <f aca="false">ROUND(B$3*B135/(200*B$158),0)</f>
        <v>13</v>
      </c>
      <c r="C55" s="0" t="n">
        <f aca="false">ROUND(C$3*C135/(200*C$158),0)</f>
        <v>4</v>
      </c>
      <c r="D55" s="0" t="n">
        <f aca="false">ROUND(D$3*D135/(200*D$158),0)</f>
        <v>2</v>
      </c>
      <c r="E55" s="0" t="n">
        <f aca="false">ROUND(E$3*E135/(200*E$158),0)</f>
        <v>0</v>
      </c>
      <c r="F55" s="0" t="n">
        <f aca="false">ROUND(F$3*F135/(200*F$158),0)</f>
        <v>0</v>
      </c>
      <c r="H55" s="0" t="s">
        <v>543</v>
      </c>
    </row>
    <row r="56" customFormat="false" ht="13.6" hidden="false" customHeight="false" outlineLevel="0" collapsed="false">
      <c r="A56" s="34" t="s">
        <v>553</v>
      </c>
      <c r="B56" s="0" t="n">
        <f aca="false">ROUND(B$3*B136/(200*B$158),0)</f>
        <v>20</v>
      </c>
      <c r="C56" s="0" t="n">
        <f aca="false">ROUND(C$3*C136/(200*C$158),0)</f>
        <v>9</v>
      </c>
      <c r="D56" s="0" t="n">
        <f aca="false">ROUND(D$3*D136/(200*D$158),0)</f>
        <v>3</v>
      </c>
      <c r="E56" s="0" t="n">
        <f aca="false">ROUND(E$3*E136/(200*E$158),0)</f>
        <v>1</v>
      </c>
      <c r="F56" s="0" t="n">
        <f aca="false">ROUND(F$3*F136/(200*F$158),0)</f>
        <v>0</v>
      </c>
      <c r="H56" s="0" t="s">
        <v>543</v>
      </c>
    </row>
    <row r="57" customFormat="false" ht="13.6" hidden="false" customHeight="false" outlineLevel="0" collapsed="false">
      <c r="A57" s="34" t="s">
        <v>554</v>
      </c>
      <c r="B57" s="0" t="n">
        <f aca="false">ROUND(B$3*B137/(200*B$158),0)</f>
        <v>55</v>
      </c>
      <c r="C57" s="0" t="n">
        <f aca="false">ROUND(C$3*C137/(200*C$158),0)</f>
        <v>14</v>
      </c>
      <c r="D57" s="0" t="n">
        <f aca="false">ROUND(D$3*D137/(200*D$158),0)</f>
        <v>3</v>
      </c>
      <c r="E57" s="0" t="n">
        <f aca="false">ROUND(E$3*E137/(200*E$158),0)</f>
        <v>0</v>
      </c>
      <c r="F57" s="0" t="n">
        <f aca="false">ROUND(F$3*F137/(200*F$158),0)</f>
        <v>0</v>
      </c>
      <c r="H57" s="0" t="s">
        <v>543</v>
      </c>
    </row>
    <row r="58" customFormat="false" ht="13.6" hidden="false" customHeight="false" outlineLevel="0" collapsed="false">
      <c r="A58" s="34" t="s">
        <v>555</v>
      </c>
      <c r="B58" s="0" t="n">
        <f aca="false">ROUND(B$3*B138/(200*B$158),0)</f>
        <v>99</v>
      </c>
      <c r="C58" s="0" t="n">
        <f aca="false">ROUND(C$3*C138/(200*C$158),0)</f>
        <v>23</v>
      </c>
      <c r="D58" s="0" t="n">
        <f aca="false">ROUND(D$3*D138/(200*D$158),0)</f>
        <v>4</v>
      </c>
      <c r="E58" s="0" t="n">
        <f aca="false">ROUND(E$3*E138/(200*E$158),0)</f>
        <v>1</v>
      </c>
      <c r="F58" s="0" t="n">
        <f aca="false">ROUND(F$3*F138/(200*F$158),0)</f>
        <v>0</v>
      </c>
      <c r="H58" s="0" t="s">
        <v>543</v>
      </c>
    </row>
    <row r="59" customFormat="false" ht="13.6" hidden="false" customHeight="false" outlineLevel="0" collapsed="false">
      <c r="A59" s="34" t="s">
        <v>556</v>
      </c>
      <c r="B59" s="0" t="n">
        <f aca="false">ROUND(B$3*B139/(200*B$158),0)</f>
        <v>38</v>
      </c>
      <c r="C59" s="0" t="n">
        <f aca="false">ROUND(C$3*C139/(200*C$158),0)</f>
        <v>30</v>
      </c>
      <c r="D59" s="0" t="n">
        <f aca="false">ROUND(D$3*D139/(200*D$158),0)</f>
        <v>4</v>
      </c>
      <c r="E59" s="0" t="n">
        <f aca="false">ROUND(E$3*E139/(200*E$158),0)</f>
        <v>1</v>
      </c>
      <c r="F59" s="0" t="n">
        <f aca="false">ROUND(F$3*F139/(200*F$158),0)</f>
        <v>0</v>
      </c>
      <c r="H59" s="0" t="s">
        <v>543</v>
      </c>
    </row>
    <row r="60" customFormat="false" ht="13.6" hidden="false" customHeight="false" outlineLevel="0" collapsed="false">
      <c r="A60" s="34" t="s">
        <v>557</v>
      </c>
      <c r="B60" s="0" t="n">
        <f aca="false">ROUND(B$3*B140/(200*B$158),0)</f>
        <v>85</v>
      </c>
      <c r="C60" s="0" t="n">
        <f aca="false">ROUND(C$3*C140/(200*C$158),0)</f>
        <v>19</v>
      </c>
      <c r="D60" s="0" t="n">
        <f aca="false">ROUND(D$3*D140/(200*D$158),0)</f>
        <v>3</v>
      </c>
      <c r="E60" s="0" t="n">
        <f aca="false">ROUND(E$3*E140/(200*E$158),0)</f>
        <v>1</v>
      </c>
      <c r="F60" s="0" t="n">
        <f aca="false">ROUND(F$3*F140/(200*F$158),0)</f>
        <v>0</v>
      </c>
      <c r="H60" s="0" t="s">
        <v>543</v>
      </c>
    </row>
    <row r="61" customFormat="false" ht="13.6" hidden="false" customHeight="false" outlineLevel="0" collapsed="false">
      <c r="A61" s="34" t="s">
        <v>558</v>
      </c>
      <c r="B61" s="0" t="n">
        <f aca="false">ROUND(B$3*B141/(200*B$158),0)</f>
        <v>77</v>
      </c>
      <c r="C61" s="0" t="n">
        <f aca="false">ROUND(C$3*C141/(200*C$158),0)</f>
        <v>2</v>
      </c>
      <c r="D61" s="0" t="n">
        <f aca="false">ROUND(D$3*D141/(200*D$158),0)</f>
        <v>1</v>
      </c>
      <c r="E61" s="0" t="n">
        <f aca="false">ROUND(E$3*E141/(200*E$158),0)</f>
        <v>1</v>
      </c>
      <c r="F61" s="0" t="n">
        <f aca="false">ROUND(F$3*F141/(200*F$158),0)</f>
        <v>0</v>
      </c>
      <c r="H61" s="0" t="s">
        <v>543</v>
      </c>
    </row>
    <row r="62" customFormat="false" ht="13.6" hidden="false" customHeight="false" outlineLevel="0" collapsed="false">
      <c r="A62" s="34" t="s">
        <v>559</v>
      </c>
      <c r="B62" s="0" t="n">
        <f aca="false">ROUND(B$3*B142/(200*B$158),0)</f>
        <v>75</v>
      </c>
      <c r="C62" s="0" t="n">
        <f aca="false">ROUND(C$3*C142/(200*C$158),0)</f>
        <v>9</v>
      </c>
      <c r="D62" s="0" t="n">
        <f aca="false">ROUND(D$3*D142/(200*D$158),0)</f>
        <v>4</v>
      </c>
      <c r="E62" s="0" t="n">
        <f aca="false">ROUND(E$3*E142/(200*E$158),0)</f>
        <v>1</v>
      </c>
      <c r="F62" s="0" t="n">
        <f aca="false">ROUND(F$3*F142/(200*F$158),0)</f>
        <v>0</v>
      </c>
      <c r="H62" s="0" t="s">
        <v>543</v>
      </c>
    </row>
    <row r="63" customFormat="false" ht="13.6" hidden="false" customHeight="false" outlineLevel="0" collapsed="false">
      <c r="A63" s="34" t="s">
        <v>560</v>
      </c>
      <c r="B63" s="0" t="n">
        <f aca="false">ROUND(B$3*B143/(200*B$158),0)</f>
        <v>20</v>
      </c>
      <c r="C63" s="0" t="n">
        <f aca="false">ROUND(C$3*C143/(200*C$158),0)</f>
        <v>19</v>
      </c>
      <c r="D63" s="0" t="n">
        <f aca="false">ROUND(D$3*D143/(200*D$158),0)</f>
        <v>5</v>
      </c>
      <c r="E63" s="0" t="n">
        <f aca="false">ROUND(E$3*E143/(200*E$158),0)</f>
        <v>1</v>
      </c>
      <c r="F63" s="0" t="n">
        <f aca="false">ROUND(F$3*F143/(200*F$158),0)</f>
        <v>0</v>
      </c>
      <c r="H63" s="0" t="s">
        <v>543</v>
      </c>
    </row>
    <row r="64" customFormat="false" ht="13.6" hidden="false" customHeight="false" outlineLevel="0" collapsed="false">
      <c r="A64" s="34" t="s">
        <v>561</v>
      </c>
      <c r="B64" s="0" t="n">
        <f aca="false">ROUND(B$3*B144/(200*B$158),0)</f>
        <v>54</v>
      </c>
      <c r="C64" s="0" t="n">
        <f aca="false">ROUND(C$3*C144/(200*C$158),0)</f>
        <v>19</v>
      </c>
      <c r="D64" s="0" t="n">
        <f aca="false">ROUND(D$3*D144/(200*D$158),0)</f>
        <v>4</v>
      </c>
      <c r="E64" s="0" t="n">
        <f aca="false">ROUND(E$3*E144/(200*E$158),0)</f>
        <v>1</v>
      </c>
      <c r="F64" s="0" t="n">
        <f aca="false">ROUND(F$3*F144/(200*F$158),0)</f>
        <v>0</v>
      </c>
      <c r="H64" s="0" t="s">
        <v>543</v>
      </c>
    </row>
    <row r="65" customFormat="false" ht="12.8" hidden="false" customHeight="false" outlineLevel="0" collapsed="false">
      <c r="H65" s="0" t="s">
        <v>543</v>
      </c>
    </row>
    <row r="66" customFormat="false" ht="13.6" hidden="false" customHeight="false" outlineLevel="0" collapsed="false">
      <c r="A66" s="34" t="s">
        <v>562</v>
      </c>
      <c r="B66" s="0" t="n">
        <f aca="false">ROUND(B$3*B146/(200*B$158),0)</f>
        <v>27</v>
      </c>
      <c r="C66" s="0" t="n">
        <f aca="false">ROUND(C$3*C146/(200*C$158),0)</f>
        <v>13</v>
      </c>
      <c r="D66" s="0" t="n">
        <f aca="false">ROUND(D$3*D146/(200*D$158),0)</f>
        <v>2</v>
      </c>
      <c r="E66" s="0" t="n">
        <f aca="false">ROUND(E$3*E146/(200*E$158),0)</f>
        <v>1</v>
      </c>
      <c r="F66" s="0" t="n">
        <f aca="false">ROUND(F$3*F146/(200*F$158),0)</f>
        <v>0</v>
      </c>
      <c r="G66" s="0" t="s">
        <v>496</v>
      </c>
      <c r="H66" s="0" t="s">
        <v>543</v>
      </c>
    </row>
    <row r="67" customFormat="false" ht="13.6" hidden="false" customHeight="false" outlineLevel="0" collapsed="false">
      <c r="A67" s="34" t="s">
        <v>563</v>
      </c>
      <c r="B67" s="0" t="n">
        <f aca="false">ROUND(B$3*B147/(200*B$158),0)</f>
        <v>43</v>
      </c>
      <c r="C67" s="0" t="n">
        <f aca="false">ROUND(C$3*C147/(200*C$158),0)</f>
        <v>1</v>
      </c>
      <c r="D67" s="0" t="n">
        <f aca="false">ROUND(D$3*D147/(200*D$158),0)</f>
        <v>2</v>
      </c>
      <c r="E67" s="0" t="n">
        <f aca="false">ROUND(E$3*E147/(200*E$158),0)</f>
        <v>0</v>
      </c>
      <c r="F67" s="0" t="n">
        <f aca="false">ROUND(F$3*F147/(200*F$158),0)</f>
        <v>0</v>
      </c>
      <c r="H67" s="0" t="s">
        <v>543</v>
      </c>
    </row>
    <row r="68" customFormat="false" ht="13.6" hidden="false" customHeight="false" outlineLevel="0" collapsed="false">
      <c r="A68" s="34" t="s">
        <v>564</v>
      </c>
      <c r="B68" s="0" t="n">
        <f aca="false">ROUND(B$3*B148/(200*B$158),0)</f>
        <v>15</v>
      </c>
      <c r="C68" s="0" t="n">
        <f aca="false">ROUND(C$3*C148/(200*C$158),0)</f>
        <v>4</v>
      </c>
      <c r="D68" s="0" t="n">
        <f aca="false">ROUND(D$3*D148/(200*D$158),0)</f>
        <v>1</v>
      </c>
      <c r="E68" s="0" t="n">
        <f aca="false">ROUND(E$3*E148/(200*E$158),0)</f>
        <v>0</v>
      </c>
      <c r="F68" s="0" t="n">
        <f aca="false">ROUND(F$3*F148/(200*F$158),0)</f>
        <v>0</v>
      </c>
      <c r="H68" s="0" t="s">
        <v>543</v>
      </c>
    </row>
    <row r="69" customFormat="false" ht="13.6" hidden="false" customHeight="false" outlineLevel="0" collapsed="false">
      <c r="A69" s="34" t="s">
        <v>565</v>
      </c>
      <c r="B69" s="0" t="n">
        <f aca="false">ROUND(B$3*B149/(200*B$158),0)</f>
        <v>30</v>
      </c>
      <c r="C69" s="0" t="n">
        <f aca="false">ROUND(C$3*C149/(200*C$158),0)</f>
        <v>6</v>
      </c>
      <c r="D69" s="0" t="n">
        <f aca="false">ROUND(D$3*D149/(200*D$158),0)</f>
        <v>1</v>
      </c>
      <c r="E69" s="0" t="n">
        <f aca="false">ROUND(E$3*E149/(200*E$158),0)</f>
        <v>1</v>
      </c>
      <c r="F69" s="0" t="n">
        <f aca="false">ROUND(F$3*F149/(200*F$158),0)</f>
        <v>0</v>
      </c>
      <c r="H69" s="0" t="s">
        <v>543</v>
      </c>
    </row>
    <row r="70" customFormat="false" ht="13.6" hidden="false" customHeight="false" outlineLevel="0" collapsed="false">
      <c r="A70" s="34" t="s">
        <v>566</v>
      </c>
      <c r="B70" s="0" t="n">
        <f aca="false">ROUND(B$3*B150/(200*B$158),0)</f>
        <v>4</v>
      </c>
      <c r="C70" s="0" t="n">
        <f aca="false">ROUND(C$3*C150/(200*C$158),0)</f>
        <v>14</v>
      </c>
      <c r="D70" s="0" t="n">
        <f aca="false">ROUND(D$3*D150/(200*D$158),0)</f>
        <v>0</v>
      </c>
      <c r="E70" s="0" t="n">
        <f aca="false">ROUND(E$3*E150/(200*E$158),0)</f>
        <v>0</v>
      </c>
      <c r="F70" s="0" t="n">
        <f aca="false">ROUND(F$3*F150/(200*F$158),0)</f>
        <v>0</v>
      </c>
      <c r="H70" s="0" t="s">
        <v>543</v>
      </c>
    </row>
    <row r="71" customFormat="false" ht="13.6" hidden="false" customHeight="false" outlineLevel="0" collapsed="false">
      <c r="A71" s="34" t="s">
        <v>567</v>
      </c>
      <c r="B71" s="0" t="n">
        <f aca="false">ROUND(B$3*B151/(200*B$158),0)</f>
        <v>46</v>
      </c>
      <c r="C71" s="0" t="n">
        <f aca="false">ROUND(C$3*C151/(200*C$158),0)</f>
        <v>4</v>
      </c>
      <c r="D71" s="0" t="n">
        <f aca="false">ROUND(D$3*D151/(200*D$158),0)</f>
        <v>0</v>
      </c>
      <c r="E71" s="0" t="n">
        <f aca="false">ROUND(E$3*E151/(200*E$158),0)</f>
        <v>0</v>
      </c>
      <c r="F71" s="0" t="n">
        <f aca="false">ROUND(F$3*F151/(200*F$158),0)</f>
        <v>0</v>
      </c>
      <c r="H71" s="0" t="s">
        <v>543</v>
      </c>
    </row>
    <row r="72" customFormat="false" ht="13.6" hidden="false" customHeight="false" outlineLevel="0" collapsed="false">
      <c r="A72" s="34" t="s">
        <v>568</v>
      </c>
      <c r="B72" s="0" t="n">
        <f aca="false">ROUND(B$3*B152/(200*B$158),0)</f>
        <v>44</v>
      </c>
      <c r="C72" s="0" t="n">
        <f aca="false">ROUND(C$3*C152/(200*C$158),0)</f>
        <v>12</v>
      </c>
      <c r="D72" s="0" t="n">
        <f aca="false">ROUND(D$3*D152/(200*D$158),0)</f>
        <v>2</v>
      </c>
      <c r="E72" s="0" t="n">
        <f aca="false">ROUND(E$3*E152/(200*E$158),0)</f>
        <v>1</v>
      </c>
      <c r="F72" s="0" t="n">
        <f aca="false">ROUND(F$3*F152/(200*F$158),0)</f>
        <v>0</v>
      </c>
      <c r="H72" s="0" t="s">
        <v>543</v>
      </c>
    </row>
    <row r="73" customFormat="false" ht="13.6" hidden="false" customHeight="false" outlineLevel="0" collapsed="false">
      <c r="A73" s="34" t="s">
        <v>569</v>
      </c>
      <c r="B73" s="0" t="n">
        <f aca="false">ROUND(B$3*B153/(200*B$158),0)</f>
        <v>47</v>
      </c>
      <c r="C73" s="0" t="n">
        <f aca="false">ROUND(C$3*C153/(200*C$158),0)</f>
        <v>2</v>
      </c>
      <c r="D73" s="0" t="n">
        <f aca="false">ROUND(D$3*D153/(200*D$158),0)</f>
        <v>2</v>
      </c>
      <c r="E73" s="0" t="n">
        <f aca="false">ROUND(E$3*E153/(200*E$158),0)</f>
        <v>0</v>
      </c>
      <c r="F73" s="0" t="n">
        <f aca="false">ROUND(F$3*F153/(200*F$158),0)</f>
        <v>0</v>
      </c>
      <c r="H73" s="0" t="s">
        <v>543</v>
      </c>
    </row>
    <row r="74" customFormat="false" ht="13.6" hidden="false" customHeight="false" outlineLevel="0" collapsed="false">
      <c r="A74" s="34" t="s">
        <v>570</v>
      </c>
      <c r="B74" s="0" t="n">
        <f aca="false">ROUND(B$3*B154/(200*B$158),0)</f>
        <v>50</v>
      </c>
      <c r="C74" s="0" t="n">
        <f aca="false">ROUND(C$3*C154/(200*C$158),0)</f>
        <v>4</v>
      </c>
      <c r="D74" s="0" t="n">
        <f aca="false">ROUND(D$3*D154/(200*D$158),0)</f>
        <v>2</v>
      </c>
      <c r="E74" s="0" t="n">
        <f aca="false">ROUND(E$3*E154/(200*E$158),0)</f>
        <v>0</v>
      </c>
      <c r="F74" s="0" t="n">
        <f aca="false">ROUND(F$3*F154/(200*F$158),0)</f>
        <v>0</v>
      </c>
      <c r="H74" s="0" t="s">
        <v>543</v>
      </c>
    </row>
    <row r="75" customFormat="false" ht="13.6" hidden="false" customHeight="false" outlineLevel="0" collapsed="false">
      <c r="A75" s="34" t="s">
        <v>571</v>
      </c>
      <c r="B75" s="0" t="n">
        <f aca="false">ROUND(B$3*B155/(200*B$158),0)</f>
        <v>51</v>
      </c>
      <c r="C75" s="0" t="n">
        <f aca="false">ROUND(C$3*C155/(200*C$158),0)</f>
        <v>7</v>
      </c>
      <c r="D75" s="0" t="n">
        <f aca="false">ROUND(D$3*D155/(200*D$158),0)</f>
        <v>2</v>
      </c>
      <c r="E75" s="0" t="n">
        <f aca="false">ROUND(E$3*E155/(200*E$158),0)</f>
        <v>0</v>
      </c>
      <c r="F75" s="0" t="n">
        <f aca="false">ROUND(F$3*F155/(200*F$158),0)</f>
        <v>0</v>
      </c>
      <c r="H75" s="0" t="s">
        <v>543</v>
      </c>
    </row>
    <row r="76" customFormat="false" ht="13.6" hidden="false" customHeight="false" outlineLevel="0" collapsed="false">
      <c r="A76" s="34" t="s">
        <v>572</v>
      </c>
      <c r="B76" s="0" t="n">
        <f aca="false">ROUND(B$3*B156/(200*B$158),0)</f>
        <v>29</v>
      </c>
      <c r="C76" s="0" t="n">
        <f aca="false">ROUND(C$3*C156/(200*C$158),0)</f>
        <v>12</v>
      </c>
      <c r="D76" s="0" t="n">
        <f aca="false">ROUND(D$3*D156/(200*D$158),0)</f>
        <v>2</v>
      </c>
      <c r="E76" s="0" t="n">
        <f aca="false">ROUND(E$3*E156/(200*E$158),0)</f>
        <v>0</v>
      </c>
      <c r="F76" s="0" t="n">
        <f aca="false">ROUND(F$3*F156/(200*F$158),0)</f>
        <v>0</v>
      </c>
      <c r="H76" s="0" t="s">
        <v>573</v>
      </c>
    </row>
    <row r="78" customFormat="false" ht="13.6" hidden="false" customHeight="false" outlineLevel="0" collapsed="false">
      <c r="A78" s="34" t="s">
        <v>574</v>
      </c>
    </row>
    <row r="79" customFormat="false" ht="13.6" hidden="false" customHeight="false" outlineLevel="0" collapsed="false">
      <c r="A79" s="34" t="s">
        <v>575</v>
      </c>
    </row>
    <row r="80" customFormat="false" ht="13.6" hidden="false" customHeight="false" outlineLevel="0" collapsed="false">
      <c r="A80" s="34" t="s">
        <v>576</v>
      </c>
    </row>
    <row r="81" customFormat="false" ht="13.6" hidden="false" customHeight="false" outlineLevel="0" collapsed="false">
      <c r="A81" s="34" t="s">
        <v>577</v>
      </c>
    </row>
    <row r="82" customFormat="false" ht="13.6" hidden="false" customHeight="false" outlineLevel="0" collapsed="false">
      <c r="A82" s="34" t="s">
        <v>578</v>
      </c>
    </row>
    <row r="83" customFormat="false" ht="13.6" hidden="false" customHeight="false" outlineLevel="0" collapsed="false">
      <c r="A83" s="34" t="s">
        <v>579</v>
      </c>
    </row>
    <row r="84" customFormat="false" ht="13.6" hidden="false" customHeight="false" outlineLevel="0" collapsed="false">
      <c r="A84" s="34" t="s">
        <v>580</v>
      </c>
    </row>
    <row r="85" customFormat="false" ht="13.6" hidden="false" customHeight="false" outlineLevel="0" collapsed="false">
      <c r="A85" s="34" t="s">
        <v>581</v>
      </c>
    </row>
    <row r="86" customFormat="false" ht="13.6" hidden="false" customHeight="false" outlineLevel="0" collapsed="false">
      <c r="A86" s="34" t="s">
        <v>582</v>
      </c>
    </row>
    <row r="87" customFormat="false" ht="13.6" hidden="false" customHeight="false" outlineLevel="0" collapsed="false">
      <c r="A87" s="34" t="s">
        <v>583</v>
      </c>
    </row>
    <row r="88" customFormat="false" ht="13.6" hidden="false" customHeight="false" outlineLevel="0" collapsed="false">
      <c r="A88" s="34" t="s">
        <v>584</v>
      </c>
    </row>
    <row r="89" customFormat="false" ht="13.6" hidden="false" customHeight="false" outlineLevel="0" collapsed="false">
      <c r="A89" s="34" t="s">
        <v>585</v>
      </c>
    </row>
    <row r="90" customFormat="false" ht="13.6" hidden="false" customHeight="false" outlineLevel="0" collapsed="false">
      <c r="A90" s="34" t="s">
        <v>586</v>
      </c>
    </row>
    <row r="91" customFormat="false" ht="13.6" hidden="false" customHeight="false" outlineLevel="0" collapsed="false">
      <c r="A91" s="34" t="s">
        <v>587</v>
      </c>
    </row>
    <row r="92" customFormat="false" ht="13.6" hidden="false" customHeight="false" outlineLevel="0" collapsed="false">
      <c r="A92" s="34" t="s">
        <v>588</v>
      </c>
    </row>
    <row r="93" customFormat="false" ht="13.6" hidden="false" customHeight="false" outlineLevel="0" collapsed="false">
      <c r="A93" s="34" t="s">
        <v>589</v>
      </c>
    </row>
    <row r="94" customFormat="false" ht="13.6" hidden="false" customHeight="false" outlineLevel="0" collapsed="false">
      <c r="A94" s="34" t="s">
        <v>590</v>
      </c>
    </row>
    <row r="96" customFormat="false" ht="13.6" hidden="false" customHeight="false" outlineLevel="0" collapsed="false">
      <c r="A96" s="34" t="s">
        <v>591</v>
      </c>
    </row>
    <row r="97" customFormat="false" ht="13.6" hidden="false" customHeight="false" outlineLevel="0" collapsed="false">
      <c r="A97" s="34" t="s">
        <v>592</v>
      </c>
    </row>
    <row r="98" customFormat="false" ht="13.6" hidden="false" customHeight="false" outlineLevel="0" collapsed="false">
      <c r="A98" s="34" t="s">
        <v>593</v>
      </c>
    </row>
    <row r="99" customFormat="false" ht="13.6" hidden="false" customHeight="false" outlineLevel="0" collapsed="false">
      <c r="A99" s="34" t="s">
        <v>594</v>
      </c>
    </row>
    <row r="100" customFormat="false" ht="13.6" hidden="false" customHeight="false" outlineLevel="0" collapsed="false">
      <c r="A100" s="34" t="s">
        <v>595</v>
      </c>
    </row>
    <row r="101" customFormat="false" ht="13.6" hidden="false" customHeight="false" outlineLevel="0" collapsed="false">
      <c r="A101" s="34" t="s">
        <v>596</v>
      </c>
    </row>
    <row r="103" customFormat="false" ht="25.6" hidden="false" customHeight="false" outlineLevel="0" collapsed="false">
      <c r="A103" s="34" t="s">
        <v>597</v>
      </c>
    </row>
    <row r="105" customFormat="false" ht="25.6" hidden="false" customHeight="false" outlineLevel="0" collapsed="false">
      <c r="A105" s="34" t="s">
        <v>598</v>
      </c>
      <c r="B105" s="10" t="n">
        <f aca="false">ROUND(B$3*800/1000,0)</f>
        <v>345784</v>
      </c>
      <c r="C105" s="10" t="n">
        <f aca="false">ROUND(C$3*800/1000,0)</f>
        <v>73965</v>
      </c>
      <c r="D105" s="10" t="n">
        <f aca="false">ROUND(D$3*800/1000,0)</f>
        <v>15822</v>
      </c>
      <c r="E105" s="10" t="n">
        <f aca="false">ROUND(E$3*800/1000,0)</f>
        <v>3384</v>
      </c>
      <c r="F105" s="10" t="n">
        <f aca="false">ROUND(F$3*800/1000,0)</f>
        <v>724</v>
      </c>
    </row>
    <row r="106" customFormat="false" ht="25.6" hidden="false" customHeight="false" outlineLevel="0" collapsed="false">
      <c r="A106" s="34" t="s">
        <v>599</v>
      </c>
      <c r="B106" s="10" t="n">
        <f aca="false">ROUND(B$3*5/1000,0)</f>
        <v>2161</v>
      </c>
      <c r="C106" s="10" t="n">
        <f aca="false">ROUND(C$3*5/1000,0)</f>
        <v>462</v>
      </c>
      <c r="D106" s="10" t="n">
        <f aca="false">ROUND(D$3*5/1000,0)</f>
        <v>99</v>
      </c>
      <c r="E106" s="10" t="n">
        <f aca="false">ROUND(E$3*5/1000,0)</f>
        <v>21</v>
      </c>
      <c r="F106" s="10" t="n">
        <f aca="false">ROUND(F$3*5/1000,0)</f>
        <v>5</v>
      </c>
    </row>
    <row r="107" customFormat="false" ht="25.6" hidden="false" customHeight="false" outlineLevel="0" collapsed="false">
      <c r="A107" s="34" t="s">
        <v>600</v>
      </c>
      <c r="B107" s="10" t="n">
        <f aca="false">ROUND(B$3*25*60/1000,0)</f>
        <v>648345</v>
      </c>
      <c r="C107" s="10" t="n">
        <f aca="false">ROUND(C$3*25*60/1000,0)</f>
        <v>138685</v>
      </c>
      <c r="D107" s="10" t="n">
        <f aca="false">ROUND(D$3*25*60/1000,0)</f>
        <v>29666</v>
      </c>
      <c r="E107" s="10" t="n">
        <f aca="false">ROUND(E$3*25*60/1000,0)</f>
        <v>6346</v>
      </c>
      <c r="F107" s="10" t="n">
        <f aca="false">ROUND(F$3*25*60/1000,0)</f>
        <v>1357</v>
      </c>
    </row>
    <row r="108" customFormat="false" ht="25.6" hidden="false" customHeight="false" outlineLevel="0" collapsed="false">
      <c r="A108" s="34" t="s">
        <v>601</v>
      </c>
      <c r="B108" s="10" t="n">
        <f aca="false">ROUND(B$3*3/1000,0)</f>
        <v>1297</v>
      </c>
      <c r="C108" s="10" t="n">
        <f aca="false">ROUND(C$3*3/1000,0)</f>
        <v>277</v>
      </c>
      <c r="D108" s="10" t="n">
        <f aca="false">ROUND(D$3*3/1000,0)</f>
        <v>59</v>
      </c>
      <c r="E108" s="10" t="n">
        <f aca="false">ROUND(E$3*3/1000,0)</f>
        <v>13</v>
      </c>
      <c r="F108" s="10" t="n">
        <f aca="false">ROUND(F$3*3/1000,0)</f>
        <v>3</v>
      </c>
    </row>
    <row r="109" customFormat="false" ht="25.6" hidden="false" customHeight="false" outlineLevel="0" collapsed="false">
      <c r="A109" s="34" t="s">
        <v>602</v>
      </c>
      <c r="B109" s="10" t="n">
        <f aca="false">ROUND(B$3/10,0)</f>
        <v>43223</v>
      </c>
      <c r="C109" s="10" t="n">
        <f aca="false">ROUND(C$3/10,0)</f>
        <v>9246</v>
      </c>
      <c r="D109" s="10" t="n">
        <f aca="false">ROUND(D$3/10,0)</f>
        <v>1978</v>
      </c>
      <c r="E109" s="10" t="n">
        <f aca="false">ROUND(E$3/10,0)</f>
        <v>423</v>
      </c>
      <c r="F109" s="10" t="n">
        <f aca="false">ROUND(F$3/10,0)</f>
        <v>90</v>
      </c>
    </row>
    <row r="110" customFormat="false" ht="13.6" hidden="false" customHeight="false" outlineLevel="0" collapsed="false">
      <c r="A110" s="34" t="s">
        <v>603</v>
      </c>
      <c r="B110" s="4" t="n">
        <f aca="false">B$3/147735.960443394</f>
        <v>2.92569355298631</v>
      </c>
      <c r="C110" s="4" t="n">
        <f aca="false">C$3/147735.960443394</f>
        <v>0.625823000248347</v>
      </c>
      <c r="D110" s="4" t="n">
        <f aca="false">D$3/147735.960443394</f>
        <v>0.133867208081337</v>
      </c>
      <c r="E110" s="4" t="n">
        <f aca="false">E$3/147735.960443394</f>
        <v>0.0286349804855054</v>
      </c>
      <c r="F110" s="4" t="n">
        <f aca="false">F$3/147735.960443394</f>
        <v>0.00612519017283959</v>
      </c>
    </row>
    <row r="111" customFormat="false" ht="25.6" hidden="false" customHeight="false" outlineLevel="0" collapsed="false">
      <c r="A111" s="34" t="s">
        <v>604</v>
      </c>
      <c r="B111" s="5" t="n">
        <f aca="false">B$3*5*4/1000</f>
        <v>8644.60294026956</v>
      </c>
      <c r="C111" s="5" t="n">
        <f aca="false">C$3*5*4/1000</f>
        <v>1849.13124018512</v>
      </c>
      <c r="D111" s="5" t="n">
        <f aca="false">D$3*5*4/1000</f>
        <v>395.540011155439</v>
      </c>
      <c r="E111" s="5" t="n">
        <f aca="false">E$3*5*4/1000</f>
        <v>84.6083268860797</v>
      </c>
      <c r="F111" s="5" t="n">
        <f aca="false">F$3*5*4/1000</f>
        <v>18.0982170616579</v>
      </c>
    </row>
    <row r="113" customFormat="false" ht="12.8" hidden="false" customHeight="false" outlineLevel="0" collapsed="false">
      <c r="D113" s="0" t="s">
        <v>605</v>
      </c>
      <c r="E113" s="0" t="s">
        <v>606</v>
      </c>
    </row>
    <row r="114" customFormat="false" ht="12.8" hidden="false" customHeight="false" outlineLevel="0" collapsed="false">
      <c r="C114" s="0" t="n">
        <f aca="false">1.553*1760</f>
        <v>2733.28</v>
      </c>
      <c r="D114" s="0" t="n">
        <f aca="false">C114/21</f>
        <v>130.15619047619</v>
      </c>
      <c r="E114" s="0" t="n">
        <f aca="false">2*D114/SQRT(3)</f>
        <v>150.29142321625</v>
      </c>
    </row>
    <row r="115" customFormat="false" ht="25.6" hidden="false" customHeight="false" outlineLevel="0" collapsed="false">
      <c r="A115" s="34" t="s">
        <v>607</v>
      </c>
      <c r="B115" s="5" t="n">
        <f aca="false">B110*1760*1760</f>
        <v>9062628.34973039</v>
      </c>
      <c r="C115" s="5" t="n">
        <f aca="false">C110*1760*1760</f>
        <v>1938549.32556928</v>
      </c>
      <c r="D115" s="5" t="n">
        <f aca="false">D110*1760*1760</f>
        <v>414667.063752748</v>
      </c>
      <c r="E115" s="5" t="n">
        <f aca="false">E110*1760*1760</f>
        <v>88699.7155519016</v>
      </c>
      <c r="F115" s="5" t="n">
        <f aca="false">F110*1760*1760</f>
        <v>18973.3890793879</v>
      </c>
    </row>
    <row r="116" customFormat="false" ht="25.6" hidden="false" customHeight="false" outlineLevel="0" collapsed="false">
      <c r="A116" s="34" t="s">
        <v>608</v>
      </c>
      <c r="B116" s="5" t="n">
        <f aca="false">SQRT(B115/SQRT(3))</f>
        <v>2287.42451619335</v>
      </c>
      <c r="C116" s="5" t="n">
        <f aca="false">SQRT(C115/SQRT(3))</f>
        <v>1057.93287828425</v>
      </c>
      <c r="D116" s="5" t="n">
        <f aca="false">SQRT(D115/SQRT(3))</f>
        <v>489.293511996349</v>
      </c>
      <c r="E116" s="5" t="n">
        <f aca="false">SQRT(E115/SQRT(3))</f>
        <v>226.298043851319</v>
      </c>
      <c r="F116" s="5" t="n">
        <f aca="false">SQRT(F115/SQRT(3))</f>
        <v>104.662750262088</v>
      </c>
    </row>
    <row r="117" customFormat="false" ht="25.6" hidden="false" customHeight="false" outlineLevel="0" collapsed="false">
      <c r="A117" s="34" t="s">
        <v>609</v>
      </c>
      <c r="B117" s="5" t="n">
        <f aca="false">B116*2/SQRT(3)</f>
        <v>2641.29032035036</v>
      </c>
      <c r="C117" s="5" t="n">
        <f aca="false">C116*2/SQRT(3)</f>
        <v>1221.59566412393</v>
      </c>
      <c r="D117" s="5" t="n">
        <f aca="false">D116*2/SQRT(3)</f>
        <v>564.987481727659</v>
      </c>
      <c r="E117" s="5" t="n">
        <f aca="false">E116*2/SQRT(3)</f>
        <v>261.30647306929</v>
      </c>
      <c r="F117" s="5" t="n">
        <f aca="false">F116*2/SQRT(3)</f>
        <v>120.854134075886</v>
      </c>
    </row>
    <row r="119" customFormat="false" ht="12.8" hidden="false" customHeight="false" outlineLevel="0" collapsed="false">
      <c r="D119" s="0" t="n">
        <v>10</v>
      </c>
    </row>
    <row r="120" customFormat="false" ht="12.8" hidden="false" customHeight="false" outlineLevel="0" collapsed="false">
      <c r="C120" s="0" t="n">
        <f aca="false">1760/2</f>
        <v>880</v>
      </c>
      <c r="D120" s="0" t="n">
        <f aca="false">C120/D119</f>
        <v>88</v>
      </c>
    </row>
    <row r="121" customFormat="false" ht="12.8" hidden="false" customHeight="false" outlineLevel="0" collapsed="false">
      <c r="C121" s="0" t="n">
        <f aca="false">C120*2/SQRT(3)</f>
        <v>1016.13647377374</v>
      </c>
      <c r="D121" s="0" t="n">
        <f aca="false">C121/D119</f>
        <v>101.613647377374</v>
      </c>
    </row>
    <row r="124" customFormat="false" ht="25.6" hidden="false" customHeight="false" outlineLevel="0" collapsed="false">
      <c r="A124" s="34" t="s">
        <v>610</v>
      </c>
      <c r="B124" s="0" t="n">
        <f aca="true">RAND()*3/61</f>
        <v>0.037034137302015</v>
      </c>
      <c r="C124" s="0" t="n">
        <v>0.0145913755299798</v>
      </c>
      <c r="D124" s="0" t="n">
        <v>0.021332522999251</v>
      </c>
      <c r="E124" s="0" t="n">
        <v>0.0276169633973756</v>
      </c>
      <c r="F124" s="0" t="n">
        <v>0.0140677263204497</v>
      </c>
    </row>
    <row r="125" customFormat="false" ht="37.6" hidden="false" customHeight="false" outlineLevel="0" collapsed="false">
      <c r="A125" s="34" t="s">
        <v>611</v>
      </c>
      <c r="B125" s="0" t="n">
        <f aca="true">RAND()*3/61</f>
        <v>0.044426899310356</v>
      </c>
      <c r="C125" s="0" t="n">
        <v>0.042003350015577</v>
      </c>
      <c r="D125" s="0" t="n">
        <v>0.0317268561052739</v>
      </c>
      <c r="E125" s="0" t="n">
        <v>0.0437830846229965</v>
      </c>
      <c r="F125" s="0" t="n">
        <v>0.0375079873559966</v>
      </c>
    </row>
    <row r="126" customFormat="false" ht="12.8" hidden="false" customHeight="false" outlineLevel="0" collapsed="false">
      <c r="B126" s="0" t="n">
        <f aca="true">RAND()*3/61</f>
        <v>0.0271867326402344</v>
      </c>
      <c r="C126" s="0" t="n">
        <v>0.0267523806542158</v>
      </c>
      <c r="D126" s="0" t="n">
        <v>0.0129185089284218</v>
      </c>
      <c r="E126" s="0" t="n">
        <v>0.0391879846097627</v>
      </c>
      <c r="F126" s="0" t="n">
        <v>0.0397378630959047</v>
      </c>
    </row>
    <row r="127" customFormat="false" ht="37.6" hidden="false" customHeight="false" outlineLevel="0" collapsed="false">
      <c r="A127" s="34" t="s">
        <v>612</v>
      </c>
      <c r="B127" s="0" t="n">
        <f aca="true">RAND()*3/61</f>
        <v>0.0275678207139684</v>
      </c>
      <c r="C127" s="0" t="n">
        <v>0.0273076397840117</v>
      </c>
      <c r="D127" s="0" t="n">
        <v>0.0307206134273686</v>
      </c>
      <c r="E127" s="0" t="n">
        <v>0.0326275354342871</v>
      </c>
      <c r="F127" s="0" t="n">
        <v>0.0337423167160911</v>
      </c>
    </row>
    <row r="128" customFormat="false" ht="25.6" hidden="false" customHeight="false" outlineLevel="0" collapsed="false">
      <c r="A128" s="34" t="s">
        <v>613</v>
      </c>
      <c r="B128" s="0" t="n">
        <f aca="true">RAND()*3/61</f>
        <v>0.0235949098435442</v>
      </c>
      <c r="C128" s="0" t="n">
        <v>0.0144826312602849</v>
      </c>
      <c r="D128" s="0" t="n">
        <v>0.0470959538380142</v>
      </c>
      <c r="E128" s="0" t="n">
        <v>0.00908714087420433</v>
      </c>
      <c r="F128" s="0" t="n">
        <v>0.0452240910075727</v>
      </c>
    </row>
    <row r="129" customFormat="false" ht="12.8" hidden="false" customHeight="false" outlineLevel="0" collapsed="false">
      <c r="B129" s="0" t="n">
        <f aca="true">RAND()*3/61</f>
        <v>0.0405408124700331</v>
      </c>
      <c r="C129" s="0" t="n">
        <v>0.00976849196203908</v>
      </c>
      <c r="D129" s="0" t="n">
        <v>0.0408698202370376</v>
      </c>
      <c r="E129" s="0" t="n">
        <v>0.0369397447612442</v>
      </c>
      <c r="F129" s="0" t="n">
        <v>0.0468764620810198</v>
      </c>
    </row>
    <row r="130" customFormat="false" ht="37.6" hidden="false" customHeight="false" outlineLevel="0" collapsed="false">
      <c r="A130" s="34" t="s">
        <v>614</v>
      </c>
      <c r="B130" s="0" t="n">
        <f aca="true">RAND()*3/61</f>
        <v>0.0451781762427148</v>
      </c>
      <c r="C130" s="0" t="n">
        <v>0.0414297753624374</v>
      </c>
      <c r="D130" s="0" t="n">
        <v>0.0134225268275706</v>
      </c>
      <c r="E130" s="0" t="n">
        <v>0.0320101463747379</v>
      </c>
      <c r="F130" s="0" t="n">
        <v>0.0161070768209938</v>
      </c>
    </row>
    <row r="131" customFormat="false" ht="37.6" hidden="false" customHeight="false" outlineLevel="0" collapsed="false">
      <c r="A131" s="34" t="s">
        <v>615</v>
      </c>
      <c r="B131" s="0" t="n">
        <f aca="true">RAND()*3/61</f>
        <v>0.0475202383926498</v>
      </c>
      <c r="C131" s="0" t="n">
        <v>0.041110293523668</v>
      </c>
      <c r="D131" s="0" t="n">
        <v>0.0219202006625042</v>
      </c>
      <c r="E131" s="0" t="n">
        <v>0.0202952360993892</v>
      </c>
      <c r="F131" s="0" t="n">
        <v>0.00861150340070246</v>
      </c>
    </row>
    <row r="132" customFormat="false" ht="37.6" hidden="false" customHeight="false" outlineLevel="0" collapsed="false">
      <c r="A132" s="34" t="s">
        <v>616</v>
      </c>
      <c r="B132" s="0" t="n">
        <f aca="true">RAND()*3/61</f>
        <v>0.0489580997722196</v>
      </c>
      <c r="C132" s="0" t="n">
        <v>0.0102963768495399</v>
      </c>
      <c r="D132" s="0" t="n">
        <v>0.0414739493318818</v>
      </c>
      <c r="E132" s="0" t="n">
        <v>0.0313969281021139</v>
      </c>
      <c r="F132" s="0" t="n">
        <v>0.0104011075731489</v>
      </c>
    </row>
    <row r="133" customFormat="false" ht="12.8" hidden="false" customHeight="false" outlineLevel="0" collapsed="false">
      <c r="B133" s="0" t="n">
        <f aca="true">RAND()*3/61</f>
        <v>0.0453519884639653</v>
      </c>
      <c r="C133" s="0" t="n">
        <v>0.0186807656103409</v>
      </c>
      <c r="D133" s="0" t="n">
        <v>0.00778258259820401</v>
      </c>
      <c r="E133" s="0" t="n">
        <v>0.0121609399125713</v>
      </c>
      <c r="F133" s="0" t="n">
        <v>0.00371498056519471</v>
      </c>
    </row>
    <row r="135" customFormat="false" ht="12.8" hidden="false" customHeight="false" outlineLevel="0" collapsed="false">
      <c r="B135" s="0" t="n">
        <f aca="true">RAND()*2/61</f>
        <v>0.0039218455164539</v>
      </c>
      <c r="C135" s="0" t="n">
        <v>0.00376726615196857</v>
      </c>
      <c r="D135" s="0" t="n">
        <v>0.00898531361742586</v>
      </c>
      <c r="E135" s="0" t="n">
        <v>0.0120562350866003</v>
      </c>
      <c r="F135" s="0" t="n">
        <v>0.0140243066688542</v>
      </c>
    </row>
    <row r="136" customFormat="false" ht="12.8" hidden="false" customHeight="false" outlineLevel="0" collapsed="false">
      <c r="B136" s="0" t="n">
        <f aca="true">RAND()*2/61</f>
        <v>0.00639044220434777</v>
      </c>
      <c r="C136" s="0" t="n">
        <v>0.00967273929873939</v>
      </c>
      <c r="D136" s="0" t="n">
        <v>0.0156253237185664</v>
      </c>
      <c r="E136" s="0" t="n">
        <v>0.026943167717364</v>
      </c>
      <c r="F136" s="0" t="n">
        <v>0.0224021878780522</v>
      </c>
    </row>
    <row r="137" customFormat="false" ht="12.8" hidden="false" customHeight="false" outlineLevel="0" collapsed="false">
      <c r="B137" s="0" t="n">
        <f aca="true">RAND()*2/61</f>
        <v>0.0170527841788839</v>
      </c>
      <c r="C137" s="0" t="n">
        <v>0.0150275398198454</v>
      </c>
      <c r="D137" s="0" t="n">
        <v>0.0182121655308321</v>
      </c>
      <c r="E137" s="0" t="n">
        <v>0.00310721581221604</v>
      </c>
      <c r="F137" s="0" t="n">
        <v>0.0266293245673057</v>
      </c>
    </row>
    <row r="138" customFormat="false" ht="12.8" hidden="false" customHeight="false" outlineLevel="0" collapsed="false">
      <c r="B138" s="0" t="n">
        <f aca="true">RAND()*2/61</f>
        <v>0.0309814318721974</v>
      </c>
      <c r="C138" s="0" t="n">
        <v>0.0242960078443294</v>
      </c>
      <c r="D138" s="0" t="n">
        <v>0.0197080367122639</v>
      </c>
      <c r="E138" s="0" t="n">
        <v>0.0161965881230035</v>
      </c>
      <c r="F138" s="0" t="n">
        <v>0.0246507122150821</v>
      </c>
    </row>
    <row r="139" customFormat="false" ht="12.8" hidden="false" customHeight="false" outlineLevel="0" collapsed="false">
      <c r="B139" s="0" t="n">
        <f aca="true">RAND()*2/61</f>
        <v>0.0117650778394966</v>
      </c>
      <c r="C139" s="0" t="n">
        <v>0.0311047092431271</v>
      </c>
      <c r="D139" s="0" t="n">
        <v>0.0199676169326804</v>
      </c>
      <c r="E139" s="0" t="n">
        <v>0.0201871518244142</v>
      </c>
      <c r="F139" s="0" t="n">
        <v>0.0305310357972735</v>
      </c>
    </row>
    <row r="140" customFormat="false" ht="12.8" hidden="false" customHeight="false" outlineLevel="0" collapsed="false">
      <c r="B140" s="0" t="n">
        <f aca="true">RAND()*2/61</f>
        <v>0.0264664215097524</v>
      </c>
      <c r="C140" s="0" t="n">
        <v>0.0194714259524204</v>
      </c>
      <c r="D140" s="0" t="n">
        <v>0.0175887848952877</v>
      </c>
      <c r="E140" s="0" t="n">
        <v>0.0228107966497907</v>
      </c>
      <c r="F140" s="0" t="n">
        <v>0.0241152251398832</v>
      </c>
    </row>
    <row r="141" customFormat="false" ht="12.8" hidden="false" customHeight="false" outlineLevel="0" collapsed="false">
      <c r="B141" s="0" t="n">
        <f aca="true">RAND()*2/61</f>
        <v>0.0240397801510656</v>
      </c>
      <c r="C141" s="0" t="n">
        <v>0.00205198124234305</v>
      </c>
      <c r="D141" s="0" t="n">
        <v>0.00692691501291072</v>
      </c>
      <c r="E141" s="0" t="n">
        <v>0.0233249306129139</v>
      </c>
      <c r="F141" s="0" t="n">
        <v>0.0123314635034223</v>
      </c>
    </row>
    <row r="142" customFormat="false" ht="12.8" hidden="false" customHeight="false" outlineLevel="0" collapsed="false">
      <c r="B142" s="0" t="n">
        <f aca="true">RAND()*2/61</f>
        <v>0.0232827026246425</v>
      </c>
      <c r="C142" s="0" t="n">
        <v>0.00983339790865535</v>
      </c>
      <c r="D142" s="0" t="n">
        <v>0.0228195390053338</v>
      </c>
      <c r="E142" s="0" t="n">
        <v>0.0281491924352089</v>
      </c>
      <c r="F142" s="0" t="n">
        <v>0.014381964736786</v>
      </c>
    </row>
    <row r="143" customFormat="false" ht="12.8" hidden="false" customHeight="false" outlineLevel="0" collapsed="false">
      <c r="B143" s="0" t="n">
        <f aca="true">RAND()*2/61</f>
        <v>0.00613545874892062</v>
      </c>
      <c r="C143" s="0" t="n">
        <v>0.0201985135552336</v>
      </c>
      <c r="D143" s="0" t="n">
        <v>0.0268242175416013</v>
      </c>
      <c r="E143" s="0" t="n">
        <v>0.0155760378149323</v>
      </c>
      <c r="F143" s="0" t="n">
        <v>0.0324380470317651</v>
      </c>
    </row>
    <row r="144" customFormat="false" ht="12.8" hidden="false" customHeight="false" outlineLevel="0" collapsed="false">
      <c r="B144" s="0" t="n">
        <f aca="true">RAND()*2/61</f>
        <v>0.0169346791618306</v>
      </c>
      <c r="C144" s="0" t="n">
        <v>0.0196475635862863</v>
      </c>
      <c r="D144" s="0" t="n">
        <v>0.0241417154883508</v>
      </c>
      <c r="E144" s="0" t="n">
        <v>0.0137027441218618</v>
      </c>
      <c r="F144" s="0" t="n">
        <v>0.0145111655373676</v>
      </c>
    </row>
    <row r="146" customFormat="false" ht="12.8" hidden="false" customHeight="false" outlineLevel="0" collapsed="false">
      <c r="B146" s="0" t="n">
        <f aca="true">RAND()/61</f>
        <v>0.00849747838011589</v>
      </c>
      <c r="C146" s="0" t="n">
        <v>0.0141783870916936</v>
      </c>
      <c r="D146" s="0" t="n">
        <v>0.0110281495621703</v>
      </c>
      <c r="E146" s="0" t="n">
        <v>0.0134205454197086</v>
      </c>
      <c r="F146" s="0" t="n">
        <v>0.0018438547048107</v>
      </c>
    </row>
    <row r="147" customFormat="false" ht="12.8" hidden="false" customHeight="false" outlineLevel="0" collapsed="false">
      <c r="B147" s="0" t="n">
        <f aca="true">RAND()/61</f>
        <v>0.0134529640680464</v>
      </c>
      <c r="C147" s="0" t="n">
        <v>0.00132673974606957</v>
      </c>
      <c r="D147" s="0" t="n">
        <v>0.0137039261305186</v>
      </c>
      <c r="E147" s="0" t="n">
        <v>0.00604005390396494</v>
      </c>
      <c r="F147" s="0" t="n">
        <v>0.00924209630513778</v>
      </c>
    </row>
    <row r="148" customFormat="false" ht="12.8" hidden="false" customHeight="false" outlineLevel="0" collapsed="false">
      <c r="B148" s="0" t="n">
        <f aca="true">RAND()/61</f>
        <v>0.00465943052175614</v>
      </c>
      <c r="C148" s="0" t="n">
        <v>0.00392027242399264</v>
      </c>
      <c r="D148" s="0" t="n">
        <v>0.0058823569609066</v>
      </c>
      <c r="E148" s="0" t="n">
        <v>0.0119935222557883</v>
      </c>
      <c r="F148" s="0" t="n">
        <v>0.00859927278408994</v>
      </c>
    </row>
    <row r="149" customFormat="false" ht="12.8" hidden="false" customHeight="false" outlineLevel="0" collapsed="false">
      <c r="B149" s="0" t="n">
        <f aca="true">RAND()/61</f>
        <v>0.00939486884870222</v>
      </c>
      <c r="C149" s="0" t="n">
        <v>0.00651024294192674</v>
      </c>
      <c r="D149" s="0" t="n">
        <v>0.00611418377623328</v>
      </c>
      <c r="E149" s="0" t="n">
        <v>0.0160108736723845</v>
      </c>
      <c r="F149" s="0" t="n">
        <v>0.00796511123857659</v>
      </c>
    </row>
    <row r="150" customFormat="false" ht="12.8" hidden="false" customHeight="false" outlineLevel="0" collapsed="false">
      <c r="B150" s="0" t="n">
        <f aca="true">RAND()/61</f>
        <v>0.0011102054748468</v>
      </c>
      <c r="C150" s="0" t="n">
        <v>0.014557742925941</v>
      </c>
      <c r="D150" s="0" t="n">
        <v>0.000866023140394541</v>
      </c>
      <c r="E150" s="0" t="n">
        <v>0.0113053402298542</v>
      </c>
      <c r="F150" s="0" t="n">
        <v>0.00931825904847413</v>
      </c>
    </row>
    <row r="151" customFormat="false" ht="12.8" hidden="false" customHeight="false" outlineLevel="0" collapsed="false">
      <c r="B151" s="0" t="n">
        <f aca="true">RAND()/61</f>
        <v>0.0143862885616431</v>
      </c>
      <c r="C151" s="0" t="n">
        <v>0.00458337178026311</v>
      </c>
      <c r="D151" s="0" t="n">
        <v>0.000194495505668589</v>
      </c>
      <c r="E151" s="0" t="n">
        <v>0.00142302587399351</v>
      </c>
      <c r="F151" s="0" t="n">
        <v>0.00618533679039874</v>
      </c>
    </row>
    <row r="152" customFormat="false" ht="12.8" hidden="false" customHeight="false" outlineLevel="0" collapsed="false">
      <c r="B152" s="0" t="n">
        <f aca="true">RAND()/61</f>
        <v>0.0137208602414851</v>
      </c>
      <c r="C152" s="0" t="n">
        <v>0.0126679844421441</v>
      </c>
      <c r="D152" s="0" t="n">
        <v>0.0129284110324854</v>
      </c>
      <c r="E152" s="0" t="n">
        <v>0.0149007128536335</v>
      </c>
      <c r="F152" s="0" t="n">
        <v>0.0116604002894925</v>
      </c>
    </row>
    <row r="153" customFormat="false" ht="12.8" hidden="false" customHeight="false" outlineLevel="0" collapsed="false">
      <c r="B153" s="0" t="n">
        <f aca="true">RAND()/61</f>
        <v>0.0145963744516585</v>
      </c>
      <c r="C153" s="0" t="n">
        <v>0.00198307342934193</v>
      </c>
      <c r="D153" s="0" t="n">
        <v>0.0106167062109367</v>
      </c>
      <c r="E153" s="0" t="n">
        <v>0.008285299477885</v>
      </c>
      <c r="F153" s="0" t="n">
        <v>0.00764199099350782</v>
      </c>
    </row>
    <row r="154" customFormat="false" ht="12.8" hidden="false" customHeight="false" outlineLevel="0" collapsed="false">
      <c r="B154" s="0" t="n">
        <f aca="true">RAND()/61</f>
        <v>0.0156054995700671</v>
      </c>
      <c r="C154" s="0" t="n">
        <v>0.00419502310668592</v>
      </c>
      <c r="D154" s="0" t="n">
        <v>0.0111827469797286</v>
      </c>
      <c r="E154" s="0" t="n">
        <v>0.00378744556858647</v>
      </c>
      <c r="F154" s="0" t="n">
        <v>0.000853625366647468</v>
      </c>
    </row>
    <row r="155" customFormat="false" ht="12.8" hidden="false" customHeight="false" outlineLevel="0" collapsed="false">
      <c r="B155" s="0" t="n">
        <f aca="true">RAND()/61</f>
        <v>0.015950401683697</v>
      </c>
      <c r="C155" s="0" t="n">
        <v>0.00754947916100748</v>
      </c>
      <c r="D155" s="0" t="n">
        <v>0.00863834542649813</v>
      </c>
      <c r="E155" s="0" t="n">
        <v>0.0131789026858255</v>
      </c>
      <c r="F155" s="0" t="n">
        <v>0.00770737309787484</v>
      </c>
    </row>
    <row r="156" customFormat="false" ht="12.8" hidden="false" customHeight="false" outlineLevel="0" collapsed="false">
      <c r="B156" s="0" t="n">
        <f aca="true">RAND()/61</f>
        <v>0.00921079474513013</v>
      </c>
      <c r="C156" s="0" t="n">
        <v>0.01263036423546</v>
      </c>
      <c r="D156" s="0" t="n">
        <v>0.0130657837458993</v>
      </c>
      <c r="E156" s="0" t="n">
        <v>7.30683630118604E-005</v>
      </c>
      <c r="F156" s="0" t="n">
        <v>0.00697069454434343</v>
      </c>
    </row>
    <row r="158" customFormat="false" ht="12.8" hidden="false" customHeight="false" outlineLevel="0" collapsed="false">
      <c r="B158" s="0" t="n">
        <f aca="false">SUM(B124:B156)</f>
        <v>0.674915605506441</v>
      </c>
      <c r="C158" s="0" t="n">
        <f aca="false">SUM(C124:C156)</f>
        <v>0.485596906439569</v>
      </c>
      <c r="D158" s="0" t="n">
        <f aca="false">SUM(D124:D156)</f>
        <v>0.544284291882221</v>
      </c>
      <c r="E158" s="0" t="n">
        <f aca="false">SUM(E124:E156)</f>
        <v>0.567578554691625</v>
      </c>
      <c r="F158" s="0" t="n">
        <f aca="false">SUM(F124:F156)</f>
        <v>0.54999456317622</v>
      </c>
    </row>
    <row r="160" customFormat="false" ht="25.6" hidden="false" customHeight="false" outlineLevel="0" collapsed="false">
      <c r="A160" s="34" t="s">
        <v>617</v>
      </c>
    </row>
    <row r="161" customFormat="false" ht="13.6" hidden="false" customHeight="false" outlineLevel="0" collapsed="false">
      <c r="A161" s="34" t="s">
        <v>618</v>
      </c>
      <c r="B161" s="0" t="n">
        <v>25</v>
      </c>
      <c r="C161" s="42" t="s">
        <v>619</v>
      </c>
    </row>
    <row r="162" customFormat="false" ht="13.6" hidden="false" customHeight="false" outlineLevel="0" collapsed="false">
      <c r="A162" s="34" t="s">
        <v>620</v>
      </c>
      <c r="B162" s="0" t="n">
        <v>60</v>
      </c>
      <c r="C162" s="42" t="s">
        <v>619</v>
      </c>
    </row>
    <row r="163" customFormat="false" ht="13.6" hidden="false" customHeight="false" outlineLevel="0" collapsed="false">
      <c r="A163" s="34" t="s">
        <v>621</v>
      </c>
      <c r="B163" s="0" t="n">
        <v>365.25</v>
      </c>
    </row>
    <row r="165" customFormat="false" ht="25.6" hidden="false" customHeight="false" outlineLevel="0" collapsed="false">
      <c r="A165" s="34" t="s">
        <v>622</v>
      </c>
      <c r="B165" s="5" t="n">
        <f aca="false">B161*B162*B163/1000</f>
        <v>547.875</v>
      </c>
    </row>
    <row r="167" customFormat="false" ht="25.6" hidden="false" customHeight="false" outlineLevel="0" collapsed="false">
      <c r="A167" s="34" t="s">
        <v>623</v>
      </c>
    </row>
    <row r="168" customFormat="false" ht="25.6" hidden="false" customHeight="false" outlineLevel="0" collapsed="false">
      <c r="A168" s="34" t="s">
        <v>624</v>
      </c>
      <c r="B168" s="0" t="n">
        <v>65000</v>
      </c>
      <c r="C168" s="42" t="s">
        <v>619</v>
      </c>
    </row>
    <row r="169" customFormat="false" ht="25.6" hidden="false" customHeight="false" outlineLevel="0" collapsed="false">
      <c r="A169" s="34" t="s">
        <v>625</v>
      </c>
      <c r="B169" s="0" t="n">
        <v>40000</v>
      </c>
      <c r="C169" s="42" t="s">
        <v>619</v>
      </c>
    </row>
    <row r="170" customFormat="false" ht="13.6" hidden="false" customHeight="false" outlineLevel="0" collapsed="false">
      <c r="A170" s="34" t="s">
        <v>626</v>
      </c>
      <c r="B170" s="0" t="n">
        <v>70</v>
      </c>
      <c r="C170" s="42" t="s">
        <v>619</v>
      </c>
    </row>
    <row r="171" customFormat="false" ht="13.6" hidden="false" customHeight="false" outlineLevel="0" collapsed="false">
      <c r="A171" s="34" t="s">
        <v>627</v>
      </c>
      <c r="B171" s="0" t="n">
        <v>66</v>
      </c>
      <c r="C171" s="42" t="s">
        <v>619</v>
      </c>
    </row>
    <row r="173" customFormat="false" ht="25.6" hidden="false" customHeight="false" outlineLevel="0" collapsed="false">
      <c r="A173" s="34" t="s">
        <v>628</v>
      </c>
      <c r="B173" s="5" t="n">
        <f aca="false">B169*B171*100/(B168*B170)</f>
        <v>58.021978021978</v>
      </c>
    </row>
  </sheetData>
  <mergeCells count="1">
    <mergeCell ref="B1:F1"/>
  </mergeCells>
  <hyperlinks>
    <hyperlink ref="C161" r:id="rId1" display="Source"/>
    <hyperlink ref="C162" r:id="rId2" display="Source"/>
    <hyperlink ref="C168" r:id="rId3" display="Source"/>
    <hyperlink ref="C169" r:id="rId4" display="Source"/>
    <hyperlink ref="C170" r:id="rId5" display="Source"/>
    <hyperlink ref="C171" r:id="rId6" display="Sourc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3" activePane="bottomLeft" state="frozen"/>
      <selection pane="topLeft" activeCell="A1" activeCellId="0" sqref="A1"/>
      <selection pane="bottomLeft" activeCell="N85" activeCellId="0" sqref="N85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1.27"/>
    <col collapsed="false" customWidth="true" hidden="false" outlineLevel="0" max="3" min="3" style="0" width="10.25"/>
    <col collapsed="false" customWidth="true" hidden="false" outlineLevel="0" max="4" min="4" style="0" width="11.27"/>
    <col collapsed="false" customWidth="true" hidden="false" outlineLevel="0" max="10" min="5" style="0" width="10.25"/>
    <col collapsed="false" customWidth="true" hidden="false" outlineLevel="0" max="11" min="11" style="0" width="10.98"/>
    <col collapsed="false" customWidth="true" hidden="false" outlineLevel="0" max="13" min="12" style="0" width="10.25"/>
    <col collapsed="false" customWidth="true" hidden="false" outlineLevel="0" max="14" min="14" style="0" width="9.96"/>
    <col collapsed="false" customWidth="true" hidden="false" outlineLevel="0" max="16" min="15" style="0" width="11.7"/>
    <col collapsed="false" customWidth="true" hidden="false" outlineLevel="0" max="17" min="17" style="18" width="10.25"/>
    <col collapsed="false" customWidth="true" hidden="false" outlineLevel="0" max="22" min="18" style="0" width="10.25"/>
    <col collapsed="false" customWidth="true" hidden="false" outlineLevel="0" max="24" min="23" style="0" width="11.27"/>
    <col collapsed="false" customWidth="false" hidden="false" outlineLevel="0" max="1025" min="25" style="0" width="11.52"/>
  </cols>
  <sheetData>
    <row r="1" s="1" customFormat="true" ht="12.8" hidden="false" customHeight="false" outlineLevel="0" collapsed="false">
      <c r="A1" s="19" t="s">
        <v>432</v>
      </c>
      <c r="B1" s="7" t="s">
        <v>131</v>
      </c>
      <c r="C1" s="7" t="s">
        <v>133</v>
      </c>
      <c r="D1" s="7" t="s">
        <v>135</v>
      </c>
      <c r="E1" s="7" t="s">
        <v>137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147</v>
      </c>
      <c r="N1" s="7" t="s">
        <v>148</v>
      </c>
      <c r="O1" s="7" t="s">
        <v>150</v>
      </c>
      <c r="P1" s="7" t="s">
        <v>151</v>
      </c>
      <c r="Q1" s="22" t="s">
        <v>152</v>
      </c>
      <c r="R1" s="7" t="s">
        <v>153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CK1" s="7"/>
    </row>
    <row r="2" customFormat="false" ht="12.8" hidden="false" customHeight="false" outlineLevel="0" collapsed="false">
      <c r="A2" s="7" t="s">
        <v>325</v>
      </c>
      <c r="B2" s="10" t="n">
        <f aca="true">INDIRECT(ADDRESS(COLUMN()+119,ROW()+1,1,,"Cash"))</f>
        <v>54878.3278401133</v>
      </c>
      <c r="C2" s="10" t="n">
        <f aca="true">INDIRECT(ADDRESS(COLUMN()+119,ROW()+1,1,,"Cash"))</f>
        <v>36857.8796793944</v>
      </c>
      <c r="D2" s="10" t="n">
        <f aca="true">INDIRECT(ADDRESS(COLUMN()+119,ROW()+1,1,,"Cash"))</f>
        <v>21637.6585154583</v>
      </c>
      <c r="E2" s="10" t="n">
        <f aca="true">INDIRECT(ADDRESS(COLUMN()+119,ROW()+1,1,,"Cash"))</f>
        <v>1976.43651517128</v>
      </c>
      <c r="F2" s="10" t="n">
        <f aca="true">INDIRECT(ADDRESS(COLUMN()+119,ROW()+1,1,,"Cash"))</f>
        <v>78171.3709073338</v>
      </c>
      <c r="G2" s="10" t="n">
        <f aca="true">INDIRECT(ADDRESS(COLUMN()+119,ROW()+1,1,,"Cash"))</f>
        <v>42704.5428996737</v>
      </c>
      <c r="H2" s="10" t="n">
        <f aca="true">INDIRECT(ADDRESS(COLUMN()+119,ROW()+1,1,,"Cash"))</f>
        <v>34435.331409998</v>
      </c>
      <c r="I2" s="10" t="n">
        <f aca="true">INDIRECT(ADDRESS(COLUMN()+119,ROW()+1,1,,"Cash"))</f>
        <v>49584.7886567556</v>
      </c>
      <c r="J2" s="10" t="n">
        <f aca="true">INDIRECT(ADDRESS(COLUMN()+119,ROW()+1,1,,"Cash"))</f>
        <v>12709.5988937653</v>
      </c>
      <c r="K2" s="10" t="n">
        <f aca="true">INDIRECT(ADDRESS(COLUMN()+119,ROW()+1,1,,"Cash"))</f>
        <v>46414.6752195002</v>
      </c>
      <c r="L2" s="10" t="n">
        <f aca="true">INDIRECT(ADDRESS(COLUMN()+119,ROW()+1,1,,"Cash"))</f>
        <v>52118.5400758081</v>
      </c>
      <c r="M2" s="10" t="n">
        <f aca="true">INDIRECT(ADDRESS(COLUMN()+119,ROW()+1,1,,"Cash"))</f>
        <v>63396.2898127905</v>
      </c>
      <c r="N2" s="10" t="n">
        <f aca="true">INDIRECT(ADDRESS(COLUMN()+119,ROW()+1,1,,"Cash"))</f>
        <v>27397.0335949971</v>
      </c>
      <c r="O2" s="10" t="n">
        <f aca="true">INDIRECT(ADDRESS(COLUMN()+119,ROW()+1,1,,"Cash"))</f>
        <v>50489.8941825208</v>
      </c>
      <c r="P2" s="10" t="n">
        <f aca="true">INDIRECT(ADDRESS(COLUMN()+119,ROW()+1,1,,"Cash"))</f>
        <v>10875.8518358465</v>
      </c>
      <c r="Q2" s="26" t="n">
        <f aca="true">INDIRECT(ADDRESS(COLUMN()+119,ROW()+1,1,,"Cash"))</f>
        <v>18356.6041205535</v>
      </c>
      <c r="R2" s="10" t="n">
        <f aca="true">INDIRECT(ADDRESS(COLUMN()+119,ROW()+1,1,,"Cash"))</f>
        <v>50950.8803755739</v>
      </c>
      <c r="S2" s="10" t="n">
        <f aca="true">INDIRECT(ADDRESS(COLUMN()+119,ROW()+1,1,,"Cash"))</f>
        <v>199083.461117601</v>
      </c>
      <c r="T2" s="10" t="n">
        <f aca="true">INDIRECT(ADDRESS(COLUMN()+119,ROW()+1,1,,"Cash"))</f>
        <v>15642.9990106465</v>
      </c>
      <c r="U2" s="10" t="n">
        <f aca="true">INDIRECT(ADDRESS(COLUMN()+119,ROW()+1,1,,"Cash"))</f>
        <v>59804.8549129531</v>
      </c>
      <c r="V2" s="10" t="n">
        <f aca="true">INDIRECT(ADDRESS(COLUMN()+119,ROW()+1,1,,"Cash"))</f>
        <v>15256.0399872679</v>
      </c>
      <c r="W2" s="10" t="n">
        <f aca="true">INDIRECT(ADDRESS(COLUMN()+119,ROW()+1,1,,"Cash"))</f>
        <v>74150.511782638</v>
      </c>
      <c r="X2" s="10" t="n">
        <f aca="true">INDIRECT(ADDRESS(COLUMN()+119,ROW()+1,1,,"Cash"))</f>
        <v>47668.0956678359</v>
      </c>
    </row>
    <row r="3" customFormat="false" ht="12.8" hidden="false" customHeight="false" outlineLevel="0" collapsed="false">
      <c r="A3" s="7" t="s">
        <v>326</v>
      </c>
      <c r="B3" s="10" t="n">
        <f aca="true">INDIRECT(ADDRESS(COLUMN()+119,ROW()+1,1,,"Cash"))</f>
        <v>13.1389124547376</v>
      </c>
      <c r="C3" s="10" t="n">
        <f aca="true">INDIRECT(ADDRESS(COLUMN()+119,ROW()+1,1,,"Cash"))</f>
        <v>7.31435732279625</v>
      </c>
      <c r="D3" s="10" t="n">
        <f aca="true">INDIRECT(ADDRESS(COLUMN()+119,ROW()+1,1,,"Cash"))</f>
        <v>3.52597481435489</v>
      </c>
      <c r="E3" s="10" t="n">
        <f aca="true">INDIRECT(ADDRESS(COLUMN()+119,ROW()+1,1,,"Cash"))</f>
        <v>1</v>
      </c>
      <c r="F3" s="10" t="n">
        <f aca="true">INDIRECT(ADDRESS(COLUMN()+119,ROW()+1,1,,"Cash"))</f>
        <v>12.9214684121836</v>
      </c>
      <c r="G3" s="10" t="n">
        <f aca="true">INDIRECT(ADDRESS(COLUMN()+119,ROW()+1,1,,"Cash"))</f>
        <v>4.69193111336098</v>
      </c>
      <c r="H3" s="10" t="n">
        <f aca="true">INDIRECT(ADDRESS(COLUMN()+119,ROW()+1,1,,"Cash"))</f>
        <v>4.91942308064268</v>
      </c>
      <c r="I3" s="10" t="n">
        <f aca="true">INDIRECT(ADDRESS(COLUMN()+119,ROW()+1,1,,"Cash"))</f>
        <v>9.67076181987874</v>
      </c>
      <c r="J3" s="10" t="n">
        <f aca="true">INDIRECT(ADDRESS(COLUMN()+119,ROW()+1,1,,"Cash"))</f>
        <v>1.86256830862317</v>
      </c>
      <c r="K3" s="10" t="n">
        <f aca="true">INDIRECT(ADDRESS(COLUMN()+119,ROW()+1,1,,"Cash"))</f>
        <v>8.93790037092586</v>
      </c>
      <c r="L3" s="10" t="n">
        <f aca="true">INDIRECT(ADDRESS(COLUMN()+119,ROW()+1,1,,"Cash"))</f>
        <v>5.12308355571678</v>
      </c>
      <c r="M3" s="10" t="n">
        <f aca="true">INDIRECT(ADDRESS(COLUMN()+119,ROW()+1,1,,"Cash"))</f>
        <v>6.37606230535445</v>
      </c>
      <c r="N3" s="10" t="n">
        <f aca="true">INDIRECT(ADDRESS(COLUMN()+119,ROW()+1,1,,"Cash"))</f>
        <v>4.23035591364922</v>
      </c>
      <c r="O3" s="10" t="n">
        <f aca="true">INDIRECT(ADDRESS(COLUMN()+119,ROW()+1,1,,"Cash"))</f>
        <v>5.20465004239227</v>
      </c>
      <c r="P3" s="10" t="n">
        <f aca="true">INDIRECT(ADDRESS(COLUMN()+119,ROW()+1,1,,"Cash"))</f>
        <v>1.64234140664399</v>
      </c>
      <c r="Q3" s="26" t="n">
        <f aca="true">INDIRECT(ADDRESS(COLUMN()+119,ROW()+1,1,,"Cash"))</f>
        <v>2.54318311922968</v>
      </c>
      <c r="R3" s="10" t="n">
        <f aca="true">INDIRECT(ADDRESS(COLUMN()+119,ROW()+1,1,,"Cash"))</f>
        <v>4.79284217093627</v>
      </c>
      <c r="S3" s="10" t="n">
        <f aca="true">INDIRECT(ADDRESS(COLUMN()+119,ROW()+1,1,,"Cash"))</f>
        <v>30.8391721904625</v>
      </c>
      <c r="T3" s="10" t="n">
        <f aca="true">INDIRECT(ADDRESS(COLUMN()+119,ROW()+1,1,,"Cash"))</f>
        <v>1.48267491914032</v>
      </c>
      <c r="U3" s="10" t="n">
        <f aca="true">INDIRECT(ADDRESS(COLUMN()+119,ROW()+1,1,,"Cash"))</f>
        <v>10.8609067257562</v>
      </c>
      <c r="V3" s="10" t="n">
        <f aca="true">INDIRECT(ADDRESS(COLUMN()+119,ROW()+1,1,,"Cash"))</f>
        <v>2.78357314170114</v>
      </c>
      <c r="W3" s="10" t="n">
        <f aca="true">INDIRECT(ADDRESS(COLUMN()+119,ROW()+1,1,,"Cash"))</f>
        <v>16.6087180223466</v>
      </c>
      <c r="X3" s="10" t="n">
        <f aca="true">INDIRECT(ADDRESS(COLUMN()+119,ROW()+1,1,,"Cash"))</f>
        <v>11.0885358903195</v>
      </c>
    </row>
    <row r="4" customFormat="false" ht="12.8" hidden="false" customHeight="false" outlineLevel="0" collapsed="false">
      <c r="A4" s="7" t="s">
        <v>327</v>
      </c>
      <c r="B4" s="10" t="n">
        <f aca="true">INDIRECT(ADDRESS(COLUMN()+119,ROW()+1,1,,"Cash"))</f>
        <v>40.2703929330678</v>
      </c>
      <c r="C4" s="10" t="n">
        <f aca="true">INDIRECT(ADDRESS(COLUMN()+119,ROW()+1,1,,"Cash"))</f>
        <v>17.5764303372863</v>
      </c>
      <c r="D4" s="10" t="n">
        <f aca="true">INDIRECT(ADDRESS(COLUMN()+119,ROW()+1,1,,"Cash"))</f>
        <v>6.9402988952675</v>
      </c>
      <c r="E4" s="10" t="n">
        <f aca="true">INDIRECT(ADDRESS(COLUMN()+119,ROW()+1,1,,"Cash"))</f>
        <v>1</v>
      </c>
      <c r="F4" s="10" t="n">
        <f aca="true">INDIRECT(ADDRESS(COLUMN()+119,ROW()+1,1,,"Cash"))</f>
        <v>38.238145960529</v>
      </c>
      <c r="G4" s="10" t="n">
        <f aca="true">INDIRECT(ADDRESS(COLUMN()+119,ROW()+1,1,,"Cash"))</f>
        <v>11.3136086537464</v>
      </c>
      <c r="H4" s="10" t="n">
        <f aca="true">INDIRECT(ADDRESS(COLUMN()+119,ROW()+1,1,,"Cash"))</f>
        <v>9.48366259356208</v>
      </c>
      <c r="I4" s="10" t="n">
        <f aca="true">INDIRECT(ADDRESS(COLUMN()+119,ROW()+1,1,,"Cash"))</f>
        <v>26.552232816054</v>
      </c>
      <c r="J4" s="10" t="n">
        <f aca="true">INDIRECT(ADDRESS(COLUMN()+119,ROW()+1,1,,"Cash"))</f>
        <v>3.7254149327974</v>
      </c>
      <c r="K4" s="10" t="n">
        <f aca="true">INDIRECT(ADDRESS(COLUMN()+119,ROW()+1,1,,"Cash"))</f>
        <v>24.2287951113043</v>
      </c>
      <c r="L4" s="10" t="n">
        <f aca="true">INDIRECT(ADDRESS(COLUMN()+119,ROW()+1,1,,"Cash"))</f>
        <v>8.71980497668757</v>
      </c>
      <c r="M4" s="10" t="n">
        <f aca="true">INDIRECT(ADDRESS(COLUMN()+119,ROW()+1,1,,"Cash"))</f>
        <v>11.5072552258117</v>
      </c>
      <c r="N4" s="10" t="n">
        <f aca="true">INDIRECT(ADDRESS(COLUMN()+119,ROW()+1,1,,"Cash"))</f>
        <v>8.33364769698172</v>
      </c>
      <c r="O4" s="10" t="n">
        <f aca="true">INDIRECT(ADDRESS(COLUMN()+119,ROW()+1,1,,"Cash"))</f>
        <v>9.3584646801742</v>
      </c>
      <c r="P4" s="10" t="n">
        <f aca="true">INDIRECT(ADDRESS(COLUMN()+119,ROW()+1,1,,"Cash"))</f>
        <v>3.06477650055464</v>
      </c>
      <c r="Q4" s="26" t="n">
        <f aca="true">INDIRECT(ADDRESS(COLUMN()+119,ROW()+1,1,,"Cash"))</f>
        <v>4.92160959109378</v>
      </c>
      <c r="R4" s="10" t="n">
        <f aca="true">INDIRECT(ADDRESS(COLUMN()+119,ROW()+1,1,,"Cash"))</f>
        <v>8.84069771443808</v>
      </c>
      <c r="S4" s="10" t="n">
        <f aca="true">INDIRECT(ADDRESS(COLUMN()+119,ROW()+1,1,,"Cash"))</f>
        <v>90.6880703358104</v>
      </c>
      <c r="T4" s="10" t="n">
        <f aca="true">INDIRECT(ADDRESS(COLUMN()+119,ROW()+1,1,,"Cash"))</f>
        <v>2.96592703447898</v>
      </c>
      <c r="U4" s="10" t="n">
        <f aca="true">INDIRECT(ADDRESS(COLUMN()+119,ROW()+1,1,,"Cash"))</f>
        <v>30.7743020591855</v>
      </c>
      <c r="V4" s="10" t="n">
        <f aca="true">INDIRECT(ADDRESS(COLUMN()+119,ROW()+1,1,,"Cash"))</f>
        <v>4.4988008969821</v>
      </c>
      <c r="W4" s="10" t="n">
        <f aca="true">INDIRECT(ADDRESS(COLUMN()+119,ROW()+1,1,,"Cash"))</f>
        <v>51.7940285185816</v>
      </c>
      <c r="X4" s="10" t="n">
        <f aca="true">INDIRECT(ADDRESS(COLUMN()+119,ROW()+1,1,,"Cash"))</f>
        <v>33.9097285723822</v>
      </c>
    </row>
    <row r="5" customFormat="false" ht="12.8" hidden="false" customHeight="false" outlineLevel="0" collapsed="false">
      <c r="A5" s="1" t="s">
        <v>328</v>
      </c>
      <c r="B5" s="10" t="n">
        <f aca="true">INDIRECT(ADDRESS(COLUMN()+119,ROW()+1,1,,"Cash"))</f>
        <v>177.089579445862</v>
      </c>
      <c r="C5" s="10" t="n">
        <f aca="true">INDIRECT(ADDRESS(COLUMN()+119,ROW()+1,1,,"Cash"))</f>
        <v>34.1649853967519</v>
      </c>
      <c r="D5" s="10" t="n">
        <f aca="true">INDIRECT(ADDRESS(COLUMN()+119,ROW()+1,1,,"Cash"))</f>
        <v>22.8558245567299</v>
      </c>
      <c r="E5" s="10" t="n">
        <f aca="true">INDIRECT(ADDRESS(COLUMN()+119,ROW()+1,1,,"Cash"))</f>
        <v>2.76063062464611</v>
      </c>
      <c r="F5" s="10" t="n">
        <f aca="true">INDIRECT(ADDRESS(COLUMN()+119,ROW()+1,1,,"Cash"))</f>
        <v>123.496713488611</v>
      </c>
      <c r="G5" s="10" t="n">
        <f aca="true">INDIRECT(ADDRESS(COLUMN()+119,ROW()+1,1,,"Cash"))</f>
        <v>33.1264375138042</v>
      </c>
      <c r="H5" s="10" t="n">
        <f aca="true">INDIRECT(ADDRESS(COLUMN()+119,ROW()+1,1,,"Cash"))</f>
        <v>32.3114004612309</v>
      </c>
      <c r="I5" s="10" t="n">
        <f aca="true">INDIRECT(ADDRESS(COLUMN()+119,ROW()+1,1,,"Cash"))</f>
        <v>74.2627918900211</v>
      </c>
      <c r="J5" s="10" t="n">
        <f aca="true">INDIRECT(ADDRESS(COLUMN()+119,ROW()+1,1,,"Cash"))</f>
        <v>10.3879628532236</v>
      </c>
      <c r="K5" s="10" t="n">
        <f aca="true">INDIRECT(ADDRESS(COLUMN()+119,ROW()+1,1,,"Cash"))</f>
        <v>63.4437655648718</v>
      </c>
      <c r="L5" s="10" t="n">
        <f aca="true">INDIRECT(ADDRESS(COLUMN()+119,ROW()+1,1,,"Cash"))</f>
        <v>28.9205822862028</v>
      </c>
      <c r="M5" s="10" t="n">
        <f aca="true">INDIRECT(ADDRESS(COLUMN()+119,ROW()+1,1,,"Cash"))</f>
        <v>55.3885132998286</v>
      </c>
      <c r="N5" s="10" t="n">
        <f aca="true">INDIRECT(ADDRESS(COLUMN()+119,ROW()+1,1,,"Cash"))</f>
        <v>21.6937744299911</v>
      </c>
      <c r="O5" s="10" t="n">
        <f aca="true">INDIRECT(ADDRESS(COLUMN()+119,ROW()+1,1,,"Cash"))</f>
        <v>39.6472834298694</v>
      </c>
      <c r="P5" s="10" t="n">
        <f aca="true">INDIRECT(ADDRESS(COLUMN()+119,ROW()+1,1,,"Cash"))</f>
        <v>8.54583583721452</v>
      </c>
      <c r="Q5" s="26" t="n">
        <f aca="true">INDIRECT(ADDRESS(COLUMN()+119,ROW()+1,1,,"Cash"))</f>
        <v>15.5741760858728</v>
      </c>
      <c r="R5" s="10" t="n">
        <f aca="true">INDIRECT(ADDRESS(COLUMN()+119,ROW()+1,1,,"Cash"))</f>
        <v>38.5544091238271</v>
      </c>
      <c r="S5" s="10" t="n">
        <f aca="true">INDIRECT(ADDRESS(COLUMN()+119,ROW()+1,1,,"Cash"))</f>
        <v>490.858252197661</v>
      </c>
      <c r="T5" s="10" t="n">
        <f aca="true">INDIRECT(ADDRESS(COLUMN()+119,ROW()+1,1,,"Cash"))</f>
        <v>8.30008646969688</v>
      </c>
      <c r="U5" s="10" t="n">
        <f aca="true">INDIRECT(ADDRESS(COLUMN()+119,ROW()+1,1,,"Cash"))</f>
        <v>87.450127024542</v>
      </c>
      <c r="V5" s="10" t="n">
        <f aca="true">INDIRECT(ADDRESS(COLUMN()+119,ROW()+1,1,,"Cash"))</f>
        <v>11.711074839403</v>
      </c>
      <c r="W5" s="10" t="n">
        <f aca="true">INDIRECT(ADDRESS(COLUMN()+119,ROW()+1,1,,"Cash"))</f>
        <v>252.653111378996</v>
      </c>
      <c r="X5" s="10" t="n">
        <f aca="true">INDIRECT(ADDRESS(COLUMN()+119,ROW()+1,1,,"Cash"))</f>
        <v>118.733652836997</v>
      </c>
    </row>
    <row r="6" customFormat="false" ht="12.8" hidden="false" customHeight="false" outlineLevel="0" collapsed="false">
      <c r="A6" s="1" t="s">
        <v>329</v>
      </c>
      <c r="B6" s="10" t="n">
        <f aca="true">INDIRECT(ADDRESS(COLUMN()+119,ROW()+1,1,,"Cash"))</f>
        <v>3597.27448019936</v>
      </c>
      <c r="C6" s="10" t="n">
        <f aca="true">INDIRECT(ADDRESS(COLUMN()+119,ROW()+1,1,,"Cash"))</f>
        <v>37.1629798035833</v>
      </c>
      <c r="D6" s="10" t="n">
        <f aca="true">INDIRECT(ADDRESS(COLUMN()+119,ROW()+1,1,,"Cash"))</f>
        <v>5.50234369013107</v>
      </c>
      <c r="E6" s="10" t="n">
        <f aca="true">INDIRECT(ADDRESS(COLUMN()+119,ROW()+1,1,,"Cash"))</f>
        <v>1</v>
      </c>
      <c r="F6" s="10" t="n">
        <f aca="true">INDIRECT(ADDRESS(COLUMN()+119,ROW()+1,1,,"Cash"))</f>
        <v>65.9872011779125</v>
      </c>
      <c r="G6" s="10" t="n">
        <f aca="true">INDIRECT(ADDRESS(COLUMN()+119,ROW()+1,1,,"Cash"))</f>
        <v>10.3821752645862</v>
      </c>
      <c r="H6" s="10" t="n">
        <f aca="true">INDIRECT(ADDRESS(COLUMN()+119,ROW()+1,1,,"Cash"))</f>
        <v>19.5457949864985</v>
      </c>
      <c r="I6" s="10" t="n">
        <f aca="true">INDIRECT(ADDRESS(COLUMN()+119,ROW()+1,1,,"Cash"))</f>
        <v>739.444347374204</v>
      </c>
      <c r="J6" s="10" t="n">
        <f aca="true">INDIRECT(ADDRESS(COLUMN()+119,ROW()+1,1,,"Cash"))</f>
        <v>3.13745398756829</v>
      </c>
      <c r="K6" s="10" t="n">
        <f aca="true">INDIRECT(ADDRESS(COLUMN()+119,ROW()+1,1,,"Cash"))</f>
        <v>20.2289298187337</v>
      </c>
      <c r="L6" s="10" t="n">
        <f aca="true">INDIRECT(ADDRESS(COLUMN()+119,ROW()+1,1,,"Cash"))</f>
        <v>6.94759175465237</v>
      </c>
      <c r="M6" s="10" t="n">
        <f aca="true">INDIRECT(ADDRESS(COLUMN()+119,ROW()+1,1,,"Cash"))</f>
        <v>12.5225718276341</v>
      </c>
      <c r="N6" s="10" t="n">
        <f aca="true">INDIRECT(ADDRESS(COLUMN()+119,ROW()+1,1,,"Cash"))</f>
        <v>6.8674446407536</v>
      </c>
      <c r="O6" s="10" t="n">
        <f aca="true">INDIRECT(ADDRESS(COLUMN()+119,ROW()+1,1,,"Cash"))</f>
        <v>15.2529914961298</v>
      </c>
      <c r="P6" s="10" t="n">
        <f aca="true">INDIRECT(ADDRESS(COLUMN()+119,ROW()+1,1,,"Cash"))</f>
        <v>2.38163028490354</v>
      </c>
      <c r="Q6" s="26" t="n">
        <f aca="true">INDIRECT(ADDRESS(COLUMN()+119,ROW()+1,1,,"Cash"))</f>
        <v>118.225300583833</v>
      </c>
      <c r="R6" s="10" t="n">
        <f aca="true">INDIRECT(ADDRESS(COLUMN()+119,ROW()+1,1,,"Cash"))</f>
        <v>30.1235136628838</v>
      </c>
      <c r="S6" s="10" t="n">
        <f aca="true">INDIRECT(ADDRESS(COLUMN()+119,ROW()+1,1,,"Cash"))</f>
        <v>761.787296845756</v>
      </c>
      <c r="T6" s="10" t="n">
        <f aca="true">INDIRECT(ADDRESS(COLUMN()+119,ROW()+1,1,,"Cash"))</f>
        <v>1.20563994497931</v>
      </c>
      <c r="U6" s="10" t="n">
        <f aca="true">INDIRECT(ADDRESS(COLUMN()+119,ROW()+1,1,,"Cash"))</f>
        <v>23.81252298776</v>
      </c>
      <c r="V6" s="10" t="n">
        <f aca="true">INDIRECT(ADDRESS(COLUMN()+119,ROW()+1,1,,"Cash"))</f>
        <v>8.26683843207814</v>
      </c>
      <c r="W6" s="10" t="n">
        <f aca="true">INDIRECT(ADDRESS(COLUMN()+119,ROW()+1,1,,"Cash"))</f>
        <v>70.6933793783254</v>
      </c>
      <c r="X6" s="10" t="n">
        <f aca="true">INDIRECT(ADDRESS(COLUMN()+119,ROW()+1,1,,"Cash"))</f>
        <v>37.7046051321292</v>
      </c>
    </row>
    <row r="7" customFormat="false" ht="12.8" hidden="false" customHeight="false" outlineLevel="0" collapsed="false">
      <c r="A7" s="1" t="s">
        <v>330</v>
      </c>
      <c r="B7" s="10" t="n">
        <f aca="true">INDIRECT(ADDRESS(COLUMN()+119,ROW()+1,1,,"Cash"))</f>
        <v>24813.6213578806</v>
      </c>
      <c r="C7" s="10" t="n">
        <f aca="true">INDIRECT(ADDRESS(COLUMN()+119,ROW()+1,1,,"Cash"))</f>
        <v>40112.4648354243</v>
      </c>
      <c r="D7" s="10" t="n">
        <f aca="true">INDIRECT(ADDRESS(COLUMN()+119,ROW()+1,1,,"Cash"))</f>
        <v>1319.20358965893</v>
      </c>
      <c r="E7" s="10" t="n">
        <f aca="true">INDIRECT(ADDRESS(COLUMN()+119,ROW()+1,1,,"Cash"))</f>
        <v>259.884651470814</v>
      </c>
      <c r="F7" s="10" t="n">
        <f aca="true">INDIRECT(ADDRESS(COLUMN()+119,ROW()+1,1,,"Cash"))</f>
        <v>100</v>
      </c>
      <c r="G7" s="10" t="n">
        <f aca="true">INDIRECT(ADDRESS(COLUMN()+119,ROW()+1,1,,"Cash"))</f>
        <v>3504.43396485119</v>
      </c>
      <c r="H7" s="10" t="n">
        <f aca="true">INDIRECT(ADDRESS(COLUMN()+119,ROW()+1,1,,"Cash"))</f>
        <v>2413.50428556224</v>
      </c>
      <c r="I7" s="10" t="n">
        <f aca="true">INDIRECT(ADDRESS(COLUMN()+119,ROW()+1,1,,"Cash"))</f>
        <v>15971.604301803</v>
      </c>
      <c r="J7" s="10" t="n">
        <f aca="true">INDIRECT(ADDRESS(COLUMN()+119,ROW()+1,1,,"Cash"))</f>
        <v>717.901356114266</v>
      </c>
      <c r="K7" s="10" t="n">
        <f aca="true">INDIRECT(ADDRESS(COLUMN()+119,ROW()+1,1,,"Cash"))</f>
        <v>14050.7775090866</v>
      </c>
      <c r="L7" s="10" t="n">
        <f aca="true">INDIRECT(ADDRESS(COLUMN()+119,ROW()+1,1,,"Cash"))</f>
        <v>5298.92630976988</v>
      </c>
      <c r="M7" s="10" t="n">
        <f aca="true">INDIRECT(ADDRESS(COLUMN()+119,ROW()+1,1,,"Cash"))</f>
        <v>4748.43298276999</v>
      </c>
      <c r="N7" s="10" t="n">
        <f aca="true">INDIRECT(ADDRESS(COLUMN()+119,ROW()+1,1,,"Cash"))</f>
        <v>3087.86857625863</v>
      </c>
      <c r="O7" s="10" t="n">
        <f aca="true">INDIRECT(ADDRESS(COLUMN()+119,ROW()+1,1,,"Cash"))</f>
        <v>3923.66308746175</v>
      </c>
      <c r="P7" s="10" t="n">
        <f aca="true">INDIRECT(ADDRESS(COLUMN()+119,ROW()+1,1,,"Cash"))</f>
        <v>622.000788410655</v>
      </c>
      <c r="Q7" s="26" t="n">
        <f aca="true">INDIRECT(ADDRESS(COLUMN()+119,ROW()+1,1,,"Cash"))</f>
        <v>713.028605557511</v>
      </c>
      <c r="R7" s="10" t="n">
        <f aca="true">INDIRECT(ADDRESS(COLUMN()+119,ROW()+1,1,,"Cash"))</f>
        <v>2687.29036370568</v>
      </c>
      <c r="S7" s="10" t="n">
        <f aca="true">INDIRECT(ADDRESS(COLUMN()+119,ROW()+1,1,,"Cash"))</f>
        <v>304109.020867055</v>
      </c>
      <c r="T7" s="10" t="n">
        <f aca="true">INDIRECT(ADDRESS(COLUMN()+119,ROW()+1,1,,"Cash"))</f>
        <v>839.448185609653</v>
      </c>
      <c r="U7" s="10" t="n">
        <f aca="true">INDIRECT(ADDRESS(COLUMN()+119,ROW()+1,1,,"Cash"))</f>
        <v>24392.8363566842</v>
      </c>
      <c r="V7" s="10" t="n">
        <f aca="true">INDIRECT(ADDRESS(COLUMN()+119,ROW()+1,1,,"Cash"))</f>
        <v>1125.57287678869</v>
      </c>
      <c r="W7" s="10" t="n">
        <f aca="true">INDIRECT(ADDRESS(COLUMN()+119,ROW()+1,1,,"Cash"))</f>
        <v>30977.9628043963</v>
      </c>
      <c r="X7" s="10" t="n">
        <f aca="true">INDIRECT(ADDRESS(COLUMN()+119,ROW()+1,1,,"Cash"))</f>
        <v>24992.9721374624</v>
      </c>
    </row>
    <row r="8" customFormat="false" ht="12.8" hidden="false" customHeight="false" outlineLevel="0" collapsed="false">
      <c r="A8" s="1" t="s">
        <v>331</v>
      </c>
      <c r="B8" s="10" t="n">
        <f aca="true">INDIRECT(ADDRESS(COLUMN()+119,ROW()+1,1,,"Cash"))</f>
        <v>2390.7529679721</v>
      </c>
      <c r="C8" s="10" t="n">
        <f aca="true">INDIRECT(ADDRESS(COLUMN()+119,ROW()+1,1,,"Cash"))</f>
        <v>1162.24392860201</v>
      </c>
      <c r="D8" s="10" t="n">
        <f aca="true">INDIRECT(ADDRESS(COLUMN()+119,ROW()+1,1,,"Cash"))</f>
        <v>2493.43383785138</v>
      </c>
      <c r="E8" s="10" t="n">
        <f aca="true">INDIRECT(ADDRESS(COLUMN()+119,ROW()+1,1,,"Cash"))</f>
        <v>280.03302291078</v>
      </c>
      <c r="F8" s="10" t="n">
        <f aca="true">INDIRECT(ADDRESS(COLUMN()+119,ROW()+1,1,,"Cash"))</f>
        <v>3056.42699699519</v>
      </c>
      <c r="G8" s="10" t="n">
        <f aca="true">INDIRECT(ADDRESS(COLUMN()+119,ROW()+1,1,,"Cash"))</f>
        <v>4815.93154835832</v>
      </c>
      <c r="H8" s="10" t="n">
        <f aca="true">INDIRECT(ADDRESS(COLUMN()+119,ROW()+1,1,,"Cash"))</f>
        <v>3491.41812682212</v>
      </c>
      <c r="I8" s="10" t="n">
        <f aca="true">INDIRECT(ADDRESS(COLUMN()+119,ROW()+1,1,,"Cash"))</f>
        <v>1512.24970722756</v>
      </c>
      <c r="J8" s="10" t="n">
        <f aca="true">INDIRECT(ADDRESS(COLUMN()+119,ROW()+1,1,,"Cash"))</f>
        <v>2034.16998860694</v>
      </c>
      <c r="K8" s="10" t="n">
        <f aca="true">INDIRECT(ADDRESS(COLUMN()+119,ROW()+1,1,,"Cash"))</f>
        <v>2077.44966499769</v>
      </c>
      <c r="L8" s="10" t="n">
        <f aca="true">INDIRECT(ADDRESS(COLUMN()+119,ROW()+1,1,,"Cash"))</f>
        <v>2681.29294095834</v>
      </c>
      <c r="M8" s="10" t="n">
        <f aca="true">INDIRECT(ADDRESS(COLUMN()+119,ROW()+1,1,,"Cash"))</f>
        <v>2983.22955536363</v>
      </c>
      <c r="N8" s="10" t="n">
        <f aca="true">INDIRECT(ADDRESS(COLUMN()+119,ROW()+1,1,,"Cash"))</f>
        <v>3772.08825679845</v>
      </c>
      <c r="O8" s="10" t="n">
        <f aca="true">INDIRECT(ADDRESS(COLUMN()+119,ROW()+1,1,,"Cash"))</f>
        <v>2556.69223559902</v>
      </c>
      <c r="P8" s="10" t="n">
        <f aca="true">INDIRECT(ADDRESS(COLUMN()+119,ROW()+1,1,,"Cash"))</f>
        <v>2180.97272326563</v>
      </c>
      <c r="Q8" s="26" t="n">
        <f aca="true">INDIRECT(ADDRESS(COLUMN()+119,ROW()+1,1,,"Cash"))</f>
        <v>1706.34584687409</v>
      </c>
      <c r="R8" s="10" t="n">
        <f aca="true">INDIRECT(ADDRESS(COLUMN()+119,ROW()+1,1,,"Cash"))</f>
        <v>3683.33932180128</v>
      </c>
      <c r="S8" s="10" t="n">
        <f aca="true">INDIRECT(ADDRESS(COLUMN()+119,ROW()+1,1,,"Cash"))</f>
        <v>7219.18352562984</v>
      </c>
      <c r="T8" s="10" t="n">
        <f aca="true">INDIRECT(ADDRESS(COLUMN()+119,ROW()+1,1,,"Cash"))</f>
        <v>1794.03691578478</v>
      </c>
      <c r="U8" s="10" t="n">
        <f aca="true">INDIRECT(ADDRESS(COLUMN()+119,ROW()+1,1,,"Cash"))</f>
        <v>2817.24932651775</v>
      </c>
      <c r="V8" s="10" t="n">
        <f aca="true">INDIRECT(ADDRESS(COLUMN()+119,ROW()+1,1,,"Cash"))</f>
        <v>3224.84033635516</v>
      </c>
      <c r="W8" s="10" t="n">
        <f aca="true">INDIRECT(ADDRESS(COLUMN()+119,ROW()+1,1,,"Cash"))</f>
        <v>3281.75304692876</v>
      </c>
      <c r="X8" s="10" t="n">
        <f aca="true">INDIRECT(ADDRESS(COLUMN()+119,ROW()+1,1,,"Cash"))</f>
        <v>2648.96609671</v>
      </c>
    </row>
    <row r="9" customFormat="false" ht="12.8" hidden="false" customHeight="false" outlineLevel="0" collapsed="false">
      <c r="A9" s="1" t="s">
        <v>332</v>
      </c>
      <c r="B9" s="10" t="n">
        <f aca="true">INDIRECT(ADDRESS(COLUMN()+119,ROW()+1,1,,"Cash"))</f>
        <v>2627.52919631442</v>
      </c>
      <c r="C9" s="10" t="n">
        <f aca="true">INDIRECT(ADDRESS(COLUMN()+119,ROW()+1,1,,"Cash"))</f>
        <v>1267.07724742558</v>
      </c>
      <c r="D9" s="10" t="n">
        <f aca="true">INDIRECT(ADDRESS(COLUMN()+119,ROW()+1,1,,"Cash"))</f>
        <v>4026.99321073888</v>
      </c>
      <c r="E9" s="10" t="n">
        <f aca="true">INDIRECT(ADDRESS(COLUMN()+119,ROW()+1,1,,"Cash"))</f>
        <v>546.118521746948</v>
      </c>
      <c r="F9" s="10" t="n">
        <f aca="true">INDIRECT(ADDRESS(COLUMN()+119,ROW()+1,1,,"Cash"))</f>
        <v>3490.978787454</v>
      </c>
      <c r="G9" s="10" t="n">
        <f aca="true">INDIRECT(ADDRESS(COLUMN()+119,ROW()+1,1,,"Cash"))</f>
        <v>5221.53533342772</v>
      </c>
      <c r="H9" s="10" t="n">
        <f aca="true">INDIRECT(ADDRESS(COLUMN()+119,ROW()+1,1,,"Cash"))</f>
        <v>5098.18009123695</v>
      </c>
      <c r="I9" s="10" t="n">
        <f aca="true">INDIRECT(ADDRESS(COLUMN()+119,ROW()+1,1,,"Cash"))</f>
        <v>2971.30256303101</v>
      </c>
      <c r="J9" s="10" t="n">
        <f aca="true">INDIRECT(ADDRESS(COLUMN()+119,ROW()+1,1,,"Cash"))</f>
        <v>2759.8280500096</v>
      </c>
      <c r="K9" s="10" t="n">
        <f aca="true">INDIRECT(ADDRESS(COLUMN()+119,ROW()+1,1,,"Cash"))</f>
        <v>2161.13980078078</v>
      </c>
      <c r="L9" s="10" t="n">
        <f aca="true">INDIRECT(ADDRESS(COLUMN()+119,ROW()+1,1,,"Cash"))</f>
        <v>2606.47549525928</v>
      </c>
      <c r="M9" s="10" t="n">
        <f aca="true">INDIRECT(ADDRESS(COLUMN()+119,ROW()+1,1,,"Cash"))</f>
        <v>3927.81510166112</v>
      </c>
      <c r="N9" s="10" t="n">
        <f aca="true">INDIRECT(ADDRESS(COLUMN()+119,ROW()+1,1,,"Cash"))</f>
        <v>4728.08190347995</v>
      </c>
      <c r="O9" s="10" t="n">
        <f aca="true">INDIRECT(ADDRESS(COLUMN()+119,ROW()+1,1,,"Cash"))</f>
        <v>3401.44427501523</v>
      </c>
      <c r="P9" s="10" t="n">
        <f aca="true">INDIRECT(ADDRESS(COLUMN()+119,ROW()+1,1,,"Cash"))</f>
        <v>2086.20285944106</v>
      </c>
      <c r="Q9" s="26" t="n">
        <f aca="true">INDIRECT(ADDRESS(COLUMN()+119,ROW()+1,1,,"Cash"))</f>
        <v>2600.32114254481</v>
      </c>
      <c r="R9" s="10" t="n">
        <f aca="true">INDIRECT(ADDRESS(COLUMN()+119,ROW()+1,1,,"Cash"))</f>
        <v>4367.86125757075</v>
      </c>
      <c r="S9" s="10" t="n">
        <f aca="true">INDIRECT(ADDRESS(COLUMN()+119,ROW()+1,1,,"Cash"))</f>
        <v>8089.68211631989</v>
      </c>
      <c r="T9" s="10" t="n">
        <f aca="true">INDIRECT(ADDRESS(COLUMN()+119,ROW()+1,1,,"Cash"))</f>
        <v>965.901155004887</v>
      </c>
      <c r="U9" s="10" t="n">
        <f aca="true">INDIRECT(ADDRESS(COLUMN()+119,ROW()+1,1,,"Cash"))</f>
        <v>2527.16385648811</v>
      </c>
      <c r="V9" s="10" t="n">
        <f aca="true">INDIRECT(ADDRESS(COLUMN()+119,ROW()+1,1,,"Cash"))</f>
        <v>2482.60416682403</v>
      </c>
      <c r="W9" s="10" t="n">
        <f aca="true">INDIRECT(ADDRESS(COLUMN()+119,ROW()+1,1,,"Cash"))</f>
        <v>3435.90584643016</v>
      </c>
      <c r="X9" s="10" t="n">
        <f aca="true">INDIRECT(ADDRESS(COLUMN()+119,ROW()+1,1,,"Cash"))</f>
        <v>1218.06511428641</v>
      </c>
    </row>
    <row r="10" customFormat="false" ht="12.8" hidden="false" customHeight="false" outlineLevel="0" collapsed="false">
      <c r="A10" s="1" t="s">
        <v>52</v>
      </c>
      <c r="B10" s="10" t="n">
        <f aca="true">INDIRECT(ADDRESS(COLUMN()+119,ROW()+1,1,,"Cash"))</f>
        <v>32745.4864551364</v>
      </c>
      <c r="C10" s="10" t="n">
        <f aca="true">INDIRECT(ADDRESS(COLUMN()+119,ROW()+1,1,,"Cash"))</f>
        <v>18850.8925091201</v>
      </c>
      <c r="D10" s="10" t="n">
        <f aca="true">INDIRECT(ADDRESS(COLUMN()+119,ROW()+1,1,,"Cash"))</f>
        <v>14588.8874568533</v>
      </c>
      <c r="E10" s="10" t="n">
        <f aca="true">INDIRECT(ADDRESS(COLUMN()+119,ROW()+1,1,,"Cash"))</f>
        <v>4959.17799569222</v>
      </c>
      <c r="F10" s="10" t="n">
        <f aca="true">INDIRECT(ADDRESS(COLUMN()+119,ROW()+1,1,,"Cash"))</f>
        <v>34080.6537451422</v>
      </c>
      <c r="G10" s="10" t="n">
        <f aca="true">INDIRECT(ADDRESS(COLUMN()+119,ROW()+1,1,,"Cash"))</f>
        <v>25901.8941594912</v>
      </c>
      <c r="H10" s="10" t="n">
        <f aca="true">INDIRECT(ADDRESS(COLUMN()+119,ROW()+1,1,,"Cash"))</f>
        <v>22098.2157957903</v>
      </c>
      <c r="I10" s="10" t="n">
        <f aca="true">INDIRECT(ADDRESS(COLUMN()+119,ROW()+1,1,,"Cash"))</f>
        <v>27817.9077552364</v>
      </c>
      <c r="J10" s="10" t="n">
        <f aca="true">INDIRECT(ADDRESS(COLUMN()+119,ROW()+1,1,,"Cash"))</f>
        <v>12179.032986981</v>
      </c>
      <c r="K10" s="10" t="n">
        <f aca="true">INDIRECT(ADDRESS(COLUMN()+119,ROW()+1,1,,"Cash"))</f>
        <v>25795.8649211766</v>
      </c>
      <c r="L10" s="10" t="n">
        <f aca="true">INDIRECT(ADDRESS(COLUMN()+119,ROW()+1,1,,"Cash"))</f>
        <v>32545.0615998914</v>
      </c>
      <c r="M10" s="10" t="n">
        <f aca="true">INDIRECT(ADDRESS(COLUMN()+119,ROW()+1,1,,"Cash"))</f>
        <v>41128.5971467949</v>
      </c>
      <c r="N10" s="10" t="n">
        <f aca="true">INDIRECT(ADDRESS(COLUMN()+119,ROW()+1,1,,"Cash"))</f>
        <v>18008.9069356296</v>
      </c>
      <c r="O10" s="10" t="n">
        <f aca="true">INDIRECT(ADDRESS(COLUMN()+119,ROW()+1,1,,"Cash"))</f>
        <v>31851.6275725857</v>
      </c>
      <c r="P10" s="10" t="n">
        <f aca="true">INDIRECT(ADDRESS(COLUMN()+119,ROW()+1,1,,"Cash"))</f>
        <v>11331.0728237544</v>
      </c>
      <c r="Q10" s="26" t="n">
        <f aca="true">INDIRECT(ADDRESS(COLUMN()+119,ROW()+1,1,,"Cash"))</f>
        <v>11454.4757887486</v>
      </c>
      <c r="R10" s="10" t="n">
        <f aca="true">INDIRECT(ADDRESS(COLUMN()+119,ROW()+1,1,,"Cash"))</f>
        <v>26138.6406565777</v>
      </c>
      <c r="S10" s="10" t="n">
        <f aca="true">INDIRECT(ADDRESS(COLUMN()+119,ROW()+1,1,,"Cash"))</f>
        <v>91827.1398461063</v>
      </c>
      <c r="T10" s="10" t="n">
        <f aca="true">INDIRECT(ADDRESS(COLUMN()+119,ROW()+1,1,,"Cash"))</f>
        <v>13047.7491748722</v>
      </c>
      <c r="U10" s="10" t="n">
        <f aca="true">INDIRECT(ADDRESS(COLUMN()+119,ROW()+1,1,,"Cash"))</f>
        <v>29662.5751118589</v>
      </c>
      <c r="V10" s="10" t="n">
        <f aca="true">INDIRECT(ADDRESS(COLUMN()+119,ROW()+1,1,,"Cash"))</f>
        <v>14149.6383410539</v>
      </c>
      <c r="W10" s="10" t="n">
        <f aca="true">INDIRECT(ADDRESS(COLUMN()+119,ROW()+1,1,,"Cash"))</f>
        <v>41251.947174377</v>
      </c>
      <c r="X10" s="10" t="n">
        <f aca="true">INDIRECT(ADDRESS(COLUMN()+119,ROW()+1,1,,"Cash"))</f>
        <v>26652.2862768478</v>
      </c>
    </row>
    <row r="11" customFormat="false" ht="12.8" hidden="false" customHeight="false" outlineLevel="0" collapsed="false">
      <c r="A11" s="2" t="s">
        <v>53</v>
      </c>
      <c r="B11" s="10" t="n">
        <f aca="true">INDIRECT(ADDRESS(COLUMN()+119,ROW()+1,1,,"Cash"))</f>
        <v>294426.650460352</v>
      </c>
      <c r="C11" s="10" t="n">
        <f aca="true">INDIRECT(ADDRESS(COLUMN()+119,ROW()+1,1,,"Cash"))</f>
        <v>118085.222861461</v>
      </c>
      <c r="D11" s="10" t="n">
        <f aca="true">INDIRECT(ADDRESS(COLUMN()+119,ROW()+1,1,,"Cash"))</f>
        <v>97431.9556988212</v>
      </c>
      <c r="E11" s="10" t="n">
        <f aca="true">INDIRECT(ADDRESS(COLUMN()+119,ROW()+1,1,,"Cash"))</f>
        <v>28822.4323034187</v>
      </c>
      <c r="F11" s="10" t="n">
        <f aca="true">INDIRECT(ADDRESS(COLUMN()+119,ROW()+1,1,,"Cash"))</f>
        <v>236903.095743038</v>
      </c>
      <c r="G11" s="10" t="n">
        <f aca="true">INDIRECT(ADDRESS(COLUMN()+119,ROW()+1,1,,"Cash"))</f>
        <v>159011.607204954</v>
      </c>
      <c r="H11" s="10" t="n">
        <f aca="true">INDIRECT(ADDRESS(COLUMN()+119,ROW()+1,1,,"Cash"))</f>
        <v>134311.843669206</v>
      </c>
      <c r="I11" s="10" t="n">
        <f aca="true">INDIRECT(ADDRESS(COLUMN()+119,ROW()+1,1,,"Cash"))</f>
        <v>162133.875033682</v>
      </c>
      <c r="J11" s="10" t="n">
        <f aca="true">INDIRECT(ADDRESS(COLUMN()+119,ROW()+1,1,,"Cash"))</f>
        <v>68480.5218350414</v>
      </c>
      <c r="K11" s="10" t="n">
        <f aca="true">INDIRECT(ADDRESS(COLUMN()+119,ROW()+1,1,,"Cash"))</f>
        <v>146606.837691869</v>
      </c>
      <c r="L11" s="10" t="n">
        <f aca="true">INDIRECT(ADDRESS(COLUMN()+119,ROW()+1,1,,"Cash"))</f>
        <v>153747.174387124</v>
      </c>
      <c r="M11" s="10" t="n">
        <f aca="true">INDIRECT(ADDRESS(COLUMN()+119,ROW()+1,1,,"Cash"))</f>
        <v>206321.540515227</v>
      </c>
      <c r="N11" s="10" t="n">
        <f aca="true">INDIRECT(ADDRESS(COLUMN()+119,ROW()+1,1,,"Cash"))</f>
        <v>96279.012131006</v>
      </c>
      <c r="O11" s="10" t="n">
        <f aca="true">INDIRECT(ADDRESS(COLUMN()+119,ROW()+1,1,,"Cash"))</f>
        <v>162115.107982687</v>
      </c>
      <c r="P11" s="10" t="n">
        <f aca="true">INDIRECT(ADDRESS(COLUMN()+119,ROW()+1,1,,"Cash"))</f>
        <v>64767.1111895448</v>
      </c>
      <c r="Q11" s="26" t="n">
        <f aca="true">INDIRECT(ADDRESS(COLUMN()+119,ROW()+1,1,,"Cash"))</f>
        <v>66091.1246700844</v>
      </c>
      <c r="R11" s="10" t="n">
        <f aca="true">INDIRECT(ADDRESS(COLUMN()+119,ROW()+1,1,,"Cash"))</f>
        <v>158066.364759916</v>
      </c>
      <c r="S11" s="10" t="n">
        <f aca="true">INDIRECT(ADDRESS(COLUMN()+119,ROW()+1,1,,"Cash"))</f>
        <v>565421.785681883</v>
      </c>
      <c r="T11" s="10" t="n">
        <f aca="true">INDIRECT(ADDRESS(COLUMN()+119,ROW()+1,1,,"Cash"))</f>
        <v>66379.4434424713</v>
      </c>
      <c r="U11" s="10" t="n">
        <f aca="true">INDIRECT(ADDRESS(COLUMN()+119,ROW()+1,1,,"Cash"))</f>
        <v>189224.776302244</v>
      </c>
      <c r="V11" s="10" t="n">
        <f aca="true">INDIRECT(ADDRESS(COLUMN()+119,ROW()+1,1,,"Cash"))</f>
        <v>89947.5816465517</v>
      </c>
      <c r="W11" s="10" t="n">
        <f aca="true">INDIRECT(ADDRESS(COLUMN()+119,ROW()+1,1,,"Cash"))</f>
        <v>375383.920454257</v>
      </c>
      <c r="X11" s="10" t="n">
        <f aca="true">INDIRECT(ADDRESS(COLUMN()+119,ROW()+1,1,,"Cash"))</f>
        <v>244398.588151413</v>
      </c>
    </row>
    <row r="12" customFormat="false" ht="12.8" hidden="false" customHeight="false" outlineLevel="0" collapsed="false">
      <c r="A12" s="1" t="s">
        <v>54</v>
      </c>
      <c r="B12" s="10" t="n">
        <f aca="true">INDIRECT(ADDRESS(COLUMN()+119,ROW()+1,1,,"Cash"))</f>
        <v>246533.288853005</v>
      </c>
      <c r="C12" s="10" t="n">
        <f aca="true">INDIRECT(ADDRESS(COLUMN()+119,ROW()+1,1,,"Cash"))</f>
        <v>88744.0424769606</v>
      </c>
      <c r="D12" s="10" t="n">
        <f aca="true">INDIRECT(ADDRESS(COLUMN()+119,ROW()+1,1,,"Cash"))</f>
        <v>74380.6276010473</v>
      </c>
      <c r="E12" s="10" t="n">
        <f aca="true">INDIRECT(ADDRESS(COLUMN()+119,ROW()+1,1,,"Cash"))</f>
        <v>21298.8524236177</v>
      </c>
      <c r="F12" s="10" t="n">
        <f aca="true">INDIRECT(ADDRESS(COLUMN()+119,ROW()+1,1,,"Cash"))</f>
        <v>182757.07465286</v>
      </c>
      <c r="G12" s="10" t="n">
        <f aca="true">INDIRECT(ADDRESS(COLUMN()+119,ROW()+1,1,,"Cash"))</f>
        <v>118941.798354963</v>
      </c>
      <c r="H12" s="10" t="n">
        <f aca="true">INDIRECT(ADDRESS(COLUMN()+119,ROW()+1,1,,"Cash"))</f>
        <v>100237.34710416</v>
      </c>
      <c r="I12" s="10" t="n">
        <f aca="true">INDIRECT(ADDRESS(COLUMN()+119,ROW()+1,1,,"Cash"))</f>
        <v>119884.648676613</v>
      </c>
      <c r="J12" s="10" t="n">
        <f aca="true">INDIRECT(ADDRESS(COLUMN()+119,ROW()+1,1,,"Cash"))</f>
        <v>50253.7570759131</v>
      </c>
      <c r="K12" s="10" t="n">
        <f aca="true">INDIRECT(ADDRESS(COLUMN()+119,ROW()+1,1,,"Cash"))</f>
        <v>107825.444207428</v>
      </c>
      <c r="L12" s="10" t="n">
        <f aca="true">INDIRECT(ADDRESS(COLUMN()+119,ROW()+1,1,,"Cash"))</f>
        <v>109224.215926433</v>
      </c>
      <c r="M12" s="10" t="n">
        <f aca="true">INDIRECT(ADDRESS(COLUMN()+119,ROW()+1,1,,"Cash"))</f>
        <v>148111.956939604</v>
      </c>
      <c r="N12" s="10" t="n">
        <f aca="true">INDIRECT(ADDRESS(COLUMN()+119,ROW()+1,1,,"Cash"))</f>
        <v>69943.4656013177</v>
      </c>
      <c r="O12" s="10" t="n">
        <f aca="true">INDIRECT(ADDRESS(COLUMN()+119,ROW()+1,1,,"Cash"))</f>
        <v>116684.070906521</v>
      </c>
      <c r="P12" s="10" t="n">
        <f aca="true">INDIRECT(ADDRESS(COLUMN()+119,ROW()+1,1,,"Cash"))</f>
        <v>47691.5602216074</v>
      </c>
      <c r="Q12" s="26" t="n">
        <f aca="true">INDIRECT(ADDRESS(COLUMN()+119,ROW()+1,1,,"Cash"))</f>
        <v>48763.4710583281</v>
      </c>
      <c r="R12" s="10" t="n">
        <f aca="true">INDIRECT(ADDRESS(COLUMN()+119,ROW()+1,1,,"Cash"))</f>
        <v>117830.348871549</v>
      </c>
      <c r="S12" s="10" t="n">
        <f aca="true">INDIRECT(ADDRESS(COLUMN()+119,ROW()+1,1,,"Cash"))</f>
        <v>423231.715500795</v>
      </c>
      <c r="T12" s="10" t="n">
        <f aca="true">INDIRECT(ADDRESS(COLUMN()+119,ROW()+1,1,,"Cash"))</f>
        <v>47773.4044120515</v>
      </c>
      <c r="U12" s="10" t="n">
        <f aca="true">INDIRECT(ADDRESS(COLUMN()+119,ROW()+1,1,,"Cash"))</f>
        <v>142824.791570536</v>
      </c>
      <c r="V12" s="10" t="n">
        <f aca="true">INDIRECT(ADDRESS(COLUMN()+119,ROW()+1,1,,"Cash"))</f>
        <v>67834.2060413732</v>
      </c>
      <c r="W12" s="10" t="n">
        <f aca="true">INDIRECT(ADDRESS(COLUMN()+119,ROW()+1,1,,"Cash"))</f>
        <v>315754.800595076</v>
      </c>
      <c r="X12" s="10" t="n">
        <f aca="true">INDIRECT(ADDRESS(COLUMN()+119,ROW()+1,1,,"Cash"))</f>
        <v>206184.199583866</v>
      </c>
    </row>
    <row r="13" customFormat="false" ht="12.8" hidden="false" customHeight="false" outlineLevel="0" collapsed="false">
      <c r="A13" s="1" t="s">
        <v>333</v>
      </c>
      <c r="B13" s="10" t="n">
        <f aca="true">INDIRECT(ADDRESS(COLUMN()+119,ROW()+1,1,,"Cash"))</f>
        <v>40.4132322709933</v>
      </c>
      <c r="C13" s="10" t="n">
        <f aca="true">INDIRECT(ADDRESS(COLUMN()+119,ROW()+1,1,,"Cash"))</f>
        <v>22.0498086741023</v>
      </c>
      <c r="D13" s="10" t="n">
        <f aca="true">INDIRECT(ADDRESS(COLUMN()+119,ROW()+1,1,,"Cash"))</f>
        <v>4.84392722057219</v>
      </c>
      <c r="E13" s="10" t="n">
        <f aca="true">INDIRECT(ADDRESS(COLUMN()+119,ROW()+1,1,,"Cash"))</f>
        <v>1</v>
      </c>
      <c r="F13" s="10" t="n">
        <f aca="true">INDIRECT(ADDRESS(COLUMN()+119,ROW()+1,1,,"Cash"))</f>
        <v>42.9126094949587</v>
      </c>
      <c r="G13" s="10" t="n">
        <f aca="true">INDIRECT(ADDRESS(COLUMN()+119,ROW()+1,1,,"Cash"))</f>
        <v>7.00779714035522</v>
      </c>
      <c r="H13" s="10" t="n">
        <f aca="true">INDIRECT(ADDRESS(COLUMN()+119,ROW()+1,1,,"Cash"))</f>
        <v>6.84090977059421</v>
      </c>
      <c r="I13" s="10" t="n">
        <f aca="true">INDIRECT(ADDRESS(COLUMN()+119,ROW()+1,1,,"Cash"))</f>
        <v>19.2106894986975</v>
      </c>
      <c r="J13" s="10" t="n">
        <f aca="true">INDIRECT(ADDRESS(COLUMN()+119,ROW()+1,1,,"Cash"))</f>
        <v>1.69694777275265</v>
      </c>
      <c r="K13" s="10" t="n">
        <f aca="true">INDIRECT(ADDRESS(COLUMN()+119,ROW()+1,1,,"Cash"))</f>
        <v>15.2874540188331</v>
      </c>
      <c r="L13" s="10" t="n">
        <f aca="true">INDIRECT(ADDRESS(COLUMN()+119,ROW()+1,1,,"Cash"))</f>
        <v>7.67522952070186</v>
      </c>
      <c r="M13" s="10" t="n">
        <f aca="true">INDIRECT(ADDRESS(COLUMN()+119,ROW()+1,1,,"Cash"))</f>
        <v>13.3157860600621</v>
      </c>
      <c r="N13" s="10" t="n">
        <f aca="true">INDIRECT(ADDRESS(COLUMN()+119,ROW()+1,1,,"Cash"))</f>
        <v>8.89366630784335</v>
      </c>
      <c r="O13" s="10" t="n">
        <f aca="true">INDIRECT(ADDRESS(COLUMN()+119,ROW()+1,1,,"Cash"))</f>
        <v>6.96415023539897</v>
      </c>
      <c r="P13" s="10" t="n">
        <f aca="true">INDIRECT(ADDRESS(COLUMN()+119,ROW()+1,1,,"Cash"))</f>
        <v>1.8127324342547</v>
      </c>
      <c r="Q13" s="26" t="n">
        <f aca="true">INDIRECT(ADDRESS(COLUMN()+119,ROW()+1,1,,"Cash"))</f>
        <v>2.43868810282968</v>
      </c>
      <c r="R13" s="10" t="n">
        <f aca="true">INDIRECT(ADDRESS(COLUMN()+119,ROW()+1,1,,"Cash"))</f>
        <v>4.35251837988418</v>
      </c>
      <c r="S13" s="10" t="n">
        <f aca="true">INDIRECT(ADDRESS(COLUMN()+119,ROW()+1,1,,"Cash"))</f>
        <v>83.0917781694418</v>
      </c>
      <c r="T13" s="10" t="n">
        <f aca="true">INDIRECT(ADDRESS(COLUMN()+119,ROW()+1,1,,"Cash"))</f>
        <v>1.48344098243933</v>
      </c>
      <c r="U13" s="10" t="n">
        <f aca="true">INDIRECT(ADDRESS(COLUMN()+119,ROW()+1,1,,"Cash"))</f>
        <v>30.4421742002458</v>
      </c>
      <c r="V13" s="10" t="n">
        <f aca="true">INDIRECT(ADDRESS(COLUMN()+119,ROW()+1,1,,"Cash"))</f>
        <v>3.58532553632681</v>
      </c>
      <c r="W13" s="10" t="n">
        <f aca="true">INDIRECT(ADDRESS(COLUMN()+119,ROW()+1,1,,"Cash"))</f>
        <v>42.980153167417</v>
      </c>
      <c r="X13" s="10" t="n">
        <f aca="true">INDIRECT(ADDRESS(COLUMN()+119,ROW()+1,1,,"Cash"))</f>
        <v>24.663174173957</v>
      </c>
    </row>
    <row r="14" customFormat="false" ht="12.8" hidden="false" customHeight="false" outlineLevel="0" collapsed="false">
      <c r="A14" s="1" t="s">
        <v>334</v>
      </c>
      <c r="B14" s="10" t="n">
        <f aca="true">INDIRECT(ADDRESS(COLUMN()+119,ROW()+1,1,,"Cash"))</f>
        <v>10.5111299637901</v>
      </c>
      <c r="C14" s="10" t="n">
        <f aca="true">INDIRECT(ADDRESS(COLUMN()+119,ROW()+1,1,,"Cash"))</f>
        <v>5.851485858237</v>
      </c>
      <c r="D14" s="10" t="n">
        <f aca="true">INDIRECT(ADDRESS(COLUMN()+119,ROW()+1,1,,"Cash"))</f>
        <v>2.82077985148391</v>
      </c>
      <c r="E14" s="10" t="n">
        <f aca="true">INDIRECT(ADDRESS(COLUMN()+119,ROW()+1,1,,"Cash"))</f>
        <v>1.51796255474074</v>
      </c>
      <c r="F14" s="10" t="n">
        <f aca="true">INDIRECT(ADDRESS(COLUMN()+119,ROW()+1,1,,"Cash"))</f>
        <v>10.3371747297469</v>
      </c>
      <c r="G14" s="10" t="n">
        <f aca="true">INDIRECT(ADDRESS(COLUMN()+119,ROW()+1,1,,"Cash"))</f>
        <v>4.78969257506774</v>
      </c>
      <c r="H14" s="10" t="n">
        <f aca="true">INDIRECT(ADDRESS(COLUMN()+119,ROW()+1,1,,"Cash"))</f>
        <v>3.93553846451415</v>
      </c>
      <c r="I14" s="10" t="n">
        <f aca="true">INDIRECT(ADDRESS(COLUMN()+119,ROW()+1,1,,"Cash"))</f>
        <v>7.73660945590299</v>
      </c>
      <c r="J14" s="10" t="n">
        <f aca="true">INDIRECT(ADDRESS(COLUMN()+119,ROW()+1,1,,"Cash"))</f>
        <v>2.32503806034477</v>
      </c>
      <c r="K14" s="10" t="n">
        <f aca="true">INDIRECT(ADDRESS(COLUMN()+119,ROW()+1,1,,"Cash"))</f>
        <v>7.15032029674069</v>
      </c>
      <c r="L14" s="10" t="n">
        <f aca="true">INDIRECT(ADDRESS(COLUMN()+119,ROW()+1,1,,"Cash"))</f>
        <v>4.09846684457343</v>
      </c>
      <c r="M14" s="10" t="n">
        <f aca="true">INDIRECT(ADDRESS(COLUMN()+119,ROW()+1,1,,"Cash"))</f>
        <v>5.10084984428356</v>
      </c>
      <c r="N14" s="10" t="n">
        <f aca="true">INDIRECT(ADDRESS(COLUMN()+119,ROW()+1,1,,"Cash"))</f>
        <v>3.61343556268851</v>
      </c>
      <c r="O14" s="10" t="n">
        <f aca="true">INDIRECT(ADDRESS(COLUMN()+119,ROW()+1,1,,"Cash"))</f>
        <v>4.16372003391381</v>
      </c>
      <c r="P14" s="10" t="n">
        <f aca="true">INDIRECT(ADDRESS(COLUMN()+119,ROW()+1,1,,"Cash"))</f>
        <v>2.2654675220634</v>
      </c>
      <c r="Q14" s="26" t="n">
        <f aca="true">INDIRECT(ADDRESS(COLUMN()+119,ROW()+1,1,,"Cash"))</f>
        <v>2.05097757383117</v>
      </c>
      <c r="R14" s="10" t="n">
        <f aca="true">INDIRECT(ADDRESS(COLUMN()+119,ROW()+1,1,,"Cash"))</f>
        <v>3.83427373674902</v>
      </c>
      <c r="S14" s="10" t="n">
        <f aca="true">INDIRECT(ADDRESS(COLUMN()+119,ROW()+1,1,,"Cash"))</f>
        <v>24.67133775237</v>
      </c>
      <c r="T14" s="10" t="n">
        <f aca="true">INDIRECT(ADDRESS(COLUMN()+119,ROW()+1,1,,"Cash"))</f>
        <v>1.90610308495832</v>
      </c>
      <c r="U14" s="10" t="n">
        <f aca="true">INDIRECT(ADDRESS(COLUMN()+119,ROW()+1,1,,"Cash"))</f>
        <v>8.68872538060496</v>
      </c>
      <c r="V14" s="10" t="n">
        <f aca="true">INDIRECT(ADDRESS(COLUMN()+119,ROW()+1,1,,"Cash"))</f>
        <v>2.8476574325057</v>
      </c>
      <c r="W14" s="10" t="n">
        <f aca="true">INDIRECT(ADDRESS(COLUMN()+119,ROW()+1,1,,"Cash"))</f>
        <v>13.2869744178773</v>
      </c>
      <c r="X14" s="10" t="n">
        <f aca="true">INDIRECT(ADDRESS(COLUMN()+119,ROW()+1,1,,"Cash"))</f>
        <v>8.8708287122556</v>
      </c>
    </row>
    <row r="15" customFormat="false" ht="12.8" hidden="false" customHeight="false" outlineLevel="0" collapsed="false">
      <c r="A15" s="1" t="s">
        <v>335</v>
      </c>
      <c r="B15" s="10" t="n">
        <f aca="true">INDIRECT(ADDRESS(COLUMN()+119,ROW()+1,1,,"Cash"))</f>
        <v>6.30667797827405</v>
      </c>
      <c r="C15" s="10" t="n">
        <f aca="true">INDIRECT(ADDRESS(COLUMN()+119,ROW()+1,1,,"Cash"))</f>
        <v>3.5108915149422</v>
      </c>
      <c r="D15" s="10" t="n">
        <f aca="true">INDIRECT(ADDRESS(COLUMN()+119,ROW()+1,1,,"Cash"))</f>
        <v>1.69246791089034</v>
      </c>
      <c r="E15" s="10" t="n">
        <f aca="true">INDIRECT(ADDRESS(COLUMN()+119,ROW()+1,1,,"Cash"))</f>
        <v>1</v>
      </c>
      <c r="F15" s="10" t="n">
        <f aca="true">INDIRECT(ADDRESS(COLUMN()+119,ROW()+1,1,,"Cash"))</f>
        <v>6.2023048378481</v>
      </c>
      <c r="G15" s="10" t="n">
        <f aca="true">INDIRECT(ADDRESS(COLUMN()+119,ROW()+1,1,,"Cash"))</f>
        <v>2.87381554504064</v>
      </c>
      <c r="H15" s="10" t="n">
        <f aca="true">INDIRECT(ADDRESS(COLUMN()+119,ROW()+1,1,,"Cash"))</f>
        <v>2.36132307870849</v>
      </c>
      <c r="I15" s="10" t="n">
        <f aca="true">INDIRECT(ADDRESS(COLUMN()+119,ROW()+1,1,,"Cash"))</f>
        <v>4.64196567354179</v>
      </c>
      <c r="J15" s="10" t="n">
        <f aca="true">INDIRECT(ADDRESS(COLUMN()+119,ROW()+1,1,,"Cash"))</f>
        <v>1.39502283620686</v>
      </c>
      <c r="K15" s="10" t="n">
        <f aca="true">INDIRECT(ADDRESS(COLUMN()+119,ROW()+1,1,,"Cash"))</f>
        <v>4.29019217804441</v>
      </c>
      <c r="L15" s="10" t="n">
        <f aca="true">INDIRECT(ADDRESS(COLUMN()+119,ROW()+1,1,,"Cash"))</f>
        <v>2.45908010674405</v>
      </c>
      <c r="M15" s="10" t="n">
        <f aca="true">INDIRECT(ADDRESS(COLUMN()+119,ROW()+1,1,,"Cash"))</f>
        <v>3.06050990657013</v>
      </c>
      <c r="N15" s="10" t="n">
        <f aca="true">INDIRECT(ADDRESS(COLUMN()+119,ROW()+1,1,,"Cash"))</f>
        <v>2.1680613376131</v>
      </c>
      <c r="O15" s="10" t="n">
        <f aca="true">INDIRECT(ADDRESS(COLUMN()+119,ROW()+1,1,,"Cash"))</f>
        <v>2.49823202034829</v>
      </c>
      <c r="P15" s="10" t="n">
        <f aca="true">INDIRECT(ADDRESS(COLUMN()+119,ROW()+1,1,,"Cash"))</f>
        <v>1.35928051323804</v>
      </c>
      <c r="Q15" s="26" t="n">
        <f aca="true">INDIRECT(ADDRESS(COLUMN()+119,ROW()+1,1,,"Cash"))</f>
        <v>1.2305865442987</v>
      </c>
      <c r="R15" s="10" t="n">
        <f aca="true">INDIRECT(ADDRESS(COLUMN()+119,ROW()+1,1,,"Cash"))</f>
        <v>2.30056424204941</v>
      </c>
      <c r="S15" s="10" t="n">
        <f aca="true">INDIRECT(ADDRESS(COLUMN()+119,ROW()+1,1,,"Cash"))</f>
        <v>14.802802651422</v>
      </c>
      <c r="T15" s="10" t="n">
        <f aca="true">INDIRECT(ADDRESS(COLUMN()+119,ROW()+1,1,,"Cash"))</f>
        <v>1.14366185097499</v>
      </c>
      <c r="U15" s="10" t="n">
        <f aca="true">INDIRECT(ADDRESS(COLUMN()+119,ROW()+1,1,,"Cash"))</f>
        <v>5.21323522836297</v>
      </c>
      <c r="V15" s="10" t="n">
        <f aca="true">INDIRECT(ADDRESS(COLUMN()+119,ROW()+1,1,,"Cash"))</f>
        <v>1.70859445950342</v>
      </c>
      <c r="W15" s="10" t="n">
        <f aca="true">INDIRECT(ADDRESS(COLUMN()+119,ROW()+1,1,,"Cash"))</f>
        <v>7.97218465072634</v>
      </c>
      <c r="X15" s="10" t="n">
        <f aca="true">INDIRECT(ADDRESS(COLUMN()+119,ROW()+1,1,,"Cash"))</f>
        <v>5.32249722735336</v>
      </c>
    </row>
    <row r="16" customFormat="false" ht="12.8" hidden="false" customHeight="false" outlineLevel="0" collapsed="false">
      <c r="A16" s="1" t="s">
        <v>336</v>
      </c>
      <c r="B16" s="10" t="n">
        <f aca="true">INDIRECT(ADDRESS(COLUMN()+119,ROW()+1,1,,"Cash"))</f>
        <v>34099.9464148474</v>
      </c>
      <c r="C16" s="10" t="n">
        <f aca="true">INDIRECT(ADDRESS(COLUMN()+119,ROW()+1,1,,"Cash"))</f>
        <v>639.386513067679</v>
      </c>
      <c r="D16" s="10" t="n">
        <f aca="true">INDIRECT(ADDRESS(COLUMN()+119,ROW()+1,1,,"Cash"))</f>
        <v>192.852026823829</v>
      </c>
      <c r="E16" s="10" t="n">
        <f aca="true">INDIRECT(ADDRESS(COLUMN()+119,ROW()+1,1,,"Cash"))</f>
        <v>82.0397266732467</v>
      </c>
      <c r="F16" s="10" t="n">
        <f aca="true">INDIRECT(ADDRESS(COLUMN()+119,ROW()+1,1,,"Cash"))</f>
        <v>732.571666362406</v>
      </c>
      <c r="G16" s="10" t="n">
        <f aca="true">INDIRECT(ADDRESS(COLUMN()+119,ROW()+1,1,,"Cash"))</f>
        <v>498.455592288982</v>
      </c>
      <c r="H16" s="10" t="n">
        <f aca="true">INDIRECT(ADDRESS(COLUMN()+119,ROW()+1,1,,"Cash"))</f>
        <v>584.266400465582</v>
      </c>
      <c r="I16" s="10" t="n">
        <f aca="true">INDIRECT(ADDRESS(COLUMN()+119,ROW()+1,1,,"Cash"))</f>
        <v>9608.64137236895</v>
      </c>
      <c r="J16" s="10" t="n">
        <f aca="true">INDIRECT(ADDRESS(COLUMN()+119,ROW()+1,1,,"Cash"))</f>
        <v>200.011657105537</v>
      </c>
      <c r="K16" s="10" t="n">
        <f aca="true">INDIRECT(ADDRESS(COLUMN()+119,ROW()+1,1,,"Cash"))</f>
        <v>315.485786834444</v>
      </c>
      <c r="L16" s="10" t="n">
        <f aca="true">INDIRECT(ADDRESS(COLUMN()+119,ROW()+1,1,,"Cash"))</f>
        <v>235.865629338745</v>
      </c>
      <c r="M16" s="10" t="n">
        <f aca="true">INDIRECT(ADDRESS(COLUMN()+119,ROW()+1,1,,"Cash"))</f>
        <v>266.282384466236</v>
      </c>
      <c r="N16" s="10" t="n">
        <f aca="true">INDIRECT(ADDRESS(COLUMN()+119,ROW()+1,1,,"Cash"))</f>
        <v>233.815179038106</v>
      </c>
      <c r="O16" s="10" t="n">
        <f aca="true">INDIRECT(ADDRESS(COLUMN()+119,ROW()+1,1,,"Cash"))</f>
        <v>388.289069227846</v>
      </c>
      <c r="P16" s="10" t="n">
        <f aca="true">INDIRECT(ADDRESS(COLUMN()+119,ROW()+1,1,,"Cash"))</f>
        <v>166.631965827464</v>
      </c>
      <c r="Q16" s="26" t="n">
        <f aca="true">INDIRECT(ADDRESS(COLUMN()+119,ROW()+1,1,,"Cash"))</f>
        <v>4846.25762758128</v>
      </c>
      <c r="R16" s="10" t="n">
        <f aca="true">INDIRECT(ADDRESS(COLUMN()+119,ROW()+1,1,,"Cash"))</f>
        <v>1160.63899380204</v>
      </c>
      <c r="S16" s="10" t="n">
        <f aca="true">INDIRECT(ADDRESS(COLUMN()+119,ROW()+1,1,,"Cash"))</f>
        <v>3686.77976951276</v>
      </c>
      <c r="T16" s="10" t="n">
        <f aca="true">INDIRECT(ADDRESS(COLUMN()+119,ROW()+1,1,,"Cash"))</f>
        <v>80.2033569525577</v>
      </c>
      <c r="U16" s="10" t="n">
        <f aca="true">INDIRECT(ADDRESS(COLUMN()+119,ROW()+1,1,,"Cash"))</f>
        <v>287.693229524836</v>
      </c>
      <c r="V16" s="10" t="n">
        <f aca="true">INDIRECT(ADDRESS(COLUMN()+119,ROW()+1,1,,"Cash"))</f>
        <v>391.27208461314</v>
      </c>
      <c r="W16" s="10" t="n">
        <f aca="true">INDIRECT(ADDRESS(COLUMN()+119,ROW()+1,1,,"Cash"))</f>
        <v>583.523812902306</v>
      </c>
      <c r="X16" s="10" t="n">
        <f aca="true">INDIRECT(ADDRESS(COLUMN()+119,ROW()+1,1,,"Cash"))</f>
        <v>491.13859712571</v>
      </c>
    </row>
    <row r="17" customFormat="false" ht="12.8" hidden="false" customHeight="false" outlineLevel="0" collapsed="false">
      <c r="A17" s="1" t="s">
        <v>337</v>
      </c>
      <c r="B17" s="10" t="n">
        <f aca="true">INDIRECT(ADDRESS(COLUMN()+119,ROW()+1,1,,"Cash"))</f>
        <v>64.2112506613424</v>
      </c>
      <c r="C17" s="10" t="n">
        <f aca="true">INDIRECT(ADDRESS(COLUMN()+119,ROW()+1,1,,"Cash"))</f>
        <v>45.982951467365</v>
      </c>
      <c r="D17" s="10" t="n">
        <f aca="true">INDIRECT(ADDRESS(COLUMN()+119,ROW()+1,1,,"Cash"))</f>
        <v>37.3165357727147</v>
      </c>
      <c r="E17" s="10" t="n">
        <f aca="true">INDIRECT(ADDRESS(COLUMN()+119,ROW()+1,1,,"Cash"))</f>
        <v>13.5867890292938</v>
      </c>
      <c r="F17" s="10" t="n">
        <f aca="true">INDIRECT(ADDRESS(COLUMN()+119,ROW()+1,1,,"Cash"))</f>
        <v>46.1147710656913</v>
      </c>
      <c r="G17" s="10" t="n">
        <f aca="true">INDIRECT(ADDRESS(COLUMN()+119,ROW()+1,1,,"Cash"))</f>
        <v>70.9640935876472</v>
      </c>
      <c r="H17" s="10" t="n">
        <f aca="true">INDIRECT(ADDRESS(COLUMN()+119,ROW()+1,1,,"Cash"))</f>
        <v>53.5965732274003</v>
      </c>
      <c r="I17" s="10" t="n">
        <f aca="true">INDIRECT(ADDRESS(COLUMN()+119,ROW()+1,1,,"Cash"))</f>
        <v>41.8861965313868</v>
      </c>
      <c r="J17" s="10" t="n">
        <f aca="true">INDIRECT(ADDRESS(COLUMN()+119,ROW()+1,1,,"Cash"))</f>
        <v>33.3672136629616</v>
      </c>
      <c r="K17" s="10" t="n">
        <f aca="true">INDIRECT(ADDRESS(COLUMN()+119,ROW()+1,1,,"Cash"))</f>
        <v>41.3375673104015</v>
      </c>
      <c r="L17" s="10" t="n">
        <f aca="true">INDIRECT(ADDRESS(COLUMN()+119,ROW()+1,1,,"Cash"))</f>
        <v>74.6767864390873</v>
      </c>
      <c r="M17" s="10" t="n">
        <f aca="true">INDIRECT(ADDRESS(COLUMN()+119,ROW()+1,1,,"Cash"))</f>
        <v>61.8475457570521</v>
      </c>
      <c r="N17" s="10" t="n">
        <f aca="true">INDIRECT(ADDRESS(COLUMN()+119,ROW()+1,1,,"Cash"))</f>
        <v>49.3394710565195</v>
      </c>
      <c r="O17" s="10" t="n">
        <f aca="true">INDIRECT(ADDRESS(COLUMN()+119,ROW()+1,1,,"Cash"))</f>
        <v>54.3416041494302</v>
      </c>
      <c r="P17" s="10" t="n">
        <f aca="true">INDIRECT(ADDRESS(COLUMN()+119,ROW()+1,1,,"Cash"))</f>
        <v>31.0440351335737</v>
      </c>
      <c r="Q17" s="26" t="n">
        <f aca="true">INDIRECT(ADDRESS(COLUMN()+119,ROW()+1,1,,"Cash"))</f>
        <v>29.8146751404911</v>
      </c>
      <c r="R17" s="10" t="n">
        <f aca="true">INDIRECT(ADDRESS(COLUMN()+119,ROW()+1,1,,"Cash"))</f>
        <v>54.4661578714877</v>
      </c>
      <c r="S17" s="10" t="n">
        <f aca="true">INDIRECT(ADDRESS(COLUMN()+119,ROW()+1,1,,"Cash"))</f>
        <v>72.3621182012463</v>
      </c>
      <c r="T17" s="10" t="n">
        <f aca="true">INDIRECT(ADDRESS(COLUMN()+119,ROW()+1,1,,"Cash"))</f>
        <v>35.7472580133484</v>
      </c>
      <c r="U17" s="10" t="n">
        <f aca="true">INDIRECT(ADDRESS(COLUMN()+119,ROW()+1,1,,"Cash"))</f>
        <v>44.7177035392773</v>
      </c>
      <c r="V17" s="10" t="n">
        <f aca="true">INDIRECT(ADDRESS(COLUMN()+119,ROW()+1,1,,"Cash"))</f>
        <v>38.7661324412435</v>
      </c>
      <c r="W17" s="10" t="n">
        <f aca="true">INDIRECT(ADDRESS(COLUMN()+119,ROW()+1,1,,"Cash"))</f>
        <v>72.2581605129467</v>
      </c>
      <c r="X17" s="10" t="n">
        <f aca="true">INDIRECT(ADDRESS(COLUMN()+119,ROW()+1,1,,"Cash"))</f>
        <v>65.6850559283162</v>
      </c>
    </row>
    <row r="18" customFormat="false" ht="12.8" hidden="false" customHeight="false" outlineLevel="0" collapsed="false">
      <c r="A18" s="1" t="s">
        <v>338</v>
      </c>
      <c r="B18" s="10" t="n">
        <f aca="true">INDIRECT(ADDRESS(COLUMN()+119,ROW()+1,1,,"Cash"))</f>
        <v>2523.65700394587</v>
      </c>
      <c r="C18" s="10" t="n">
        <f aca="true">INDIRECT(ADDRESS(COLUMN()+119,ROW()+1,1,,"Cash"))</f>
        <v>1012.15905309824</v>
      </c>
      <c r="D18" s="10" t="n">
        <f aca="true">INDIRECT(ADDRESS(COLUMN()+119,ROW()+1,1,,"Cash"))</f>
        <v>835.131048847037</v>
      </c>
      <c r="E18" s="10" t="n">
        <f aca="true">INDIRECT(ADDRESS(COLUMN()+119,ROW()+1,1,,"Cash"))</f>
        <v>247.049419743588</v>
      </c>
      <c r="F18" s="10" t="n">
        <f aca="true">INDIRECT(ADDRESS(COLUMN()+119,ROW()+1,1,,"Cash"))</f>
        <v>2030.59796351175</v>
      </c>
      <c r="G18" s="10" t="n">
        <f aca="true">INDIRECT(ADDRESS(COLUMN()+119,ROW()+1,1,,"Cash"))</f>
        <v>1362.95663318531</v>
      </c>
      <c r="H18" s="10" t="n">
        <f aca="true">INDIRECT(ADDRESS(COLUMN()+119,ROW()+1,1,,"Cash"))</f>
        <v>1151.24437430748</v>
      </c>
      <c r="I18" s="10" t="n">
        <f aca="true">INDIRECT(ADDRESS(COLUMN()+119,ROW()+1,1,,"Cash"))</f>
        <v>1389.71892886013</v>
      </c>
      <c r="J18" s="10" t="n">
        <f aca="true">INDIRECT(ADDRESS(COLUMN()+119,ROW()+1,1,,"Cash"))</f>
        <v>586.975901443211</v>
      </c>
      <c r="K18" s="10" t="n">
        <f aca="true">INDIRECT(ADDRESS(COLUMN()+119,ROW()+1,1,,"Cash"))</f>
        <v>1256.63003735888</v>
      </c>
      <c r="L18" s="10" t="n">
        <f aca="true">INDIRECT(ADDRESS(COLUMN()+119,ROW()+1,1,,"Cash"))</f>
        <v>1317.8329233182</v>
      </c>
      <c r="M18" s="10" t="n">
        <f aca="true">INDIRECT(ADDRESS(COLUMN()+119,ROW()+1,1,,"Cash"))</f>
        <v>1768.47034727337</v>
      </c>
      <c r="N18" s="10" t="n">
        <f aca="true">INDIRECT(ADDRESS(COLUMN()+119,ROW()+1,1,,"Cash"))</f>
        <v>825.248675408621</v>
      </c>
      <c r="O18" s="10" t="n">
        <f aca="true">INDIRECT(ADDRESS(COLUMN()+119,ROW()+1,1,,"Cash"))</f>
        <v>1389.55806842303</v>
      </c>
      <c r="P18" s="10" t="n">
        <f aca="true">INDIRECT(ADDRESS(COLUMN()+119,ROW()+1,1,,"Cash"))</f>
        <v>555.146667338954</v>
      </c>
      <c r="Q18" s="26" t="n">
        <f aca="true">INDIRECT(ADDRESS(COLUMN()+119,ROW()+1,1,,"Cash"))</f>
        <v>566.495354315008</v>
      </c>
      <c r="R18" s="10" t="n">
        <f aca="true">INDIRECT(ADDRESS(COLUMN()+119,ROW()+1,1,,"Cash"))</f>
        <v>1354.85455508499</v>
      </c>
      <c r="S18" s="10" t="n">
        <f aca="true">INDIRECT(ADDRESS(COLUMN()+119,ROW()+1,1,,"Cash"))</f>
        <v>4846.47244870184</v>
      </c>
      <c r="T18" s="10" t="n">
        <f aca="true">INDIRECT(ADDRESS(COLUMN()+119,ROW()+1,1,,"Cash"))</f>
        <v>568.966658078324</v>
      </c>
      <c r="U18" s="10" t="n">
        <f aca="true">INDIRECT(ADDRESS(COLUMN()+119,ROW()+1,1,,"Cash"))</f>
        <v>1621.92665401923</v>
      </c>
      <c r="V18" s="10" t="n">
        <f aca="true">INDIRECT(ADDRESS(COLUMN()+119,ROW()+1,1,,"Cash"))</f>
        <v>770.979271256156</v>
      </c>
      <c r="W18" s="10" t="n">
        <f aca="true">INDIRECT(ADDRESS(COLUMN()+119,ROW()+1,1,,"Cash"))</f>
        <v>3217.57646103648</v>
      </c>
      <c r="X18" s="10" t="n">
        <f aca="true">INDIRECT(ADDRESS(COLUMN()+119,ROW()+1,1,,"Cash"))</f>
        <v>2094.84504129782</v>
      </c>
    </row>
    <row r="19" customFormat="false" ht="12.8" hidden="false" customHeight="false" outlineLevel="0" collapsed="false">
      <c r="A19" s="1" t="s">
        <v>339</v>
      </c>
      <c r="B19" s="10" t="n">
        <f aca="true">INDIRECT(ADDRESS(COLUMN()+119,ROW()+1,1,,"Cash"))</f>
        <v>4515.36669823649</v>
      </c>
      <c r="C19" s="10" t="n">
        <f aca="true">INDIRECT(ADDRESS(COLUMN()+119,ROW()+1,1,,"Cash"))</f>
        <v>1810.97085480812</v>
      </c>
      <c r="D19" s="10" t="n">
        <f aca="true">INDIRECT(ADDRESS(COLUMN()+119,ROW()+1,1,,"Cash"))</f>
        <v>1494.229572692</v>
      </c>
      <c r="E19" s="10" t="n">
        <f aca="true">INDIRECT(ADDRESS(COLUMN()+119,ROW()+1,1,,"Cash"))</f>
        <v>442.024697090243</v>
      </c>
      <c r="F19" s="10" t="n">
        <f aca="true">INDIRECT(ADDRESS(COLUMN()+119,ROW()+1,1,,"Cash"))</f>
        <v>3633.1777288323</v>
      </c>
      <c r="G19" s="10" t="n">
        <f aca="true">INDIRECT(ADDRESS(COLUMN()+119,ROW()+1,1,,"Cash"))</f>
        <v>2438.62338780706</v>
      </c>
      <c r="H19" s="10" t="n">
        <f aca="true">INDIRECT(ADDRESS(COLUMN()+119,ROW()+1,1,,"Cash"))</f>
        <v>2059.82449324623</v>
      </c>
      <c r="I19" s="10" t="n">
        <f aca="true">INDIRECT(ADDRESS(COLUMN()+119,ROW()+1,1,,"Cash"))</f>
        <v>2486.50690702916</v>
      </c>
      <c r="J19" s="10" t="n">
        <f aca="true">INDIRECT(ADDRESS(COLUMN()+119,ROW()+1,1,,"Cash"))</f>
        <v>1050.22649032731</v>
      </c>
      <c r="K19" s="10" t="n">
        <f aca="true">INDIRECT(ADDRESS(COLUMN()+119,ROW()+1,1,,"Cash"))</f>
        <v>2248.38217468623</v>
      </c>
      <c r="L19" s="10" t="n">
        <f aca="true">INDIRECT(ADDRESS(COLUMN()+119,ROW()+1,1,,"Cash"))</f>
        <v>2357.88733828992</v>
      </c>
      <c r="M19" s="10" t="n">
        <f aca="true">INDIRECT(ADDRESS(COLUMN()+119,ROW()+1,1,,"Cash"))</f>
        <v>3164.17488605284</v>
      </c>
      <c r="N19" s="10" t="n">
        <f aca="true">INDIRECT(ADDRESS(COLUMN()+119,ROW()+1,1,,"Cash"))</f>
        <v>1476.54787511836</v>
      </c>
      <c r="O19" s="10" t="n">
        <f aca="true">INDIRECT(ADDRESS(COLUMN()+119,ROW()+1,1,,"Cash"))</f>
        <v>2486.21909301179</v>
      </c>
      <c r="P19" s="10" t="n">
        <f aca="true">INDIRECT(ADDRESS(COLUMN()+119,ROW()+1,1,,"Cash"))</f>
        <v>993.277125385875</v>
      </c>
      <c r="Q19" s="26" t="n">
        <f aca="true">INDIRECT(ADDRESS(COLUMN()+119,ROW()+1,1,,"Cash"))</f>
        <v>1013.58237414205</v>
      </c>
      <c r="R19" s="10" t="n">
        <f aca="true">INDIRECT(ADDRESS(COLUMN()+119,ROW()+1,1,,"Cash"))</f>
        <v>2424.12702257854</v>
      </c>
      <c r="S19" s="10" t="n">
        <f aca="true">INDIRECT(ADDRESS(COLUMN()+119,ROW()+1,1,,"Cash"))</f>
        <v>8671.38452831455</v>
      </c>
      <c r="T19" s="10" t="n">
        <f aca="true">INDIRECT(ADDRESS(COLUMN()+119,ROW()+1,1,,"Cash"))</f>
        <v>1018.00406960093</v>
      </c>
      <c r="U19" s="10" t="n">
        <f aca="true">INDIRECT(ADDRESS(COLUMN()+119,ROW()+1,1,,"Cash"))</f>
        <v>2901.97661135793</v>
      </c>
      <c r="V19" s="10" t="n">
        <f aca="true">INDIRECT(ADDRESS(COLUMN()+119,ROW()+1,1,,"Cash"))</f>
        <v>1379.448205924</v>
      </c>
      <c r="W19" s="10" t="n">
        <f aca="true">INDIRECT(ADDRESS(COLUMN()+119,ROW()+1,1,,"Cash"))</f>
        <v>5756.93827587408</v>
      </c>
      <c r="X19" s="10" t="n">
        <f aca="true">INDIRECT(ADDRESS(COLUMN()+119,ROW()+1,1,,"Cash"))</f>
        <v>3748.12960820443</v>
      </c>
    </row>
    <row r="20" customFormat="false" ht="12.8" hidden="false" customHeight="false" outlineLevel="0" collapsed="false">
      <c r="A20" s="1" t="s">
        <v>340</v>
      </c>
      <c r="B20" s="10" t="n">
        <f aca="true">INDIRECT(ADDRESS(COLUMN()+119,ROW()+1,1,,"Cash"))</f>
        <v>16435.5525902003</v>
      </c>
      <c r="C20" s="10" t="n">
        <f aca="true">INDIRECT(ADDRESS(COLUMN()+119,ROW()+1,1,,"Cash"))</f>
        <v>5916.26949846404</v>
      </c>
      <c r="D20" s="10" t="n">
        <f aca="true">INDIRECT(ADDRESS(COLUMN()+119,ROW()+1,1,,"Cash"))</f>
        <v>4958.70850673648</v>
      </c>
      <c r="E20" s="10" t="n">
        <f aca="true">INDIRECT(ADDRESS(COLUMN()+119,ROW()+1,1,,"Cash"))</f>
        <v>1419.92349490785</v>
      </c>
      <c r="F20" s="10" t="n">
        <f aca="true">INDIRECT(ADDRESS(COLUMN()+119,ROW()+1,1,,"Cash"))</f>
        <v>12183.8049768574</v>
      </c>
      <c r="G20" s="10" t="n">
        <f aca="true">INDIRECT(ADDRESS(COLUMN()+119,ROW()+1,1,,"Cash"))</f>
        <v>7929.45322366422</v>
      </c>
      <c r="H20" s="10" t="n">
        <f aca="true">INDIRECT(ADDRESS(COLUMN()+119,ROW()+1,1,,"Cash"))</f>
        <v>6682.48980694401</v>
      </c>
      <c r="I20" s="10" t="n">
        <f aca="true">INDIRECT(ADDRESS(COLUMN()+119,ROW()+1,1,,"Cash"))</f>
        <v>7992.30991177421</v>
      </c>
      <c r="J20" s="10" t="n">
        <f aca="true">INDIRECT(ADDRESS(COLUMN()+119,ROW()+1,1,,"Cash"))</f>
        <v>3350.25047172754</v>
      </c>
      <c r="K20" s="10" t="n">
        <f aca="true">INDIRECT(ADDRESS(COLUMN()+119,ROW()+1,1,,"Cash"))</f>
        <v>7188.36294716186</v>
      </c>
      <c r="L20" s="10" t="n">
        <f aca="true">INDIRECT(ADDRESS(COLUMN()+119,ROW()+1,1,,"Cash"))</f>
        <v>7281.61439509552</v>
      </c>
      <c r="M20" s="10" t="n">
        <f aca="true">INDIRECT(ADDRESS(COLUMN()+119,ROW()+1,1,,"Cash"))</f>
        <v>9874.13046264028</v>
      </c>
      <c r="N20" s="10" t="n">
        <f aca="true">INDIRECT(ADDRESS(COLUMN()+119,ROW()+1,1,,"Cash"))</f>
        <v>4662.89770675451</v>
      </c>
      <c r="O20" s="10" t="n">
        <f aca="true">INDIRECT(ADDRESS(COLUMN()+119,ROW()+1,1,,"Cash"))</f>
        <v>7778.93806043472</v>
      </c>
      <c r="P20" s="10" t="n">
        <f aca="true">INDIRECT(ADDRESS(COLUMN()+119,ROW()+1,1,,"Cash"))</f>
        <v>3179.43734810716</v>
      </c>
      <c r="Q20" s="26" t="n">
        <f aca="true">INDIRECT(ADDRESS(COLUMN()+119,ROW()+1,1,,"Cash"))</f>
        <v>3250.89807055521</v>
      </c>
      <c r="R20" s="10" t="n">
        <f aca="true">INDIRECT(ADDRESS(COLUMN()+119,ROW()+1,1,,"Cash"))</f>
        <v>7855.35659143663</v>
      </c>
      <c r="S20" s="10" t="n">
        <f aca="true">INDIRECT(ADDRESS(COLUMN()+119,ROW()+1,1,,"Cash"))</f>
        <v>28215.447700053</v>
      </c>
      <c r="T20" s="10" t="n">
        <f aca="true">INDIRECT(ADDRESS(COLUMN()+119,ROW()+1,1,,"Cash"))</f>
        <v>3184.8936274701</v>
      </c>
      <c r="U20" s="10" t="n">
        <f aca="true">INDIRECT(ADDRESS(COLUMN()+119,ROW()+1,1,,"Cash"))</f>
        <v>9521.65277136905</v>
      </c>
      <c r="V20" s="10" t="n">
        <f aca="true">INDIRECT(ADDRESS(COLUMN()+119,ROW()+1,1,,"Cash"))</f>
        <v>4522.28040275821</v>
      </c>
      <c r="W20" s="10" t="n">
        <f aca="true">INDIRECT(ADDRESS(COLUMN()+119,ROW()+1,1,,"Cash"))</f>
        <v>21050.3200396718</v>
      </c>
      <c r="X20" s="10" t="n">
        <f aca="true">INDIRECT(ADDRESS(COLUMN()+119,ROW()+1,1,,"Cash"))</f>
        <v>13745.6133055911</v>
      </c>
    </row>
    <row r="21" customFormat="false" ht="12.8" hidden="false" customHeight="false" outlineLevel="0" collapsed="false">
      <c r="A21" s="1" t="s">
        <v>341</v>
      </c>
      <c r="B21" s="10" t="n">
        <f aca="true">INDIRECT(ADDRESS(COLUMN()+119,ROW()+1,1,,"Cash"))</f>
        <v>958.528105942161</v>
      </c>
      <c r="C21" s="10" t="n">
        <f aca="true">INDIRECT(ADDRESS(COLUMN()+119,ROW()+1,1,,"Cash"))</f>
        <v>189.64541037408</v>
      </c>
      <c r="D21" s="10" t="n">
        <f aca="true">INDIRECT(ADDRESS(COLUMN()+119,ROW()+1,1,,"Cash"))</f>
        <v>272.678468414155</v>
      </c>
      <c r="E21" s="10" t="n">
        <f aca="true">INDIRECT(ADDRESS(COLUMN()+119,ROW()+1,1,,"Cash"))</f>
        <v>110.482550428296</v>
      </c>
      <c r="F21" s="10" t="n">
        <f aca="true">INDIRECT(ADDRESS(COLUMN()+119,ROW()+1,1,,"Cash"))</f>
        <v>2044.56667260858</v>
      </c>
      <c r="G21" s="10" t="n">
        <f aca="true">INDIRECT(ADDRESS(COLUMN()+119,ROW()+1,1,,"Cash"))</f>
        <v>374.795749040272</v>
      </c>
      <c r="H21" s="10" t="n">
        <f aca="true">INDIRECT(ADDRESS(COLUMN()+119,ROW()+1,1,,"Cash"))</f>
        <v>174.95348773145</v>
      </c>
      <c r="I21" s="10" t="n">
        <f aca="true">INDIRECT(ADDRESS(COLUMN()+119,ROW()+1,1,,"Cash"))</f>
        <v>313.866782269884</v>
      </c>
      <c r="J21" s="10" t="n">
        <f aca="true">INDIRECT(ADDRESS(COLUMN()+119,ROW()+1,1,,"Cash"))</f>
        <v>131.898910660104</v>
      </c>
      <c r="K21" s="10" t="n">
        <f aca="true">INDIRECT(ADDRESS(COLUMN()+119,ROW()+1,1,,"Cash"))</f>
        <v>123.652210150957</v>
      </c>
      <c r="L21" s="10" t="n">
        <f aca="true">INDIRECT(ADDRESS(COLUMN()+119,ROW()+1,1,,"Cash"))</f>
        <v>288.424542521443</v>
      </c>
      <c r="M21" s="10" t="n">
        <f aca="true">INDIRECT(ADDRESS(COLUMN()+119,ROW()+1,1,,"Cash"))</f>
        <v>224.808826067065</v>
      </c>
      <c r="N21" s="10" t="n">
        <f aca="true">INDIRECT(ADDRESS(COLUMN()+119,ROW()+1,1,,"Cash"))</f>
        <v>213.296397380559</v>
      </c>
      <c r="O21" s="10" t="n">
        <f aca="true">INDIRECT(ADDRESS(COLUMN()+119,ROW()+1,1,,"Cash"))</f>
        <v>204.135738930609</v>
      </c>
      <c r="P21" s="10" t="n">
        <f aca="true">INDIRECT(ADDRESS(COLUMN()+119,ROW()+1,1,,"Cash"))</f>
        <v>108.929138397104</v>
      </c>
      <c r="Q21" s="26" t="n">
        <f aca="true">INDIRECT(ADDRESS(COLUMN()+119,ROW()+1,1,,"Cash"))</f>
        <v>84.1473281509115</v>
      </c>
      <c r="R21" s="10" t="n">
        <f aca="true">INDIRECT(ADDRESS(COLUMN()+119,ROW()+1,1,,"Cash"))</f>
        <v>215.275980170087</v>
      </c>
      <c r="S21" s="10" t="n">
        <f aca="true">INDIRECT(ADDRESS(COLUMN()+119,ROW()+1,1,,"Cash"))</f>
        <v>224.019219697314</v>
      </c>
      <c r="T21" s="10" t="n">
        <f aca="true">INDIRECT(ADDRESS(COLUMN()+119,ROW()+1,1,,"Cash"))</f>
        <v>86.7859698033835</v>
      </c>
      <c r="U21" s="10" t="n">
        <f aca="true">INDIRECT(ADDRESS(COLUMN()+119,ROW()+1,1,,"Cash"))</f>
        <v>1431.43451784395</v>
      </c>
      <c r="V21" s="10" t="n">
        <f aca="true">INDIRECT(ADDRESS(COLUMN()+119,ROW()+1,1,,"Cash"))</f>
        <v>194.05332127454</v>
      </c>
      <c r="W21" s="10" t="n">
        <f aca="true">INDIRECT(ADDRESS(COLUMN()+119,ROW()+1,1,,"Cash"))</f>
        <v>319.599901417523</v>
      </c>
      <c r="X21" s="10" t="n">
        <f aca="true">INDIRECT(ADDRESS(COLUMN()+119,ROW()+1,1,,"Cash"))</f>
        <v>267.487478226446</v>
      </c>
    </row>
    <row r="22" customFormat="false" ht="12.8" hidden="false" customHeight="false" outlineLevel="0" collapsed="false">
      <c r="A22" s="1" t="s">
        <v>342</v>
      </c>
      <c r="B22" s="10" t="n">
        <f aca="true">INDIRECT(ADDRESS(COLUMN()+119,ROW()+1,1,,"Cash"))</f>
        <v>40.5585916755628</v>
      </c>
      <c r="C22" s="10" t="n">
        <f aca="true">INDIRECT(ADDRESS(COLUMN()+119,ROW()+1,1,,"Cash"))</f>
        <v>7.86710097147834</v>
      </c>
      <c r="D22" s="10" t="n">
        <f aca="true">INDIRECT(ADDRESS(COLUMN()+119,ROW()+1,1,,"Cash"))</f>
        <v>3.92920090418955</v>
      </c>
      <c r="E22" s="10" t="n">
        <f aca="true">INDIRECT(ADDRESS(COLUMN()+119,ROW()+1,1,,"Cash"))</f>
        <v>2.38182302534687</v>
      </c>
      <c r="F22" s="10" t="n">
        <f aca="true">INDIRECT(ADDRESS(COLUMN()+119,ROW()+1,1,,"Cash"))</f>
        <v>11.8623777477426</v>
      </c>
      <c r="G22" s="10" t="n">
        <f aca="true">INDIRECT(ADDRESS(COLUMN()+119,ROW()+1,1,,"Cash"))</f>
        <v>11.2430949071816</v>
      </c>
      <c r="H22" s="10" t="n">
        <f aca="true">INDIRECT(ADDRESS(COLUMN()+119,ROW()+1,1,,"Cash"))</f>
        <v>4.50054658893594</v>
      </c>
      <c r="I22" s="10" t="n">
        <f aca="true">INDIRECT(ADDRESS(COLUMN()+119,ROW()+1,1,,"Cash"))</f>
        <v>3.51057066598009</v>
      </c>
      <c r="J22" s="10" t="n">
        <f aca="true">INDIRECT(ADDRESS(COLUMN()+119,ROW()+1,1,,"Cash"))</f>
        <v>3.30024106680827</v>
      </c>
      <c r="K22" s="10" t="n">
        <f aca="true">INDIRECT(ADDRESS(COLUMN()+119,ROW()+1,1,,"Cash"))</f>
        <v>3.4872938591958</v>
      </c>
      <c r="L22" s="10" t="n">
        <f aca="true">INDIRECT(ADDRESS(COLUMN()+119,ROW()+1,1,,"Cash"))</f>
        <v>8.21980072069566</v>
      </c>
      <c r="M22" s="10" t="n">
        <f aca="true">INDIRECT(ADDRESS(COLUMN()+119,ROW()+1,1,,"Cash"))</f>
        <v>17.4860442841332</v>
      </c>
      <c r="N22" s="10" t="n">
        <f aca="true">INDIRECT(ADDRESS(COLUMN()+119,ROW()+1,1,,"Cash"))</f>
        <v>11.9046696738302</v>
      </c>
      <c r="O22" s="10" t="n">
        <f aca="true">INDIRECT(ADDRESS(COLUMN()+119,ROW()+1,1,,"Cash"))</f>
        <v>6.40048408767607</v>
      </c>
      <c r="P22" s="10" t="n">
        <f aca="true">INDIRECT(ADDRESS(COLUMN()+119,ROW()+1,1,,"Cash"))</f>
        <v>4.36718834767949</v>
      </c>
      <c r="Q22" s="26" t="n">
        <f aca="true">INDIRECT(ADDRESS(COLUMN()+119,ROW()+1,1,,"Cash"))</f>
        <v>3.21145850225217</v>
      </c>
      <c r="R22" s="10" t="n">
        <f aca="true">INDIRECT(ADDRESS(COLUMN()+119,ROW()+1,1,,"Cash"))</f>
        <v>5.2352984839771</v>
      </c>
      <c r="S22" s="10" t="n">
        <f aca="true">INDIRECT(ADDRESS(COLUMN()+119,ROW()+1,1,,"Cash"))</f>
        <v>6.66910982081951</v>
      </c>
      <c r="T22" s="10" t="n">
        <f aca="true">INDIRECT(ADDRESS(COLUMN()+119,ROW()+1,1,,"Cash"))</f>
        <v>2.37215287895973</v>
      </c>
      <c r="U22" s="10" t="n">
        <f aca="true">INDIRECT(ADDRESS(COLUMN()+119,ROW()+1,1,,"Cash"))</f>
        <v>12.7077316867821</v>
      </c>
      <c r="V22" s="10" t="n">
        <f aca="true">INDIRECT(ADDRESS(COLUMN()+119,ROW()+1,1,,"Cash"))</f>
        <v>4.1290108413432</v>
      </c>
      <c r="W22" s="10" t="n">
        <f aca="true">INDIRECT(ADDRESS(COLUMN()+119,ROW()+1,1,,"Cash"))</f>
        <v>27.0980251005092</v>
      </c>
      <c r="X22" s="10" t="n">
        <f aca="true">INDIRECT(ADDRESS(COLUMN()+119,ROW()+1,1,,"Cash"))</f>
        <v>11.0164983657727</v>
      </c>
    </row>
    <row r="23" customFormat="false" ht="12.8" hidden="false" customHeight="false" outlineLevel="0" collapsed="false">
      <c r="A23" s="1" t="s">
        <v>343</v>
      </c>
      <c r="B23" s="10" t="n">
        <f aca="true">INDIRECT(ADDRESS(COLUMN()+119,ROW()+1,1,,"Cash"))</f>
        <v>3.04598819225795</v>
      </c>
      <c r="C23" s="10" t="n">
        <f aca="true">INDIRECT(ADDRESS(COLUMN()+119,ROW()+1,1,,"Cash"))</f>
        <v>5.89332177589103</v>
      </c>
      <c r="D23" s="10" t="n">
        <f aca="true">INDIRECT(ADDRESS(COLUMN()+119,ROW()+1,1,,"Cash"))</f>
        <v>3.76817078950551</v>
      </c>
      <c r="E23" s="10" t="n">
        <f aca="true">INDIRECT(ADDRESS(COLUMN()+119,ROW()+1,1,,"Cash"))</f>
        <v>1.65045249394499</v>
      </c>
      <c r="F23" s="10" t="n">
        <f aca="true">INDIRECT(ADDRESS(COLUMN()+119,ROW()+1,1,,"Cash"))</f>
        <v>15.472746235837</v>
      </c>
      <c r="G23" s="10" t="n">
        <f aca="true">INDIRECT(ADDRESS(COLUMN()+119,ROW()+1,1,,"Cash"))</f>
        <v>6.89097928004652</v>
      </c>
      <c r="H23" s="10" t="n">
        <f aca="true">INDIRECT(ADDRESS(COLUMN()+119,ROW()+1,1,,"Cash"))</f>
        <v>7.61419965006404</v>
      </c>
      <c r="I23" s="10" t="n">
        <f aca="true">INDIRECT(ADDRESS(COLUMN()+119,ROW()+1,1,,"Cash"))</f>
        <v>8.29013532499598</v>
      </c>
      <c r="J23" s="10" t="n">
        <f aca="true">INDIRECT(ADDRESS(COLUMN()+119,ROW()+1,1,,"Cash"))</f>
        <v>3.72434906943465</v>
      </c>
      <c r="K23" s="10" t="n">
        <f aca="true">INDIRECT(ADDRESS(COLUMN()+119,ROW()+1,1,,"Cash"))</f>
        <v>5.635308411572</v>
      </c>
      <c r="L23" s="10" t="n">
        <f aca="true">INDIRECT(ADDRESS(COLUMN()+119,ROW()+1,1,,"Cash"))</f>
        <v>13.7761315469742</v>
      </c>
      <c r="M23" s="10" t="n">
        <f aca="true">INDIRECT(ADDRESS(COLUMN()+119,ROW()+1,1,,"Cash"))</f>
        <v>5.96394401330946</v>
      </c>
      <c r="N23" s="10" t="n">
        <f aca="true">INDIRECT(ADDRESS(COLUMN()+119,ROW()+1,1,,"Cash"))</f>
        <v>11.3296166958413</v>
      </c>
      <c r="O23" s="10" t="n">
        <f aca="true">INDIRECT(ADDRESS(COLUMN()+119,ROW()+1,1,,"Cash"))</f>
        <v>4.47808437883422</v>
      </c>
      <c r="P23" s="10" t="n">
        <f aca="true">INDIRECT(ADDRESS(COLUMN()+119,ROW()+1,1,,"Cash"))</f>
        <v>4.13563109550701</v>
      </c>
      <c r="Q23" s="26" t="n">
        <f aca="true">INDIRECT(ADDRESS(COLUMN()+119,ROW()+1,1,,"Cash"))</f>
        <v>3.10700449254605</v>
      </c>
      <c r="R23" s="10" t="n">
        <f aca="true">INDIRECT(ADDRESS(COLUMN()+119,ROW()+1,1,,"Cash"))</f>
        <v>12.9890611535201</v>
      </c>
      <c r="S23" s="10" t="n">
        <f aca="true">INDIRECT(ADDRESS(COLUMN()+119,ROW()+1,1,,"Cash"))</f>
        <v>3.87041577702752</v>
      </c>
      <c r="T23" s="10" t="n">
        <f aca="true">INDIRECT(ADDRESS(COLUMN()+119,ROW()+1,1,,"Cash"))</f>
        <v>5.60989803007575</v>
      </c>
      <c r="U23" s="10" t="n">
        <f aca="true">INDIRECT(ADDRESS(COLUMN()+119,ROW()+1,1,,"Cash"))</f>
        <v>4.44410030733832</v>
      </c>
      <c r="V23" s="10" t="n">
        <f aca="true">INDIRECT(ADDRESS(COLUMN()+119,ROW()+1,1,,"Cash"))</f>
        <v>6.26539622294171</v>
      </c>
      <c r="W23" s="10" t="n">
        <f aca="true">INDIRECT(ADDRESS(COLUMN()+119,ROW()+1,1,,"Cash"))</f>
        <v>15.5691253218107</v>
      </c>
      <c r="X23" s="10" t="n">
        <f aca="true">INDIRECT(ADDRESS(COLUMN()+119,ROW()+1,1,,"Cash"))</f>
        <v>11.0735254521404</v>
      </c>
    </row>
    <row r="24" customFormat="false" ht="12.8" hidden="false" customHeight="false" outlineLevel="0" collapsed="false">
      <c r="A24" s="1" t="s">
        <v>344</v>
      </c>
      <c r="B24" s="10" t="n">
        <f aca="true">INDIRECT(ADDRESS(COLUMN()+119,ROW()+1,1,,"Cash"))</f>
        <v>1472.13325230176</v>
      </c>
      <c r="C24" s="10" t="n">
        <f aca="true">INDIRECT(ADDRESS(COLUMN()+119,ROW()+1,1,,"Cash"))</f>
        <v>590.426114307306</v>
      </c>
      <c r="D24" s="10" t="n">
        <f aca="true">INDIRECT(ADDRESS(COLUMN()+119,ROW()+1,1,,"Cash"))</f>
        <v>487.159778494106</v>
      </c>
      <c r="E24" s="10" t="n">
        <f aca="true">INDIRECT(ADDRESS(COLUMN()+119,ROW()+1,1,,"Cash"))</f>
        <v>144.112161517094</v>
      </c>
      <c r="F24" s="10" t="n">
        <f aca="true">INDIRECT(ADDRESS(COLUMN()+119,ROW()+1,1,,"Cash"))</f>
        <v>1184.51547871519</v>
      </c>
      <c r="G24" s="10" t="n">
        <f aca="true">INDIRECT(ADDRESS(COLUMN()+119,ROW()+1,1,,"Cash"))</f>
        <v>795.058036024769</v>
      </c>
      <c r="H24" s="10" t="n">
        <f aca="true">INDIRECT(ADDRESS(COLUMN()+119,ROW()+1,1,,"Cash"))</f>
        <v>671.559218346031</v>
      </c>
      <c r="I24" s="10" t="n">
        <f aca="true">INDIRECT(ADDRESS(COLUMN()+119,ROW()+1,1,,"Cash"))</f>
        <v>810.669375168411</v>
      </c>
      <c r="J24" s="10" t="n">
        <f aca="true">INDIRECT(ADDRESS(COLUMN()+119,ROW()+1,1,,"Cash"))</f>
        <v>342.402609175207</v>
      </c>
      <c r="K24" s="10" t="n">
        <f aca="true">INDIRECT(ADDRESS(COLUMN()+119,ROW()+1,1,,"Cash"))</f>
        <v>733.034188459347</v>
      </c>
      <c r="L24" s="10" t="n">
        <f aca="true">INDIRECT(ADDRESS(COLUMN()+119,ROW()+1,1,,"Cash"))</f>
        <v>768.735871935618</v>
      </c>
      <c r="M24" s="10" t="n">
        <f aca="true">INDIRECT(ADDRESS(COLUMN()+119,ROW()+1,1,,"Cash"))</f>
        <v>1031.60770257613</v>
      </c>
      <c r="N24" s="10" t="n">
        <f aca="true">INDIRECT(ADDRESS(COLUMN()+119,ROW()+1,1,,"Cash"))</f>
        <v>481.39506065503</v>
      </c>
      <c r="O24" s="10" t="n">
        <f aca="true">INDIRECT(ADDRESS(COLUMN()+119,ROW()+1,1,,"Cash"))</f>
        <v>810.575539913435</v>
      </c>
      <c r="P24" s="10" t="n">
        <f aca="true">INDIRECT(ADDRESS(COLUMN()+119,ROW()+1,1,,"Cash"))</f>
        <v>323.835555947724</v>
      </c>
      <c r="Q24" s="26" t="n">
        <f aca="true">INDIRECT(ADDRESS(COLUMN()+119,ROW()+1,1,,"Cash"))</f>
        <v>330.455623350422</v>
      </c>
      <c r="R24" s="10" t="n">
        <f aca="true">INDIRECT(ADDRESS(COLUMN()+119,ROW()+1,1,,"Cash"))</f>
        <v>790.331823799582</v>
      </c>
      <c r="S24" s="10" t="n">
        <f aca="true">INDIRECT(ADDRESS(COLUMN()+119,ROW()+1,1,,"Cash"))</f>
        <v>2827.10892840941</v>
      </c>
      <c r="T24" s="10" t="n">
        <f aca="true">INDIRECT(ADDRESS(COLUMN()+119,ROW()+1,1,,"Cash"))</f>
        <v>331.897217212357</v>
      </c>
      <c r="U24" s="10" t="n">
        <f aca="true">INDIRECT(ADDRESS(COLUMN()+119,ROW()+1,1,,"Cash"))</f>
        <v>946.123881511218</v>
      </c>
      <c r="V24" s="10" t="n">
        <f aca="true">INDIRECT(ADDRESS(COLUMN()+119,ROW()+1,1,,"Cash"))</f>
        <v>449.737908232759</v>
      </c>
      <c r="W24" s="10" t="n">
        <f aca="true">INDIRECT(ADDRESS(COLUMN()+119,ROW()+1,1,,"Cash"))</f>
        <v>1876.91960227128</v>
      </c>
      <c r="X24" s="10" t="n">
        <f aca="true">INDIRECT(ADDRESS(COLUMN()+119,ROW()+1,1,,"Cash"))</f>
        <v>1221.99294075707</v>
      </c>
    </row>
    <row r="25" customFormat="false" ht="12.8" hidden="false" customHeight="false" outlineLevel="0" collapsed="false">
      <c r="A25" s="1" t="s">
        <v>345</v>
      </c>
      <c r="B25" s="10" t="n">
        <f aca="true">INDIRECT(ADDRESS(COLUMN()+119,ROW()+1,1,,"Cash"))</f>
        <v>38996.3936212751</v>
      </c>
      <c r="C25" s="10" t="n">
        <f aca="true">INDIRECT(ADDRESS(COLUMN()+119,ROW()+1,1,,"Cash"))</f>
        <v>71343.3549518644</v>
      </c>
      <c r="D25" s="10" t="n">
        <f aca="true">INDIRECT(ADDRESS(COLUMN()+119,ROW()+1,1,,"Cash"))</f>
        <v>3725.81497781281</v>
      </c>
      <c r="E25" s="10" t="n">
        <f aca="true">INDIRECT(ADDRESS(COLUMN()+119,ROW()+1,1,,"Cash"))</f>
        <v>3027.59729710763</v>
      </c>
      <c r="F25" s="10" t="n">
        <f aca="true">INDIRECT(ADDRESS(COLUMN()+119,ROW()+1,1,,"Cash"))</f>
        <v>130138.685794396</v>
      </c>
      <c r="G25" s="10" t="n">
        <f aca="true">INDIRECT(ADDRESS(COLUMN()+119,ROW()+1,1,,"Cash"))</f>
        <v>9403.31269210859</v>
      </c>
      <c r="H25" s="10" t="n">
        <f aca="true">INDIRECT(ADDRESS(COLUMN()+119,ROW()+1,1,,"Cash"))</f>
        <v>6141.06993321769</v>
      </c>
      <c r="I25" s="10" t="n">
        <f aca="true">INDIRECT(ADDRESS(COLUMN()+119,ROW()+1,1,,"Cash"))</f>
        <v>58451.9279786587</v>
      </c>
      <c r="J25" s="10" t="n">
        <f aca="true">INDIRECT(ADDRESS(COLUMN()+119,ROW()+1,1,,"Cash"))</f>
        <v>2831.82161254484</v>
      </c>
      <c r="K25" s="10" t="n">
        <f aca="true">INDIRECT(ADDRESS(COLUMN()+119,ROW()+1,1,,"Cash"))</f>
        <v>47929.1859539974</v>
      </c>
      <c r="L25" s="10" t="n">
        <f aca="true">INDIRECT(ADDRESS(COLUMN()+119,ROW()+1,1,,"Cash"))</f>
        <v>8239.85062657577</v>
      </c>
      <c r="M25" s="10" t="n">
        <f aca="true">INDIRECT(ADDRESS(COLUMN()+119,ROW()+1,1,,"Cash"))</f>
        <v>9811.74350409107</v>
      </c>
      <c r="N25" s="10" t="n">
        <f aca="true">INDIRECT(ADDRESS(COLUMN()+119,ROW()+1,1,,"Cash"))</f>
        <v>13174.7297674733</v>
      </c>
      <c r="O25" s="10" t="n">
        <f aca="true">INDIRECT(ADDRESS(COLUMN()+119,ROW()+1,1,,"Cash"))</f>
        <v>6765.6945771054</v>
      </c>
      <c r="P25" s="10" t="n">
        <f aca="true">INDIRECT(ADDRESS(COLUMN()+119,ROW()+1,1,,"Cash"))</f>
        <v>2850.00110832797</v>
      </c>
      <c r="Q25" s="26" t="n">
        <f aca="true">INDIRECT(ADDRESS(COLUMN()+119,ROW()+1,1,,"Cash"))</f>
        <v>2857.52487512074</v>
      </c>
      <c r="R25" s="10" t="n">
        <f aca="true">INDIRECT(ADDRESS(COLUMN()+119,ROW()+1,1,,"Cash"))</f>
        <v>5765.45763962835</v>
      </c>
      <c r="S25" s="10" t="n">
        <f aca="true">INDIRECT(ADDRESS(COLUMN()+119,ROW()+1,1,,"Cash"))</f>
        <v>355031.452539832</v>
      </c>
      <c r="T25" s="10" t="n">
        <f aca="true">INDIRECT(ADDRESS(COLUMN()+119,ROW()+1,1,,"Cash"))</f>
        <v>2262.26603814256</v>
      </c>
      <c r="U25" s="10" t="n">
        <f aca="true">INDIRECT(ADDRESS(COLUMN()+119,ROW()+1,1,,"Cash"))</f>
        <v>81450.4436974376</v>
      </c>
      <c r="V25" s="10" t="n">
        <f aca="true">INDIRECT(ADDRESS(COLUMN()+119,ROW()+1,1,,"Cash"))</f>
        <v>5357.12865765377</v>
      </c>
      <c r="W25" s="10" t="n">
        <f aca="true">INDIRECT(ADDRESS(COLUMN()+119,ROW()+1,1,,"Cash"))</f>
        <v>47402.3377127935</v>
      </c>
      <c r="X25" s="10" t="n">
        <f aca="true">INDIRECT(ADDRESS(COLUMN()+119,ROW()+1,1,,"Cash"))</f>
        <v>34976.686418302</v>
      </c>
    </row>
    <row r="26" customFormat="false" ht="12.8" hidden="false" customHeight="false" outlineLevel="0" collapsed="false">
      <c r="A26" s="1" t="s">
        <v>346</v>
      </c>
      <c r="B26" s="10" t="n">
        <f aca="true">INDIRECT(ADDRESS(COLUMN()+119,ROW()+1,1,,"Cash"))</f>
        <v>64976.2968352916</v>
      </c>
      <c r="C26" s="10" t="n">
        <f aca="true">INDIRECT(ADDRESS(COLUMN()+119,ROW()+1,1,,"Cash"))</f>
        <v>40333.2706413937</v>
      </c>
      <c r="D26" s="10" t="n">
        <f aca="true">INDIRECT(ADDRESS(COLUMN()+119,ROW()+1,1,,"Cash"))</f>
        <v>7365.22159452731</v>
      </c>
      <c r="E26" s="10" t="n">
        <f aca="true">INDIRECT(ADDRESS(COLUMN()+119,ROW()+1,1,,"Cash"))</f>
        <v>3305.49090379928</v>
      </c>
      <c r="F26" s="10" t="n">
        <f aca="true">INDIRECT(ADDRESS(COLUMN()+119,ROW()+1,1,,"Cash"))</f>
        <v>74002.9412231271</v>
      </c>
      <c r="G26" s="10" t="n">
        <f aca="true">INDIRECT(ADDRESS(COLUMN()+119,ROW()+1,1,,"Cash"))</f>
        <v>15539.3195456976</v>
      </c>
      <c r="H26" s="10" t="n">
        <f aca="true">INDIRECT(ADDRESS(COLUMN()+119,ROW()+1,1,,"Cash"))</f>
        <v>12301.0137434825</v>
      </c>
      <c r="I26" s="10" t="n">
        <f aca="true">INDIRECT(ADDRESS(COLUMN()+119,ROW()+1,1,,"Cash"))</f>
        <v>37826.6317795784</v>
      </c>
      <c r="J26" s="10" t="n">
        <f aca="true">INDIRECT(ADDRESS(COLUMN()+119,ROW()+1,1,,"Cash"))</f>
        <v>4581.65830284229</v>
      </c>
      <c r="K26" s="10" t="n">
        <f aca="true">INDIRECT(ADDRESS(COLUMN()+119,ROW()+1,1,,"Cash"))</f>
        <v>30630.6002983039</v>
      </c>
      <c r="L26" s="10" t="n">
        <f aca="true">INDIRECT(ADDRESS(COLUMN()+119,ROW()+1,1,,"Cash"))</f>
        <v>14197.8392510559</v>
      </c>
      <c r="M26" s="10" t="n">
        <f aca="true">INDIRECT(ADDRESS(COLUMN()+119,ROW()+1,1,,"Cash"))</f>
        <v>20058.6220986568</v>
      </c>
      <c r="N26" s="10" t="n">
        <f aca="true">INDIRECT(ADDRESS(COLUMN()+119,ROW()+1,1,,"Cash"))</f>
        <v>12863.6576328174</v>
      </c>
      <c r="O26" s="10" t="n">
        <f aca="true">INDIRECT(ADDRESS(COLUMN()+119,ROW()+1,1,,"Cash"))</f>
        <v>11648.9016427112</v>
      </c>
      <c r="P26" s="10" t="n">
        <f aca="true">INDIRECT(ADDRESS(COLUMN()+119,ROW()+1,1,,"Cash"))</f>
        <v>4736.65073370992</v>
      </c>
      <c r="Q26" s="26" t="n">
        <f aca="true">INDIRECT(ADDRESS(COLUMN()+119,ROW()+1,1,,"Cash"))</f>
        <v>4126.05865510411</v>
      </c>
      <c r="R26" s="10" t="n">
        <f aca="true">INDIRECT(ADDRESS(COLUMN()+119,ROW()+1,1,,"Cash"))</f>
        <v>7658.00037954548</v>
      </c>
      <c r="S26" s="10" t="n">
        <f aca="true">INDIRECT(ADDRESS(COLUMN()+119,ROW()+1,1,,"Cash"))</f>
        <v>224721.669527635</v>
      </c>
      <c r="T26" s="10" t="n">
        <f aca="true">INDIRECT(ADDRESS(COLUMN()+119,ROW()+1,1,,"Cash"))</f>
        <v>2926.24825260962</v>
      </c>
      <c r="U26" s="10" t="n">
        <f aca="true">INDIRECT(ADDRESS(COLUMN()+119,ROW()+1,1,,"Cash"))</f>
        <v>50212.59974908</v>
      </c>
      <c r="V26" s="10" t="n">
        <f aca="true">INDIRECT(ADDRESS(COLUMN()+119,ROW()+1,1,,"Cash"))</f>
        <v>6260.31728860307</v>
      </c>
      <c r="W26" s="10" t="n">
        <f aca="true">INDIRECT(ADDRESS(COLUMN()+119,ROW()+1,1,,"Cash"))</f>
        <v>77175.9829189233</v>
      </c>
      <c r="X26" s="10" t="n">
        <f aca="true">INDIRECT(ADDRESS(COLUMN()+119,ROW()+1,1,,"Cash"))</f>
        <v>44552.3434272807</v>
      </c>
    </row>
    <row r="27" customFormat="false" ht="12.8" hidden="false" customHeight="false" outlineLevel="0" collapsed="false">
      <c r="A27" s="1" t="s">
        <v>347</v>
      </c>
      <c r="B27" s="10" t="n">
        <f aca="true">INDIRECT(ADDRESS(COLUMN()+119,ROW()+1,1,,"Cash"))</f>
        <v>43156.4855208748</v>
      </c>
      <c r="C27" s="10" t="n">
        <f aca="true">INDIRECT(ADDRESS(COLUMN()+119,ROW()+1,1,,"Cash"))</f>
        <v>20290.2567984446</v>
      </c>
      <c r="D27" s="10" t="n">
        <f aca="true">INDIRECT(ADDRESS(COLUMN()+119,ROW()+1,1,,"Cash"))</f>
        <v>7365.2215945273</v>
      </c>
      <c r="E27" s="10" t="n">
        <f aca="true">INDIRECT(ADDRESS(COLUMN()+119,ROW()+1,1,,"Cash"))</f>
        <v>3092.21348744846</v>
      </c>
      <c r="F27" s="10" t="n">
        <f aca="true">INDIRECT(ADDRESS(COLUMN()+119,ROW()+1,1,,"Cash"))</f>
        <v>40978.5917717132</v>
      </c>
      <c r="G27" s="10" t="n">
        <f aca="true">INDIRECT(ADDRESS(COLUMN()+119,ROW()+1,1,,"Cash"))</f>
        <v>12124.4306919419</v>
      </c>
      <c r="H27" s="10" t="n">
        <f aca="true">INDIRECT(ADDRESS(COLUMN()+119,ROW()+1,1,,"Cash"))</f>
        <v>10163.336327117</v>
      </c>
      <c r="I27" s="10" t="n">
        <f aca="true">INDIRECT(ADDRESS(COLUMN()+119,ROW()+1,1,,"Cash"))</f>
        <v>28455.1743256515</v>
      </c>
      <c r="J27" s="10" t="n">
        <f aca="true">INDIRECT(ADDRESS(COLUMN()+119,ROW()+1,1,,"Cash"))</f>
        <v>4661.2091127132</v>
      </c>
      <c r="K27" s="10" t="n">
        <f aca="true">INDIRECT(ADDRESS(COLUMN()+119,ROW()+1,1,,"Cash"))</f>
        <v>25965.2208297831</v>
      </c>
      <c r="L27" s="10" t="n">
        <f aca="true">INDIRECT(ADDRESS(COLUMN()+119,ROW()+1,1,,"Cash"))</f>
        <v>9344.73467509326</v>
      </c>
      <c r="M27" s="10" t="n">
        <f aca="true">INDIRECT(ADDRESS(COLUMN()+119,ROW()+1,1,,"Cash"))</f>
        <v>12331.9554980046</v>
      </c>
      <c r="N27" s="10" t="n">
        <f aca="true">INDIRECT(ADDRESS(COLUMN()+119,ROW()+1,1,,"Cash"))</f>
        <v>9456.23097432281</v>
      </c>
      <c r="O27" s="10" t="n">
        <f aca="true">INDIRECT(ADDRESS(COLUMN()+119,ROW()+1,1,,"Cash"))</f>
        <v>10029.1657481175</v>
      </c>
      <c r="P27" s="10" t="n">
        <f aca="true">INDIRECT(ADDRESS(COLUMN()+119,ROW()+1,1,,"Cash"))</f>
        <v>4736.65073370992</v>
      </c>
      <c r="Q27" s="26" t="n">
        <f aca="true">INDIRECT(ADDRESS(COLUMN()+119,ROW()+1,1,,"Cash"))</f>
        <v>4305.65412732781</v>
      </c>
      <c r="R27" s="10" t="n">
        <f aca="true">INDIRECT(ADDRESS(COLUMN()+119,ROW()+1,1,,"Cash"))</f>
        <v>7964.69390325841</v>
      </c>
      <c r="S27" s="10" t="n">
        <f aca="true">INDIRECT(ADDRESS(COLUMN()+119,ROW()+1,1,,"Cash"))</f>
        <v>97187.4895998271</v>
      </c>
      <c r="T27" s="10" t="n">
        <f aca="true">INDIRECT(ADDRESS(COLUMN()+119,ROW()+1,1,,"Cash"))</f>
        <v>3072.50586936035</v>
      </c>
      <c r="U27" s="10" t="n">
        <f aca="true">INDIRECT(ADDRESS(COLUMN()+119,ROW()+1,1,,"Cash"))</f>
        <v>32979.8302052746</v>
      </c>
      <c r="V27" s="10" t="n">
        <f aca="true">INDIRECT(ADDRESS(COLUMN()+119,ROW()+1,1,,"Cash"))</f>
        <v>6446.94926938755</v>
      </c>
      <c r="W27" s="10" t="n">
        <f aca="true">INDIRECT(ADDRESS(COLUMN()+119,ROW()+1,1,,"Cash"))</f>
        <v>55505.9953237874</v>
      </c>
      <c r="X27" s="10" t="n">
        <f aca="true">INDIRECT(ADDRESS(COLUMN()+119,ROW()+1,1,,"Cash"))</f>
        <v>36339.9660038857</v>
      </c>
    </row>
    <row r="28" customFormat="false" ht="12.8" hidden="false" customHeight="false" outlineLevel="0" collapsed="false">
      <c r="A28" s="1" t="s">
        <v>348</v>
      </c>
      <c r="B28" s="10" t="n">
        <f aca="true">INDIRECT(ADDRESS(COLUMN()+119,ROW()+1,1,,"Cash"))</f>
        <v>239479.23415012</v>
      </c>
      <c r="C28" s="10" t="n">
        <f aca="true">INDIRECT(ADDRESS(COLUMN()+119,ROW()+1,1,,"Cash"))</f>
        <v>119479.824030798</v>
      </c>
      <c r="D28" s="10" t="n">
        <f aca="true">INDIRECT(ADDRESS(COLUMN()+119,ROW()+1,1,,"Cash"))</f>
        <v>39173.9154709352</v>
      </c>
      <c r="E28" s="10" t="n">
        <f aca="true">INDIRECT(ADDRESS(COLUMN()+119,ROW()+1,1,,"Cash"))</f>
        <v>13648.007861218</v>
      </c>
      <c r="F28" s="10" t="n">
        <f aca="true">INDIRECT(ADDRESS(COLUMN()+119,ROW()+1,1,,"Cash"))</f>
        <v>253707.447050253</v>
      </c>
      <c r="G28" s="10" t="n">
        <f aca="true">INDIRECT(ADDRESS(COLUMN()+119,ROW()+1,1,,"Cash"))</f>
        <v>72432.1663468104</v>
      </c>
      <c r="H28" s="10" t="n">
        <f aca="true">INDIRECT(ADDRESS(COLUMN()+119,ROW()+1,1,,"Cash"))</f>
        <v>61807.7335976748</v>
      </c>
      <c r="I28" s="10" t="n">
        <f aca="true">INDIRECT(ADDRESS(COLUMN()+119,ROW()+1,1,,"Cash"))</f>
        <v>144759.364926341</v>
      </c>
      <c r="J28" s="10" t="n">
        <f aca="true">INDIRECT(ADDRESS(COLUMN()+119,ROW()+1,1,,"Cash"))</f>
        <v>24312.8828669769</v>
      </c>
      <c r="K28" s="10" t="n">
        <f aca="true">INDIRECT(ADDRESS(COLUMN()+119,ROW()+1,1,,"Cash"))</f>
        <v>131308.153448811</v>
      </c>
      <c r="L28" s="10" t="n">
        <f aca="true">INDIRECT(ADDRESS(COLUMN()+119,ROW()+1,1,,"Cash"))</f>
        <v>66567.4523788813</v>
      </c>
      <c r="M28" s="10" t="n">
        <f aca="true">INDIRECT(ADDRESS(COLUMN()+119,ROW()+1,1,,"Cash"))</f>
        <v>97843.4338935579</v>
      </c>
      <c r="N28" s="10" t="n">
        <f aca="true">INDIRECT(ADDRESS(COLUMN()+119,ROW()+1,1,,"Cash"))</f>
        <v>54875.5712203009</v>
      </c>
      <c r="O28" s="10" t="n">
        <f aca="true">INDIRECT(ADDRESS(COLUMN()+119,ROW()+1,1,,"Cash"))</f>
        <v>57868.5521941457</v>
      </c>
      <c r="P28" s="10" t="n">
        <f aca="true">INDIRECT(ADDRESS(COLUMN()+119,ROW()+1,1,,"Cash"))</f>
        <v>25268.4646066285</v>
      </c>
      <c r="Q28" s="26" t="n">
        <f aca="true">INDIRECT(ADDRESS(COLUMN()+119,ROW()+1,1,,"Cash"))</f>
        <v>30419.6669043713</v>
      </c>
      <c r="R28" s="10" t="n">
        <f aca="true">INDIRECT(ADDRESS(COLUMN()+119,ROW()+1,1,,"Cash"))</f>
        <v>37772.3920579383</v>
      </c>
      <c r="S28" s="10" t="n">
        <f aca="true">INDIRECT(ADDRESS(COLUMN()+119,ROW()+1,1,,"Cash"))</f>
        <v>578359.086918481</v>
      </c>
      <c r="T28" s="10" t="n">
        <f aca="true">INDIRECT(ADDRESS(COLUMN()+119,ROW()+1,1,,"Cash"))</f>
        <v>14962.7777969604</v>
      </c>
      <c r="U28" s="10" t="n">
        <f aca="true">INDIRECT(ADDRESS(COLUMN()+119,ROW()+1,1,,"Cash"))</f>
        <v>176650.71618579</v>
      </c>
      <c r="V28" s="10" t="n">
        <f aca="true">INDIRECT(ADDRESS(COLUMN()+119,ROW()+1,1,,"Cash"))</f>
        <v>28252.6353923767</v>
      </c>
      <c r="W28" s="10" t="n">
        <f aca="true">INDIRECT(ADDRESS(COLUMN()+119,ROW()+1,1,,"Cash"))</f>
        <v>298850.576419548</v>
      </c>
      <c r="X28" s="10" t="n">
        <f aca="true">INDIRECT(ADDRESS(COLUMN()+119,ROW()+1,1,,"Cash"))</f>
        <v>204522.146305191</v>
      </c>
    </row>
    <row r="29" customFormat="false" ht="12.8" hidden="false" customHeight="false" outlineLevel="0" collapsed="false">
      <c r="A29" s="1" t="s">
        <v>349</v>
      </c>
      <c r="B29" s="10" t="n">
        <f aca="true">INDIRECT(ADDRESS(COLUMN()+119,ROW()+1,1,,"Cash"))</f>
        <v>271852.334813437</v>
      </c>
      <c r="C29" s="10" t="n">
        <f aca="true">INDIRECT(ADDRESS(COLUMN()+119,ROW()+1,1,,"Cash"))</f>
        <v>127812.856353962</v>
      </c>
      <c r="D29" s="10" t="n">
        <f aca="true">INDIRECT(ADDRESS(COLUMN()+119,ROW()+1,1,,"Cash"))</f>
        <v>46395.17473966</v>
      </c>
      <c r="E29" s="10" t="n">
        <f aca="true">INDIRECT(ADDRESS(COLUMN()+119,ROW()+1,1,,"Cash"))</f>
        <v>19478.542938763</v>
      </c>
      <c r="F29" s="10" t="n">
        <f aca="true">INDIRECT(ADDRESS(COLUMN()+119,ROW()+1,1,,"Cash"))</f>
        <v>258133.295982094</v>
      </c>
      <c r="G29" s="10" t="n">
        <f aca="true">INDIRECT(ADDRESS(COLUMN()+119,ROW()+1,1,,"Cash"))</f>
        <v>76374.4950986292</v>
      </c>
      <c r="H29" s="10" t="n">
        <f aca="true">INDIRECT(ADDRESS(COLUMN()+119,ROW()+1,1,,"Cash"))</f>
        <v>64021.1239787946</v>
      </c>
      <c r="I29" s="10" t="n">
        <f aca="true">INDIRECT(ADDRESS(COLUMN()+119,ROW()+1,1,,"Cash"))</f>
        <v>179245.494265515</v>
      </c>
      <c r="J29" s="10" t="n">
        <f aca="true">INDIRECT(ADDRESS(COLUMN()+119,ROW()+1,1,,"Cash"))</f>
        <v>29361.9965817612</v>
      </c>
      <c r="K29" s="10" t="n">
        <f aca="true">INDIRECT(ADDRESS(COLUMN()+119,ROW()+1,1,,"Cash"))</f>
        <v>163560.721438004</v>
      </c>
      <c r="L29" s="10" t="n">
        <f aca="true">INDIRECT(ADDRESS(COLUMN()+119,ROW()+1,1,,"Cash"))</f>
        <v>58864.5694610003</v>
      </c>
      <c r="M29" s="10" t="n">
        <f aca="true">INDIRECT(ADDRESS(COLUMN()+119,ROW()+1,1,,"Cash"))</f>
        <v>77681.740171506</v>
      </c>
      <c r="N29" s="10" t="n">
        <f aca="true">INDIRECT(ADDRESS(COLUMN()+119,ROW()+1,1,,"Cash"))</f>
        <v>59566.9095357951</v>
      </c>
      <c r="O29" s="10" t="n">
        <f aca="true">INDIRECT(ADDRESS(COLUMN()+119,ROW()+1,1,,"Cash"))</f>
        <v>63175.9535548349</v>
      </c>
      <c r="P29" s="10" t="n">
        <f aca="true">INDIRECT(ADDRESS(COLUMN()+119,ROW()+1,1,,"Cash"))</f>
        <v>29837.2201909716</v>
      </c>
      <c r="Q29" s="26" t="n">
        <f aca="true">INDIRECT(ADDRESS(COLUMN()+119,ROW()+1,1,,"Cash"))</f>
        <v>27122.2763690293</v>
      </c>
      <c r="R29" s="10" t="n">
        <f aca="true">INDIRECT(ADDRESS(COLUMN()+119,ROW()+1,1,,"Cash"))</f>
        <v>50171.384614436</v>
      </c>
      <c r="S29" s="10" t="n">
        <f aca="true">INDIRECT(ADDRESS(COLUMN()+119,ROW()+1,1,,"Cash"))</f>
        <v>612205.689214196</v>
      </c>
      <c r="T29" s="10" t="n">
        <f aca="true">INDIRECT(ADDRESS(COLUMN()+119,ROW()+1,1,,"Cash"))</f>
        <v>19354.4002536903</v>
      </c>
      <c r="U29" s="10" t="n">
        <f aca="true">INDIRECT(ADDRESS(COLUMN()+119,ROW()+1,1,,"Cash"))</f>
        <v>207747.311553392</v>
      </c>
      <c r="V29" s="10" t="n">
        <f aca="true">INDIRECT(ADDRESS(COLUMN()+119,ROW()+1,1,,"Cash"))</f>
        <v>40610.7724054371</v>
      </c>
      <c r="W29" s="10" t="n">
        <f aca="true">INDIRECT(ADDRESS(COLUMN()+119,ROW()+1,1,,"Cash"))</f>
        <v>349644.653469675</v>
      </c>
      <c r="X29" s="10" t="n">
        <f aca="true">INDIRECT(ADDRESS(COLUMN()+119,ROW()+1,1,,"Cash"))</f>
        <v>228913.556930366</v>
      </c>
    </row>
    <row r="30" customFormat="false" ht="12.8" hidden="false" customHeight="false" outlineLevel="0" collapsed="false">
      <c r="A30" s="1" t="s">
        <v>350</v>
      </c>
      <c r="B30" s="10" t="n">
        <f aca="true">INDIRECT(ADDRESS(COLUMN()+119,ROW()+1,1,,"Cash"))</f>
        <v>519706.734400691</v>
      </c>
      <c r="C30" s="10" t="n">
        <f aca="true">INDIRECT(ADDRESS(COLUMN()+119,ROW()+1,1,,"Cash"))</f>
        <v>154938.828619209</v>
      </c>
      <c r="D30" s="10" t="n">
        <f aca="true">INDIRECT(ADDRESS(COLUMN()+119,ROW()+1,1,,"Cash"))</f>
        <v>139697.146882614</v>
      </c>
      <c r="E30" s="10" t="n">
        <f aca="true">INDIRECT(ADDRESS(COLUMN()+119,ROW()+1,1,,"Cash"))</f>
        <v>71931.160414748</v>
      </c>
      <c r="F30" s="10" t="n">
        <f aca="true">INDIRECT(ADDRESS(COLUMN()+119,ROW()+1,1,,"Cash"))</f>
        <v>398981.742870012</v>
      </c>
      <c r="G30" s="10" t="n">
        <f aca="true">INDIRECT(ADDRESS(COLUMN()+119,ROW()+1,1,,"Cash"))</f>
        <v>327429.889952681</v>
      </c>
      <c r="H30" s="10" t="n">
        <f aca="true">INDIRECT(ADDRESS(COLUMN()+119,ROW()+1,1,,"Cash"))</f>
        <v>145368.345281434</v>
      </c>
      <c r="I30" s="10" t="n">
        <f aca="true">INDIRECT(ADDRESS(COLUMN()+119,ROW()+1,1,,"Cash"))</f>
        <v>541209.675103021</v>
      </c>
      <c r="J30" s="10" t="n">
        <f aca="true">INDIRECT(ADDRESS(COLUMN()+119,ROW()+1,1,,"Cash"))</f>
        <v>98651.7056968787</v>
      </c>
      <c r="K30" s="10" t="n">
        <f aca="true">INDIRECT(ADDRESS(COLUMN()+119,ROW()+1,1,,"Cash"))</f>
        <v>433110.281957754</v>
      </c>
      <c r="L30" s="10" t="n">
        <f aca="true">INDIRECT(ADDRESS(COLUMN()+119,ROW()+1,1,,"Cash"))</f>
        <v>191632.66930458</v>
      </c>
      <c r="M30" s="10" t="n">
        <f aca="true">INDIRECT(ADDRESS(COLUMN()+119,ROW()+1,1,,"Cash"))</f>
        <v>114763.263531524</v>
      </c>
      <c r="N30" s="10" t="n">
        <f aca="true">INDIRECT(ADDRESS(COLUMN()+119,ROW()+1,1,,"Cash"))</f>
        <v>212594.185042096</v>
      </c>
      <c r="O30" s="10" t="n">
        <f aca="true">INDIRECT(ADDRESS(COLUMN()+119,ROW()+1,1,,"Cash"))</f>
        <v>193081.108544179</v>
      </c>
      <c r="P30" s="10" t="n">
        <f aca="true">INDIRECT(ADDRESS(COLUMN()+119,ROW()+1,1,,"Cash"))</f>
        <v>93740.5081525817</v>
      </c>
      <c r="Q30" s="26" t="n">
        <f aca="true">INDIRECT(ADDRESS(COLUMN()+119,ROW()+1,1,,"Cash"))</f>
        <v>91042.3096563537</v>
      </c>
      <c r="R30" s="10" t="n">
        <f aca="true">INDIRECT(ADDRESS(COLUMN()+119,ROW()+1,1,,"Cash"))</f>
        <v>102656.038192688</v>
      </c>
      <c r="S30" s="10" t="n">
        <f aca="true">INDIRECT(ADDRESS(COLUMN()+119,ROW()+1,1,,"Cash"))</f>
        <v>636195.212307142</v>
      </c>
      <c r="T30" s="10" t="n">
        <f aca="true">INDIRECT(ADDRESS(COLUMN()+119,ROW()+1,1,,"Cash"))</f>
        <v>57182.0079621155</v>
      </c>
      <c r="U30" s="10" t="n">
        <f aca="true">INDIRECT(ADDRESS(COLUMN()+119,ROW()+1,1,,"Cash"))</f>
        <v>354901.782310198</v>
      </c>
      <c r="V30" s="10" t="n">
        <f aca="true">INDIRECT(ADDRESS(COLUMN()+119,ROW()+1,1,,"Cash"))</f>
        <v>77080.0647756052</v>
      </c>
      <c r="W30" s="10" t="n">
        <f aca="true">INDIRECT(ADDRESS(COLUMN()+119,ROW()+1,1,,"Cash"))</f>
        <v>1494391.87831401</v>
      </c>
      <c r="X30" s="10" t="n">
        <f aca="true">INDIRECT(ADDRESS(COLUMN()+119,ROW()+1,1,,"Cash"))</f>
        <v>297276.169602642</v>
      </c>
    </row>
    <row r="31" customFormat="false" ht="12.8" hidden="false" customHeight="false" outlineLevel="0" collapsed="false">
      <c r="A31" s="1" t="s">
        <v>351</v>
      </c>
      <c r="B31" s="10" t="n">
        <f aca="true">INDIRECT(ADDRESS(COLUMN()+119,ROW()+1,1,,"Cash"))</f>
        <v>683.051846730413</v>
      </c>
      <c r="C31" s="10" t="n">
        <f aca="true">INDIRECT(ADDRESS(COLUMN()+119,ROW()+1,1,,"Cash"))</f>
        <v>1455.07893623879</v>
      </c>
      <c r="D31" s="10" t="n">
        <f aca="true">INDIRECT(ADDRESS(COLUMN()+119,ROW()+1,1,,"Cash"))</f>
        <v>745.462847005583</v>
      </c>
      <c r="E31" s="10" t="n">
        <f aca="true">INDIRECT(ADDRESS(COLUMN()+119,ROW()+1,1,,"Cash"))</f>
        <v>300.560983611662</v>
      </c>
      <c r="F31" s="10" t="n">
        <f aca="true">INDIRECT(ADDRESS(COLUMN()+119,ROW()+1,1,,"Cash"))</f>
        <v>3681.84154827122</v>
      </c>
      <c r="G31" s="10" t="n">
        <f aca="true">INDIRECT(ADDRESS(COLUMN()+119,ROW()+1,1,,"Cash"))</f>
        <v>596.592676655609</v>
      </c>
      <c r="H31" s="10" t="n">
        <f aca="true">INDIRECT(ADDRESS(COLUMN()+119,ROW()+1,1,,"Cash"))</f>
        <v>1121.9924345093</v>
      </c>
      <c r="I31" s="10" t="n">
        <f aca="true">INDIRECT(ADDRESS(COLUMN()+119,ROW()+1,1,,"Cash"))</f>
        <v>809.425654151006</v>
      </c>
      <c r="J31" s="10" t="n">
        <f aca="true">INDIRECT(ADDRESS(COLUMN()+119,ROW()+1,1,,"Cash"))</f>
        <v>374.521301923812</v>
      </c>
      <c r="K31" s="10" t="n">
        <f aca="true">INDIRECT(ADDRESS(COLUMN()+119,ROW()+1,1,,"Cash"))</f>
        <v>465.799947384662</v>
      </c>
      <c r="L31" s="10" t="n">
        <f aca="true">INDIRECT(ADDRESS(COLUMN()+119,ROW()+1,1,,"Cash"))</f>
        <v>742.790358439001</v>
      </c>
      <c r="M31" s="10" t="n">
        <f aca="true">INDIRECT(ADDRESS(COLUMN()+119,ROW()+1,1,,"Cash"))</f>
        <v>761.673244363038</v>
      </c>
      <c r="N31" s="10" t="n">
        <f aca="true">INDIRECT(ADDRESS(COLUMN()+119,ROW()+1,1,,"Cash"))</f>
        <v>805.681456891297</v>
      </c>
      <c r="O31" s="10" t="n">
        <f aca="true">INDIRECT(ADDRESS(COLUMN()+119,ROW()+1,1,,"Cash"))</f>
        <v>955.382236904742</v>
      </c>
      <c r="P31" s="10" t="n">
        <f aca="true">INDIRECT(ADDRESS(COLUMN()+119,ROW()+1,1,,"Cash"))</f>
        <v>345.831002602838</v>
      </c>
      <c r="Q31" s="26" t="n">
        <f aca="true">INDIRECT(ADDRESS(COLUMN()+119,ROW()+1,1,,"Cash"))</f>
        <v>331.775148929214</v>
      </c>
      <c r="R31" s="10" t="n">
        <f aca="true">INDIRECT(ADDRESS(COLUMN()+119,ROW()+1,1,,"Cash"))</f>
        <v>325.73973516646</v>
      </c>
      <c r="S31" s="10" t="n">
        <f aca="true">INDIRECT(ADDRESS(COLUMN()+119,ROW()+1,1,,"Cash"))</f>
        <v>858.376303826788</v>
      </c>
      <c r="T31" s="10" t="n">
        <f aca="true">INDIRECT(ADDRESS(COLUMN()+119,ROW()+1,1,,"Cash"))</f>
        <v>227.333753156614</v>
      </c>
      <c r="U31" s="10" t="n">
        <f aca="true">INDIRECT(ADDRESS(COLUMN()+119,ROW()+1,1,,"Cash"))</f>
        <v>531.225413501401</v>
      </c>
      <c r="V31" s="10" t="n">
        <f aca="true">INDIRECT(ADDRESS(COLUMN()+119,ROW()+1,1,,"Cash"))</f>
        <v>435.327797368223</v>
      </c>
      <c r="W31" s="10" t="n">
        <f aca="true">INDIRECT(ADDRESS(COLUMN()+119,ROW()+1,1,,"Cash"))</f>
        <v>887.561089350194</v>
      </c>
      <c r="X31" s="10" t="n">
        <f aca="true">INDIRECT(ADDRESS(COLUMN()+119,ROW()+1,1,,"Cash"))</f>
        <v>1717.87125082874</v>
      </c>
    </row>
    <row r="32" customFormat="false" ht="12.8" hidden="false" customHeight="false" outlineLevel="0" collapsed="false">
      <c r="A32" s="1" t="s">
        <v>352</v>
      </c>
      <c r="B32" s="10" t="n">
        <f aca="true">INDIRECT(ADDRESS(COLUMN()+119,ROW()+1,1,,"Cash"))</f>
        <v>2169.02494060926</v>
      </c>
      <c r="C32" s="10" t="n">
        <f aca="true">INDIRECT(ADDRESS(COLUMN()+119,ROW()+1,1,,"Cash"))</f>
        <v>812.357695968183</v>
      </c>
      <c r="D32" s="10" t="n">
        <f aca="true">INDIRECT(ADDRESS(COLUMN()+119,ROW()+1,1,,"Cash"))</f>
        <v>370.934229566456</v>
      </c>
      <c r="E32" s="10" t="n">
        <f aca="true">INDIRECT(ADDRESS(COLUMN()+119,ROW()+1,1,,"Cash"))</f>
        <v>281.495373710839</v>
      </c>
      <c r="F32" s="10" t="n">
        <f aca="true">INDIRECT(ADDRESS(COLUMN()+119,ROW()+1,1,,"Cash"))</f>
        <v>1160.25911597484</v>
      </c>
      <c r="G32" s="10" t="n">
        <f aca="true">INDIRECT(ADDRESS(COLUMN()+119,ROW()+1,1,,"Cash"))</f>
        <v>1226.41861033229</v>
      </c>
      <c r="H32" s="10" t="n">
        <f aca="true">INDIRECT(ADDRESS(COLUMN()+119,ROW()+1,1,,"Cash"))</f>
        <v>658.550844394646</v>
      </c>
      <c r="I32" s="10" t="n">
        <f aca="true">INDIRECT(ADDRESS(COLUMN()+119,ROW()+1,1,,"Cash"))</f>
        <v>2477.91427219653</v>
      </c>
      <c r="J32" s="10" t="n">
        <f aca="true">INDIRECT(ADDRESS(COLUMN()+119,ROW()+1,1,,"Cash"))</f>
        <v>396.823811316294</v>
      </c>
      <c r="K32" s="10" t="n">
        <f aca="true">INDIRECT(ADDRESS(COLUMN()+119,ROW()+1,1,,"Cash"))</f>
        <v>1904.16995552176</v>
      </c>
      <c r="L32" s="10" t="n">
        <f aca="true">INDIRECT(ADDRESS(COLUMN()+119,ROW()+1,1,,"Cash"))</f>
        <v>1186.79104905041</v>
      </c>
      <c r="M32" s="10" t="n">
        <f aca="true">INDIRECT(ADDRESS(COLUMN()+119,ROW()+1,1,,"Cash"))</f>
        <v>566.363816208872</v>
      </c>
      <c r="N32" s="10" t="n">
        <f aca="true">INDIRECT(ADDRESS(COLUMN()+119,ROW()+1,1,,"Cash"))</f>
        <v>468.625649781958</v>
      </c>
      <c r="O32" s="10" t="n">
        <f aca="true">INDIRECT(ADDRESS(COLUMN()+119,ROW()+1,1,,"Cash"))</f>
        <v>419.100778212212</v>
      </c>
      <c r="P32" s="10" t="n">
        <f aca="true">INDIRECT(ADDRESS(COLUMN()+119,ROW()+1,1,,"Cash"))</f>
        <v>338.406779771713</v>
      </c>
      <c r="Q32" s="26" t="n">
        <f aca="true">INDIRECT(ADDRESS(COLUMN()+119,ROW()+1,1,,"Cash"))</f>
        <v>313.764371379773</v>
      </c>
      <c r="R32" s="10" t="n">
        <f aca="true">INDIRECT(ADDRESS(COLUMN()+119,ROW()+1,1,,"Cash"))</f>
        <v>646.608320215958</v>
      </c>
      <c r="S32" s="10" t="n">
        <f aca="true">INDIRECT(ADDRESS(COLUMN()+119,ROW()+1,1,,"Cash"))</f>
        <v>1233.56787488</v>
      </c>
      <c r="T32" s="10" t="n">
        <f aca="true">INDIRECT(ADDRESS(COLUMN()+119,ROW()+1,1,,"Cash"))</f>
        <v>206.947304695758</v>
      </c>
      <c r="U32" s="10" t="n">
        <f aca="true">INDIRECT(ADDRESS(COLUMN()+119,ROW()+1,1,,"Cash"))</f>
        <v>963.825918157863</v>
      </c>
      <c r="V32" s="10" t="n">
        <f aca="true">INDIRECT(ADDRESS(COLUMN()+119,ROW()+1,1,,"Cash"))</f>
        <v>287.155063806649</v>
      </c>
      <c r="W32" s="10" t="n">
        <f aca="true">INDIRECT(ADDRESS(COLUMN()+119,ROW()+1,1,,"Cash"))</f>
        <v>652.185777854903</v>
      </c>
      <c r="X32" s="10" t="n">
        <f aca="true">INDIRECT(ADDRESS(COLUMN()+119,ROW()+1,1,,"Cash"))</f>
        <v>708.955024466416</v>
      </c>
    </row>
    <row r="33" customFormat="false" ht="12.8" hidden="false" customHeight="false" outlineLevel="0" collapsed="false">
      <c r="A33" s="1" t="s">
        <v>353</v>
      </c>
      <c r="B33" s="10" t="n">
        <f aca="true">INDIRECT(ADDRESS(COLUMN()+119,ROW()+1,1,,"Cash"))</f>
        <v>393.369820277757</v>
      </c>
      <c r="C33" s="10" t="n">
        <f aca="true">INDIRECT(ADDRESS(COLUMN()+119,ROW()+1,1,,"Cash"))</f>
        <v>906.305587650541</v>
      </c>
      <c r="D33" s="10" t="n">
        <f aca="true">INDIRECT(ADDRESS(COLUMN()+119,ROW()+1,1,,"Cash"))</f>
        <v>204.389238052149</v>
      </c>
      <c r="E33" s="10" t="n">
        <f aca="true">INDIRECT(ADDRESS(COLUMN()+119,ROW()+1,1,,"Cash"))</f>
        <v>144.564344297447</v>
      </c>
      <c r="F33" s="10" t="n">
        <f aca="true">INDIRECT(ADDRESS(COLUMN()+119,ROW()+1,1,,"Cash"))</f>
        <v>1164.32611689641</v>
      </c>
      <c r="G33" s="10" t="n">
        <f aca="true">INDIRECT(ADDRESS(COLUMN()+119,ROW()+1,1,,"Cash"))</f>
        <v>485.906107011132</v>
      </c>
      <c r="H33" s="10" t="n">
        <f aca="true">INDIRECT(ADDRESS(COLUMN()+119,ROW()+1,1,,"Cash"))</f>
        <v>266.660935752302</v>
      </c>
      <c r="I33" s="10" t="n">
        <f aca="true">INDIRECT(ADDRESS(COLUMN()+119,ROW()+1,1,,"Cash"))</f>
        <v>697.825583797157</v>
      </c>
      <c r="J33" s="10" t="n">
        <f aca="true">INDIRECT(ADDRESS(COLUMN()+119,ROW()+1,1,,"Cash"))</f>
        <v>210.223669343415</v>
      </c>
      <c r="K33" s="10" t="n">
        <f aca="true">INDIRECT(ADDRESS(COLUMN()+119,ROW()+1,1,,"Cash"))</f>
        <v>1300.40076099724</v>
      </c>
      <c r="L33" s="10" t="n">
        <f aca="true">INDIRECT(ADDRESS(COLUMN()+119,ROW()+1,1,,"Cash"))</f>
        <v>585.525430847714</v>
      </c>
      <c r="M33" s="10" t="n">
        <f aca="true">INDIRECT(ADDRESS(COLUMN()+119,ROW()+1,1,,"Cash"))</f>
        <v>554.714227539652</v>
      </c>
      <c r="N33" s="10" t="n">
        <f aca="true">INDIRECT(ADDRESS(COLUMN()+119,ROW()+1,1,,"Cash"))</f>
        <v>362.358823373503</v>
      </c>
      <c r="O33" s="10" t="n">
        <f aca="true">INDIRECT(ADDRESS(COLUMN()+119,ROW()+1,1,,"Cash"))</f>
        <v>284.146927662992</v>
      </c>
      <c r="P33" s="10" t="n">
        <f aca="true">INDIRECT(ADDRESS(COLUMN()+119,ROW()+1,1,,"Cash"))</f>
        <v>230.18733679683</v>
      </c>
      <c r="Q33" s="26" t="n">
        <f aca="true">INDIRECT(ADDRESS(COLUMN()+119,ROW()+1,1,,"Cash"))</f>
        <v>205.051915250291</v>
      </c>
      <c r="R33" s="10" t="n">
        <f aca="true">INDIRECT(ADDRESS(COLUMN()+119,ROW()+1,1,,"Cash"))</f>
        <v>203.353030260478</v>
      </c>
      <c r="S33" s="10" t="n">
        <f aca="true">INDIRECT(ADDRESS(COLUMN()+119,ROW()+1,1,,"Cash"))</f>
        <v>2395.62792578971</v>
      </c>
      <c r="T33" s="10" t="n">
        <f aca="true">INDIRECT(ADDRESS(COLUMN()+119,ROW()+1,1,,"Cash"))</f>
        <v>147.692848547271</v>
      </c>
      <c r="U33" s="10" t="n">
        <f aca="true">INDIRECT(ADDRESS(COLUMN()+119,ROW()+1,1,,"Cash"))</f>
        <v>656.425267972457</v>
      </c>
      <c r="V33" s="10" t="n">
        <f aca="true">INDIRECT(ADDRESS(COLUMN()+119,ROW()+1,1,,"Cash"))</f>
        <v>329.163258385645</v>
      </c>
      <c r="W33" s="10" t="n">
        <f aca="true">INDIRECT(ADDRESS(COLUMN()+119,ROW()+1,1,,"Cash"))</f>
        <v>471.624623354241</v>
      </c>
      <c r="X33" s="10" t="n">
        <f aca="true">INDIRECT(ADDRESS(COLUMN()+119,ROW()+1,1,,"Cash"))</f>
        <v>360.578707751921</v>
      </c>
    </row>
    <row r="34" customFormat="false" ht="12.8" hidden="false" customHeight="false" outlineLevel="0" collapsed="false">
      <c r="A34" s="1" t="s">
        <v>354</v>
      </c>
      <c r="B34" s="10" t="n">
        <f aca="true">INDIRECT(ADDRESS(COLUMN()+119,ROW()+1,1,,"Cash"))</f>
        <v>1993.0273848787</v>
      </c>
      <c r="C34" s="10" t="n">
        <f aca="true">INDIRECT(ADDRESS(COLUMN()+119,ROW()+1,1,,"Cash"))</f>
        <v>1980.47584228839</v>
      </c>
      <c r="D34" s="10" t="n">
        <f aca="true">INDIRECT(ADDRESS(COLUMN()+119,ROW()+1,1,,"Cash"))</f>
        <v>2097.41381928396</v>
      </c>
      <c r="E34" s="10" t="n">
        <f aca="true">INDIRECT(ADDRESS(COLUMN()+119,ROW()+1,1,,"Cash"))</f>
        <v>911.99507155014</v>
      </c>
      <c r="F34" s="10" t="n">
        <f aca="true">INDIRECT(ADDRESS(COLUMN()+119,ROW()+1,1,,"Cash"))</f>
        <v>2413.35351471828</v>
      </c>
      <c r="G34" s="10" t="n">
        <f aca="true">INDIRECT(ADDRESS(COLUMN()+119,ROW()+1,1,,"Cash"))</f>
        <v>2856.64928218369</v>
      </c>
      <c r="H34" s="10" t="n">
        <f aca="true">INDIRECT(ADDRESS(COLUMN()+119,ROW()+1,1,,"Cash"))</f>
        <v>3601.60162278515</v>
      </c>
      <c r="I34" s="10" t="n">
        <f aca="true">INDIRECT(ADDRESS(COLUMN()+119,ROW()+1,1,,"Cash"))</f>
        <v>9294.46059509892</v>
      </c>
      <c r="J34" s="10" t="n">
        <f aca="true">INDIRECT(ADDRESS(COLUMN()+119,ROW()+1,1,,"Cash"))</f>
        <v>1195.44380242111</v>
      </c>
      <c r="K34" s="10" t="n">
        <f aca="true">INDIRECT(ADDRESS(COLUMN()+119,ROW()+1,1,,"Cash"))</f>
        <v>2127.39802822638</v>
      </c>
      <c r="L34" s="10" t="n">
        <f aca="true">INDIRECT(ADDRESS(COLUMN()+119,ROW()+1,1,,"Cash"))</f>
        <v>3620.50756175315</v>
      </c>
      <c r="M34" s="10" t="n">
        <f aca="true">INDIRECT(ADDRESS(COLUMN()+119,ROW()+1,1,,"Cash"))</f>
        <v>5383.80029682151</v>
      </c>
      <c r="N34" s="10" t="n">
        <f aca="true">INDIRECT(ADDRESS(COLUMN()+119,ROW()+1,1,,"Cash"))</f>
        <v>1752.47110081024</v>
      </c>
      <c r="O34" s="10" t="n">
        <f aca="true">INDIRECT(ADDRESS(COLUMN()+119,ROW()+1,1,,"Cash"))</f>
        <v>1736.38809575404</v>
      </c>
      <c r="P34" s="10" t="n">
        <f aca="true">INDIRECT(ADDRESS(COLUMN()+119,ROW()+1,1,,"Cash"))</f>
        <v>952.216933859648</v>
      </c>
      <c r="Q34" s="26" t="n">
        <f aca="true">INDIRECT(ADDRESS(COLUMN()+119,ROW()+1,1,,"Cash"))</f>
        <v>1109.35244156963</v>
      </c>
      <c r="R34" s="10" t="n">
        <f aca="true">INDIRECT(ADDRESS(COLUMN()+119,ROW()+1,1,,"Cash"))</f>
        <v>1228.78236522078</v>
      </c>
      <c r="S34" s="10" t="n">
        <f aca="true">INDIRECT(ADDRESS(COLUMN()+119,ROW()+1,1,,"Cash"))</f>
        <v>2977.0823869217</v>
      </c>
      <c r="T34" s="10" t="n">
        <f aca="true">INDIRECT(ADDRESS(COLUMN()+119,ROW()+1,1,,"Cash"))</f>
        <v>786.118735436914</v>
      </c>
      <c r="U34" s="10" t="n">
        <f aca="true">INDIRECT(ADDRESS(COLUMN()+119,ROW()+1,1,,"Cash"))</f>
        <v>4376.70814258766</v>
      </c>
      <c r="V34" s="10" t="n">
        <f aca="true">INDIRECT(ADDRESS(COLUMN()+119,ROW()+1,1,,"Cash"))</f>
        <v>1393.2675083841</v>
      </c>
      <c r="W34" s="10" t="n">
        <f aca="true">INDIRECT(ADDRESS(COLUMN()+119,ROW()+1,1,,"Cash"))</f>
        <v>19445.7752236562</v>
      </c>
      <c r="X34" s="10" t="n">
        <f aca="true">INDIRECT(ADDRESS(COLUMN()+119,ROW()+1,1,,"Cash"))</f>
        <v>7996.83342307191</v>
      </c>
    </row>
    <row r="35" customFormat="false" ht="12.8" hidden="false" customHeight="false" outlineLevel="0" collapsed="false">
      <c r="A35" s="1" t="s">
        <v>355</v>
      </c>
      <c r="B35" s="10" t="n">
        <f aca="true">INDIRECT(ADDRESS(COLUMN()+119,ROW()+1,1,,"Cash"))</f>
        <v>1154.58796089998</v>
      </c>
      <c r="C35" s="10" t="n">
        <f aca="true">INDIRECT(ADDRESS(COLUMN()+119,ROW()+1,1,,"Cash"))</f>
        <v>4191.19130765504</v>
      </c>
      <c r="D35" s="10" t="n">
        <f aca="true">INDIRECT(ADDRESS(COLUMN()+119,ROW()+1,1,,"Cash"))</f>
        <v>783.722736139331</v>
      </c>
      <c r="E35" s="10" t="n">
        <f aca="true">INDIRECT(ADDRESS(COLUMN()+119,ROW()+1,1,,"Cash"))</f>
        <v>370.851706242424</v>
      </c>
      <c r="F35" s="10" t="n">
        <f aca="true">INDIRECT(ADDRESS(COLUMN()+119,ROW()+1,1,,"Cash"))</f>
        <v>1503.55066171943</v>
      </c>
      <c r="G35" s="10" t="n">
        <f aca="true">INDIRECT(ADDRESS(COLUMN()+119,ROW()+1,1,,"Cash"))</f>
        <v>1180.27267847085</v>
      </c>
      <c r="H35" s="10" t="n">
        <f aca="true">INDIRECT(ADDRESS(COLUMN()+119,ROW()+1,1,,"Cash"))</f>
        <v>1499.90360627355</v>
      </c>
      <c r="I35" s="10" t="n">
        <f aca="true">INDIRECT(ADDRESS(COLUMN()+119,ROW()+1,1,,"Cash"))</f>
        <v>924.318688379903</v>
      </c>
      <c r="J35" s="10" t="n">
        <f aca="true">INDIRECT(ADDRESS(COLUMN()+119,ROW()+1,1,,"Cash"))</f>
        <v>525.356067097821</v>
      </c>
      <c r="K35" s="10" t="n">
        <f aca="true">INDIRECT(ADDRESS(COLUMN()+119,ROW()+1,1,,"Cash"))</f>
        <v>1920.09104169501</v>
      </c>
      <c r="L35" s="10" t="n">
        <f aca="true">INDIRECT(ADDRESS(COLUMN()+119,ROW()+1,1,,"Cash"))</f>
        <v>821.969099834974</v>
      </c>
      <c r="M35" s="10" t="n">
        <f aca="true">INDIRECT(ADDRESS(COLUMN()+119,ROW()+1,1,,"Cash"))</f>
        <v>2370.51427380047</v>
      </c>
      <c r="N35" s="10" t="n">
        <f aca="true">INDIRECT(ADDRESS(COLUMN()+119,ROW()+1,1,,"Cash"))</f>
        <v>1607.97965476088</v>
      </c>
      <c r="O35" s="10" t="n">
        <f aca="true">INDIRECT(ADDRESS(COLUMN()+119,ROW()+1,1,,"Cash"))</f>
        <v>870.006653333217</v>
      </c>
      <c r="P35" s="10" t="n">
        <f aca="true">INDIRECT(ADDRESS(COLUMN()+119,ROW()+1,1,,"Cash"))</f>
        <v>533.933875650456</v>
      </c>
      <c r="Q35" s="26" t="n">
        <f aca="true">INDIRECT(ADDRESS(COLUMN()+119,ROW()+1,1,,"Cash"))</f>
        <v>457.146411383521</v>
      </c>
      <c r="R35" s="10" t="n">
        <f aca="true">INDIRECT(ADDRESS(COLUMN()+119,ROW()+1,1,,"Cash"))</f>
        <v>867.664394389549</v>
      </c>
      <c r="S35" s="10" t="n">
        <f aca="true">INDIRECT(ADDRESS(COLUMN()+119,ROW()+1,1,,"Cash"))</f>
        <v>5609.06083275646</v>
      </c>
      <c r="T35" s="10" t="n">
        <f aca="true">INDIRECT(ADDRESS(COLUMN()+119,ROW()+1,1,,"Cash"))</f>
        <v>317.554318347177</v>
      </c>
      <c r="U35" s="10" t="n">
        <f aca="true">INDIRECT(ADDRESS(COLUMN()+119,ROW()+1,1,,"Cash"))</f>
        <v>5064.6892485705</v>
      </c>
      <c r="V35" s="10" t="n">
        <f aca="true">INDIRECT(ADDRESS(COLUMN()+119,ROW()+1,1,,"Cash"))</f>
        <v>399.365600995996</v>
      </c>
      <c r="W35" s="10" t="n">
        <f aca="true">INDIRECT(ADDRESS(COLUMN()+119,ROW()+1,1,,"Cash"))</f>
        <v>2729.22359428623</v>
      </c>
      <c r="X35" s="10" t="n">
        <f aca="true">INDIRECT(ADDRESS(COLUMN()+119,ROW()+1,1,,"Cash"))</f>
        <v>787.992883443928</v>
      </c>
    </row>
    <row r="36" customFormat="false" ht="12.8" hidden="false" customHeight="false" outlineLevel="0" collapsed="false">
      <c r="A36" s="1" t="s">
        <v>356</v>
      </c>
      <c r="B36" s="10" t="n">
        <f aca="true">INDIRECT(ADDRESS(COLUMN()+119,ROW()+1,1,,"Cash"))</f>
        <v>657.582242891033</v>
      </c>
      <c r="C36" s="10" t="n">
        <f aca="true">INDIRECT(ADDRESS(COLUMN()+119,ROW()+1,1,,"Cash"))</f>
        <v>952.600036650879</v>
      </c>
      <c r="D36" s="10" t="n">
        <f aca="true">INDIRECT(ADDRESS(COLUMN()+119,ROW()+1,1,,"Cash"))</f>
        <v>363.486415882267</v>
      </c>
      <c r="E36" s="10" t="n">
        <f aca="true">INDIRECT(ADDRESS(COLUMN()+119,ROW()+1,1,,"Cash"))</f>
        <v>149.44188381065</v>
      </c>
      <c r="F36" s="10" t="n">
        <f aca="true">INDIRECT(ADDRESS(COLUMN()+119,ROW()+1,1,,"Cash"))</f>
        <v>3653.21173482299</v>
      </c>
      <c r="G36" s="10" t="n">
        <f aca="true">INDIRECT(ADDRESS(COLUMN()+119,ROW()+1,1,,"Cash"))</f>
        <v>783.687856289597</v>
      </c>
      <c r="H36" s="10" t="n">
        <f aca="true">INDIRECT(ADDRESS(COLUMN()+119,ROW()+1,1,,"Cash"))</f>
        <v>591.402242827691</v>
      </c>
      <c r="I36" s="10" t="n">
        <f aca="true">INDIRECT(ADDRESS(COLUMN()+119,ROW()+1,1,,"Cash"))</f>
        <v>386.027102017205</v>
      </c>
      <c r="J36" s="10" t="n">
        <f aca="true">INDIRECT(ADDRESS(COLUMN()+119,ROW()+1,1,,"Cash"))</f>
        <v>182.227062226297</v>
      </c>
      <c r="K36" s="10" t="n">
        <f aca="true">INDIRECT(ADDRESS(COLUMN()+119,ROW()+1,1,,"Cash"))</f>
        <v>354.730893487701</v>
      </c>
      <c r="L36" s="10" t="n">
        <f aca="true">INDIRECT(ADDRESS(COLUMN()+119,ROW()+1,1,,"Cash"))</f>
        <v>286.115719076861</v>
      </c>
      <c r="M36" s="10" t="n">
        <f aca="true">INDIRECT(ADDRESS(COLUMN()+119,ROW()+1,1,,"Cash"))</f>
        <v>317.302071945544</v>
      </c>
      <c r="N36" s="10" t="n">
        <f aca="true">INDIRECT(ADDRESS(COLUMN()+119,ROW()+1,1,,"Cash"))</f>
        <v>753.894885826564</v>
      </c>
      <c r="O36" s="10" t="n">
        <f aca="true">INDIRECT(ADDRESS(COLUMN()+119,ROW()+1,1,,"Cash"))</f>
        <v>291.646649215307</v>
      </c>
      <c r="P36" s="10" t="n">
        <f aca="true">INDIRECT(ADDRESS(COLUMN()+119,ROW()+1,1,,"Cash"))</f>
        <v>221.51587407961</v>
      </c>
      <c r="Q36" s="26" t="n">
        <f aca="true">INDIRECT(ADDRESS(COLUMN()+119,ROW()+1,1,,"Cash"))</f>
        <v>172.330925625378</v>
      </c>
      <c r="R36" s="10" t="n">
        <f aca="true">INDIRECT(ADDRESS(COLUMN()+119,ROW()+1,1,,"Cash"))</f>
        <v>203.229980578251</v>
      </c>
      <c r="S36" s="10" t="n">
        <f aca="true">INDIRECT(ADDRESS(COLUMN()+119,ROW()+1,1,,"Cash"))</f>
        <v>610.92338961364</v>
      </c>
      <c r="T36" s="10" t="n">
        <f aca="true">INDIRECT(ADDRESS(COLUMN()+119,ROW()+1,1,,"Cash"))</f>
        <v>137.175284305952</v>
      </c>
      <c r="U36" s="10" t="n">
        <f aca="true">INDIRECT(ADDRESS(COLUMN()+119,ROW()+1,1,,"Cash"))</f>
        <v>2147.76506192016</v>
      </c>
      <c r="V36" s="10" t="n">
        <f aca="true">INDIRECT(ADDRESS(COLUMN()+119,ROW()+1,1,,"Cash"))</f>
        <v>319.788209143037</v>
      </c>
      <c r="W36" s="10" t="n">
        <f aca="true">INDIRECT(ADDRESS(COLUMN()+119,ROW()+1,1,,"Cash"))</f>
        <v>2747.04249120749</v>
      </c>
      <c r="X36" s="10" t="n">
        <f aca="true">INDIRECT(ADDRESS(COLUMN()+119,ROW()+1,1,,"Cash"))</f>
        <v>321.871566647639</v>
      </c>
    </row>
    <row r="37" customFormat="false" ht="12.8" hidden="false" customHeight="false" outlineLevel="0" collapsed="false">
      <c r="A37" s="1" t="s">
        <v>357</v>
      </c>
      <c r="B37" s="10" t="n">
        <f aca="true">INDIRECT(ADDRESS(COLUMN()+119,ROW()+1,1,,"Cash"))</f>
        <v>984.500931146914</v>
      </c>
      <c r="C37" s="10" t="n">
        <f aca="true">INDIRECT(ADDRESS(COLUMN()+119,ROW()+1,1,,"Cash"))</f>
        <v>2801.9994863703</v>
      </c>
      <c r="D37" s="10" t="n">
        <f aca="true">INDIRECT(ADDRESS(COLUMN()+119,ROW()+1,1,,"Cash"))</f>
        <v>793.201702901027</v>
      </c>
      <c r="E37" s="10" t="n">
        <f aca="true">INDIRECT(ADDRESS(COLUMN()+119,ROW()+1,1,,"Cash"))</f>
        <v>317.21049328908</v>
      </c>
      <c r="F37" s="10" t="n">
        <f aca="true">INDIRECT(ADDRESS(COLUMN()+119,ROW()+1,1,,"Cash"))</f>
        <v>1252.98293106351</v>
      </c>
      <c r="G37" s="10" t="n">
        <f aca="true">INDIRECT(ADDRESS(COLUMN()+119,ROW()+1,1,,"Cash"))</f>
        <v>529.07254105266</v>
      </c>
      <c r="H37" s="10" t="n">
        <f aca="true">INDIRECT(ADDRESS(COLUMN()+119,ROW()+1,1,,"Cash"))</f>
        <v>1271.64918452354</v>
      </c>
      <c r="I37" s="10" t="n">
        <f aca="true">INDIRECT(ADDRESS(COLUMN()+119,ROW()+1,1,,"Cash"))</f>
        <v>878.198695466871</v>
      </c>
      <c r="J37" s="10" t="n">
        <f aca="true">INDIRECT(ADDRESS(COLUMN()+119,ROW()+1,1,,"Cash"))</f>
        <v>381.106926116108</v>
      </c>
      <c r="K37" s="10" t="n">
        <f aca="true">INDIRECT(ADDRESS(COLUMN()+119,ROW()+1,1,,"Cash"))</f>
        <v>470.183316486033</v>
      </c>
      <c r="L37" s="10" t="n">
        <f aca="true">INDIRECT(ADDRESS(COLUMN()+119,ROW()+1,1,,"Cash"))</f>
        <v>867.120346590239</v>
      </c>
      <c r="M37" s="10" t="n">
        <f aca="true">INDIRECT(ADDRESS(COLUMN()+119,ROW()+1,1,,"Cash"))</f>
        <v>869.383023105491</v>
      </c>
      <c r="N37" s="10" t="n">
        <f aca="true">INDIRECT(ADDRESS(COLUMN()+119,ROW()+1,1,,"Cash"))</f>
        <v>1175.32110869536</v>
      </c>
      <c r="O37" s="10" t="n">
        <f aca="true">INDIRECT(ADDRESS(COLUMN()+119,ROW()+1,1,,"Cash"))</f>
        <v>553.331389999127</v>
      </c>
      <c r="P37" s="10" t="n">
        <f aca="true">INDIRECT(ADDRESS(COLUMN()+119,ROW()+1,1,,"Cash"))</f>
        <v>399.340288062185</v>
      </c>
      <c r="Q37" s="26" t="n">
        <f aca="true">INDIRECT(ADDRESS(COLUMN()+119,ROW()+1,1,,"Cash"))</f>
        <v>353.656623718033</v>
      </c>
      <c r="R37" s="10" t="n">
        <f aca="true">INDIRECT(ADDRESS(COLUMN()+119,ROW()+1,1,,"Cash"))</f>
        <v>465.140344458969</v>
      </c>
      <c r="S37" s="10" t="n">
        <f aca="true">INDIRECT(ADDRESS(COLUMN()+119,ROW()+1,1,,"Cash"))</f>
        <v>1327.76738475545</v>
      </c>
      <c r="T37" s="10" t="n">
        <f aca="true">INDIRECT(ADDRESS(COLUMN()+119,ROW()+1,1,,"Cash"))</f>
        <v>256.065725120888</v>
      </c>
      <c r="U37" s="10" t="n">
        <f aca="true">INDIRECT(ADDRESS(COLUMN()+119,ROW()+1,1,,"Cash"))</f>
        <v>1580.83314964415</v>
      </c>
      <c r="V37" s="10" t="n">
        <f aca="true">INDIRECT(ADDRESS(COLUMN()+119,ROW()+1,1,,"Cash"))</f>
        <v>398.698420765288</v>
      </c>
      <c r="W37" s="10" t="n">
        <f aca="true">INDIRECT(ADDRESS(COLUMN()+119,ROW()+1,1,,"Cash"))</f>
        <v>2991.74626935046</v>
      </c>
      <c r="X37" s="10" t="n">
        <f aca="true">INDIRECT(ADDRESS(COLUMN()+119,ROW()+1,1,,"Cash"))</f>
        <v>3257.10533915821</v>
      </c>
    </row>
    <row r="38" customFormat="false" ht="12.8" hidden="false" customHeight="false" outlineLevel="0" collapsed="false">
      <c r="A38" s="1" t="s">
        <v>358</v>
      </c>
      <c r="B38" s="10" t="n">
        <f aca="true">INDIRECT(ADDRESS(COLUMN()+119,ROW()+1,1,,"Cash"))</f>
        <v>9040.97279227979</v>
      </c>
      <c r="C38" s="10" t="n">
        <f aca="true">INDIRECT(ADDRESS(COLUMN()+119,ROW()+1,1,,"Cash"))</f>
        <v>1997.5498370519</v>
      </c>
      <c r="D38" s="10" t="n">
        <f aca="true">INDIRECT(ADDRESS(COLUMN()+119,ROW()+1,1,,"Cash"))</f>
        <v>1350.20228540001</v>
      </c>
      <c r="E38" s="10" t="n">
        <f aca="true">INDIRECT(ADDRESS(COLUMN()+119,ROW()+1,1,,"Cash"))</f>
        <v>620.71155272986</v>
      </c>
      <c r="F38" s="10" t="n">
        <f aca="true">INDIRECT(ADDRESS(COLUMN()+119,ROW()+1,1,,"Cash"))</f>
        <v>1350.3182504377</v>
      </c>
      <c r="G38" s="10" t="n">
        <f aca="true">INDIRECT(ADDRESS(COLUMN()+119,ROW()+1,1,,"Cash"))</f>
        <v>1964.11820725654</v>
      </c>
      <c r="H38" s="10" t="n">
        <f aca="true">INDIRECT(ADDRESS(COLUMN()+119,ROW()+1,1,,"Cash"))</f>
        <v>725.208749567606</v>
      </c>
      <c r="I38" s="10" t="n">
        <f aca="true">INDIRECT(ADDRESS(COLUMN()+119,ROW()+1,1,,"Cash"))</f>
        <v>3343.42029087134</v>
      </c>
      <c r="J38" s="10" t="n">
        <f aca="true">INDIRECT(ADDRESS(COLUMN()+119,ROW()+1,1,,"Cash"))</f>
        <v>815.744508225014</v>
      </c>
      <c r="K38" s="10" t="n">
        <f aca="true">INDIRECT(ADDRESS(COLUMN()+119,ROW()+1,1,,"Cash"))</f>
        <v>1174.76417759268</v>
      </c>
      <c r="L38" s="10" t="n">
        <f aca="true">INDIRECT(ADDRESS(COLUMN()+119,ROW()+1,1,,"Cash"))</f>
        <v>899.310016534336</v>
      </c>
      <c r="M38" s="10" t="n">
        <f aca="true">INDIRECT(ADDRESS(COLUMN()+119,ROW()+1,1,,"Cash"))</f>
        <v>2546.02197577879</v>
      </c>
      <c r="N38" s="10" t="n">
        <f aca="true">INDIRECT(ADDRESS(COLUMN()+119,ROW()+1,1,,"Cash"))</f>
        <v>2069.27311440442</v>
      </c>
      <c r="O38" s="10" t="n">
        <f aca="true">INDIRECT(ADDRESS(COLUMN()+119,ROW()+1,1,,"Cash"))</f>
        <v>667.188232705612</v>
      </c>
      <c r="P38" s="10" t="n">
        <f aca="true">INDIRECT(ADDRESS(COLUMN()+119,ROW()+1,1,,"Cash"))</f>
        <v>628.482595570558</v>
      </c>
      <c r="Q38" s="26" t="n">
        <f aca="true">INDIRECT(ADDRESS(COLUMN()+119,ROW()+1,1,,"Cash"))</f>
        <v>686.487044303734</v>
      </c>
      <c r="R38" s="10" t="n">
        <f aca="true">INDIRECT(ADDRESS(COLUMN()+119,ROW()+1,1,,"Cash"))</f>
        <v>1374.97003474666</v>
      </c>
      <c r="S38" s="10" t="n">
        <f aca="true">INDIRECT(ADDRESS(COLUMN()+119,ROW()+1,1,,"Cash"))</f>
        <v>1597.92934962726</v>
      </c>
      <c r="T38" s="10" t="n">
        <f aca="true">INDIRECT(ADDRESS(COLUMN()+119,ROW()+1,1,,"Cash"))</f>
        <v>457.210069603456</v>
      </c>
      <c r="U38" s="10" t="n">
        <f aca="true">INDIRECT(ADDRESS(COLUMN()+119,ROW()+1,1,,"Cash"))</f>
        <v>2580.81350514571</v>
      </c>
      <c r="V38" s="10" t="n">
        <f aca="true">INDIRECT(ADDRESS(COLUMN()+119,ROW()+1,1,,"Cash"))</f>
        <v>627.547266328036</v>
      </c>
      <c r="W38" s="10" t="n">
        <f aca="true">INDIRECT(ADDRESS(COLUMN()+119,ROW()+1,1,,"Cash"))</f>
        <v>11499.0377385489</v>
      </c>
      <c r="X38" s="10" t="n">
        <f aca="true">INDIRECT(ADDRESS(COLUMN()+119,ROW()+1,1,,"Cash"))</f>
        <v>1197.21109749035</v>
      </c>
    </row>
    <row r="39" customFormat="false" ht="12.8" hidden="false" customHeight="false" outlineLevel="0" collapsed="false">
      <c r="A39" s="1" t="s">
        <v>359</v>
      </c>
      <c r="B39" s="10" t="n">
        <f aca="true">INDIRECT(ADDRESS(COLUMN()+119,ROW()+1,1,,"Cash"))</f>
        <v>12408.0636768708</v>
      </c>
      <c r="C39" s="10" t="n">
        <f aca="true">INDIRECT(ADDRESS(COLUMN()+119,ROW()+1,1,,"Cash"))</f>
        <v>1824.40660868344</v>
      </c>
      <c r="D39" s="10" t="n">
        <f aca="true">INDIRECT(ADDRESS(COLUMN()+119,ROW()+1,1,,"Cash"))</f>
        <v>1210.32400996313</v>
      </c>
      <c r="E39" s="10" t="n">
        <f aca="true">INDIRECT(ADDRESS(COLUMN()+119,ROW()+1,1,,"Cash"))</f>
        <v>596.549033902401</v>
      </c>
      <c r="F39" s="10" t="n">
        <f aca="true">INDIRECT(ADDRESS(COLUMN()+119,ROW()+1,1,,"Cash"))</f>
        <v>9149.84251671284</v>
      </c>
      <c r="G39" s="10" t="n">
        <f aca="true">INDIRECT(ADDRESS(COLUMN()+119,ROW()+1,1,,"Cash"))</f>
        <v>2964.68490681609</v>
      </c>
      <c r="H39" s="10" t="n">
        <f aca="true">INDIRECT(ADDRESS(COLUMN()+119,ROW()+1,1,,"Cash"))</f>
        <v>2249.38672818026</v>
      </c>
      <c r="I39" s="10" t="n">
        <f aca="true">INDIRECT(ADDRESS(COLUMN()+119,ROW()+1,1,,"Cash"))</f>
        <v>5654.92533620644</v>
      </c>
      <c r="J39" s="10" t="n">
        <f aca="true">INDIRECT(ADDRESS(COLUMN()+119,ROW()+1,1,,"Cash"))</f>
        <v>682.854797693882</v>
      </c>
      <c r="K39" s="10" t="n">
        <f aca="true">INDIRECT(ADDRESS(COLUMN()+119,ROW()+1,1,,"Cash"))</f>
        <v>1276.04043705872</v>
      </c>
      <c r="L39" s="10" t="n">
        <f aca="true">INDIRECT(ADDRESS(COLUMN()+119,ROW()+1,1,,"Cash"))</f>
        <v>1264.42607562009</v>
      </c>
      <c r="M39" s="10" t="n">
        <f aca="true">INDIRECT(ADDRESS(COLUMN()+119,ROW()+1,1,,"Cash"))</f>
        <v>1124.50896381123</v>
      </c>
      <c r="N39" s="10" t="n">
        <f aca="true">INDIRECT(ADDRESS(COLUMN()+119,ROW()+1,1,,"Cash"))</f>
        <v>1569.41435420543</v>
      </c>
      <c r="O39" s="10" t="n">
        <f aca="true">INDIRECT(ADDRESS(COLUMN()+119,ROW()+1,1,,"Cash"))</f>
        <v>2268.70332182903</v>
      </c>
      <c r="P39" s="10" t="n">
        <f aca="true">INDIRECT(ADDRESS(COLUMN()+119,ROW()+1,1,,"Cash"))</f>
        <v>922.484676059375</v>
      </c>
      <c r="Q39" s="26" t="n">
        <f aca="true">INDIRECT(ADDRESS(COLUMN()+119,ROW()+1,1,,"Cash"))</f>
        <v>821.009899193751</v>
      </c>
      <c r="R39" s="10" t="n">
        <f aca="true">INDIRECT(ADDRESS(COLUMN()+119,ROW()+1,1,,"Cash"))</f>
        <v>1145.62997192987</v>
      </c>
      <c r="S39" s="10" t="n">
        <f aca="true">INDIRECT(ADDRESS(COLUMN()+119,ROW()+1,1,,"Cash"))</f>
        <v>4039.55693640903</v>
      </c>
      <c r="T39" s="10" t="n">
        <f aca="true">INDIRECT(ADDRESS(COLUMN()+119,ROW()+1,1,,"Cash"))</f>
        <v>551.201854163394</v>
      </c>
      <c r="U39" s="10" t="n">
        <f aca="true">INDIRECT(ADDRESS(COLUMN()+119,ROW()+1,1,,"Cash"))</f>
        <v>8588.37943657955</v>
      </c>
      <c r="V39" s="10" t="n">
        <f aca="true">INDIRECT(ADDRESS(COLUMN()+119,ROW()+1,1,,"Cash"))</f>
        <v>814.54660455607</v>
      </c>
      <c r="W39" s="10" t="n">
        <f aca="true">INDIRECT(ADDRESS(COLUMN()+119,ROW()+1,1,,"Cash"))</f>
        <v>1426.57938011651</v>
      </c>
      <c r="X39" s="10" t="n">
        <f aca="true">INDIRECT(ADDRESS(COLUMN()+119,ROW()+1,1,,"Cash"))</f>
        <v>1246.90828848284</v>
      </c>
    </row>
    <row r="40" customFormat="false" ht="12.8" hidden="false" customHeight="false" outlineLevel="0" collapsed="false">
      <c r="A40" s="1" t="s">
        <v>360</v>
      </c>
      <c r="B40" s="10" t="n">
        <f aca="true">INDIRECT(ADDRESS(COLUMN()+119,ROW()+1,1,,"Cash"))</f>
        <v>134983.113507726</v>
      </c>
      <c r="C40" s="10" t="n">
        <f aca="true">INDIRECT(ADDRESS(COLUMN()+119,ROW()+1,1,,"Cash"))</f>
        <v>63324.6532929283</v>
      </c>
      <c r="D40" s="10" t="n">
        <f aca="true">INDIRECT(ADDRESS(COLUMN()+119,ROW()+1,1,,"Cash"))</f>
        <v>19178.7947270667</v>
      </c>
      <c r="E40" s="10" t="n">
        <f aca="true">INDIRECT(ADDRESS(COLUMN()+119,ROW()+1,1,,"Cash"))</f>
        <v>6975.33581162688</v>
      </c>
      <c r="F40" s="10" t="n">
        <f aca="true">INDIRECT(ADDRESS(COLUMN()+119,ROW()+1,1,,"Cash"))</f>
        <v>40210.2893200045</v>
      </c>
      <c r="G40" s="10" t="n">
        <f aca="true">INDIRECT(ADDRESS(COLUMN()+119,ROW()+1,1,,"Cash"))</f>
        <v>14821.219371573</v>
      </c>
      <c r="H40" s="10" t="n">
        <f aca="true">INDIRECT(ADDRESS(COLUMN()+119,ROW()+1,1,,"Cash"))</f>
        <v>33109.9424890855</v>
      </c>
      <c r="I40" s="10" t="n">
        <f aca="true">INDIRECT(ADDRESS(COLUMN()+119,ROW()+1,1,,"Cash"))</f>
        <v>20118.3637244941</v>
      </c>
      <c r="J40" s="10" t="n">
        <f aca="true">INDIRECT(ADDRESS(COLUMN()+119,ROW()+1,1,,"Cash"))</f>
        <v>7390.37886393765</v>
      </c>
      <c r="K40" s="10" t="n">
        <f aca="true">INDIRECT(ADDRESS(COLUMN()+119,ROW()+1,1,,"Cash"))</f>
        <v>10167.8041468403</v>
      </c>
      <c r="L40" s="10" t="n">
        <f aca="true">INDIRECT(ADDRESS(COLUMN()+119,ROW()+1,1,,"Cash"))</f>
        <v>13662.1751676708</v>
      </c>
      <c r="M40" s="10" t="n">
        <f aca="true">INDIRECT(ADDRESS(COLUMN()+119,ROW()+1,1,,"Cash"))</f>
        <v>27814.3092401579</v>
      </c>
      <c r="N40" s="10" t="n">
        <f aca="true">INDIRECT(ADDRESS(COLUMN()+119,ROW()+1,1,,"Cash"))</f>
        <v>25833.8292634478</v>
      </c>
      <c r="O40" s="10" t="n">
        <f aca="true">INDIRECT(ADDRESS(COLUMN()+119,ROW()+1,1,,"Cash"))</f>
        <v>9431.69731206325</v>
      </c>
      <c r="P40" s="10" t="n">
        <f aca="true">INDIRECT(ADDRESS(COLUMN()+119,ROW()+1,1,,"Cash"))</f>
        <v>9097.08671095025</v>
      </c>
      <c r="Q40" s="26" t="n">
        <f aca="true">INDIRECT(ADDRESS(COLUMN()+119,ROW()+1,1,,"Cash"))</f>
        <v>6861.42332295662</v>
      </c>
      <c r="R40" s="10" t="n">
        <f aca="true">INDIRECT(ADDRESS(COLUMN()+119,ROW()+1,1,,"Cash"))</f>
        <v>7569.07555501899</v>
      </c>
      <c r="S40" s="10" t="n">
        <f aca="true">INDIRECT(ADDRESS(COLUMN()+119,ROW()+1,1,,"Cash"))</f>
        <v>55272.257835251</v>
      </c>
      <c r="T40" s="10" t="n">
        <f aca="true">INDIRECT(ADDRESS(COLUMN()+119,ROW()+1,1,,"Cash"))</f>
        <v>5166.21634808478</v>
      </c>
      <c r="U40" s="10" t="n">
        <f aca="true">INDIRECT(ADDRESS(COLUMN()+119,ROW()+1,1,,"Cash"))</f>
        <v>42111.3232019763</v>
      </c>
      <c r="V40" s="10" t="n">
        <f aca="true">INDIRECT(ADDRESS(COLUMN()+119,ROW()+1,1,,"Cash"))</f>
        <v>8302.28911413884</v>
      </c>
      <c r="W40" s="10" t="n">
        <f aca="true">INDIRECT(ADDRESS(COLUMN()+119,ROW()+1,1,,"Cash"))</f>
        <v>28279.4761287418</v>
      </c>
      <c r="X40" s="10" t="n">
        <f aca="true">INDIRECT(ADDRESS(COLUMN()+119,ROW()+1,1,,"Cash"))</f>
        <v>30147.7366691702</v>
      </c>
    </row>
    <row r="41" customFormat="false" ht="12.8" hidden="false" customHeight="false" outlineLevel="0" collapsed="false">
      <c r="A41" s="1" t="s">
        <v>361</v>
      </c>
      <c r="B41" s="10" t="n">
        <f aca="true">INDIRECT(ADDRESS(COLUMN()+119,ROW()+1,1,,"Cash"))</f>
        <v>50191.9300948012</v>
      </c>
      <c r="C41" s="10" t="n">
        <f aca="true">INDIRECT(ADDRESS(COLUMN()+119,ROW()+1,1,,"Cash"))</f>
        <v>44837.2079476251</v>
      </c>
      <c r="D41" s="10" t="n">
        <f aca="true">INDIRECT(ADDRESS(COLUMN()+119,ROW()+1,1,,"Cash"))</f>
        <v>18764.9221072661</v>
      </c>
      <c r="E41" s="10" t="n">
        <f aca="true">INDIRECT(ADDRESS(COLUMN()+119,ROW()+1,1,,"Cash"))</f>
        <v>13550.1351813798</v>
      </c>
      <c r="F41" s="10" t="n">
        <f aca="true">INDIRECT(ADDRESS(COLUMN()+119,ROW()+1,1,,"Cash"))</f>
        <v>49279.5215887367</v>
      </c>
      <c r="G41" s="10" t="n">
        <f aca="true">INDIRECT(ADDRESS(COLUMN()+119,ROW()+1,1,,"Cash"))</f>
        <v>55210.0478880313</v>
      </c>
      <c r="H41" s="10" t="n">
        <f aca="true">INDIRECT(ADDRESS(COLUMN()+119,ROW()+1,1,,"Cash"))</f>
        <v>24662.3627478574</v>
      </c>
      <c r="I41" s="10" t="n">
        <f aca="true">INDIRECT(ADDRESS(COLUMN()+119,ROW()+1,1,,"Cash"))</f>
        <v>35252.9730354257</v>
      </c>
      <c r="J41" s="10" t="n">
        <f aca="true">INDIRECT(ADDRESS(COLUMN()+119,ROW()+1,1,,"Cash"))</f>
        <v>21107.4193429094</v>
      </c>
      <c r="K41" s="10" t="n">
        <f aca="true">INDIRECT(ADDRESS(COLUMN()+119,ROW()+1,1,,"Cash"))</f>
        <v>33795.5313424625</v>
      </c>
      <c r="L41" s="10" t="n">
        <f aca="true">INDIRECT(ADDRESS(COLUMN()+119,ROW()+1,1,,"Cash"))</f>
        <v>31904.6131757915</v>
      </c>
      <c r="M41" s="10" t="n">
        <f aca="true">INDIRECT(ADDRESS(COLUMN()+119,ROW()+1,1,,"Cash"))</f>
        <v>86638.2616564357</v>
      </c>
      <c r="N41" s="10" t="n">
        <f aca="true">INDIRECT(ADDRESS(COLUMN()+119,ROW()+1,1,,"Cash"))</f>
        <v>30691.0704636044</v>
      </c>
      <c r="O41" s="10" t="n">
        <f aca="true">INDIRECT(ADDRESS(COLUMN()+119,ROW()+1,1,,"Cash"))</f>
        <v>24696.0465112654</v>
      </c>
      <c r="P41" s="10" t="n">
        <f aca="true">INDIRECT(ADDRESS(COLUMN()+119,ROW()+1,1,,"Cash"))</f>
        <v>22608.3659940723</v>
      </c>
      <c r="Q41" s="26" t="n">
        <f aca="true">INDIRECT(ADDRESS(COLUMN()+119,ROW()+1,1,,"Cash"))</f>
        <v>18382.5580755271</v>
      </c>
      <c r="R41" s="10" t="n">
        <f aca="true">INDIRECT(ADDRESS(COLUMN()+119,ROW()+1,1,,"Cash"))</f>
        <v>34358.0385374062</v>
      </c>
      <c r="S41" s="10" t="n">
        <f aca="true">INDIRECT(ADDRESS(COLUMN()+119,ROW()+1,1,,"Cash"))</f>
        <v>172156.480358461</v>
      </c>
      <c r="T41" s="10" t="n">
        <f aca="true">INDIRECT(ADDRESS(COLUMN()+119,ROW()+1,1,,"Cash"))</f>
        <v>12383.0274601716</v>
      </c>
      <c r="U41" s="10" t="n">
        <f aca="true">INDIRECT(ADDRESS(COLUMN()+119,ROW()+1,1,,"Cash"))</f>
        <v>107130.888046724</v>
      </c>
      <c r="V41" s="10" t="n">
        <f aca="true">INDIRECT(ADDRESS(COLUMN()+119,ROW()+1,1,,"Cash"))</f>
        <v>17307.9176008461</v>
      </c>
      <c r="W41" s="10" t="n">
        <f aca="true">INDIRECT(ADDRESS(COLUMN()+119,ROW()+1,1,,"Cash"))</f>
        <v>46978.5729024182</v>
      </c>
      <c r="X41" s="10" t="n">
        <f aca="true">INDIRECT(ADDRESS(COLUMN()+119,ROW()+1,1,,"Cash"))</f>
        <v>151869.87181841</v>
      </c>
    </row>
    <row r="42" customFormat="false" ht="12.8" hidden="false" customHeight="false" outlineLevel="0" collapsed="false">
      <c r="A42" s="1" t="s">
        <v>362</v>
      </c>
      <c r="B42" s="10" t="n">
        <f aca="true">INDIRECT(ADDRESS(COLUMN()+119,ROW()+1,1,,"Cash"))</f>
        <v>56583.2923469771</v>
      </c>
      <c r="C42" s="10" t="n">
        <f aca="true">INDIRECT(ADDRESS(COLUMN()+119,ROW()+1,1,,"Cash"))</f>
        <v>12961.6684988656</v>
      </c>
      <c r="D42" s="10" t="n">
        <f aca="true">INDIRECT(ADDRESS(COLUMN()+119,ROW()+1,1,,"Cash"))</f>
        <v>10003.8287714016</v>
      </c>
      <c r="E42" s="10" t="n">
        <f aca="true">INDIRECT(ADDRESS(COLUMN()+119,ROW()+1,1,,"Cash"))</f>
        <v>4697.58527701856</v>
      </c>
      <c r="F42" s="10" t="n">
        <f aca="true">INDIRECT(ADDRESS(COLUMN()+119,ROW()+1,1,,"Cash"))</f>
        <v>63738.2088895526</v>
      </c>
      <c r="G42" s="10" t="n">
        <f aca="true">INDIRECT(ADDRESS(COLUMN()+119,ROW()+1,1,,"Cash"))</f>
        <v>24721.4845106204</v>
      </c>
      <c r="H42" s="10" t="n">
        <f aca="true">INDIRECT(ADDRESS(COLUMN()+119,ROW()+1,1,,"Cash"))</f>
        <v>10168.7757033029</v>
      </c>
      <c r="I42" s="10" t="n">
        <f aca="true">INDIRECT(ADDRESS(COLUMN()+119,ROW()+1,1,,"Cash"))</f>
        <v>7798.793639963</v>
      </c>
      <c r="J42" s="10" t="n">
        <f aca="true">INDIRECT(ADDRESS(COLUMN()+119,ROW()+1,1,,"Cash"))</f>
        <v>5810.75963792916</v>
      </c>
      <c r="K42" s="10" t="n">
        <f aca="true">INDIRECT(ADDRESS(COLUMN()+119,ROW()+1,1,,"Cash"))</f>
        <v>39627.0621383437</v>
      </c>
      <c r="L42" s="10" t="n">
        <f aca="true">INDIRECT(ADDRESS(COLUMN()+119,ROW()+1,1,,"Cash"))</f>
        <v>20398.7264327026</v>
      </c>
      <c r="M42" s="10" t="n">
        <f aca="true">INDIRECT(ADDRESS(COLUMN()+119,ROW()+1,1,,"Cash"))</f>
        <v>18924.9707946037</v>
      </c>
      <c r="N42" s="10" t="n">
        <f aca="true">INDIRECT(ADDRESS(COLUMN()+119,ROW()+1,1,,"Cash"))</f>
        <v>21098.1236924557</v>
      </c>
      <c r="O42" s="10" t="n">
        <f aca="true">INDIRECT(ADDRESS(COLUMN()+119,ROW()+1,1,,"Cash"))</f>
        <v>9521.25775924942</v>
      </c>
      <c r="P42" s="10" t="n">
        <f aca="true">INDIRECT(ADDRESS(COLUMN()+119,ROW()+1,1,,"Cash"))</f>
        <v>6491.77131680576</v>
      </c>
      <c r="Q42" s="26" t="n">
        <f aca="true">INDIRECT(ADDRESS(COLUMN()+119,ROW()+1,1,,"Cash"))</f>
        <v>4272.32740196519</v>
      </c>
      <c r="R42" s="10" t="n">
        <f aca="true">INDIRECT(ADDRESS(COLUMN()+119,ROW()+1,1,,"Cash"))</f>
        <v>9308.93329783653</v>
      </c>
      <c r="S42" s="10" t="n">
        <f aca="true">INDIRECT(ADDRESS(COLUMN()+119,ROW()+1,1,,"Cash"))</f>
        <v>16208.0438802607</v>
      </c>
      <c r="T42" s="10" t="n">
        <f aca="true">INDIRECT(ADDRESS(COLUMN()+119,ROW()+1,1,,"Cash"))</f>
        <v>3540.33985375466</v>
      </c>
      <c r="U42" s="10" t="n">
        <f aca="true">INDIRECT(ADDRESS(COLUMN()+119,ROW()+1,1,,"Cash"))</f>
        <v>19459.0594860314</v>
      </c>
      <c r="V42" s="10" t="n">
        <f aca="true">INDIRECT(ADDRESS(COLUMN()+119,ROW()+1,1,,"Cash"))</f>
        <v>5663.4558818654</v>
      </c>
      <c r="W42" s="10" t="n">
        <f aca="true">INDIRECT(ADDRESS(COLUMN()+119,ROW()+1,1,,"Cash"))</f>
        <v>19790.8464117675</v>
      </c>
      <c r="X42" s="10" t="n">
        <f aca="true">INDIRECT(ADDRESS(COLUMN()+119,ROW()+1,1,,"Cash"))</f>
        <v>9875.88759019032</v>
      </c>
    </row>
    <row r="43" customFormat="false" ht="12.8" hidden="false" customHeight="false" outlineLevel="0" collapsed="false">
      <c r="A43" s="1" t="s">
        <v>363</v>
      </c>
      <c r="B43" s="10" t="n">
        <f aca="true">INDIRECT(ADDRESS(COLUMN()+119,ROW()+1,1,,"Cash"))</f>
        <v>37099.1434696038</v>
      </c>
      <c r="C43" s="10" t="n">
        <f aca="true">INDIRECT(ADDRESS(COLUMN()+119,ROW()+1,1,,"Cash"))</f>
        <v>33469.8190773715</v>
      </c>
      <c r="D43" s="10" t="n">
        <f aca="true">INDIRECT(ADDRESS(COLUMN()+119,ROW()+1,1,,"Cash"))</f>
        <v>19031.6372260862</v>
      </c>
      <c r="E43" s="10" t="n">
        <f aca="true">INDIRECT(ADDRESS(COLUMN()+119,ROW()+1,1,,"Cash"))</f>
        <v>7344.36166252377</v>
      </c>
      <c r="F43" s="10" t="n">
        <f aca="true">INDIRECT(ADDRESS(COLUMN()+119,ROW()+1,1,,"Cash"))</f>
        <v>42009.0538649821</v>
      </c>
      <c r="G43" s="10" t="n">
        <f aca="true">INDIRECT(ADDRESS(COLUMN()+119,ROW()+1,1,,"Cash"))</f>
        <v>11054.1979656227</v>
      </c>
      <c r="H43" s="10" t="n">
        <f aca="true">INDIRECT(ADDRESS(COLUMN()+119,ROW()+1,1,,"Cash"))</f>
        <v>15928.8646680609</v>
      </c>
      <c r="I43" s="10" t="n">
        <f aca="true">INDIRECT(ADDRESS(COLUMN()+119,ROW()+1,1,,"Cash"))</f>
        <v>15113.3534152554</v>
      </c>
      <c r="J43" s="10" t="n">
        <f aca="true">INDIRECT(ADDRESS(COLUMN()+119,ROW()+1,1,,"Cash"))</f>
        <v>8002.44822969988</v>
      </c>
      <c r="K43" s="10" t="n">
        <f aca="true">INDIRECT(ADDRESS(COLUMN()+119,ROW()+1,1,,"Cash"))</f>
        <v>51819.1390430594</v>
      </c>
      <c r="L43" s="10" t="n">
        <f aca="true">INDIRECT(ADDRESS(COLUMN()+119,ROW()+1,1,,"Cash"))</f>
        <v>23198.4499845645</v>
      </c>
      <c r="M43" s="10" t="n">
        <f aca="true">INDIRECT(ADDRESS(COLUMN()+119,ROW()+1,1,,"Cash"))</f>
        <v>17511.2772982215</v>
      </c>
      <c r="N43" s="10" t="n">
        <f aca="true">INDIRECT(ADDRESS(COLUMN()+119,ROW()+1,1,,"Cash"))</f>
        <v>9100.07026162806</v>
      </c>
      <c r="O43" s="10" t="n">
        <f aca="true">INDIRECT(ADDRESS(COLUMN()+119,ROW()+1,1,,"Cash"))</f>
        <v>18330.817953116</v>
      </c>
      <c r="P43" s="10" t="n">
        <f aca="true">INDIRECT(ADDRESS(COLUMN()+119,ROW()+1,1,,"Cash"))</f>
        <v>6092.5980909954</v>
      </c>
      <c r="Q43" s="26" t="n">
        <f aca="true">INDIRECT(ADDRESS(COLUMN()+119,ROW()+1,1,,"Cash"))</f>
        <v>7534.70308027715</v>
      </c>
      <c r="R43" s="10" t="n">
        <f aca="true">INDIRECT(ADDRESS(COLUMN()+119,ROW()+1,1,,"Cash"))</f>
        <v>14883.4644762733</v>
      </c>
      <c r="S43" s="10" t="n">
        <f aca="true">INDIRECT(ADDRESS(COLUMN()+119,ROW()+1,1,,"Cash"))</f>
        <v>16118.7452558848</v>
      </c>
      <c r="T43" s="10" t="n">
        <f aca="true">INDIRECT(ADDRESS(COLUMN()+119,ROW()+1,1,,"Cash"))</f>
        <v>5061.76739637181</v>
      </c>
      <c r="U43" s="10" t="n">
        <f aca="true">INDIRECT(ADDRESS(COLUMN()+119,ROW()+1,1,,"Cash"))</f>
        <v>17173.2049799888</v>
      </c>
      <c r="V43" s="10" t="n">
        <f aca="true">INDIRECT(ADDRESS(COLUMN()+119,ROW()+1,1,,"Cash"))</f>
        <v>8149.47162601603</v>
      </c>
      <c r="W43" s="10" t="n">
        <f aca="true">INDIRECT(ADDRESS(COLUMN()+119,ROW()+1,1,,"Cash"))</f>
        <v>68819.5434170365</v>
      </c>
      <c r="X43" s="10" t="n">
        <f aca="true">INDIRECT(ADDRESS(COLUMN()+119,ROW()+1,1,,"Cash"))</f>
        <v>69501.8109786701</v>
      </c>
    </row>
    <row r="44" customFormat="false" ht="12.8" hidden="false" customHeight="false" outlineLevel="0" collapsed="false">
      <c r="A44" s="1" t="s">
        <v>364</v>
      </c>
      <c r="B44" s="10" t="n">
        <f aca="true">INDIRECT(ADDRESS(COLUMN()+119,ROW()+1,1,,"Cash"))</f>
        <v>13214.9017878746</v>
      </c>
      <c r="C44" s="10" t="n">
        <f aca="true">INDIRECT(ADDRESS(COLUMN()+119,ROW()+1,1,,"Cash"))</f>
        <v>3700.63723080244</v>
      </c>
      <c r="D44" s="10" t="n">
        <f aca="true">INDIRECT(ADDRESS(COLUMN()+119,ROW()+1,1,,"Cash"))</f>
        <v>737.903697132058</v>
      </c>
      <c r="E44" s="10" t="n">
        <f aca="true">INDIRECT(ADDRESS(COLUMN()+119,ROW()+1,1,,"Cash"))</f>
        <v>644.707461734525</v>
      </c>
      <c r="F44" s="10" t="n">
        <f aca="true">INDIRECT(ADDRESS(COLUMN()+119,ROW()+1,1,,"Cash"))</f>
        <v>1832.13349464015</v>
      </c>
      <c r="G44" s="10" t="n">
        <f aca="true">INDIRECT(ADDRESS(COLUMN()+119,ROW()+1,1,,"Cash"))</f>
        <v>2651.81211473778</v>
      </c>
      <c r="H44" s="10" t="n">
        <f aca="true">INDIRECT(ADDRESS(COLUMN()+119,ROW()+1,1,,"Cash"))</f>
        <v>2424.45723669854</v>
      </c>
      <c r="I44" s="10" t="n">
        <f aca="true">INDIRECT(ADDRESS(COLUMN()+119,ROW()+1,1,,"Cash"))</f>
        <v>5284.5073167779</v>
      </c>
      <c r="J44" s="10" t="n">
        <f aca="true">INDIRECT(ADDRESS(COLUMN()+119,ROW()+1,1,,"Cash"))</f>
        <v>1117.99908282542</v>
      </c>
      <c r="K44" s="10" t="n">
        <f aca="true">INDIRECT(ADDRESS(COLUMN()+119,ROW()+1,1,,"Cash"))</f>
        <v>3264.63043658129</v>
      </c>
      <c r="L44" s="10" t="n">
        <f aca="true">INDIRECT(ADDRESS(COLUMN()+119,ROW()+1,1,,"Cash"))</f>
        <v>1730.86024587355</v>
      </c>
      <c r="M44" s="10" t="n">
        <f aca="true">INDIRECT(ADDRESS(COLUMN()+119,ROW()+1,1,,"Cash"))</f>
        <v>956.452367217865</v>
      </c>
      <c r="N44" s="10" t="n">
        <f aca="true">INDIRECT(ADDRESS(COLUMN()+119,ROW()+1,1,,"Cash"))</f>
        <v>3400.86719700457</v>
      </c>
      <c r="O44" s="10" t="n">
        <f aca="true">INDIRECT(ADDRESS(COLUMN()+119,ROW()+1,1,,"Cash"))</f>
        <v>2533.38433469135</v>
      </c>
      <c r="P44" s="10" t="n">
        <f aca="true">INDIRECT(ADDRESS(COLUMN()+119,ROW()+1,1,,"Cash"))</f>
        <v>1068.00463822273</v>
      </c>
      <c r="Q44" s="26" t="n">
        <f aca="true">INDIRECT(ADDRESS(COLUMN()+119,ROW()+1,1,,"Cash"))</f>
        <v>1046.20466460681</v>
      </c>
      <c r="R44" s="10" t="n">
        <f aca="true">INDIRECT(ADDRESS(COLUMN()+119,ROW()+1,1,,"Cash"))</f>
        <v>1911.60318527508</v>
      </c>
      <c r="S44" s="10" t="n">
        <f aca="true">INDIRECT(ADDRESS(COLUMN()+119,ROW()+1,1,,"Cash"))</f>
        <v>3907.25917509188</v>
      </c>
      <c r="T44" s="10" t="n">
        <f aca="true">INDIRECT(ADDRESS(COLUMN()+119,ROW()+1,1,,"Cash"))</f>
        <v>773.996063855952</v>
      </c>
      <c r="U44" s="10" t="n">
        <f aca="true">INDIRECT(ADDRESS(COLUMN()+119,ROW()+1,1,,"Cash"))</f>
        <v>1781.44580730922</v>
      </c>
      <c r="V44" s="10" t="n">
        <f aca="true">INDIRECT(ADDRESS(COLUMN()+119,ROW()+1,1,,"Cash"))</f>
        <v>1812.38785694989</v>
      </c>
      <c r="W44" s="10" t="n">
        <f aca="true">INDIRECT(ADDRESS(COLUMN()+119,ROW()+1,1,,"Cash"))</f>
        <v>2679.62970192533</v>
      </c>
      <c r="X44" s="10" t="n">
        <f aca="true">INDIRECT(ADDRESS(COLUMN()+119,ROW()+1,1,,"Cash"))</f>
        <v>2155.02575847613</v>
      </c>
    </row>
    <row r="45" customFormat="false" ht="12.8" hidden="false" customHeight="false" outlineLevel="0" collapsed="false">
      <c r="A45" s="1" t="s">
        <v>365</v>
      </c>
      <c r="B45" s="10" t="n">
        <f aca="true">INDIRECT(ADDRESS(COLUMN()+119,ROW()+1,1,,"Cash"))</f>
        <v>2728.11955429859</v>
      </c>
      <c r="C45" s="10" t="n">
        <f aca="true">INDIRECT(ADDRESS(COLUMN()+119,ROW()+1,1,,"Cash"))</f>
        <v>774.252605202563</v>
      </c>
      <c r="D45" s="10" t="n">
        <f aca="true">INDIRECT(ADDRESS(COLUMN()+119,ROW()+1,1,,"Cash"))</f>
        <v>625.047574185871</v>
      </c>
      <c r="E45" s="10" t="n">
        <f aca="true">INDIRECT(ADDRESS(COLUMN()+119,ROW()+1,1,,"Cash"))</f>
        <v>256.761892328234</v>
      </c>
      <c r="F45" s="10" t="n">
        <f aca="true">INDIRECT(ADDRESS(COLUMN()+119,ROW()+1,1,,"Cash"))</f>
        <v>4024.80261626545</v>
      </c>
      <c r="G45" s="10" t="n">
        <f aca="true">INDIRECT(ADDRESS(COLUMN()+119,ROW()+1,1,,"Cash"))</f>
        <v>617.834930995225</v>
      </c>
      <c r="H45" s="10" t="n">
        <f aca="true">INDIRECT(ADDRESS(COLUMN()+119,ROW()+1,1,,"Cash"))</f>
        <v>1025.78896184304</v>
      </c>
      <c r="I45" s="10" t="n">
        <f aca="true">INDIRECT(ADDRESS(COLUMN()+119,ROW()+1,1,,"Cash"))</f>
        <v>1237.15515304514</v>
      </c>
      <c r="J45" s="10" t="n">
        <f aca="true">INDIRECT(ADDRESS(COLUMN()+119,ROW()+1,1,,"Cash"))</f>
        <v>300.337903554305</v>
      </c>
      <c r="K45" s="10" t="n">
        <f aca="true">INDIRECT(ADDRESS(COLUMN()+119,ROW()+1,1,,"Cash"))</f>
        <v>867.380686845927</v>
      </c>
      <c r="L45" s="10" t="n">
        <f aca="true">INDIRECT(ADDRESS(COLUMN()+119,ROW()+1,1,,"Cash"))</f>
        <v>796.393585368564</v>
      </c>
      <c r="M45" s="10" t="n">
        <f aca="true">INDIRECT(ADDRESS(COLUMN()+119,ROW()+1,1,,"Cash"))</f>
        <v>1529.02380806158</v>
      </c>
      <c r="N45" s="10" t="n">
        <f aca="true">INDIRECT(ADDRESS(COLUMN()+119,ROW()+1,1,,"Cash"))</f>
        <v>466.020927627047</v>
      </c>
      <c r="O45" s="10" t="n">
        <f aca="true">INDIRECT(ADDRESS(COLUMN()+119,ROW()+1,1,,"Cash"))</f>
        <v>465.291965889239</v>
      </c>
      <c r="P45" s="10" t="n">
        <f aca="true">INDIRECT(ADDRESS(COLUMN()+119,ROW()+1,1,,"Cash"))</f>
        <v>261.317538941124</v>
      </c>
      <c r="Q45" s="26" t="n">
        <f aca="true">INDIRECT(ADDRESS(COLUMN()+119,ROW()+1,1,,"Cash"))</f>
        <v>295.028375899677</v>
      </c>
      <c r="R45" s="10" t="n">
        <f aca="true">INDIRECT(ADDRESS(COLUMN()+119,ROW()+1,1,,"Cash"))</f>
        <v>252.270136908965</v>
      </c>
      <c r="S45" s="10" t="n">
        <f aca="true">INDIRECT(ADDRESS(COLUMN()+119,ROW()+1,1,,"Cash"))</f>
        <v>2232.5254373102</v>
      </c>
      <c r="T45" s="10" t="n">
        <f aca="true">INDIRECT(ADDRESS(COLUMN()+119,ROW()+1,1,,"Cash"))</f>
        <v>227.496647228014</v>
      </c>
      <c r="U45" s="10" t="n">
        <f aca="true">INDIRECT(ADDRESS(COLUMN()+119,ROW()+1,1,,"Cash"))</f>
        <v>889.019076675029</v>
      </c>
      <c r="V45" s="10" t="n">
        <f aca="true">INDIRECT(ADDRESS(COLUMN()+119,ROW()+1,1,,"Cash"))</f>
        <v>522.56429698841</v>
      </c>
      <c r="W45" s="10" t="n">
        <f aca="true">INDIRECT(ADDRESS(COLUMN()+119,ROW()+1,1,,"Cash"))</f>
        <v>720.102929304241</v>
      </c>
      <c r="X45" s="10" t="n">
        <f aca="true">INDIRECT(ADDRESS(COLUMN()+119,ROW()+1,1,,"Cash"))</f>
        <v>521.950677391799</v>
      </c>
    </row>
    <row r="46" customFormat="false" ht="12.8" hidden="false" customHeight="false" outlineLevel="0" collapsed="false">
      <c r="A46" s="1" t="s">
        <v>366</v>
      </c>
      <c r="B46" s="10" t="n">
        <f aca="true">INDIRECT(ADDRESS(COLUMN()+119,ROW()+1,1,,"Cash"))</f>
        <v>737.986055545531</v>
      </c>
      <c r="C46" s="10" t="n">
        <f aca="true">INDIRECT(ADDRESS(COLUMN()+119,ROW()+1,1,,"Cash"))</f>
        <v>4560.0943396288</v>
      </c>
      <c r="D46" s="10" t="n">
        <f aca="true">INDIRECT(ADDRESS(COLUMN()+119,ROW()+1,1,,"Cash"))</f>
        <v>789.37855412469</v>
      </c>
      <c r="E46" s="10" t="n">
        <f aca="true">INDIRECT(ADDRESS(COLUMN()+119,ROW()+1,1,,"Cash"))</f>
        <v>368.444323300897</v>
      </c>
      <c r="F46" s="10" t="n">
        <f aca="true">INDIRECT(ADDRESS(COLUMN()+119,ROW()+1,1,,"Cash"))</f>
        <v>738.52458592091</v>
      </c>
      <c r="G46" s="10" t="n">
        <f aca="true">INDIRECT(ADDRESS(COLUMN()+119,ROW()+1,1,,"Cash"))</f>
        <v>1707.47657965924</v>
      </c>
      <c r="H46" s="10" t="n">
        <f aca="true">INDIRECT(ADDRESS(COLUMN()+119,ROW()+1,1,,"Cash"))</f>
        <v>607.420925334195</v>
      </c>
      <c r="I46" s="10" t="n">
        <f aca="true">INDIRECT(ADDRESS(COLUMN()+119,ROW()+1,1,,"Cash"))</f>
        <v>865.621745017717</v>
      </c>
      <c r="J46" s="10" t="n">
        <f aca="true">INDIRECT(ADDRESS(COLUMN()+119,ROW()+1,1,,"Cash"))</f>
        <v>589.526069952837</v>
      </c>
      <c r="K46" s="10" t="n">
        <f aca="true">INDIRECT(ADDRESS(COLUMN()+119,ROW()+1,1,,"Cash"))</f>
        <v>1209.58957499101</v>
      </c>
      <c r="L46" s="10" t="n">
        <f aca="true">INDIRECT(ADDRESS(COLUMN()+119,ROW()+1,1,,"Cash"))</f>
        <v>1571.83598960771</v>
      </c>
      <c r="M46" s="10" t="n">
        <f aca="true">INDIRECT(ADDRESS(COLUMN()+119,ROW()+1,1,,"Cash"))</f>
        <v>537.22591594995</v>
      </c>
      <c r="N46" s="10" t="n">
        <f aca="true">INDIRECT(ADDRESS(COLUMN()+119,ROW()+1,1,,"Cash"))</f>
        <v>1481.31941747472</v>
      </c>
      <c r="O46" s="10" t="n">
        <f aca="true">INDIRECT(ADDRESS(COLUMN()+119,ROW()+1,1,,"Cash"))</f>
        <v>975.894276771668</v>
      </c>
      <c r="P46" s="10" t="n">
        <f aca="true">INDIRECT(ADDRESS(COLUMN()+119,ROW()+1,1,,"Cash"))</f>
        <v>303.533967282533</v>
      </c>
      <c r="Q46" s="26" t="n">
        <f aca="true">INDIRECT(ADDRESS(COLUMN()+119,ROW()+1,1,,"Cash"))</f>
        <v>477.628562243883</v>
      </c>
      <c r="R46" s="10" t="n">
        <f aca="true">INDIRECT(ADDRESS(COLUMN()+119,ROW()+1,1,,"Cash"))</f>
        <v>914.156852872464</v>
      </c>
      <c r="S46" s="10" t="n">
        <f aca="true">INDIRECT(ADDRESS(COLUMN()+119,ROW()+1,1,,"Cash"))</f>
        <v>1615.9181293427</v>
      </c>
      <c r="T46" s="10" t="n">
        <f aca="true">INDIRECT(ADDRESS(COLUMN()+119,ROW()+1,1,,"Cash"))</f>
        <v>267.108239690195</v>
      </c>
      <c r="U46" s="10" t="n">
        <f aca="true">INDIRECT(ADDRESS(COLUMN()+119,ROW()+1,1,,"Cash"))</f>
        <v>3506.28872704792</v>
      </c>
      <c r="V46" s="10" t="n">
        <f aca="true">INDIRECT(ADDRESS(COLUMN()+119,ROW()+1,1,,"Cash"))</f>
        <v>611.212096916484</v>
      </c>
      <c r="W46" s="10" t="n">
        <f aca="true">INDIRECT(ADDRESS(COLUMN()+119,ROW()+1,1,,"Cash"))</f>
        <v>509.099382307532</v>
      </c>
      <c r="X46" s="10" t="n">
        <f aca="true">INDIRECT(ADDRESS(COLUMN()+119,ROW()+1,1,,"Cash"))</f>
        <v>985.690060633849</v>
      </c>
    </row>
    <row r="47" customFormat="false" ht="12.8" hidden="false" customHeight="false" outlineLevel="0" collapsed="false">
      <c r="A47" s="1" t="s">
        <v>367</v>
      </c>
      <c r="B47" s="10" t="n">
        <f aca="true">INDIRECT(ADDRESS(COLUMN()+119,ROW()+1,1,,"Cash"))</f>
        <v>9405.16948311156</v>
      </c>
      <c r="C47" s="10" t="n">
        <f aca="true">INDIRECT(ADDRESS(COLUMN()+119,ROW()+1,1,,"Cash"))</f>
        <v>7864.25618205403</v>
      </c>
      <c r="D47" s="10" t="n">
        <f aca="true">INDIRECT(ADDRESS(COLUMN()+119,ROW()+1,1,,"Cash"))</f>
        <v>7740.29058854303</v>
      </c>
      <c r="E47" s="10" t="n">
        <f aca="true">INDIRECT(ADDRESS(COLUMN()+119,ROW()+1,1,,"Cash"))</f>
        <v>2509.07954843057</v>
      </c>
      <c r="F47" s="10" t="n">
        <f aca="true">INDIRECT(ADDRESS(COLUMN()+119,ROW()+1,1,,"Cash"))</f>
        <v>7455.09511746919</v>
      </c>
      <c r="G47" s="10" t="n">
        <f aca="true">INDIRECT(ADDRESS(COLUMN()+119,ROW()+1,1,,"Cash"))</f>
        <v>13055.1943509452</v>
      </c>
      <c r="H47" s="10" t="n">
        <f aca="true">INDIRECT(ADDRESS(COLUMN()+119,ROW()+1,1,,"Cash"))</f>
        <v>8812.51503549377</v>
      </c>
      <c r="I47" s="10" t="n">
        <f aca="true">INDIRECT(ADDRESS(COLUMN()+119,ROW()+1,1,,"Cash"))</f>
        <v>4512.18569663559</v>
      </c>
      <c r="J47" s="10" t="n">
        <f aca="true">INDIRECT(ADDRESS(COLUMN()+119,ROW()+1,1,,"Cash"))</f>
        <v>4659.93117000131</v>
      </c>
      <c r="K47" s="10" t="n">
        <f aca="true">INDIRECT(ADDRESS(COLUMN()+119,ROW()+1,1,,"Cash"))</f>
        <v>28484.7624902599</v>
      </c>
      <c r="L47" s="10" t="n">
        <f aca="true">INDIRECT(ADDRESS(COLUMN()+119,ROW()+1,1,,"Cash"))</f>
        <v>10111.8998754411</v>
      </c>
      <c r="M47" s="10" t="n">
        <f aca="true">INDIRECT(ADDRESS(COLUMN()+119,ROW()+1,1,,"Cash"))</f>
        <v>20012.4173148041</v>
      </c>
      <c r="N47" s="10" t="n">
        <f aca="true">INDIRECT(ADDRESS(COLUMN()+119,ROW()+1,1,,"Cash"))</f>
        <v>9929.78056036035</v>
      </c>
      <c r="O47" s="10" t="n">
        <f aca="true">INDIRECT(ADDRESS(COLUMN()+119,ROW()+1,1,,"Cash"))</f>
        <v>4524.59844970692</v>
      </c>
      <c r="P47" s="10" t="n">
        <f aca="true">INDIRECT(ADDRESS(COLUMN()+119,ROW()+1,1,,"Cash"))</f>
        <v>3979.04887564727</v>
      </c>
      <c r="Q47" s="26" t="n">
        <f aca="true">INDIRECT(ADDRESS(COLUMN()+119,ROW()+1,1,,"Cash"))</f>
        <v>4142.91110068433</v>
      </c>
      <c r="R47" s="10" t="n">
        <f aca="true">INDIRECT(ADDRESS(COLUMN()+119,ROW()+1,1,,"Cash"))</f>
        <v>8163.98281573468</v>
      </c>
      <c r="S47" s="10" t="n">
        <f aca="true">INDIRECT(ADDRESS(COLUMN()+119,ROW()+1,1,,"Cash"))</f>
        <v>11967.7824988634</v>
      </c>
      <c r="T47" s="10" t="n">
        <f aca="true">INDIRECT(ADDRESS(COLUMN()+119,ROW()+1,1,,"Cash"))</f>
        <v>3086.33551293159</v>
      </c>
      <c r="U47" s="10" t="n">
        <f aca="true">INDIRECT(ADDRESS(COLUMN()+119,ROW()+1,1,,"Cash"))</f>
        <v>8685.49510301167</v>
      </c>
      <c r="V47" s="10" t="n">
        <f aca="true">INDIRECT(ADDRESS(COLUMN()+119,ROW()+1,1,,"Cash"))</f>
        <v>6577.31788676519</v>
      </c>
      <c r="W47" s="10" t="n">
        <f aca="true">INDIRECT(ADDRESS(COLUMN()+119,ROW()+1,1,,"Cash"))</f>
        <v>45540.6855625809</v>
      </c>
      <c r="X47" s="10" t="n">
        <f aca="true">INDIRECT(ADDRESS(COLUMN()+119,ROW()+1,1,,"Cash"))</f>
        <v>4878.83610171904</v>
      </c>
    </row>
    <row r="48" customFormat="false" ht="12.8" hidden="false" customHeight="false" outlineLevel="0" collapsed="false">
      <c r="A48" s="1" t="s">
        <v>368</v>
      </c>
      <c r="B48" s="10" t="n">
        <f aca="true">INDIRECT(ADDRESS(COLUMN()+119,ROW()+1,1,,"Cash"))</f>
        <v>75.0798077344019</v>
      </c>
      <c r="C48" s="10" t="n">
        <f aca="true">INDIRECT(ADDRESS(COLUMN()+119,ROW()+1,1,,"Cash"))</f>
        <v>37.4935169589476</v>
      </c>
      <c r="D48" s="10" t="n">
        <f aca="true">INDIRECT(ADDRESS(COLUMN()+119,ROW()+1,1,,"Cash"))</f>
        <v>12.2669563021382</v>
      </c>
      <c r="E48" s="10" t="n">
        <f aca="true">INDIRECT(ADDRESS(COLUMN()+119,ROW()+1,1,,"Cash"))</f>
        <v>4.30814774237943</v>
      </c>
      <c r="F48" s="10" t="n">
        <f aca="true">INDIRECT(ADDRESS(COLUMN()+119,ROW()+1,1,,"Cash"))</f>
        <v>79.5563938378504</v>
      </c>
      <c r="G48" s="10" t="n">
        <f aca="true">INDIRECT(ADDRESS(COLUMN()+119,ROW()+1,1,,"Cash"))</f>
        <v>22.4305907574893</v>
      </c>
      <c r="H48" s="10" t="n">
        <f aca="true">INDIRECT(ADDRESS(COLUMN()+119,ROW()+1,1,,"Cash"))</f>
        <v>19.3105371843676</v>
      </c>
      <c r="I48" s="10" t="n">
        <f aca="true">INDIRECT(ADDRESS(COLUMN()+119,ROW()+1,1,,"Cash"))</f>
        <v>46.2893887859862</v>
      </c>
      <c r="J48" s="10" t="n">
        <f aca="true">INDIRECT(ADDRESS(COLUMN()+119,ROW()+1,1,,"Cash"))</f>
        <v>7.88598410453686</v>
      </c>
      <c r="K48" s="10" t="n">
        <f aca="true">INDIRECT(ADDRESS(COLUMN()+119,ROW()+1,1,,"Cash"))</f>
        <v>41.7162107045067</v>
      </c>
      <c r="L48" s="10" t="n">
        <f aca="true">INDIRECT(ADDRESS(COLUMN()+119,ROW()+1,1,,"Cash"))</f>
        <v>20.6971251699426</v>
      </c>
      <c r="M48" s="10" t="n">
        <f aca="true">INDIRECT(ADDRESS(COLUMN()+119,ROW()+1,1,,"Cash"))</f>
        <v>30.6728918915411</v>
      </c>
      <c r="N48" s="10" t="n">
        <f aca="true">INDIRECT(ADDRESS(COLUMN()+119,ROW()+1,1,,"Cash"))</f>
        <v>17.2435773037656</v>
      </c>
      <c r="O48" s="10" t="n">
        <f aca="true">INDIRECT(ADDRESS(COLUMN()+119,ROW()+1,1,,"Cash"))</f>
        <v>19.1680338825657</v>
      </c>
      <c r="P48" s="10" t="n">
        <f aca="true">INDIRECT(ADDRESS(COLUMN()+119,ROW()+1,1,,"Cash"))</f>
        <v>8.06637170988247</v>
      </c>
      <c r="Q48" s="26" t="n">
        <f aca="true">INDIRECT(ADDRESS(COLUMN()+119,ROW()+1,1,,"Cash"))</f>
        <v>9.7612961447009</v>
      </c>
      <c r="R48" s="10" t="n">
        <f aca="true">INDIRECT(ADDRESS(COLUMN()+119,ROW()+1,1,,"Cash"))</f>
        <v>12.1972883127906</v>
      </c>
      <c r="S48" s="10" t="n">
        <f aca="true">INDIRECT(ADDRESS(COLUMN()+119,ROW()+1,1,,"Cash"))</f>
        <v>182.782936565881</v>
      </c>
      <c r="T48" s="10" t="n">
        <f aca="true">INDIRECT(ADDRESS(COLUMN()+119,ROW()+1,1,,"Cash"))</f>
        <v>4.84226533113715</v>
      </c>
      <c r="U48" s="10" t="n">
        <f aca="true">INDIRECT(ADDRESS(COLUMN()+119,ROW()+1,1,,"Cash"))</f>
        <v>55.8159264821911</v>
      </c>
      <c r="V48" s="10" t="n">
        <f aca="true">INDIRECT(ADDRESS(COLUMN()+119,ROW()+1,1,,"Cash"))</f>
        <v>8.99123031231046</v>
      </c>
      <c r="W48" s="10" t="n">
        <f aca="true">INDIRECT(ADDRESS(COLUMN()+119,ROW()+1,1,,"Cash"))</f>
        <v>94.4407891725176</v>
      </c>
      <c r="X48" s="10" t="n">
        <f aca="true">INDIRECT(ADDRESS(COLUMN()+119,ROW()+1,1,,"Cash"))</f>
        <v>64.4823344647761</v>
      </c>
    </row>
    <row r="49" customFormat="false" ht="12.8" hidden="false" customHeight="false" outlineLevel="0" collapsed="false">
      <c r="A49" s="1" t="s">
        <v>369</v>
      </c>
      <c r="B49" s="10" t="n">
        <f aca="true">INDIRECT(ADDRESS(COLUMN()+119,ROW()+1,1,,"Cash"))</f>
        <v>2193.50340545614</v>
      </c>
      <c r="C49" s="10" t="n">
        <f aca="true">INDIRECT(ADDRESS(COLUMN()+119,ROW()+1,1,,"Cash"))</f>
        <v>4033.00290050052</v>
      </c>
      <c r="D49" s="10" t="n">
        <f aca="true">INDIRECT(ADDRESS(COLUMN()+119,ROW()+1,1,,"Cash"))</f>
        <v>1522.96612233853</v>
      </c>
      <c r="E49" s="10" t="n">
        <f aca="true">INDIRECT(ADDRESS(COLUMN()+119,ROW()+1,1,,"Cash"))</f>
        <v>781.741198866041</v>
      </c>
      <c r="F49" s="10" t="n">
        <f aca="true">INDIRECT(ADDRESS(COLUMN()+119,ROW()+1,1,,"Cash"))</f>
        <v>11341.6284526352</v>
      </c>
      <c r="G49" s="10" t="n">
        <f aca="true">INDIRECT(ADDRESS(COLUMN()+119,ROW()+1,1,,"Cash"))</f>
        <v>3028.19948582549</v>
      </c>
      <c r="H49" s="10" t="n">
        <f aca="true">INDIRECT(ADDRESS(COLUMN()+119,ROW()+1,1,,"Cash"))</f>
        <v>1297.33777289616</v>
      </c>
      <c r="I49" s="10" t="n">
        <f aca="true">INDIRECT(ADDRESS(COLUMN()+119,ROW()+1,1,,"Cash"))</f>
        <v>4545.34345236513</v>
      </c>
      <c r="J49" s="10" t="n">
        <f aca="true">INDIRECT(ADDRESS(COLUMN()+119,ROW()+1,1,,"Cash"))</f>
        <v>2131.92627312696</v>
      </c>
      <c r="K49" s="10" t="n">
        <f aca="true">INDIRECT(ADDRESS(COLUMN()+119,ROW()+1,1,,"Cash"))</f>
        <v>4287.79183738533</v>
      </c>
      <c r="L49" s="10" t="n">
        <f aca="true">INDIRECT(ADDRESS(COLUMN()+119,ROW()+1,1,,"Cash"))</f>
        <v>3942.20772882631</v>
      </c>
      <c r="M49" s="10" t="n">
        <f aca="true">INDIRECT(ADDRESS(COLUMN()+119,ROW()+1,1,,"Cash"))</f>
        <v>3842.74606508515</v>
      </c>
      <c r="N49" s="10" t="n">
        <f aca="true">INDIRECT(ADDRESS(COLUMN()+119,ROW()+1,1,,"Cash"))</f>
        <v>2848.55413124424</v>
      </c>
      <c r="O49" s="10" t="n">
        <f aca="true">INDIRECT(ADDRESS(COLUMN()+119,ROW()+1,1,,"Cash"))</f>
        <v>5147.92373721809</v>
      </c>
      <c r="P49" s="10" t="n">
        <f aca="true">INDIRECT(ADDRESS(COLUMN()+119,ROW()+1,1,,"Cash"))</f>
        <v>1669.18297656443</v>
      </c>
      <c r="Q49" s="26" t="n">
        <f aca="true">INDIRECT(ADDRESS(COLUMN()+119,ROW()+1,1,,"Cash"))</f>
        <v>2120.87174053115</v>
      </c>
      <c r="R49" s="10" t="n">
        <f aca="true">INDIRECT(ADDRESS(COLUMN()+119,ROW()+1,1,,"Cash"))</f>
        <v>2227.76945475437</v>
      </c>
      <c r="S49" s="10" t="n">
        <f aca="true">INDIRECT(ADDRESS(COLUMN()+119,ROW()+1,1,,"Cash"))</f>
        <v>3617.51669489818</v>
      </c>
      <c r="T49" s="10" t="n">
        <f aca="true">INDIRECT(ADDRESS(COLUMN()+119,ROW()+1,1,,"Cash"))</f>
        <v>1161.80101188344</v>
      </c>
      <c r="U49" s="10" t="n">
        <f aca="true">INDIRECT(ADDRESS(COLUMN()+119,ROW()+1,1,,"Cash"))</f>
        <v>3720.47241294036</v>
      </c>
      <c r="V49" s="10" t="n">
        <f aca="true">INDIRECT(ADDRESS(COLUMN()+119,ROW()+1,1,,"Cash"))</f>
        <v>1559.4516787669</v>
      </c>
      <c r="W49" s="10" t="n">
        <f aca="true">INDIRECT(ADDRESS(COLUMN()+119,ROW()+1,1,,"Cash"))</f>
        <v>2748.24733512237</v>
      </c>
      <c r="X49" s="10" t="n">
        <f aca="true">INDIRECT(ADDRESS(COLUMN()+119,ROW()+1,1,,"Cash"))</f>
        <v>2714.11187912036</v>
      </c>
    </row>
    <row r="50" customFormat="false" ht="12.8" hidden="false" customHeight="false" outlineLevel="0" collapsed="false">
      <c r="A50" s="1" t="s">
        <v>370</v>
      </c>
      <c r="B50" s="10" t="n">
        <f aca="true">INDIRECT(ADDRESS(COLUMN()+119,ROW()+1,1,,"Cash"))</f>
        <v>2962.77899109605</v>
      </c>
      <c r="C50" s="10" t="n">
        <f aca="true">INDIRECT(ADDRESS(COLUMN()+119,ROW()+1,1,,"Cash"))</f>
        <v>2428.36221073306</v>
      </c>
      <c r="D50" s="10" t="n">
        <f aca="true">INDIRECT(ADDRESS(COLUMN()+119,ROW()+1,1,,"Cash"))</f>
        <v>394.279188861024</v>
      </c>
      <c r="E50" s="10" t="n">
        <f aca="true">INDIRECT(ADDRESS(COLUMN()+119,ROW()+1,1,,"Cash"))</f>
        <v>169.573481337972</v>
      </c>
      <c r="F50" s="10" t="n">
        <f aca="true">INDIRECT(ADDRESS(COLUMN()+119,ROW()+1,1,,"Cash"))</f>
        <v>4373.7125775039</v>
      </c>
      <c r="G50" s="10" t="n">
        <f aca="true">INDIRECT(ADDRESS(COLUMN()+119,ROW()+1,1,,"Cash"))</f>
        <v>647.784385551185</v>
      </c>
      <c r="H50" s="10" t="n">
        <f aca="true">INDIRECT(ADDRESS(COLUMN()+119,ROW()+1,1,,"Cash"))</f>
        <v>691.464267260172</v>
      </c>
      <c r="I50" s="10" t="n">
        <f aca="true">INDIRECT(ADDRESS(COLUMN()+119,ROW()+1,1,,"Cash"))</f>
        <v>2034.3288916191</v>
      </c>
      <c r="J50" s="10" t="n">
        <f aca="true">INDIRECT(ADDRESS(COLUMN()+119,ROW()+1,1,,"Cash"))</f>
        <v>219.592415048206</v>
      </c>
      <c r="K50" s="10" t="n">
        <f aca="true">INDIRECT(ADDRESS(COLUMN()+119,ROW()+1,1,,"Cash"))</f>
        <v>1593.25968249842</v>
      </c>
      <c r="L50" s="10" t="n">
        <f aca="true">INDIRECT(ADDRESS(COLUMN()+119,ROW()+1,1,,"Cash"))</f>
        <v>545.156787942819</v>
      </c>
      <c r="M50" s="10" t="n">
        <f aca="true">INDIRECT(ADDRESS(COLUMN()+119,ROW()+1,1,,"Cash"))</f>
        <v>1027.46875677959</v>
      </c>
      <c r="N50" s="10" t="n">
        <f aca="true">INDIRECT(ADDRESS(COLUMN()+119,ROW()+1,1,,"Cash"))</f>
        <v>621.458429773427</v>
      </c>
      <c r="O50" s="10" t="n">
        <f aca="true">INDIRECT(ADDRESS(COLUMN()+119,ROW()+1,1,,"Cash"))</f>
        <v>517.27812174491</v>
      </c>
      <c r="P50" s="10" t="n">
        <f aca="true">INDIRECT(ADDRESS(COLUMN()+119,ROW()+1,1,,"Cash"))</f>
        <v>247.301676632734</v>
      </c>
      <c r="Q50" s="26" t="n">
        <f aca="true">INDIRECT(ADDRESS(COLUMN()+119,ROW()+1,1,,"Cash"))</f>
        <v>218.576486204958</v>
      </c>
      <c r="R50" s="10" t="n">
        <f aca="true">INDIRECT(ADDRESS(COLUMN()+119,ROW()+1,1,,"Cash"))</f>
        <v>341.284699190762</v>
      </c>
      <c r="S50" s="10" t="n">
        <f aca="true">INDIRECT(ADDRESS(COLUMN()+119,ROW()+1,1,,"Cash"))</f>
        <v>12410.4245286119</v>
      </c>
      <c r="T50" s="10" t="n">
        <f aca="true">INDIRECT(ADDRESS(COLUMN()+119,ROW()+1,1,,"Cash"))</f>
        <v>148.141413711554</v>
      </c>
      <c r="U50" s="10" t="n">
        <f aca="true">INDIRECT(ADDRESS(COLUMN()+119,ROW()+1,1,,"Cash"))</f>
        <v>2782.41325729738</v>
      </c>
      <c r="V50" s="10" t="n">
        <f aca="true">INDIRECT(ADDRESS(COLUMN()+119,ROW()+1,1,,"Cash"))</f>
        <v>326.929725702979</v>
      </c>
      <c r="W50" s="10" t="n">
        <f aca="true">INDIRECT(ADDRESS(COLUMN()+119,ROW()+1,1,,"Cash"))</f>
        <v>3784.99117570027</v>
      </c>
      <c r="X50" s="10" t="n">
        <f aca="true">INDIRECT(ADDRESS(COLUMN()+119,ROW()+1,1,,"Cash"))</f>
        <v>2010.76740817715</v>
      </c>
    </row>
    <row r="51" customFormat="false" ht="12.8" hidden="false" customHeight="false" outlineLevel="0" collapsed="false">
      <c r="A51" s="1" t="s">
        <v>371</v>
      </c>
      <c r="B51" s="10" t="n">
        <f aca="true">INDIRECT(ADDRESS(COLUMN()+119,ROW()+1,1,,"Cash"))</f>
        <v>686.515253527344</v>
      </c>
      <c r="C51" s="10" t="n">
        <f aca="true">INDIRECT(ADDRESS(COLUMN()+119,ROW()+1,1,,"Cash"))</f>
        <v>514.48507935551</v>
      </c>
      <c r="D51" s="10" t="n">
        <f aca="true">INDIRECT(ADDRESS(COLUMN()+119,ROW()+1,1,,"Cash"))</f>
        <v>109.281839006049</v>
      </c>
      <c r="E51" s="10" t="n">
        <f aca="true">INDIRECT(ADDRESS(COLUMN()+119,ROW()+1,1,,"Cash"))</f>
        <v>45.2093261905343</v>
      </c>
      <c r="F51" s="10" t="n">
        <f aca="true">INDIRECT(ADDRESS(COLUMN()+119,ROW()+1,1,,"Cash"))</f>
        <v>1026.31822101619</v>
      </c>
      <c r="G51" s="10" t="n">
        <f aca="true">INDIRECT(ADDRESS(COLUMN()+119,ROW()+1,1,,"Cash"))</f>
        <v>153.898233462451</v>
      </c>
      <c r="H51" s="10" t="n">
        <f aca="true">INDIRECT(ADDRESS(COLUMN()+119,ROW()+1,1,,"Cash"))</f>
        <v>158.879317372638</v>
      </c>
      <c r="I51" s="10" t="n">
        <f aca="true">INDIRECT(ADDRESS(COLUMN()+119,ROW()+1,1,,"Cash"))</f>
        <v>582.926236684556</v>
      </c>
      <c r="J51" s="10" t="n">
        <f aca="true">INDIRECT(ADDRESS(COLUMN()+119,ROW()+1,1,,"Cash"))</f>
        <v>68.9018198593743</v>
      </c>
      <c r="K51" s="10" t="n">
        <f aca="true">INDIRECT(ADDRESS(COLUMN()+119,ROW()+1,1,,"Cash"))</f>
        <v>455.643437888314</v>
      </c>
      <c r="L51" s="10" t="n">
        <f aca="true">INDIRECT(ADDRESS(COLUMN()+119,ROW()+1,1,,"Cash"))</f>
        <v>122.167758130518</v>
      </c>
      <c r="M51" s="10" t="n">
        <f aca="true">INDIRECT(ADDRESS(COLUMN()+119,ROW()+1,1,,"Cash"))</f>
        <v>190.822445584571</v>
      </c>
      <c r="N51" s="10" t="n">
        <f aca="true">INDIRECT(ADDRESS(COLUMN()+119,ROW()+1,1,,"Cash"))</f>
        <v>142.702491308693</v>
      </c>
      <c r="O51" s="10" t="n">
        <f aca="true">INDIRECT(ADDRESS(COLUMN()+119,ROW()+1,1,,"Cash"))</f>
        <v>133.704496881572</v>
      </c>
      <c r="P51" s="10" t="n">
        <f aca="true">INDIRECT(ADDRESS(COLUMN()+119,ROW()+1,1,,"Cash"))</f>
        <v>70.3108914253872</v>
      </c>
      <c r="Q51" s="26" t="n">
        <f aca="true">INDIRECT(ADDRESS(COLUMN()+119,ROW()+1,1,,"Cash"))</f>
        <v>65.2384271805</v>
      </c>
      <c r="R51" s="10" t="n">
        <f aca="true">INDIRECT(ADDRESS(COLUMN()+119,ROW()+1,1,,"Cash"))</f>
        <v>117.363887527386</v>
      </c>
      <c r="S51" s="10" t="n">
        <f aca="true">INDIRECT(ADDRESS(COLUMN()+119,ROW()+1,1,,"Cash"))</f>
        <v>2408.41703457205</v>
      </c>
      <c r="T51" s="10" t="n">
        <f aca="true">INDIRECT(ADDRESS(COLUMN()+119,ROW()+1,1,,"Cash"))</f>
        <v>45.4285656479124</v>
      </c>
      <c r="U51" s="10" t="n">
        <f aca="true">INDIRECT(ADDRESS(COLUMN()+119,ROW()+1,1,,"Cash"))</f>
        <v>760.444774330983</v>
      </c>
      <c r="V51" s="10" t="n">
        <f aca="true">INDIRECT(ADDRESS(COLUMN()+119,ROW()+1,1,,"Cash"))</f>
        <v>93.6758854117669</v>
      </c>
      <c r="W51" s="10" t="n">
        <f aca="true">INDIRECT(ADDRESS(COLUMN()+119,ROW()+1,1,,"Cash"))</f>
        <v>869.821221075543</v>
      </c>
      <c r="X51" s="10" t="n">
        <f aca="true">INDIRECT(ADDRESS(COLUMN()+119,ROW()+1,1,,"Cash"))</f>
        <v>537.338986060015</v>
      </c>
    </row>
    <row r="52" customFormat="false" ht="12.8" hidden="false" customHeight="false" outlineLevel="0" collapsed="false">
      <c r="A52" s="1" t="s">
        <v>372</v>
      </c>
      <c r="B52" s="10" t="n">
        <f aca="true">INDIRECT(ADDRESS(COLUMN()+119,ROW()+1,1,,"Cash"))</f>
        <v>15015.7591734779</v>
      </c>
      <c r="C52" s="10" t="n">
        <f aca="true">INDIRECT(ADDRESS(COLUMN()+119,ROW()+1,1,,"Cash"))</f>
        <v>6022.34636593452</v>
      </c>
      <c r="D52" s="10" t="n">
        <f aca="true">INDIRECT(ADDRESS(COLUMN()+119,ROW()+1,1,,"Cash"))</f>
        <v>4969.02974063988</v>
      </c>
      <c r="E52" s="10" t="n">
        <f aca="true">INDIRECT(ADDRESS(COLUMN()+119,ROW()+1,1,,"Cash"))</f>
        <v>1469.94404747435</v>
      </c>
      <c r="F52" s="10" t="n">
        <f aca="true">INDIRECT(ADDRESS(COLUMN()+119,ROW()+1,1,,"Cash"))</f>
        <v>12082.0578828949</v>
      </c>
      <c r="G52" s="10" t="n">
        <f aca="true">INDIRECT(ADDRESS(COLUMN()+119,ROW()+1,1,,"Cash"))</f>
        <v>8109.59196745264</v>
      </c>
      <c r="H52" s="10" t="n">
        <f aca="true">INDIRECT(ADDRESS(COLUMN()+119,ROW()+1,1,,"Cash"))</f>
        <v>6849.90402712952</v>
      </c>
      <c r="I52" s="10" t="n">
        <f aca="true">INDIRECT(ADDRESS(COLUMN()+119,ROW()+1,1,,"Cash"))</f>
        <v>8268.8276267178</v>
      </c>
      <c r="J52" s="10" t="n">
        <f aca="true">INDIRECT(ADDRESS(COLUMN()+119,ROW()+1,1,,"Cash"))</f>
        <v>3492.50661358711</v>
      </c>
      <c r="K52" s="10" t="n">
        <f aca="true">INDIRECT(ADDRESS(COLUMN()+119,ROW()+1,1,,"Cash"))</f>
        <v>7476.94872228534</v>
      </c>
      <c r="L52" s="10" t="n">
        <f aca="true">INDIRECT(ADDRESS(COLUMN()+119,ROW()+1,1,,"Cash"))</f>
        <v>7841.1058937433</v>
      </c>
      <c r="M52" s="10" t="n">
        <f aca="true">INDIRECT(ADDRESS(COLUMN()+119,ROW()+1,1,,"Cash"))</f>
        <v>10522.3985662766</v>
      </c>
      <c r="N52" s="10" t="n">
        <f aca="true">INDIRECT(ADDRESS(COLUMN()+119,ROW()+1,1,,"Cash"))</f>
        <v>4910.22961868131</v>
      </c>
      <c r="O52" s="10" t="n">
        <f aca="true">INDIRECT(ADDRESS(COLUMN()+119,ROW()+1,1,,"Cash"))</f>
        <v>8267.87050711704</v>
      </c>
      <c r="P52" s="10" t="n">
        <f aca="true">INDIRECT(ADDRESS(COLUMN()+119,ROW()+1,1,,"Cash"))</f>
        <v>3303.12267066679</v>
      </c>
      <c r="Q52" s="26" t="n">
        <f aca="true">INDIRECT(ADDRESS(COLUMN()+119,ROW()+1,1,,"Cash"))</f>
        <v>3370.6473581743</v>
      </c>
      <c r="R52" s="10" t="n">
        <f aca="true">INDIRECT(ADDRESS(COLUMN()+119,ROW()+1,1,,"Cash"))</f>
        <v>8061.38460275574</v>
      </c>
      <c r="S52" s="10" t="n">
        <f aca="true">INDIRECT(ADDRESS(COLUMN()+119,ROW()+1,1,,"Cash"))</f>
        <v>28836.511069776</v>
      </c>
      <c r="T52" s="10" t="n">
        <f aca="true">INDIRECT(ADDRESS(COLUMN()+119,ROW()+1,1,,"Cash"))</f>
        <v>3385.35161556604</v>
      </c>
      <c r="U52" s="10" t="n">
        <f aca="true">INDIRECT(ADDRESS(COLUMN()+119,ROW()+1,1,,"Cash"))</f>
        <v>9650.46359141442</v>
      </c>
      <c r="V52" s="10" t="n">
        <f aca="true">INDIRECT(ADDRESS(COLUMN()+119,ROW()+1,1,,"Cash"))</f>
        <v>4587.32666397414</v>
      </c>
      <c r="W52" s="10" t="n">
        <f aca="true">INDIRECT(ADDRESS(COLUMN()+119,ROW()+1,1,,"Cash"))</f>
        <v>19144.5799431671</v>
      </c>
      <c r="X52" s="10" t="n">
        <f aca="true">INDIRECT(ADDRESS(COLUMN()+119,ROW()+1,1,,"Cash"))</f>
        <v>12464.3279957221</v>
      </c>
    </row>
    <row r="53" customFormat="false" ht="12.8" hidden="false" customHeight="false" outlineLevel="0" collapsed="false">
      <c r="A53" s="1" t="s">
        <v>373</v>
      </c>
      <c r="B53" s="10" t="n">
        <f aca="true">INDIRECT(ADDRESS(COLUMN()+119,ROW()+1,1,,"Cash"))</f>
        <v>4327.4148037463</v>
      </c>
      <c r="C53" s="10" t="n">
        <f aca="true">INDIRECT(ADDRESS(COLUMN()+119,ROW()+1,1,,"Cash"))</f>
        <v>13710.1943791575</v>
      </c>
      <c r="D53" s="10" t="n">
        <f aca="true">INDIRECT(ADDRESS(COLUMN()+119,ROW()+1,1,,"Cash"))</f>
        <v>1782.55292365917</v>
      </c>
      <c r="E53" s="10" t="n">
        <f aca="true">INDIRECT(ADDRESS(COLUMN()+119,ROW()+1,1,,"Cash"))</f>
        <v>1116.99472980591</v>
      </c>
      <c r="F53" s="10" t="n">
        <f aca="true">INDIRECT(ADDRESS(COLUMN()+119,ROW()+1,1,,"Cash"))</f>
        <v>5534.09710278046</v>
      </c>
      <c r="G53" s="10" t="n">
        <f aca="true">INDIRECT(ADDRESS(COLUMN()+119,ROW()+1,1,,"Cash"))</f>
        <v>5645.58240271435</v>
      </c>
      <c r="H53" s="10" t="n">
        <f aca="true">INDIRECT(ADDRESS(COLUMN()+119,ROW()+1,1,,"Cash"))</f>
        <v>3980.55727714228</v>
      </c>
      <c r="I53" s="10" t="n">
        <f aca="true">INDIRECT(ADDRESS(COLUMN()+119,ROW()+1,1,,"Cash"))</f>
        <v>2361.38709281185</v>
      </c>
      <c r="J53" s="10" t="n">
        <f aca="true">INDIRECT(ADDRESS(COLUMN()+119,ROW()+1,1,,"Cash"))</f>
        <v>1683.8251703374</v>
      </c>
      <c r="K53" s="10" t="n">
        <f aca="true">INDIRECT(ADDRESS(COLUMN()+119,ROW()+1,1,,"Cash"))</f>
        <v>11196.2198193516</v>
      </c>
      <c r="L53" s="10" t="n">
        <f aca="true">INDIRECT(ADDRESS(COLUMN()+119,ROW()+1,1,,"Cash"))</f>
        <v>2854.02231307756</v>
      </c>
      <c r="M53" s="10" t="n">
        <f aca="true">INDIRECT(ADDRESS(COLUMN()+119,ROW()+1,1,,"Cash"))</f>
        <v>3172.39012721432</v>
      </c>
      <c r="N53" s="10" t="n">
        <f aca="true">INDIRECT(ADDRESS(COLUMN()+119,ROW()+1,1,,"Cash"))</f>
        <v>2602.21233920387</v>
      </c>
      <c r="O53" s="10" t="n">
        <f aca="true">INDIRECT(ADDRESS(COLUMN()+119,ROW()+1,1,,"Cash"))</f>
        <v>2300.44842074808</v>
      </c>
      <c r="P53" s="10" t="n">
        <f aca="true">INDIRECT(ADDRESS(COLUMN()+119,ROW()+1,1,,"Cash"))</f>
        <v>1707.37245187685</v>
      </c>
      <c r="Q53" s="26" t="n">
        <f aca="true">INDIRECT(ADDRESS(COLUMN()+119,ROW()+1,1,,"Cash"))</f>
        <v>1628.31841041482</v>
      </c>
      <c r="R53" s="10" t="n">
        <f aca="true">INDIRECT(ADDRESS(COLUMN()+119,ROW()+1,1,,"Cash"))</f>
        <v>3119.27815567251</v>
      </c>
      <c r="S53" s="10" t="n">
        <f aca="true">INDIRECT(ADDRESS(COLUMN()+119,ROW()+1,1,,"Cash"))</f>
        <v>5653.87307193309</v>
      </c>
      <c r="T53" s="10" t="n">
        <f aca="true">INDIRECT(ADDRESS(COLUMN()+119,ROW()+1,1,,"Cash"))</f>
        <v>1241.24386585861</v>
      </c>
      <c r="U53" s="10" t="n">
        <f aca="true">INDIRECT(ADDRESS(COLUMN()+119,ROW()+1,1,,"Cash"))</f>
        <v>2905.69004195049</v>
      </c>
      <c r="V53" s="10" t="n">
        <f aca="true">INDIRECT(ADDRESS(COLUMN()+119,ROW()+1,1,,"Cash"))</f>
        <v>2813.87540630146</v>
      </c>
      <c r="W53" s="10" t="n">
        <f aca="true">INDIRECT(ADDRESS(COLUMN()+119,ROW()+1,1,,"Cash"))</f>
        <v>12377.8704543173</v>
      </c>
      <c r="X53" s="10" t="n">
        <f aca="true">INDIRECT(ADDRESS(COLUMN()+119,ROW()+1,1,,"Cash"))</f>
        <v>2666.82264520589</v>
      </c>
    </row>
    <row r="54" customFormat="false" ht="12.8" hidden="false" customHeight="false" outlineLevel="0" collapsed="false">
      <c r="A54" s="1" t="s">
        <v>374</v>
      </c>
      <c r="B54" s="10" t="n">
        <f aca="true">INDIRECT(ADDRESS(COLUMN()+119,ROW()+1,1,,"Cash"))</f>
        <v>1433.7331492178</v>
      </c>
      <c r="C54" s="10" t="n">
        <f aca="true">INDIRECT(ADDRESS(COLUMN()+119,ROW()+1,1,,"Cash"))</f>
        <v>3962.91380903526</v>
      </c>
      <c r="D54" s="10" t="n">
        <f aca="true">INDIRECT(ADDRESS(COLUMN()+119,ROW()+1,1,,"Cash"))</f>
        <v>929.111375072976</v>
      </c>
      <c r="E54" s="10" t="n">
        <f aca="true">INDIRECT(ADDRESS(COLUMN()+119,ROW()+1,1,,"Cash"))</f>
        <v>525.571581349326</v>
      </c>
      <c r="F54" s="10" t="n">
        <f aca="true">INDIRECT(ADDRESS(COLUMN()+119,ROW()+1,1,,"Cash"))</f>
        <v>1336.68888570619</v>
      </c>
      <c r="G54" s="10" t="n">
        <f aca="true">INDIRECT(ADDRESS(COLUMN()+119,ROW()+1,1,,"Cash"))</f>
        <v>2259.64759764377</v>
      </c>
      <c r="H54" s="10" t="n">
        <f aca="true">INDIRECT(ADDRESS(COLUMN()+119,ROW()+1,1,,"Cash"))</f>
        <v>2329.24421796375</v>
      </c>
      <c r="I54" s="10" t="n">
        <f aca="true">INDIRECT(ADDRESS(COLUMN()+119,ROW()+1,1,,"Cash"))</f>
        <v>2263.97588554116</v>
      </c>
      <c r="J54" s="10" t="n">
        <f aca="true">INDIRECT(ADDRESS(COLUMN()+119,ROW()+1,1,,"Cash"))</f>
        <v>701.403403546523</v>
      </c>
      <c r="K54" s="10" t="n">
        <f aca="true">INDIRECT(ADDRESS(COLUMN()+119,ROW()+1,1,,"Cash"))</f>
        <v>1357.75578828284</v>
      </c>
      <c r="L54" s="10" t="n">
        <f aca="true">INDIRECT(ADDRESS(COLUMN()+119,ROW()+1,1,,"Cash"))</f>
        <v>1954.74925242071</v>
      </c>
      <c r="M54" s="10" t="n">
        <f aca="true">INDIRECT(ADDRESS(COLUMN()+119,ROW()+1,1,,"Cash"))</f>
        <v>2444.49771115776</v>
      </c>
      <c r="N54" s="10" t="n">
        <f aca="true">INDIRECT(ADDRESS(COLUMN()+119,ROW()+1,1,,"Cash"))</f>
        <v>1684.41287080425</v>
      </c>
      <c r="O54" s="10" t="n">
        <f aca="true">INDIRECT(ADDRESS(COLUMN()+119,ROW()+1,1,,"Cash"))</f>
        <v>773.785360269853</v>
      </c>
      <c r="P54" s="10" t="n">
        <f aca="true">INDIRECT(ADDRESS(COLUMN()+119,ROW()+1,1,,"Cash"))</f>
        <v>758.663468171551</v>
      </c>
      <c r="Q54" s="26" t="n">
        <f aca="true">INDIRECT(ADDRESS(COLUMN()+119,ROW()+1,1,,"Cash"))</f>
        <v>633.381625528549</v>
      </c>
      <c r="R54" s="10" t="n">
        <f aca="true">INDIRECT(ADDRESS(COLUMN()+119,ROW()+1,1,,"Cash"))</f>
        <v>663.896614169979</v>
      </c>
      <c r="S54" s="10" t="n">
        <f aca="true">INDIRECT(ADDRESS(COLUMN()+119,ROW()+1,1,,"Cash"))</f>
        <v>1645.19584330161</v>
      </c>
      <c r="T54" s="10" t="n">
        <f aca="true">INDIRECT(ADDRESS(COLUMN()+119,ROW()+1,1,,"Cash"))</f>
        <v>476.263992945331</v>
      </c>
      <c r="U54" s="10" t="n">
        <f aca="true">INDIRECT(ADDRESS(COLUMN()+119,ROW()+1,1,,"Cash"))</f>
        <v>966.903035397625</v>
      </c>
      <c r="V54" s="10" t="n">
        <f aca="true">INDIRECT(ADDRESS(COLUMN()+119,ROW()+1,1,,"Cash"))</f>
        <v>1096.43792891756</v>
      </c>
      <c r="W54" s="10" t="n">
        <f aca="true">INDIRECT(ADDRESS(COLUMN()+119,ROW()+1,1,,"Cash"))</f>
        <v>1866.92712002519</v>
      </c>
      <c r="X54" s="10" t="n">
        <f aca="true">INDIRECT(ADDRESS(COLUMN()+119,ROW()+1,1,,"Cash"))</f>
        <v>1775.84604382681</v>
      </c>
    </row>
    <row r="55" customFormat="false" ht="12.8" hidden="false" customHeight="false" outlineLevel="0" collapsed="false">
      <c r="A55" s="1" t="s">
        <v>375</v>
      </c>
      <c r="B55" s="10" t="n">
        <f aca="true">INDIRECT(ADDRESS(COLUMN()+119,ROW()+1,1,,"Cash"))</f>
        <v>5872.16390850389</v>
      </c>
      <c r="C55" s="10" t="n">
        <f aca="true">INDIRECT(ADDRESS(COLUMN()+119,ROW()+1,1,,"Cash"))</f>
        <v>22738.1670055266</v>
      </c>
      <c r="D55" s="10" t="n">
        <f aca="true">INDIRECT(ADDRESS(COLUMN()+119,ROW()+1,1,,"Cash"))</f>
        <v>4496.95814347482</v>
      </c>
      <c r="E55" s="10" t="n">
        <f aca="true">INDIRECT(ADDRESS(COLUMN()+119,ROW()+1,1,,"Cash"))</f>
        <v>2007.60346699333</v>
      </c>
      <c r="F55" s="10" t="n">
        <f aca="true">INDIRECT(ADDRESS(COLUMN()+119,ROW()+1,1,,"Cash"))</f>
        <v>10433.4454494362</v>
      </c>
      <c r="G55" s="10" t="n">
        <f aca="true">INDIRECT(ADDRESS(COLUMN()+119,ROW()+1,1,,"Cash"))</f>
        <v>5533.68231330266</v>
      </c>
      <c r="H55" s="10" t="n">
        <f aca="true">INDIRECT(ADDRESS(COLUMN()+119,ROW()+1,1,,"Cash"))</f>
        <v>8211.07079336026</v>
      </c>
      <c r="I55" s="10" t="n">
        <f aca="true">INDIRECT(ADDRESS(COLUMN()+119,ROW()+1,1,,"Cash"))</f>
        <v>18826.8936538333</v>
      </c>
      <c r="J55" s="10" t="n">
        <f aca="true">INDIRECT(ADDRESS(COLUMN()+119,ROW()+1,1,,"Cash"))</f>
        <v>2683.22183101239</v>
      </c>
      <c r="K55" s="10" t="n">
        <f aca="true">INDIRECT(ADDRESS(COLUMN()+119,ROW()+1,1,,"Cash"))</f>
        <v>7365.32254714955</v>
      </c>
      <c r="L55" s="10" t="n">
        <f aca="true">INDIRECT(ADDRESS(COLUMN()+119,ROW()+1,1,,"Cash"))</f>
        <v>4167.75740250889</v>
      </c>
      <c r="M55" s="10" t="n">
        <f aca="true">INDIRECT(ADDRESS(COLUMN()+119,ROW()+1,1,,"Cash"))</f>
        <v>5597.23909266335</v>
      </c>
      <c r="N55" s="10" t="n">
        <f aca="true">INDIRECT(ADDRESS(COLUMN()+119,ROW()+1,1,,"Cash"))</f>
        <v>4012.32272069243</v>
      </c>
      <c r="O55" s="10" t="n">
        <f aca="true">INDIRECT(ADDRESS(COLUMN()+119,ROW()+1,1,,"Cash"))</f>
        <v>3055.99693027053</v>
      </c>
      <c r="P55" s="10" t="n">
        <f aca="true">INDIRECT(ADDRESS(COLUMN()+119,ROW()+1,1,,"Cash"))</f>
        <v>3719.19707315193</v>
      </c>
      <c r="Q55" s="26" t="n">
        <f aca="true">INDIRECT(ADDRESS(COLUMN()+119,ROW()+1,1,,"Cash"))</f>
        <v>2621.85992801285</v>
      </c>
      <c r="R55" s="10" t="n">
        <f aca="true">INDIRECT(ADDRESS(COLUMN()+119,ROW()+1,1,,"Cash"))</f>
        <v>3459.25990894799</v>
      </c>
      <c r="S55" s="10" t="n">
        <f aca="true">INDIRECT(ADDRESS(COLUMN()+119,ROW()+1,1,,"Cash"))</f>
        <v>7470.01113634944</v>
      </c>
      <c r="T55" s="10" t="n">
        <f aca="true">INDIRECT(ADDRESS(COLUMN()+119,ROW()+1,1,,"Cash"))</f>
        <v>2065.42710136683</v>
      </c>
      <c r="U55" s="10" t="n">
        <f aca="true">INDIRECT(ADDRESS(COLUMN()+119,ROW()+1,1,,"Cash"))</f>
        <v>7703.41723624727</v>
      </c>
      <c r="V55" s="10" t="n">
        <f aca="true">INDIRECT(ADDRESS(COLUMN()+119,ROW()+1,1,,"Cash"))</f>
        <v>4864.67589366383</v>
      </c>
      <c r="W55" s="10" t="n">
        <f aca="true">INDIRECT(ADDRESS(COLUMN()+119,ROW()+1,1,,"Cash"))</f>
        <v>21262.5086184864</v>
      </c>
      <c r="X55" s="10" t="n">
        <f aca="true">INDIRECT(ADDRESS(COLUMN()+119,ROW()+1,1,,"Cash"))</f>
        <v>28329.9522597124</v>
      </c>
    </row>
    <row r="56" customFormat="false" ht="12.8" hidden="false" customHeight="false" outlineLevel="0" collapsed="false">
      <c r="A56" s="1" t="s">
        <v>376</v>
      </c>
      <c r="B56" s="10" t="n">
        <f aca="true">INDIRECT(ADDRESS(COLUMN()+119,ROW()+1,1,,"Cash"))</f>
        <v>37354.8634751107</v>
      </c>
      <c r="C56" s="10" t="n">
        <f aca="true">INDIRECT(ADDRESS(COLUMN()+119,ROW()+1,1,,"Cash"))</f>
        <v>15225.3159801521</v>
      </c>
      <c r="D56" s="10" t="n">
        <f aca="true">INDIRECT(ADDRESS(COLUMN()+119,ROW()+1,1,,"Cash"))</f>
        <v>6878.60667812042</v>
      </c>
      <c r="E56" s="10" t="n">
        <f aca="true">INDIRECT(ADDRESS(COLUMN()+119,ROW()+1,1,,"Cash"))</f>
        <v>4317.67250240209</v>
      </c>
      <c r="F56" s="10" t="n">
        <f aca="true">INDIRECT(ADDRESS(COLUMN()+119,ROW()+1,1,,"Cash"))</f>
        <v>19554.4266663289</v>
      </c>
      <c r="G56" s="10" t="n">
        <f aca="true">INDIRECT(ADDRESS(COLUMN()+119,ROW()+1,1,,"Cash"))</f>
        <v>22422.9195931856</v>
      </c>
      <c r="H56" s="10" t="n">
        <f aca="true">INDIRECT(ADDRESS(COLUMN()+119,ROW()+1,1,,"Cash"))</f>
        <v>19088.9779826972</v>
      </c>
      <c r="I56" s="10" t="n">
        <f aca="true">INDIRECT(ADDRESS(COLUMN()+119,ROW()+1,1,,"Cash"))</f>
        <v>9981.20068157964</v>
      </c>
      <c r="J56" s="10" t="n">
        <f aca="true">INDIRECT(ADDRESS(COLUMN()+119,ROW()+1,1,,"Cash"))</f>
        <v>5787.06134234601</v>
      </c>
      <c r="K56" s="10" t="n">
        <f aca="true">INDIRECT(ADDRESS(COLUMN()+119,ROW()+1,1,,"Cash"))</f>
        <v>19106.9993360635</v>
      </c>
      <c r="L56" s="10" t="n">
        <f aca="true">INDIRECT(ADDRESS(COLUMN()+119,ROW()+1,1,,"Cash"))</f>
        <v>15810.4925821495</v>
      </c>
      <c r="M56" s="10" t="n">
        <f aca="true">INDIRECT(ADDRESS(COLUMN()+119,ROW()+1,1,,"Cash"))</f>
        <v>15997.5661791399</v>
      </c>
      <c r="N56" s="10" t="n">
        <f aca="true">INDIRECT(ADDRESS(COLUMN()+119,ROW()+1,1,,"Cash"))</f>
        <v>12396.1613274553</v>
      </c>
      <c r="O56" s="10" t="n">
        <f aca="true">INDIRECT(ADDRESS(COLUMN()+119,ROW()+1,1,,"Cash"))</f>
        <v>7267.18337692703</v>
      </c>
      <c r="P56" s="10" t="n">
        <f aca="true">INDIRECT(ADDRESS(COLUMN()+119,ROW()+1,1,,"Cash"))</f>
        <v>6510.14857280116</v>
      </c>
      <c r="Q56" s="26" t="n">
        <f aca="true">INDIRECT(ADDRESS(COLUMN()+119,ROW()+1,1,,"Cash"))</f>
        <v>5264.5144817182</v>
      </c>
      <c r="R56" s="10" t="n">
        <f aca="true">INDIRECT(ADDRESS(COLUMN()+119,ROW()+1,1,,"Cash"))</f>
        <v>9846.93588821688</v>
      </c>
      <c r="S56" s="10" t="n">
        <f aca="true">INDIRECT(ADDRESS(COLUMN()+119,ROW()+1,1,,"Cash"))</f>
        <v>24972.8712519806</v>
      </c>
      <c r="T56" s="10" t="n">
        <f aca="true">INDIRECT(ADDRESS(COLUMN()+119,ROW()+1,1,,"Cash"))</f>
        <v>4134.89458508002</v>
      </c>
      <c r="U56" s="10" t="n">
        <f aca="true">INDIRECT(ADDRESS(COLUMN()+119,ROW()+1,1,,"Cash"))</f>
        <v>48023.6222999265</v>
      </c>
      <c r="V56" s="10" t="n">
        <f aca="true">INDIRECT(ADDRESS(COLUMN()+119,ROW()+1,1,,"Cash"))</f>
        <v>9195.26855674568</v>
      </c>
      <c r="W56" s="10" t="n">
        <f aca="true">INDIRECT(ADDRESS(COLUMN()+119,ROW()+1,1,,"Cash"))</f>
        <v>12117.6343573734</v>
      </c>
      <c r="X56" s="10" t="n">
        <f aca="true">INDIRECT(ADDRESS(COLUMN()+119,ROW()+1,1,,"Cash"))</f>
        <v>15430.6708930279</v>
      </c>
    </row>
    <row r="57" customFormat="false" ht="12.8" hidden="false" customHeight="false" outlineLevel="0" collapsed="false">
      <c r="A57" s="1" t="s">
        <v>377</v>
      </c>
      <c r="B57" s="10" t="n">
        <f aca="true">INDIRECT(ADDRESS(COLUMN()+119,ROW()+1,1,,"Cash"))</f>
        <v>4030.59432264858</v>
      </c>
      <c r="C57" s="10" t="n">
        <f aca="true">INDIRECT(ADDRESS(COLUMN()+119,ROW()+1,1,,"Cash"))</f>
        <v>1430.64773198267</v>
      </c>
      <c r="D57" s="10" t="n">
        <f aca="true">INDIRECT(ADDRESS(COLUMN()+119,ROW()+1,1,,"Cash"))</f>
        <v>286.249655465236</v>
      </c>
      <c r="E57" s="10" t="n">
        <f aca="true">INDIRECT(ADDRESS(COLUMN()+119,ROW()+1,1,,"Cash"))</f>
        <v>298.023662825597</v>
      </c>
      <c r="F57" s="10" t="n">
        <f aca="true">INDIRECT(ADDRESS(COLUMN()+119,ROW()+1,1,,"Cash"))</f>
        <v>3493.19923577161</v>
      </c>
      <c r="G57" s="10" t="n">
        <f aca="true">INDIRECT(ADDRESS(COLUMN()+119,ROW()+1,1,,"Cash"))</f>
        <v>944.283203156378</v>
      </c>
      <c r="H57" s="10" t="n">
        <f aca="true">INDIRECT(ADDRESS(COLUMN()+119,ROW()+1,1,,"Cash"))</f>
        <v>1265.90970720817</v>
      </c>
      <c r="I57" s="10" t="n">
        <f aca="true">INDIRECT(ADDRESS(COLUMN()+119,ROW()+1,1,,"Cash"))</f>
        <v>1577.87900848012</v>
      </c>
      <c r="J57" s="10" t="n">
        <f aca="true">INDIRECT(ADDRESS(COLUMN()+119,ROW()+1,1,,"Cash"))</f>
        <v>841.049793748565</v>
      </c>
      <c r="K57" s="10" t="n">
        <f aca="true">INDIRECT(ADDRESS(COLUMN()+119,ROW()+1,1,,"Cash"))</f>
        <v>3136.82741401325</v>
      </c>
      <c r="L57" s="10" t="n">
        <f aca="true">INDIRECT(ADDRESS(COLUMN()+119,ROW()+1,1,,"Cash"))</f>
        <v>1244.85615444873</v>
      </c>
      <c r="M57" s="10" t="n">
        <f aca="true">INDIRECT(ADDRESS(COLUMN()+119,ROW()+1,1,,"Cash"))</f>
        <v>1045.59708095902</v>
      </c>
      <c r="N57" s="10" t="n">
        <f aca="true">INDIRECT(ADDRESS(COLUMN()+119,ROW()+1,1,,"Cash"))</f>
        <v>1093.57729835486</v>
      </c>
      <c r="O57" s="10" t="n">
        <f aca="true">INDIRECT(ADDRESS(COLUMN()+119,ROW()+1,1,,"Cash"))</f>
        <v>535.519808306575</v>
      </c>
      <c r="P57" s="10" t="n">
        <f aca="true">INDIRECT(ADDRESS(COLUMN()+119,ROW()+1,1,,"Cash"))</f>
        <v>440.91115756143</v>
      </c>
      <c r="Q57" s="26" t="n">
        <f aca="true">INDIRECT(ADDRESS(COLUMN()+119,ROW()+1,1,,"Cash"))</f>
        <v>837.924648702952</v>
      </c>
      <c r="R57" s="10" t="n">
        <f aca="true">INDIRECT(ADDRESS(COLUMN()+119,ROW()+1,1,,"Cash"))</f>
        <v>1838.32611738802</v>
      </c>
      <c r="S57" s="10" t="n">
        <f aca="true">INDIRECT(ADDRESS(COLUMN()+119,ROW()+1,1,,"Cash"))</f>
        <v>1954.41292665265</v>
      </c>
      <c r="T57" s="10" t="n">
        <f aca="true">INDIRECT(ADDRESS(COLUMN()+119,ROW()+1,1,,"Cash"))</f>
        <v>749.043443212126</v>
      </c>
      <c r="U57" s="10" t="n">
        <f aca="true">INDIRECT(ADDRESS(COLUMN()+119,ROW()+1,1,,"Cash"))</f>
        <v>1677.70715385509</v>
      </c>
      <c r="V57" s="10" t="n">
        <f aca="true">INDIRECT(ADDRESS(COLUMN()+119,ROW()+1,1,,"Cash"))</f>
        <v>1018.06455810682</v>
      </c>
      <c r="W57" s="10" t="n">
        <f aca="true">INDIRECT(ADDRESS(COLUMN()+119,ROW()+1,1,,"Cash"))</f>
        <v>7920.51155988434</v>
      </c>
      <c r="X57" s="10" t="n">
        <f aca="true">INDIRECT(ADDRESS(COLUMN()+119,ROW()+1,1,,"Cash"))</f>
        <v>100</v>
      </c>
    </row>
    <row r="58" customFormat="false" ht="12.8" hidden="false" customHeight="false" outlineLevel="0" collapsed="false">
      <c r="A58" s="1" t="s">
        <v>378</v>
      </c>
      <c r="B58" s="10" t="n">
        <f aca="true">INDIRECT(ADDRESS(COLUMN()+119,ROW()+1,1,,"Cash"))</f>
        <v>1574.73848020475</v>
      </c>
      <c r="C58" s="10" t="n">
        <f aca="true">INDIRECT(ADDRESS(COLUMN()+119,ROW()+1,1,,"Cash"))</f>
        <v>622.562774138694</v>
      </c>
      <c r="D58" s="10" t="n">
        <f aca="true">INDIRECT(ADDRESS(COLUMN()+119,ROW()+1,1,,"Cash"))</f>
        <v>256.2517069881</v>
      </c>
      <c r="E58" s="10" t="n">
        <f aca="true">INDIRECT(ADDRESS(COLUMN()+119,ROW()+1,1,,"Cash"))</f>
        <v>94.0464629981105</v>
      </c>
      <c r="F58" s="10" t="n">
        <f aca="true">INDIRECT(ADDRESS(COLUMN()+119,ROW()+1,1,,"Cash"))</f>
        <v>1257.41376072977</v>
      </c>
      <c r="G58" s="10" t="n">
        <f aca="true">INDIRECT(ADDRESS(COLUMN()+119,ROW()+1,1,,"Cash"))</f>
        <v>520.788033549253</v>
      </c>
      <c r="H58" s="10" t="n">
        <f aca="true">INDIRECT(ADDRESS(COLUMN()+119,ROW()+1,1,,"Cash"))</f>
        <v>403.879039723639</v>
      </c>
      <c r="I58" s="10" t="n">
        <f aca="true">INDIRECT(ADDRESS(COLUMN()+119,ROW()+1,1,,"Cash"))</f>
        <v>873.109992451245</v>
      </c>
      <c r="J58" s="10" t="n">
        <f aca="true">INDIRECT(ADDRESS(COLUMN()+119,ROW()+1,1,,"Cash"))</f>
        <v>218.77691006685</v>
      </c>
      <c r="K58" s="10" t="n">
        <f aca="true">INDIRECT(ADDRESS(COLUMN()+119,ROW()+1,1,,"Cash"))</f>
        <v>796.705010230728</v>
      </c>
      <c r="L58" s="10" t="n">
        <f aca="true">INDIRECT(ADDRESS(COLUMN()+119,ROW()+1,1,,"Cash"))</f>
        <v>401.390062686883</v>
      </c>
      <c r="M58" s="10" t="n">
        <f aca="true">INDIRECT(ADDRESS(COLUMN()+119,ROW()+1,1,,"Cash"))</f>
        <v>529.701972554562</v>
      </c>
      <c r="N58" s="10" t="n">
        <f aca="true">INDIRECT(ADDRESS(COLUMN()+119,ROW()+1,1,,"Cash"))</f>
        <v>290.136840265349</v>
      </c>
      <c r="O58" s="10" t="n">
        <f aca="true">INDIRECT(ADDRESS(COLUMN()+119,ROW()+1,1,,"Cash"))</f>
        <v>430.788846157779</v>
      </c>
      <c r="P58" s="10" t="n">
        <f aca="true">INDIRECT(ADDRESS(COLUMN()+119,ROW()+1,1,,"Cash"))</f>
        <v>211.455054531221</v>
      </c>
      <c r="Q58" s="26" t="n">
        <f aca="true">INDIRECT(ADDRESS(COLUMN()+119,ROW()+1,1,,"Cash"))</f>
        <v>226.551532697229</v>
      </c>
      <c r="R58" s="10" t="n">
        <f aca="true">INDIRECT(ADDRESS(COLUMN()+119,ROW()+1,1,,"Cash"))</f>
        <v>406.954997191014</v>
      </c>
      <c r="S58" s="10" t="n">
        <f aca="true">INDIRECT(ADDRESS(COLUMN()+119,ROW()+1,1,,"Cash"))</f>
        <v>2982.61449072073</v>
      </c>
      <c r="T58" s="10" t="n">
        <f aca="true">INDIRECT(ADDRESS(COLUMN()+119,ROW()+1,1,,"Cash"))</f>
        <v>172.318254841277</v>
      </c>
      <c r="U58" s="10" t="n">
        <f aca="true">INDIRECT(ADDRESS(COLUMN()+119,ROW()+1,1,,"Cash"))</f>
        <v>1011.95436159836</v>
      </c>
      <c r="V58" s="10" t="n">
        <f aca="true">INDIRECT(ADDRESS(COLUMN()+119,ROW()+1,1,,"Cash"))</f>
        <v>229.076478339367</v>
      </c>
      <c r="W58" s="10" t="n">
        <f aca="true">INDIRECT(ADDRESS(COLUMN()+119,ROW()+1,1,,"Cash"))</f>
        <v>2150.39142288687</v>
      </c>
      <c r="X58" s="10" t="n">
        <f aca="true">INDIRECT(ADDRESS(COLUMN()+119,ROW()+1,1,,"Cash"))</f>
        <v>1391.77165238069</v>
      </c>
    </row>
    <row r="59" customFormat="false" ht="12.8" hidden="false" customHeight="false" outlineLevel="0" collapsed="false">
      <c r="A59" s="1" t="s">
        <v>379</v>
      </c>
      <c r="B59" s="10" t="n">
        <f aca="true">INDIRECT(ADDRESS(COLUMN()+119,ROW()+1,1,,"Cash"))</f>
        <v>850.831349898582</v>
      </c>
      <c r="C59" s="10" t="n">
        <f aca="true">INDIRECT(ADDRESS(COLUMN()+119,ROW()+1,1,,"Cash"))</f>
        <v>2253126.00857048</v>
      </c>
      <c r="D59" s="10" t="n">
        <f aca="true">INDIRECT(ADDRESS(COLUMN()+119,ROW()+1,1,,"Cash"))</f>
        <v>154.922288760524</v>
      </c>
      <c r="E59" s="10" t="n">
        <f aca="true">INDIRECT(ADDRESS(COLUMN()+119,ROW()+1,1,,"Cash"))</f>
        <v>493.337830290742</v>
      </c>
      <c r="F59" s="10" t="n">
        <f aca="true">INDIRECT(ADDRESS(COLUMN()+119,ROW()+1,1,,"Cash"))</f>
        <v>2203026.55089633</v>
      </c>
      <c r="G59" s="10" t="n">
        <f aca="true">INDIRECT(ADDRESS(COLUMN()+119,ROW()+1,1,,"Cash"))</f>
        <v>260.394016774627</v>
      </c>
      <c r="H59" s="10" t="n">
        <f aca="true">INDIRECT(ADDRESS(COLUMN()+119,ROW()+1,1,,"Cash"))</f>
        <v>204.032608855786</v>
      </c>
      <c r="I59" s="10" t="n">
        <f aca="true">INDIRECT(ADDRESS(COLUMN()+119,ROW()+1,1,,"Cash"))</f>
        <v>2100535.61317081</v>
      </c>
      <c r="J59" s="10" t="n">
        <f aca="true">INDIRECT(ADDRESS(COLUMN()+119,ROW()+1,1,,"Cash"))</f>
        <v>114.076927756027</v>
      </c>
      <c r="K59" s="10" t="n">
        <f aca="true">INDIRECT(ADDRESS(COLUMN()+119,ROW()+1,1,,"Cash"))</f>
        <v>2039917.05248428</v>
      </c>
      <c r="L59" s="10" t="n">
        <f aca="true">INDIRECT(ADDRESS(COLUMN()+119,ROW()+1,1,,"Cash"))</f>
        <v>200.695031343441</v>
      </c>
      <c r="M59" s="10" t="n">
        <f aca="true">INDIRECT(ADDRESS(COLUMN()+119,ROW()+1,1,,"Cash"))</f>
        <v>264.850986277281</v>
      </c>
      <c r="N59" s="10" t="n">
        <f aca="true">INDIRECT(ADDRESS(COLUMN()+119,ROW()+1,1,,"Cash"))</f>
        <v>1909167.02900091</v>
      </c>
      <c r="O59" s="10" t="n">
        <f aca="true">INDIRECT(ADDRESS(COLUMN()+119,ROW()+1,1,,"Cash"))</f>
        <v>215.39442307889</v>
      </c>
      <c r="P59" s="10" t="n">
        <f aca="true">INDIRECT(ADDRESS(COLUMN()+119,ROW()+1,1,,"Cash"))</f>
        <v>101.89957923575</v>
      </c>
      <c r="Q59" s="26" t="n">
        <f aca="true">INDIRECT(ADDRESS(COLUMN()+119,ROW()+1,1,,"Cash"))</f>
        <v>111.177337233437</v>
      </c>
      <c r="R59" s="10" t="n">
        <f aca="true">INDIRECT(ADDRESS(COLUMN()+119,ROW()+1,1,,"Cash"))</f>
        <v>203.477498595507</v>
      </c>
      <c r="S59" s="10" t="n">
        <f aca="true">INDIRECT(ADDRESS(COLUMN()+119,ROW()+1,1,,"Cash"))</f>
        <v>2249450.47328431</v>
      </c>
      <c r="T59" s="10" t="n">
        <f aca="true">INDIRECT(ADDRESS(COLUMN()+119,ROW()+1,1,,"Cash"))</f>
        <v>85.3786534554817</v>
      </c>
      <c r="U59" s="10" t="n">
        <f aca="true">INDIRECT(ADDRESS(COLUMN()+119,ROW()+1,1,,"Cash"))</f>
        <v>2148686.05045032</v>
      </c>
      <c r="V59" s="10" t="n">
        <f aca="true">INDIRECT(ADDRESS(COLUMN()+119,ROW()+1,1,,"Cash"))</f>
        <v>109.574286796419</v>
      </c>
      <c r="W59" s="10" t="n">
        <f aca="true">INDIRECT(ADDRESS(COLUMN()+119,ROW()+1,1,,"Cash"))</f>
        <v>1091.11207301966</v>
      </c>
      <c r="X59" s="10" t="n">
        <f aca="true">INDIRECT(ADDRESS(COLUMN()+119,ROW()+1,1,,"Cash"))</f>
        <v>704.069310660545</v>
      </c>
    </row>
    <row r="60" customFormat="false" ht="12.8" hidden="false" customHeight="false" outlineLevel="0" collapsed="false">
      <c r="A60" s="1" t="s">
        <v>380</v>
      </c>
      <c r="B60" s="10" t="n">
        <f aca="true">INDIRECT(ADDRESS(COLUMN()+119,ROW()+1,1,,"Cash"))</f>
        <v>695.147522810616</v>
      </c>
      <c r="C60" s="10" t="n">
        <f aca="true">INDIRECT(ADDRESS(COLUMN()+119,ROW()+1,1,,"Cash"))</f>
        <v>233.46104030201</v>
      </c>
      <c r="D60" s="10" t="n">
        <f aca="true">INDIRECT(ADDRESS(COLUMN()+119,ROW()+1,1,,"Cash"))</f>
        <v>119.803439530108</v>
      </c>
      <c r="E60" s="10" t="n">
        <f aca="true">INDIRECT(ADDRESS(COLUMN()+119,ROW()+1,1,,"Cash"))</f>
        <v>15.0353447849644</v>
      </c>
      <c r="F60" s="10" t="n">
        <f aca="true">INDIRECT(ADDRESS(COLUMN()+119,ROW()+1,1,,"Cash"))</f>
        <v>471.530160273665</v>
      </c>
      <c r="G60" s="10" t="n">
        <f aca="true">INDIRECT(ADDRESS(COLUMN()+119,ROW()+1,1,,"Cash"))</f>
        <v>195.29551258097</v>
      </c>
      <c r="H60" s="10" t="n">
        <f aca="true">INDIRECT(ADDRESS(COLUMN()+119,ROW()+1,1,,"Cash"))</f>
        <v>163.706983690068</v>
      </c>
      <c r="I60" s="10" t="n">
        <f aca="true">INDIRECT(ADDRESS(COLUMN()+119,ROW()+1,1,,"Cash"))</f>
        <v>327.416247169217</v>
      </c>
      <c r="J60" s="10" t="n">
        <f aca="true">INDIRECT(ADDRESS(COLUMN()+119,ROW()+1,1,,"Cash"))</f>
        <v>72.1696084286908</v>
      </c>
      <c r="K60" s="10" t="n">
        <f aca="true">INDIRECT(ADDRESS(COLUMN()+119,ROW()+1,1,,"Cash"))</f>
        <v>298.764378836523</v>
      </c>
      <c r="L60" s="10" t="n">
        <f aca="true">INDIRECT(ADDRESS(COLUMN()+119,ROW()+1,1,,"Cash"))</f>
        <v>150.521273507581</v>
      </c>
      <c r="M60" s="10" t="n">
        <f aca="true">INDIRECT(ADDRESS(COLUMN()+119,ROW()+1,1,,"Cash"))</f>
        <v>198.638239707961</v>
      </c>
      <c r="N60" s="10" t="n">
        <f aca="true">INDIRECT(ADDRESS(COLUMN()+119,ROW()+1,1,,"Cash"))</f>
        <v>102.170058161026</v>
      </c>
      <c r="O60" s="10" t="n">
        <f aca="true">INDIRECT(ADDRESS(COLUMN()+119,ROW()+1,1,,"Cash"))</f>
        <v>161.545817309167</v>
      </c>
      <c r="P60" s="10" t="n">
        <f aca="true">INDIRECT(ADDRESS(COLUMN()+119,ROW()+1,1,,"Cash"))</f>
        <v>57.8772327229254</v>
      </c>
      <c r="Q60" s="26" t="n">
        <f aca="true">INDIRECT(ADDRESS(COLUMN()+119,ROW()+1,1,,"Cash"))</f>
        <v>69.5523283124247</v>
      </c>
      <c r="R60" s="10" t="n">
        <f aca="true">INDIRECT(ADDRESS(COLUMN()+119,ROW()+1,1,,"Cash"))</f>
        <v>152.60812394663</v>
      </c>
      <c r="S60" s="10" t="n">
        <f aca="true">INDIRECT(ADDRESS(COLUMN()+119,ROW()+1,1,,"Cash"))</f>
        <v>1118.48043402027</v>
      </c>
      <c r="T60" s="10" t="n">
        <f aca="true">INDIRECT(ADDRESS(COLUMN()+119,ROW()+1,1,,"Cash"))</f>
        <v>44.3479490537657</v>
      </c>
      <c r="U60" s="10" t="n">
        <f aca="true">INDIRECT(ADDRESS(COLUMN()+119,ROW()+1,1,,"Cash"))</f>
        <v>379.482885599384</v>
      </c>
      <c r="V60" s="10" t="n">
        <f aca="true">INDIRECT(ADDRESS(COLUMN()+119,ROW()+1,1,,"Cash"))</f>
        <v>89.2081232881371</v>
      </c>
      <c r="W60" s="10" t="n">
        <f aca="true">INDIRECT(ADDRESS(COLUMN()+119,ROW()+1,1,,"Cash"))</f>
        <v>894.068520287756</v>
      </c>
      <c r="X60" s="10" t="n">
        <f aca="true">INDIRECT(ADDRESS(COLUMN()+119,ROW()+1,1,,"Cash"))</f>
        <v>585.349734616461</v>
      </c>
    </row>
    <row r="61" customFormat="false" ht="12.8" hidden="false" customHeight="false" outlineLevel="0" collapsed="false">
      <c r="A61" s="1" t="s">
        <v>381</v>
      </c>
      <c r="B61" s="10" t="n">
        <f aca="true">INDIRECT(ADDRESS(COLUMN()+119,ROW()+1,1,,"Cash"))</f>
        <v>4.32241572950422</v>
      </c>
      <c r="C61" s="10" t="n">
        <f aca="true">INDIRECT(ADDRESS(COLUMN()+119,ROW()+1,1,,"Cash"))</f>
        <v>4.92093036502834</v>
      </c>
      <c r="D61" s="10" t="n">
        <f aca="true">INDIRECT(ADDRESS(COLUMN()+119,ROW()+1,1,,"Cash"))</f>
        <v>2.37923296746069</v>
      </c>
      <c r="E61" s="10" t="n">
        <f aca="true">INDIRECT(ADDRESS(COLUMN()+119,ROW()+1,1,,"Cash"))</f>
        <v>1.26193859029482</v>
      </c>
      <c r="F61" s="10" t="n">
        <f aca="true">INDIRECT(ADDRESS(COLUMN()+119,ROW()+1,1,,"Cash"))</f>
        <v>9.47579944745728</v>
      </c>
      <c r="G61" s="10" t="n">
        <f aca="true">INDIRECT(ADDRESS(COLUMN()+119,ROW()+1,1,,"Cash"))</f>
        <v>6.70588560917872</v>
      </c>
      <c r="H61" s="10" t="n">
        <f aca="true">INDIRECT(ADDRESS(COLUMN()+119,ROW()+1,1,,"Cash"))</f>
        <v>2.95089585679538</v>
      </c>
      <c r="I61" s="10" t="n">
        <f aca="true">INDIRECT(ADDRESS(COLUMN()+119,ROW()+1,1,,"Cash"))</f>
        <v>3.27635394775828</v>
      </c>
      <c r="J61" s="10" t="n">
        <f aca="true">INDIRECT(ADDRESS(COLUMN()+119,ROW()+1,1,,"Cash"))</f>
        <v>40.6589599941686</v>
      </c>
      <c r="K61" s="10" t="n">
        <f aca="true">INDIRECT(ADDRESS(COLUMN()+119,ROW()+1,1,,"Cash"))</f>
        <v>7.31121691459381</v>
      </c>
      <c r="L61" s="10" t="n">
        <f aca="true">INDIRECT(ADDRESS(COLUMN()+119,ROW()+1,1,,"Cash"))</f>
        <v>8.04953835466439</v>
      </c>
      <c r="M61" s="10" t="n">
        <f aca="true">INDIRECT(ADDRESS(COLUMN()+119,ROW()+1,1,,"Cash"))</f>
        <v>3.74273769929809</v>
      </c>
      <c r="N61" s="10" t="n">
        <f aca="true">INDIRECT(ADDRESS(COLUMN()+119,ROW()+1,1,,"Cash"))</f>
        <v>32.1298068912685</v>
      </c>
      <c r="O61" s="10" t="n">
        <f aca="true">INDIRECT(ADDRESS(COLUMN()+119,ROW()+1,1,,"Cash"))</f>
        <v>2.84826868061241</v>
      </c>
      <c r="P61" s="10" t="n">
        <f aca="true">INDIRECT(ADDRESS(COLUMN()+119,ROW()+1,1,,"Cash"))</f>
        <v>6.71970594265514</v>
      </c>
      <c r="Q61" s="26" t="n">
        <f aca="true">INDIRECT(ADDRESS(COLUMN()+119,ROW()+1,1,,"Cash"))</f>
        <v>2.34328922136526</v>
      </c>
      <c r="R61" s="10" t="n">
        <f aca="true">INDIRECT(ADDRESS(COLUMN()+119,ROW()+1,1,,"Cash"))</f>
        <v>62.2003459948829</v>
      </c>
      <c r="S61" s="10" t="n">
        <f aca="true">INDIRECT(ADDRESS(COLUMN()+119,ROW()+1,1,,"Cash"))</f>
        <v>7.78771778254713</v>
      </c>
      <c r="T61" s="10" t="n">
        <f aca="true">INDIRECT(ADDRESS(COLUMN()+119,ROW()+1,1,,"Cash"))</f>
        <v>3.31202461609823</v>
      </c>
      <c r="U61" s="10" t="n">
        <f aca="true">INDIRECT(ADDRESS(COLUMN()+119,ROW()+1,1,,"Cash"))</f>
        <v>8.85975275714075</v>
      </c>
      <c r="V61" s="10" t="n">
        <f aca="true">INDIRECT(ADDRESS(COLUMN()+119,ROW()+1,1,,"Cash"))</f>
        <v>1.96091795439771</v>
      </c>
      <c r="W61" s="10" t="n">
        <f aca="true">INDIRECT(ADDRESS(COLUMN()+119,ROW()+1,1,,"Cash"))</f>
        <v>9.25800941497586</v>
      </c>
      <c r="X61" s="10" t="n">
        <f aca="true">INDIRECT(ADDRESS(COLUMN()+119,ROW()+1,1,,"Cash"))</f>
        <v>6.32813844642848</v>
      </c>
    </row>
    <row r="62" customFormat="false" ht="12.8" hidden="false" customHeight="false" outlineLevel="0" collapsed="false">
      <c r="A62" s="1" t="s">
        <v>382</v>
      </c>
      <c r="B62" s="10" t="n">
        <f aca="true">INDIRECT(ADDRESS(COLUMN()+119,ROW()+1,1,,"Cash"))</f>
        <v>1390.29504562123</v>
      </c>
      <c r="C62" s="10" t="n">
        <f aca="true">INDIRECT(ADDRESS(COLUMN()+119,ROW()+1,1,,"Cash"))</f>
        <v>466.92208060402</v>
      </c>
      <c r="D62" s="10" t="n">
        <f aca="true">INDIRECT(ADDRESS(COLUMN()+119,ROW()+1,1,,"Cash"))</f>
        <v>239.606879060215</v>
      </c>
      <c r="E62" s="10" t="n">
        <f aca="true">INDIRECT(ADDRESS(COLUMN()+119,ROW()+1,1,,"Cash"))</f>
        <v>30.0706895699288</v>
      </c>
      <c r="F62" s="10" t="n">
        <f aca="true">INDIRECT(ADDRESS(COLUMN()+119,ROW()+1,1,,"Cash"))</f>
        <v>943.06032054733</v>
      </c>
      <c r="G62" s="10" t="n">
        <f aca="true">INDIRECT(ADDRESS(COLUMN()+119,ROW()+1,1,,"Cash"))</f>
        <v>390.59102516194</v>
      </c>
      <c r="H62" s="10" t="n">
        <f aca="true">INDIRECT(ADDRESS(COLUMN()+119,ROW()+1,1,,"Cash"))</f>
        <v>327.413967380137</v>
      </c>
      <c r="I62" s="10" t="n">
        <f aca="true">INDIRECT(ADDRESS(COLUMN()+119,ROW()+1,1,,"Cash"))</f>
        <v>654.832494338434</v>
      </c>
      <c r="J62" s="10" t="n">
        <f aca="true">INDIRECT(ADDRESS(COLUMN()+119,ROW()+1,1,,"Cash"))</f>
        <v>144.339216857382</v>
      </c>
      <c r="K62" s="10" t="n">
        <f aca="true">INDIRECT(ADDRESS(COLUMN()+119,ROW()+1,1,,"Cash"))</f>
        <v>597.528757673046</v>
      </c>
      <c r="L62" s="10" t="n">
        <f aca="true">INDIRECT(ADDRESS(COLUMN()+119,ROW()+1,1,,"Cash"))</f>
        <v>301.042547015162</v>
      </c>
      <c r="M62" s="10" t="n">
        <f aca="true">INDIRECT(ADDRESS(COLUMN()+119,ROW()+1,1,,"Cash"))</f>
        <v>397.276479415921</v>
      </c>
      <c r="N62" s="10" t="n">
        <f aca="true">INDIRECT(ADDRESS(COLUMN()+119,ROW()+1,1,,"Cash"))</f>
        <v>204.340116322052</v>
      </c>
      <c r="O62" s="10" t="n">
        <f aca="true">INDIRECT(ADDRESS(COLUMN()+119,ROW()+1,1,,"Cash"))</f>
        <v>323.091634618334</v>
      </c>
      <c r="P62" s="10" t="n">
        <f aca="true">INDIRECT(ADDRESS(COLUMN()+119,ROW()+1,1,,"Cash"))</f>
        <v>115.754465445851</v>
      </c>
      <c r="Q62" s="26" t="n">
        <f aca="true">INDIRECT(ADDRESS(COLUMN()+119,ROW()+1,1,,"Cash"))</f>
        <v>139.104656624849</v>
      </c>
      <c r="R62" s="10" t="n">
        <f aca="true">INDIRECT(ADDRESS(COLUMN()+119,ROW()+1,1,,"Cash"))</f>
        <v>305.21624789326</v>
      </c>
      <c r="S62" s="10" t="n">
        <f aca="true">INDIRECT(ADDRESS(COLUMN()+119,ROW()+1,1,,"Cash"))</f>
        <v>2236.96086804054</v>
      </c>
      <c r="T62" s="10" t="n">
        <f aca="true">INDIRECT(ADDRESS(COLUMN()+119,ROW()+1,1,,"Cash"))</f>
        <v>88.6958981075314</v>
      </c>
      <c r="U62" s="10" t="n">
        <f aca="true">INDIRECT(ADDRESS(COLUMN()+119,ROW()+1,1,,"Cash"))</f>
        <v>758.965771198768</v>
      </c>
      <c r="V62" s="10" t="n">
        <f aca="true">INDIRECT(ADDRESS(COLUMN()+119,ROW()+1,1,,"Cash"))</f>
        <v>178.416246576274</v>
      </c>
      <c r="W62" s="10" t="n">
        <f aca="true">INDIRECT(ADDRESS(COLUMN()+119,ROW()+1,1,,"Cash"))</f>
        <v>1788.13704057551</v>
      </c>
      <c r="X62" s="10" t="n">
        <f aca="true">INDIRECT(ADDRESS(COLUMN()+119,ROW()+1,1,,"Cash"))</f>
        <v>1170.69946923292</v>
      </c>
    </row>
    <row r="63" customFormat="false" ht="12.8" hidden="false" customHeight="false" outlineLevel="0" collapsed="false">
      <c r="A63" s="3" t="s">
        <v>383</v>
      </c>
      <c r="B63" s="10" t="n">
        <f aca="true">INDIRECT(ADDRESS(COLUMN()+119,ROW()+1,1,,"Cash"))</f>
        <v>118.616467294077</v>
      </c>
      <c r="C63" s="10" t="n">
        <f aca="true">INDIRECT(ADDRESS(COLUMN()+119,ROW()+1,1,,"Cash"))</f>
        <v>187.420945227935</v>
      </c>
      <c r="D63" s="10" t="n">
        <f aca="true">INDIRECT(ADDRESS(COLUMN()+119,ROW()+1,1,,"Cash"))</f>
        <v>189.27634673062</v>
      </c>
      <c r="E63" s="10" t="n">
        <f aca="true">INDIRECT(ADDRESS(COLUMN()+119,ROW()+1,1,,"Cash"))</f>
        <v>775.371755964388</v>
      </c>
      <c r="F63" s="10" t="n">
        <f aca="true">INDIRECT(ADDRESS(COLUMN()+119,ROW()+1,1,,"Cash"))</f>
        <v>179.866928588318</v>
      </c>
      <c r="G63" s="10" t="n">
        <f aca="true">INDIRECT(ADDRESS(COLUMN()+119,ROW()+1,1,,"Cash"))</f>
        <v>153.160681901448</v>
      </c>
      <c r="H63" s="10" t="n">
        <f aca="true">INDIRECT(ADDRESS(COLUMN()+119,ROW()+1,1,,"Cash"))</f>
        <v>126.543719675906</v>
      </c>
      <c r="I63" s="10" t="n">
        <f aca="true">INDIRECT(ADDRESS(COLUMN()+119,ROW()+1,1,,"Cash"))</f>
        <v>132.454567989553</v>
      </c>
      <c r="J63" s="10" t="n">
        <f aca="true">INDIRECT(ADDRESS(COLUMN()+119,ROW()+1,1,,"Cash"))</f>
        <v>128.5600443517</v>
      </c>
      <c r="K63" s="10" t="n">
        <f aca="true">INDIRECT(ADDRESS(COLUMN()+119,ROW()+1,1,,"Cash"))</f>
        <v>175.187609458659</v>
      </c>
      <c r="L63" s="10" t="n">
        <f aca="true">INDIRECT(ADDRESS(COLUMN()+119,ROW()+1,1,,"Cash"))</f>
        <v>145.132990384333</v>
      </c>
      <c r="M63" s="10" t="n">
        <f aca="true">INDIRECT(ADDRESS(COLUMN()+119,ROW()+1,1,,"Cash"))</f>
        <v>2108.04569000734</v>
      </c>
      <c r="N63" s="10" t="n">
        <f aca="true">INDIRECT(ADDRESS(COLUMN()+119,ROW()+1,1,,"Cash"))</f>
        <v>150.713763815666</v>
      </c>
      <c r="O63" s="10" t="n">
        <f aca="true">INDIRECT(ADDRESS(COLUMN()+119,ROW()+1,1,,"Cash"))</f>
        <v>107.188848978132</v>
      </c>
      <c r="P63" s="10" t="n">
        <f aca="true">INDIRECT(ADDRESS(COLUMN()+119,ROW()+1,1,,"Cash"))</f>
        <v>97.6204686442948</v>
      </c>
      <c r="Q63" s="26" t="n">
        <f aca="true">INDIRECT(ADDRESS(COLUMN()+119,ROW()+1,1,,"Cash"))</f>
        <v>55.9133524101327</v>
      </c>
      <c r="R63" s="10" t="n">
        <f aca="true">INDIRECT(ADDRESS(COLUMN()+119,ROW()+1,1,,"Cash"))</f>
        <v>137.797533820109</v>
      </c>
      <c r="S63" s="10" t="n">
        <f aca="true">INDIRECT(ADDRESS(COLUMN()+119,ROW()+1,1,,"Cash"))</f>
        <v>252.148344520648</v>
      </c>
      <c r="T63" s="10" t="n">
        <f aca="true">INDIRECT(ADDRESS(COLUMN()+119,ROW()+1,1,,"Cash"))</f>
        <v>2344.68633921665</v>
      </c>
      <c r="U63" s="10" t="n">
        <f aca="true">INDIRECT(ADDRESS(COLUMN()+119,ROW()+1,1,,"Cash"))</f>
        <v>90.5938257606436</v>
      </c>
      <c r="V63" s="10" t="n">
        <f aca="true">INDIRECT(ADDRESS(COLUMN()+119,ROW()+1,1,,"Cash"))</f>
        <v>134.804745480984</v>
      </c>
      <c r="W63" s="10" t="n">
        <f aca="true">INDIRECT(ADDRESS(COLUMN()+119,ROW()+1,1,,"Cash"))</f>
        <v>141.765662079736</v>
      </c>
      <c r="X63" s="10" t="n">
        <f aca="true">INDIRECT(ADDRESS(COLUMN()+119,ROW()+1,1,,"Cash"))</f>
        <v>157.261114188777</v>
      </c>
    </row>
    <row r="64" customFormat="false" ht="12.8" hidden="false" customHeight="false" outlineLevel="0" collapsed="false">
      <c r="A64" s="1" t="s">
        <v>384</v>
      </c>
      <c r="B64" s="10" t="n">
        <f aca="true">INDIRECT(ADDRESS(COLUMN()+119,ROW()+1,1,,"Cash"))</f>
        <v>189.833932348558</v>
      </c>
      <c r="C64" s="10" t="n">
        <f aca="true">INDIRECT(ADDRESS(COLUMN()+119,ROW()+1,1,,"Cash"))</f>
        <v>137.612099565248</v>
      </c>
      <c r="D64" s="10" t="n">
        <f aca="true">INDIRECT(ADDRESS(COLUMN()+119,ROW()+1,1,,"Cash"))</f>
        <v>19.7243611561852</v>
      </c>
      <c r="E64" s="10" t="n">
        <f aca="true">INDIRECT(ADDRESS(COLUMN()+119,ROW()+1,1,,"Cash"))</f>
        <v>24.2024281869066</v>
      </c>
      <c r="F64" s="10" t="n">
        <f aca="true">INDIRECT(ADDRESS(COLUMN()+119,ROW()+1,1,,"Cash"))</f>
        <v>60.3855668381889</v>
      </c>
      <c r="G64" s="10" t="n">
        <f aca="true">INDIRECT(ADDRESS(COLUMN()+119,ROW()+1,1,,"Cash"))</f>
        <v>99.4083404987108</v>
      </c>
      <c r="H64" s="10" t="n">
        <f aca="true">INDIRECT(ADDRESS(COLUMN()+119,ROW()+1,1,,"Cash"))</f>
        <v>127.479933100583</v>
      </c>
      <c r="I64" s="10" t="n">
        <f aca="true">INDIRECT(ADDRESS(COLUMN()+119,ROW()+1,1,,"Cash"))</f>
        <v>40.6217347380853</v>
      </c>
      <c r="J64" s="10" t="n">
        <f aca="true">INDIRECT(ADDRESS(COLUMN()+119,ROW()+1,1,,"Cash"))</f>
        <v>26.9130760515327</v>
      </c>
      <c r="K64" s="10" t="n">
        <f aca="true">INDIRECT(ADDRESS(COLUMN()+119,ROW()+1,1,,"Cash"))</f>
        <v>61.7212756673716</v>
      </c>
      <c r="L64" s="10" t="n">
        <f aca="true">INDIRECT(ADDRESS(COLUMN()+119,ROW()+1,1,,"Cash"))</f>
        <v>47.0126032838745</v>
      </c>
      <c r="M64" s="10" t="n">
        <f aca="true">INDIRECT(ADDRESS(COLUMN()+119,ROW()+1,1,,"Cash"))</f>
        <v>23.5269573246982</v>
      </c>
      <c r="N64" s="10" t="n">
        <f aca="true">INDIRECT(ADDRESS(COLUMN()+119,ROW()+1,1,,"Cash"))</f>
        <v>281.320281830663</v>
      </c>
      <c r="O64" s="10" t="n">
        <f aca="true">INDIRECT(ADDRESS(COLUMN()+119,ROW()+1,1,,"Cash"))</f>
        <v>34.8758067160211</v>
      </c>
      <c r="P64" s="10" t="n">
        <f aca="true">INDIRECT(ADDRESS(COLUMN()+119,ROW()+1,1,,"Cash"))</f>
        <v>74.3281905550138</v>
      </c>
      <c r="Q64" s="26" t="n">
        <f aca="true">INDIRECT(ADDRESS(COLUMN()+119,ROW()+1,1,,"Cash"))</f>
        <v>27.8538763840239</v>
      </c>
      <c r="R64" s="10" t="n">
        <f aca="true">INDIRECT(ADDRESS(COLUMN()+119,ROW()+1,1,,"Cash"))</f>
        <v>21.7996892404825</v>
      </c>
      <c r="S64" s="10" t="n">
        <f aca="true">INDIRECT(ADDRESS(COLUMN()+119,ROW()+1,1,,"Cash"))</f>
        <v>161.041965616561</v>
      </c>
      <c r="T64" s="10" t="n">
        <f aca="true">INDIRECT(ADDRESS(COLUMN()+119,ROW()+1,1,,"Cash"))</f>
        <v>10.3368096952944</v>
      </c>
      <c r="U64" s="10" t="n">
        <f aca="true">INDIRECT(ADDRESS(COLUMN()+119,ROW()+1,1,,"Cash"))</f>
        <v>44.8710428681425</v>
      </c>
      <c r="V64" s="10" t="n">
        <f aca="true">INDIRECT(ADDRESS(COLUMN()+119,ROW()+1,1,,"Cash"))</f>
        <v>24.282968672792</v>
      </c>
      <c r="W64" s="10" t="n">
        <f aca="true">INDIRECT(ADDRESS(COLUMN()+119,ROW()+1,1,,"Cash"))</f>
        <v>157.632988539976</v>
      </c>
      <c r="X64" s="10" t="n">
        <f aca="true">INDIRECT(ADDRESS(COLUMN()+119,ROW()+1,1,,"Cash"))</f>
        <v>88.1808422822463</v>
      </c>
    </row>
    <row r="65" customFormat="false" ht="12.8" hidden="false" customHeight="false" outlineLevel="0" collapsed="false">
      <c r="A65" s="1" t="s">
        <v>385</v>
      </c>
      <c r="B65" s="10" t="n">
        <f aca="true">INDIRECT(ADDRESS(COLUMN()+119,ROW()+1,1,,"Cash"))</f>
        <v>4358203.40463622</v>
      </c>
      <c r="C65" s="10" t="n">
        <f aca="true">INDIRECT(ADDRESS(COLUMN()+119,ROW()+1,1,,"Cash"))</f>
        <v>1</v>
      </c>
      <c r="D65" s="10" t="n">
        <f aca="true">INDIRECT(ADDRESS(COLUMN()+119,ROW()+1,1,,"Cash"))</f>
        <v>333765.464799727</v>
      </c>
      <c r="E65" s="10" t="n">
        <f aca="true">INDIRECT(ADDRESS(COLUMN()+119,ROW()+1,1,,"Cash"))</f>
        <v>130565.604097656</v>
      </c>
      <c r="F65" s="10" t="n">
        <f aca="true">INDIRECT(ADDRESS(COLUMN()+119,ROW()+1,1,,"Cash"))</f>
        <v>1.13262553749182</v>
      </c>
      <c r="G65" s="10" t="n">
        <f aca="true">INDIRECT(ADDRESS(COLUMN()+119,ROW()+1,1,,"Cash"))</f>
        <v>944762.917913248</v>
      </c>
      <c r="H65" s="10" t="n">
        <f aca="true">INDIRECT(ADDRESS(COLUMN()+119,ROW()+1,1,,"Cash"))</f>
        <v>437362.702988395</v>
      </c>
      <c r="I65" s="10" t="n">
        <f aca="true">INDIRECT(ADDRESS(COLUMN()+119,ROW()+1,1,,"Cash"))</f>
        <v>1</v>
      </c>
      <c r="J65" s="10" t="n">
        <f aca="true">INDIRECT(ADDRESS(COLUMN()+119,ROW()+1,1,,"Cash"))</f>
        <v>354888.226206356</v>
      </c>
      <c r="K65" s="10" t="n">
        <f aca="true">INDIRECT(ADDRESS(COLUMN()+119,ROW()+1,1,,"Cash"))</f>
        <v>1</v>
      </c>
      <c r="L65" s="10" t="n">
        <f aca="true">INDIRECT(ADDRESS(COLUMN()+119,ROW()+1,1,,"Cash"))</f>
        <v>800608.420604517</v>
      </c>
      <c r="M65" s="10" t="n">
        <f aca="true">INDIRECT(ADDRESS(COLUMN()+119,ROW()+1,1,,"Cash"))</f>
        <v>882246.758644603</v>
      </c>
      <c r="N65" s="10" t="n">
        <f aca="true">INDIRECT(ADDRESS(COLUMN()+119,ROW()+1,1,,"Cash"))</f>
        <v>499251.613935428</v>
      </c>
      <c r="O65" s="10" t="n">
        <f aca="true">INDIRECT(ADDRESS(COLUMN()+119,ROW()+1,1,,"Cash"))</f>
        <v>1570931.52409611</v>
      </c>
      <c r="P65" s="10" t="n">
        <f aca="true">INDIRECT(ADDRESS(COLUMN()+119,ROW()+1,1,,"Cash"))</f>
        <v>233477.122596519</v>
      </c>
      <c r="Q65" s="26" t="n">
        <f aca="true">INDIRECT(ADDRESS(COLUMN()+119,ROW()+1,1,,"Cash"))</f>
        <v>1</v>
      </c>
      <c r="R65" s="10" t="n">
        <f aca="true">INDIRECT(ADDRESS(COLUMN()+119,ROW()+1,1,,"Cash"))</f>
        <v>789515.575159241</v>
      </c>
      <c r="S65" s="10" t="n">
        <f aca="true">INDIRECT(ADDRESS(COLUMN()+119,ROW()+1,1,,"Cash"))</f>
        <v>10.5762666420759</v>
      </c>
      <c r="T65" s="10" t="n">
        <f aca="true">INDIRECT(ADDRESS(COLUMN()+119,ROW()+1,1,,"Cash"))</f>
        <v>214996.275729121</v>
      </c>
      <c r="U65" s="10" t="n">
        <f aca="true">INDIRECT(ADDRESS(COLUMN()+119,ROW()+1,1,,"Cash"))</f>
        <v>1</v>
      </c>
      <c r="V65" s="10" t="n">
        <f aca="true">INDIRECT(ADDRESS(COLUMN()+119,ROW()+1,1,,"Cash"))</f>
        <v>544007.553959007</v>
      </c>
      <c r="W65" s="10" t="n">
        <f aca="true">INDIRECT(ADDRESS(COLUMN()+119,ROW()+1,1,,"Cash"))</f>
        <v>7467533.39440551</v>
      </c>
      <c r="X65" s="10" t="n">
        <f aca="true">INDIRECT(ADDRESS(COLUMN()+119,ROW()+1,1,,"Cash"))</f>
        <v>3208083.05149239</v>
      </c>
    </row>
    <row r="66" customFormat="false" ht="12.8" hidden="false" customHeight="false" outlineLevel="0" collapsed="false">
      <c r="A66" s="1" t="s">
        <v>386</v>
      </c>
      <c r="B66" s="10" t="n">
        <f aca="true">INDIRECT(ADDRESS(COLUMN()+119,ROW()+1,1,,"Cash"))</f>
        <v>261.429749763598</v>
      </c>
      <c r="C66" s="10" t="n">
        <f aca="true">INDIRECT(ADDRESS(COLUMN()+119,ROW()+1,1,,"Cash"))</f>
        <v>42.9543393811607</v>
      </c>
      <c r="D66" s="10" t="n">
        <f aca="true">INDIRECT(ADDRESS(COLUMN()+119,ROW()+1,1,,"Cash"))</f>
        <v>17.8380035435416</v>
      </c>
      <c r="E66" s="10" t="n">
        <f aca="true">INDIRECT(ADDRESS(COLUMN()+119,ROW()+1,1,,"Cash"))</f>
        <v>4.44787546169601</v>
      </c>
      <c r="F66" s="10" t="n">
        <f aca="true">INDIRECT(ADDRESS(COLUMN()+119,ROW()+1,1,,"Cash"))</f>
        <v>188.770922915303</v>
      </c>
      <c r="G66" s="10" t="n">
        <f aca="true">INDIRECT(ADDRESS(COLUMN()+119,ROW()+1,1,,"Cash"))</f>
        <v>23.7611889524259</v>
      </c>
      <c r="H66" s="10" t="n">
        <f aca="true">INDIRECT(ADDRESS(COLUMN()+119,ROW()+1,1,,"Cash"))</f>
        <v>29.4648490597388</v>
      </c>
      <c r="I66" s="10" t="n">
        <f aca="true">INDIRECT(ADDRESS(COLUMN()+119,ROW()+1,1,,"Cash"))</f>
        <v>118.416062305019</v>
      </c>
      <c r="J66" s="10" t="n">
        <f aca="true">INDIRECT(ADDRESS(COLUMN()+119,ROW()+1,1,,"Cash"))</f>
        <v>8.42021419698424</v>
      </c>
      <c r="K66" s="10" t="n">
        <f aca="true">INDIRECT(ADDRESS(COLUMN()+119,ROW()+1,1,,"Cash"))</f>
        <v>70.1992727615628</v>
      </c>
      <c r="L66" s="10" t="n">
        <f aca="true">INDIRECT(ADDRESS(COLUMN()+119,ROW()+1,1,,"Cash"))</f>
        <v>21.9373362192889</v>
      </c>
      <c r="M66" s="10" t="n">
        <f aca="true">INDIRECT(ADDRESS(COLUMN()+119,ROW()+1,1,,"Cash"))</f>
        <v>51.2138069795748</v>
      </c>
      <c r="N66" s="10" t="n">
        <f aca="true">INDIRECT(ADDRESS(COLUMN()+119,ROW()+1,1,,"Cash"))</f>
        <v>25.0774461280859</v>
      </c>
      <c r="O66" s="10" t="n">
        <f aca="true">INDIRECT(ADDRESS(COLUMN()+119,ROW()+1,1,,"Cash"))</f>
        <v>30.4462477161134</v>
      </c>
      <c r="P66" s="10" t="n">
        <f aca="true">INDIRECT(ADDRESS(COLUMN()+119,ROW()+1,1,,"Cash"))</f>
        <v>7.73859587681165</v>
      </c>
      <c r="Q66" s="26" t="n">
        <f aca="true">INDIRECT(ADDRESS(COLUMN()+119,ROW()+1,1,,"Cash"))</f>
        <v>2.22983730076765</v>
      </c>
      <c r="R66" s="10" t="n">
        <f aca="true">INDIRECT(ADDRESS(COLUMN()+119,ROW()+1,1,,"Cash"))</f>
        <v>18.2915339714016</v>
      </c>
      <c r="S66" s="10" t="n">
        <f aca="true">INDIRECT(ADDRESS(COLUMN()+119,ROW()+1,1,,"Cash"))</f>
        <v>1762.71110701265</v>
      </c>
      <c r="T66" s="10" t="n">
        <f aca="true">INDIRECT(ADDRESS(COLUMN()+119,ROW()+1,1,,"Cash"))</f>
        <v>4.61325712910418</v>
      </c>
      <c r="U66" s="10" t="n">
        <f aca="true">INDIRECT(ADDRESS(COLUMN()+119,ROW()+1,1,,"Cash"))</f>
        <v>129.259057353387</v>
      </c>
      <c r="V66" s="10" t="n">
        <f aca="true">INDIRECT(ADDRESS(COLUMN()+119,ROW()+1,1,,"Cash"))</f>
        <v>15.9632885208572</v>
      </c>
      <c r="W66" s="10" t="n">
        <f aca="true">INDIRECT(ADDRESS(COLUMN()+119,ROW()+1,1,,"Cash"))</f>
        <v>366.396957602554</v>
      </c>
      <c r="X66" s="10" t="n">
        <f aca="true">INDIRECT(ADDRESS(COLUMN()+119,ROW()+1,1,,"Cash"))</f>
        <v>149.938684602026</v>
      </c>
    </row>
    <row r="67" customFormat="false" ht="12.8" hidden="false" customHeight="false" outlineLevel="0" collapsed="false">
      <c r="A67" s="1" t="s">
        <v>387</v>
      </c>
      <c r="B67" s="10" t="n">
        <f aca="true">INDIRECT(ADDRESS(COLUMN()+119,ROW()+1,1,,"Cash"))</f>
        <v>320.075600716189</v>
      </c>
      <c r="C67" s="10" t="n">
        <f aca="true">INDIRECT(ADDRESS(COLUMN()+119,ROW()+1,1,,"Cash"))</f>
        <v>103.868364376552</v>
      </c>
      <c r="D67" s="10" t="n">
        <f aca="true">INDIRECT(ADDRESS(COLUMN()+119,ROW()+1,1,,"Cash"))</f>
        <v>42.6269431018441</v>
      </c>
      <c r="E67" s="10" t="n">
        <f aca="true">INDIRECT(ADDRESS(COLUMN()+119,ROW()+1,1,,"Cash"))</f>
        <v>17.9306277126239</v>
      </c>
      <c r="F67" s="10" t="n">
        <f aca="true">INDIRECT(ADDRESS(COLUMN()+119,ROW()+1,1,,"Cash"))</f>
        <v>293.368418487044</v>
      </c>
      <c r="G67" s="10" t="n">
        <f aca="true">INDIRECT(ADDRESS(COLUMN()+119,ROW()+1,1,,"Cash"))</f>
        <v>58.6129341739804</v>
      </c>
      <c r="H67" s="10" t="n">
        <f aca="true">INDIRECT(ADDRESS(COLUMN()+119,ROW()+1,1,,"Cash"))</f>
        <v>64.309980856914</v>
      </c>
      <c r="I67" s="10" t="n">
        <f aca="true">INDIRECT(ADDRESS(COLUMN()+119,ROW()+1,1,,"Cash"))</f>
        <v>158.613788619304</v>
      </c>
      <c r="J67" s="10" t="n">
        <f aca="true">INDIRECT(ADDRESS(COLUMN()+119,ROW()+1,1,,"Cash"))</f>
        <v>22.2109973781318</v>
      </c>
      <c r="K67" s="10" t="n">
        <f aca="true">INDIRECT(ADDRESS(COLUMN()+119,ROW()+1,1,,"Cash"))</f>
        <v>97.2336629323931</v>
      </c>
      <c r="L67" s="10" t="n">
        <f aca="true">INDIRECT(ADDRESS(COLUMN()+119,ROW()+1,1,,"Cash"))</f>
        <v>53.9674299537691</v>
      </c>
      <c r="M67" s="10" t="n">
        <f aca="true">INDIRECT(ADDRESS(COLUMN()+119,ROW()+1,1,,"Cash"))</f>
        <v>97.3671857042386</v>
      </c>
      <c r="N67" s="10" t="n">
        <f aca="true">INDIRECT(ADDRESS(COLUMN()+119,ROW()+1,1,,"Cash"))</f>
        <v>63.0182074376388</v>
      </c>
      <c r="O67" s="10" t="n">
        <f aca="true">INDIRECT(ADDRESS(COLUMN()+119,ROW()+1,1,,"Cash"))</f>
        <v>51.4374684773937</v>
      </c>
      <c r="P67" s="10" t="n">
        <f aca="true">INDIRECT(ADDRESS(COLUMN()+119,ROW()+1,1,,"Cash"))</f>
        <v>22.7343718279628</v>
      </c>
      <c r="Q67" s="26" t="n">
        <f aca="true">INDIRECT(ADDRESS(COLUMN()+119,ROW()+1,1,,"Cash"))</f>
        <v>6.39229728561663</v>
      </c>
      <c r="R67" s="10" t="n">
        <f aca="true">INDIRECT(ADDRESS(COLUMN()+119,ROW()+1,1,,"Cash"))</f>
        <v>32.1142855707654</v>
      </c>
      <c r="S67" s="10" t="n">
        <f aca="true">INDIRECT(ADDRESS(COLUMN()+119,ROW()+1,1,,"Cash"))</f>
        <v>1307.3893011605</v>
      </c>
      <c r="T67" s="10" t="n">
        <f aca="true">INDIRECT(ADDRESS(COLUMN()+119,ROW()+1,1,,"Cash"))</f>
        <v>12.9274841630434</v>
      </c>
      <c r="U67" s="10" t="n">
        <f aca="true">INDIRECT(ADDRESS(COLUMN()+119,ROW()+1,1,,"Cash"))</f>
        <v>183.048329963371</v>
      </c>
      <c r="V67" s="10" t="n">
        <f aca="true">INDIRECT(ADDRESS(COLUMN()+119,ROW()+1,1,,"Cash"))</f>
        <v>31.3400248512522</v>
      </c>
      <c r="W67" s="10" t="n">
        <f aca="true">INDIRECT(ADDRESS(COLUMN()+119,ROW()+1,1,,"Cash"))</f>
        <v>329.499443581855</v>
      </c>
      <c r="X67" s="10" t="n">
        <f aca="true">INDIRECT(ADDRESS(COLUMN()+119,ROW()+1,1,,"Cash"))</f>
        <v>193.113556145955</v>
      </c>
    </row>
    <row r="68" customFormat="false" ht="12.8" hidden="false" customHeight="false" outlineLevel="0" collapsed="false">
      <c r="A68" s="1" t="s">
        <v>388</v>
      </c>
      <c r="B68" s="10" t="n">
        <f aca="true">INDIRECT(ADDRESS(COLUMN()+119,ROW()+1,1,,"Cash"))</f>
        <v>6704928.31482495</v>
      </c>
      <c r="C68" s="10" t="n">
        <f aca="true">INDIRECT(ADDRESS(COLUMN()+119,ROW()+1,1,,"Cash"))</f>
        <v>1</v>
      </c>
      <c r="D68" s="10" t="n">
        <f aca="true">INDIRECT(ADDRESS(COLUMN()+119,ROW()+1,1,,"Cash"))</f>
        <v>513485.330461119</v>
      </c>
      <c r="E68" s="10" t="n">
        <f aca="true">INDIRECT(ADDRESS(COLUMN()+119,ROW()+1,1,,"Cash"))</f>
        <v>200870.16015024</v>
      </c>
      <c r="F68" s="10" t="n">
        <f aca="true">INDIRECT(ADDRESS(COLUMN()+119,ROW()+1,1,,"Cash"))</f>
        <v>1.74250082691049</v>
      </c>
      <c r="G68" s="10" t="n">
        <f aca="true">INDIRECT(ADDRESS(COLUMN()+119,ROW()+1,1,,"Cash"))</f>
        <v>1453481.41217423</v>
      </c>
      <c r="H68" s="10" t="n">
        <f aca="true">INDIRECT(ADDRESS(COLUMN()+119,ROW()+1,1,,"Cash"))</f>
        <v>672865.696905223</v>
      </c>
      <c r="I68" s="10" t="n">
        <f aca="true">INDIRECT(ADDRESS(COLUMN()+119,ROW()+1,1,,"Cash"))</f>
        <v>1.09307134435402</v>
      </c>
      <c r="J68" s="10" t="n">
        <f aca="true">INDIRECT(ADDRESS(COLUMN()+119,ROW()+1,1,,"Cash"))</f>
        <v>545981.886471316</v>
      </c>
      <c r="K68" s="10" t="n">
        <f aca="true">INDIRECT(ADDRESS(COLUMN()+119,ROW()+1,1,,"Cash"))</f>
        <v>1</v>
      </c>
      <c r="L68" s="10" t="n">
        <f aca="true">INDIRECT(ADDRESS(COLUMN()+119,ROW()+1,1,,"Cash"))</f>
        <v>1231705.26246849</v>
      </c>
      <c r="M68" s="10" t="n">
        <f aca="true">INDIRECT(ADDRESS(COLUMN()+119,ROW()+1,1,,"Cash"))</f>
        <v>1357302.70560708</v>
      </c>
      <c r="N68" s="10" t="n">
        <f aca="true">INDIRECT(ADDRESS(COLUMN()+119,ROW()+1,1,,"Cash"))</f>
        <v>768079.406054504</v>
      </c>
      <c r="O68" s="10" t="n">
        <f aca="true">INDIRECT(ADDRESS(COLUMN()+119,ROW()+1,1,,"Cash"))</f>
        <v>2416817.72937863</v>
      </c>
      <c r="P68" s="10" t="n">
        <f aca="true">INDIRECT(ADDRESS(COLUMN()+119,ROW()+1,1,,"Cash"))</f>
        <v>359195.573225413</v>
      </c>
      <c r="Q68" s="26" t="n">
        <f aca="true">INDIRECT(ADDRESS(COLUMN()+119,ROW()+1,1,,"Cash"))</f>
        <v>1</v>
      </c>
      <c r="R68" s="10" t="n">
        <f aca="true">INDIRECT(ADDRESS(COLUMN()+119,ROW()+1,1,,"Cash"))</f>
        <v>1214639.34639883</v>
      </c>
      <c r="S68" s="10" t="n">
        <f aca="true">INDIRECT(ADDRESS(COLUMN()+119,ROW()+1,1,,"Cash"))</f>
        <v>16.2711794493475</v>
      </c>
      <c r="T68" s="10" t="n">
        <f aca="true">INDIRECT(ADDRESS(COLUMN()+119,ROW()+1,1,,"Cash"))</f>
        <v>330763.501121724</v>
      </c>
      <c r="U68" s="10" t="n">
        <f aca="true">INDIRECT(ADDRESS(COLUMN()+119,ROW()+1,1,,"Cash"))</f>
        <v>1.19316052941588</v>
      </c>
      <c r="V68" s="10" t="n">
        <f aca="true">INDIRECT(ADDRESS(COLUMN()+119,ROW()+1,1,,"Cash"))</f>
        <v>836934.698398472</v>
      </c>
      <c r="W68" s="10" t="n">
        <f aca="true">INDIRECT(ADDRESS(COLUMN()+119,ROW()+1,1,,"Cash"))</f>
        <v>11488512.91447</v>
      </c>
      <c r="X68" s="10" t="n">
        <f aca="true">INDIRECT(ADDRESS(COLUMN()+119,ROW()+1,1,,"Cash"))</f>
        <v>4935512.38691138</v>
      </c>
    </row>
    <row r="69" customFormat="false" ht="12.8" hidden="false" customHeight="false" outlineLevel="0" collapsed="false">
      <c r="A69" s="1" t="s">
        <v>389</v>
      </c>
      <c r="B69" s="10" t="n">
        <f aca="true">INDIRECT(ADDRESS(COLUMN()+119,ROW()+1,1,,"Cash"))</f>
        <v>7842.88865242492</v>
      </c>
      <c r="C69" s="10" t="n">
        <f aca="true">INDIRECT(ADDRESS(COLUMN()+119,ROW()+1,1,,"Cash"))</f>
        <v>1288.63018143482</v>
      </c>
      <c r="D69" s="10" t="n">
        <f aca="true">INDIRECT(ADDRESS(COLUMN()+119,ROW()+1,1,,"Cash"))</f>
        <v>535.139799751836</v>
      </c>
      <c r="E69" s="10" t="n">
        <f aca="true">INDIRECT(ADDRESS(COLUMN()+119,ROW()+1,1,,"Cash"))</f>
        <v>133.436211999898</v>
      </c>
      <c r="F69" s="10" t="n">
        <f aca="true">INDIRECT(ADDRESS(COLUMN()+119,ROW()+1,1,,"Cash"))</f>
        <v>5663.12768745909</v>
      </c>
      <c r="G69" s="10" t="n">
        <f aca="true">INDIRECT(ADDRESS(COLUMN()+119,ROW()+1,1,,"Cash"))</f>
        <v>712.835529907484</v>
      </c>
      <c r="H69" s="10" t="n">
        <f aca="true">INDIRECT(ADDRESS(COLUMN()+119,ROW()+1,1,,"Cash"))</f>
        <v>883.944844308242</v>
      </c>
      <c r="I69" s="10" t="n">
        <f aca="true">INDIRECT(ADDRESS(COLUMN()+119,ROW()+1,1,,"Cash"))</f>
        <v>3552.48186915058</v>
      </c>
      <c r="J69" s="10" t="n">
        <f aca="true">INDIRECT(ADDRESS(COLUMN()+119,ROW()+1,1,,"Cash"))</f>
        <v>252.606365592509</v>
      </c>
      <c r="K69" s="10" t="n">
        <f aca="true">INDIRECT(ADDRESS(COLUMN()+119,ROW()+1,1,,"Cash"))</f>
        <v>2105.97818284688</v>
      </c>
      <c r="L69" s="10" t="n">
        <f aca="true">INDIRECT(ADDRESS(COLUMN()+119,ROW()+1,1,,"Cash"))</f>
        <v>658.119939353947</v>
      </c>
      <c r="M69" s="10" t="n">
        <f aca="true">INDIRECT(ADDRESS(COLUMN()+119,ROW()+1,1,,"Cash"))</f>
        <v>1536.41334541574</v>
      </c>
      <c r="N69" s="10" t="n">
        <f aca="true">INDIRECT(ADDRESS(COLUMN()+119,ROW()+1,1,,"Cash"))</f>
        <v>752.323012172866</v>
      </c>
      <c r="O69" s="10" t="n">
        <f aca="true">INDIRECT(ADDRESS(COLUMN()+119,ROW()+1,1,,"Cash"))</f>
        <v>913.387290333229</v>
      </c>
      <c r="P69" s="10" t="n">
        <f aca="true">INDIRECT(ADDRESS(COLUMN()+119,ROW()+1,1,,"Cash"))</f>
        <v>232.15779166676</v>
      </c>
      <c r="Q69" s="26" t="n">
        <f aca="true">INDIRECT(ADDRESS(COLUMN()+119,ROW()+1,1,,"Cash"))</f>
        <v>66.8951190230294</v>
      </c>
      <c r="R69" s="10" t="n">
        <f aca="true">INDIRECT(ADDRESS(COLUMN()+119,ROW()+1,1,,"Cash"))</f>
        <v>548.745906654937</v>
      </c>
      <c r="S69" s="10" t="n">
        <f aca="true">INDIRECT(ADDRESS(COLUMN()+119,ROW()+1,1,,"Cash"))</f>
        <v>52881.3332103794</v>
      </c>
      <c r="T69" s="10" t="n">
        <f aca="true">INDIRECT(ADDRESS(COLUMN()+119,ROW()+1,1,,"Cash"))</f>
        <v>138.397683053334</v>
      </c>
      <c r="U69" s="10" t="n">
        <f aca="true">INDIRECT(ADDRESS(COLUMN()+119,ROW()+1,1,,"Cash"))</f>
        <v>3877.7717206016</v>
      </c>
      <c r="V69" s="10" t="n">
        <f aca="true">INDIRECT(ADDRESS(COLUMN()+119,ROW()+1,1,,"Cash"))</f>
        <v>478.898516402652</v>
      </c>
      <c r="W69" s="10" t="n">
        <f aca="true">INDIRECT(ADDRESS(COLUMN()+119,ROW()+1,1,,"Cash"))</f>
        <v>10991.9046096349</v>
      </c>
      <c r="X69" s="10" t="n">
        <f aca="true">INDIRECT(ADDRESS(COLUMN()+119,ROW()+1,1,,"Cash"))</f>
        <v>4498.15886427909</v>
      </c>
    </row>
    <row r="70" customFormat="false" ht="12.8" hidden="false" customHeight="false" outlineLevel="0" collapsed="false">
      <c r="A70" s="1" t="s">
        <v>390</v>
      </c>
      <c r="B70" s="10" t="n">
        <f aca="true">INDIRECT(ADDRESS(COLUMN()+119,ROW()+1,1,,"Cash"))</f>
        <v>78428.8865242492</v>
      </c>
      <c r="C70" s="10" t="n">
        <f aca="true">INDIRECT(ADDRESS(COLUMN()+119,ROW()+1,1,,"Cash"))</f>
        <v>12886.3046519089</v>
      </c>
      <c r="D70" s="10" t="n">
        <f aca="true">INDIRECT(ADDRESS(COLUMN()+119,ROW()+1,1,,"Cash"))</f>
        <v>5351.39799751835</v>
      </c>
      <c r="E70" s="10" t="n">
        <f aca="true">INDIRECT(ADDRESS(COLUMN()+119,ROW()+1,1,,"Cash"))</f>
        <v>1334.36211999898</v>
      </c>
      <c r="F70" s="10" t="n">
        <f aca="true">INDIRECT(ADDRESS(COLUMN()+119,ROW()+1,1,,"Cash"))</f>
        <v>56631.2911298162</v>
      </c>
      <c r="G70" s="10" t="n">
        <f aca="true">INDIRECT(ADDRESS(COLUMN()+119,ROW()+1,1,,"Cash"))</f>
        <v>7128.35529907484</v>
      </c>
      <c r="H70" s="10" t="n">
        <f aca="true">INDIRECT(ADDRESS(COLUMN()+119,ROW()+1,1,,"Cash"))</f>
        <v>8839.44844308243</v>
      </c>
      <c r="I70" s="10" t="n">
        <f aca="true">INDIRECT(ADDRESS(COLUMN()+119,ROW()+1,1,,"Cash"))</f>
        <v>35524.8265603182</v>
      </c>
      <c r="J70" s="10" t="n">
        <f aca="true">INDIRECT(ADDRESS(COLUMN()+119,ROW()+1,1,,"Cash"))</f>
        <v>2526.06365592509</v>
      </c>
      <c r="K70" s="10" t="n">
        <f aca="true">INDIRECT(ADDRESS(COLUMN()+119,ROW()+1,1,,"Cash"))</f>
        <v>21059.7881883233</v>
      </c>
      <c r="L70" s="10" t="n">
        <f aca="true">INDIRECT(ADDRESS(COLUMN()+119,ROW()+1,1,,"Cash"))</f>
        <v>6581.19939353946</v>
      </c>
      <c r="M70" s="10" t="n">
        <f aca="true">INDIRECT(ADDRESS(COLUMN()+119,ROW()+1,1,,"Cash"))</f>
        <v>15364.1334541573</v>
      </c>
      <c r="N70" s="10" t="n">
        <f aca="true">INDIRECT(ADDRESS(COLUMN()+119,ROW()+1,1,,"Cash"))</f>
        <v>7523.23012172866</v>
      </c>
      <c r="O70" s="10" t="n">
        <f aca="true">INDIRECT(ADDRESS(COLUMN()+119,ROW()+1,1,,"Cash"))</f>
        <v>9133.87290333229</v>
      </c>
      <c r="P70" s="10" t="n">
        <f aca="true">INDIRECT(ADDRESS(COLUMN()+119,ROW()+1,1,,"Cash"))</f>
        <v>2321.5779166676</v>
      </c>
      <c r="Q70" s="26" t="n">
        <f aca="true">INDIRECT(ADDRESS(COLUMN()+119,ROW()+1,1,,"Cash"))</f>
        <v>668.951345716618</v>
      </c>
      <c r="R70" s="10" t="n">
        <f aca="true">INDIRECT(ADDRESS(COLUMN()+119,ROW()+1,1,,"Cash"))</f>
        <v>5487.45906654937</v>
      </c>
      <c r="S70" s="10" t="n">
        <f aca="true">INDIRECT(ADDRESS(COLUMN()+119,ROW()+1,1,,"Cash"))</f>
        <v>528813.452516391</v>
      </c>
      <c r="T70" s="10" t="n">
        <f aca="true">INDIRECT(ADDRESS(COLUMN()+119,ROW()+1,1,,"Cash"))</f>
        <v>1383.97683053334</v>
      </c>
      <c r="U70" s="10" t="n">
        <f aca="true">INDIRECT(ADDRESS(COLUMN()+119,ROW()+1,1,,"Cash"))</f>
        <v>38777.7271771966</v>
      </c>
      <c r="V70" s="10" t="n">
        <f aca="true">INDIRECT(ADDRESS(COLUMN()+119,ROW()+1,1,,"Cash"))</f>
        <v>4788.98516402652</v>
      </c>
      <c r="W70" s="10" t="n">
        <f aca="true">INDIRECT(ADDRESS(COLUMN()+119,ROW()+1,1,,"Cash"))</f>
        <v>109919.046096349</v>
      </c>
      <c r="X70" s="10" t="n">
        <f aca="true">INDIRECT(ADDRESS(COLUMN()+119,ROW()+1,1,,"Cash"))</f>
        <v>44981.5886427909</v>
      </c>
    </row>
    <row r="71" customFormat="false" ht="12.8" hidden="false" customHeight="false" outlineLevel="0" collapsed="false">
      <c r="A71" s="1" t="s">
        <v>391</v>
      </c>
      <c r="B71" s="43" t="n">
        <f aca="true">INDIRECT(ADDRESS(COLUMN()+119,ROW()+1,1,,"Cash"))</f>
        <v>32.4855769401374</v>
      </c>
      <c r="C71" s="43" t="n">
        <f aca="true">INDIRECT(ADDRESS(COLUMN()+119,ROW()+1,1,,"Cash"))</f>
        <v>9.96401828798194</v>
      </c>
      <c r="D71" s="43" t="n">
        <f aca="true">INDIRECT(ADDRESS(COLUMN()+119,ROW()+1,1,,"Cash"))</f>
        <v>2.36960095048208</v>
      </c>
      <c r="E71" s="43" t="n">
        <f aca="true">INDIRECT(ADDRESS(COLUMN()+119,ROW()+1,1,,"Cash"))</f>
        <v>1</v>
      </c>
      <c r="F71" s="43" t="n">
        <f aca="true">INDIRECT(ADDRESS(COLUMN()+119,ROW()+1,1,,"Cash"))</f>
        <v>27.2792701163709</v>
      </c>
      <c r="G71" s="43" t="n">
        <f aca="true">INDIRECT(ADDRESS(COLUMN()+119,ROW()+1,1,,"Cash"))</f>
        <v>3.85333572862305</v>
      </c>
      <c r="H71" s="43" t="n">
        <f aca="true">INDIRECT(ADDRESS(COLUMN()+119,ROW()+1,1,,"Cash"))</f>
        <v>3.85716206372756</v>
      </c>
      <c r="I71" s="43" t="n">
        <f aca="true">INDIRECT(ADDRESS(COLUMN()+119,ROW()+1,1,,"Cash"))</f>
        <v>17.4427710889312</v>
      </c>
      <c r="J71" s="43" t="n">
        <f aca="true">INDIRECT(ADDRESS(COLUMN()+119,ROW()+1,1,,"Cash"))</f>
        <v>1.22026290072455</v>
      </c>
      <c r="K71" s="43" t="n">
        <f aca="true">INDIRECT(ADDRESS(COLUMN()+119,ROW()+1,1,,"Cash"))</f>
        <v>13.4319758960409</v>
      </c>
      <c r="L71" s="43" t="n">
        <f aca="true">INDIRECT(ADDRESS(COLUMN()+119,ROW()+1,1,,"Cash"))</f>
        <v>3.53681509751565</v>
      </c>
      <c r="M71" s="43" t="n">
        <f aca="true">INDIRECT(ADDRESS(COLUMN()+119,ROW()+1,1,,"Cash"))</f>
        <v>7.02772779253219</v>
      </c>
      <c r="N71" s="43" t="n">
        <f aca="true">INDIRECT(ADDRESS(COLUMN()+119,ROW()+1,1,,"Cash"))</f>
        <v>3.32455736490976</v>
      </c>
      <c r="O71" s="43" t="n">
        <f aca="true">INDIRECT(ADDRESS(COLUMN()+119,ROW()+1,1,,"Cash"))</f>
        <v>4.79184411549584</v>
      </c>
      <c r="P71" s="43" t="n">
        <f aca="true">INDIRECT(ADDRESS(COLUMN()+119,ROW()+1,1,,"Cash"))</f>
        <v>1.09653566322249</v>
      </c>
      <c r="Q71" s="44" t="n">
        <f aca="true">INDIRECT(ADDRESS(COLUMN()+119,ROW()+1,1,,"Cash"))</f>
        <v>1</v>
      </c>
      <c r="R71" s="43" t="n">
        <f aca="true">INDIRECT(ADDRESS(COLUMN()+119,ROW()+1,1,,"Cash"))</f>
        <v>2.91549890683677</v>
      </c>
      <c r="S71" s="43" t="n">
        <f aca="true">INDIRECT(ADDRESS(COLUMN()+119,ROW()+1,1,,"Cash"))</f>
        <v>149.348383925833</v>
      </c>
      <c r="T71" s="43" t="n">
        <f aca="true">INDIRECT(ADDRESS(COLUMN()+119,ROW()+1,1,,"Cash"))</f>
        <v>1</v>
      </c>
      <c r="U71" s="43" t="n">
        <f aca="true">INDIRECT(ADDRESS(COLUMN()+119,ROW()+1,1,,"Cash"))</f>
        <v>21.0694471358657</v>
      </c>
      <c r="V71" s="43" t="n">
        <f aca="true">INDIRECT(ADDRESS(COLUMN()+119,ROW()+1,1,,"Cash"))</f>
        <v>2.23855490753505</v>
      </c>
      <c r="W71" s="43" t="n">
        <f aca="true">INDIRECT(ADDRESS(COLUMN()+119,ROW()+1,1,,"Cash"))</f>
        <v>47.1593223594299</v>
      </c>
      <c r="X71" s="43" t="n">
        <f aca="true">INDIRECT(ADDRESS(COLUMN()+119,ROW()+1,1,,"Cash"))</f>
        <v>19.9515124309831</v>
      </c>
    </row>
    <row r="72" customFormat="false" ht="12.8" hidden="false" customHeight="false" outlineLevel="0" collapsed="false">
      <c r="A72" s="1" t="s">
        <v>392</v>
      </c>
      <c r="B72" s="43" t="n">
        <f aca="true">INDIRECT(ADDRESS(COLUMN()+119,ROW()+1,1,,"Cash"))</f>
        <v>324.855769401374</v>
      </c>
      <c r="C72" s="43" t="n">
        <f aca="true">INDIRECT(ADDRESS(COLUMN()+119,ROW()+1,1,,"Cash"))</f>
        <v>99.6401828798194</v>
      </c>
      <c r="D72" s="43" t="n">
        <f aca="true">INDIRECT(ADDRESS(COLUMN()+119,ROW()+1,1,,"Cash"))</f>
        <v>23.6960095048208</v>
      </c>
      <c r="E72" s="43" t="n">
        <f aca="true">INDIRECT(ADDRESS(COLUMN()+119,ROW()+1,1,,"Cash"))</f>
        <v>5.93302440353872</v>
      </c>
      <c r="F72" s="43" t="n">
        <f aca="true">INDIRECT(ADDRESS(COLUMN()+119,ROW()+1,1,,"Cash"))</f>
        <v>272.792701163709</v>
      </c>
      <c r="G72" s="43" t="n">
        <f aca="true">INDIRECT(ADDRESS(COLUMN()+119,ROW()+1,1,,"Cash"))</f>
        <v>38.5333572862305</v>
      </c>
      <c r="H72" s="43" t="n">
        <f aca="true">INDIRECT(ADDRESS(COLUMN()+119,ROW()+1,1,,"Cash"))</f>
        <v>38.5716206372756</v>
      </c>
      <c r="I72" s="43" t="n">
        <f aca="true">INDIRECT(ADDRESS(COLUMN()+119,ROW()+1,1,,"Cash"))</f>
        <v>174.427710889312</v>
      </c>
      <c r="J72" s="43" t="n">
        <f aca="true">INDIRECT(ADDRESS(COLUMN()+119,ROW()+1,1,,"Cash"))</f>
        <v>12.2026290072455</v>
      </c>
      <c r="K72" s="43" t="n">
        <f aca="true">INDIRECT(ADDRESS(COLUMN()+119,ROW()+1,1,,"Cash"))</f>
        <v>134.319758960409</v>
      </c>
      <c r="L72" s="43" t="n">
        <f aca="true">INDIRECT(ADDRESS(COLUMN()+119,ROW()+1,1,,"Cash"))</f>
        <v>35.3681509751565</v>
      </c>
      <c r="M72" s="43" t="n">
        <f aca="true">INDIRECT(ADDRESS(COLUMN()+119,ROW()+1,1,,"Cash"))</f>
        <v>70.2772779253219</v>
      </c>
      <c r="N72" s="43" t="n">
        <f aca="true">INDIRECT(ADDRESS(COLUMN()+119,ROW()+1,1,,"Cash"))</f>
        <v>33.2455736490976</v>
      </c>
      <c r="O72" s="43" t="n">
        <f aca="true">INDIRECT(ADDRESS(COLUMN()+119,ROW()+1,1,,"Cash"))</f>
        <v>47.9184411549583</v>
      </c>
      <c r="P72" s="43" t="n">
        <f aca="true">INDIRECT(ADDRESS(COLUMN()+119,ROW()+1,1,,"Cash"))</f>
        <v>10.9653566322249</v>
      </c>
      <c r="Q72" s="44" t="n">
        <f aca="true">INDIRECT(ADDRESS(COLUMN()+119,ROW()+1,1,,"Cash"))</f>
        <v>10</v>
      </c>
      <c r="R72" s="43" t="n">
        <f aca="true">INDIRECT(ADDRESS(COLUMN()+119,ROW()+1,1,,"Cash"))</f>
        <v>29.1549890683677</v>
      </c>
      <c r="S72" s="43" t="n">
        <f aca="true">INDIRECT(ADDRESS(COLUMN()+119,ROW()+1,1,,"Cash"))</f>
        <v>1493.48383925833</v>
      </c>
      <c r="T72" s="43" t="n">
        <f aca="true">INDIRECT(ADDRESS(COLUMN()+119,ROW()+1,1,,"Cash"))</f>
        <v>7.16071357429833</v>
      </c>
      <c r="U72" s="43" t="n">
        <f aca="true">INDIRECT(ADDRESS(COLUMN()+119,ROW()+1,1,,"Cash"))</f>
        <v>210.694471358657</v>
      </c>
      <c r="V72" s="43" t="n">
        <f aca="true">INDIRECT(ADDRESS(COLUMN()+119,ROW()+1,1,,"Cash"))</f>
        <v>22.3855490753506</v>
      </c>
      <c r="W72" s="43" t="n">
        <f aca="true">INDIRECT(ADDRESS(COLUMN()+119,ROW()+1,1,,"Cash"))</f>
        <v>471.593223594299</v>
      </c>
      <c r="X72" s="43" t="n">
        <f aca="true">INDIRECT(ADDRESS(COLUMN()+119,ROW()+1,1,,"Cash"))</f>
        <v>199.515124309831</v>
      </c>
    </row>
    <row r="73" customFormat="false" ht="12.8" hidden="false" customHeight="false" outlineLevel="0" collapsed="false">
      <c r="A73" s="1" t="s">
        <v>393</v>
      </c>
      <c r="B73" s="43" t="n">
        <f aca="true">INDIRECT(ADDRESS(COLUMN()+119,ROW()+1,1,,"Cash"))</f>
        <v>3248.55769401374</v>
      </c>
      <c r="C73" s="43" t="n">
        <f aca="true">INDIRECT(ADDRESS(COLUMN()+119,ROW()+1,1,,"Cash"))</f>
        <v>996.401828798194</v>
      </c>
      <c r="D73" s="43" t="n">
        <f aca="true">INDIRECT(ADDRESS(COLUMN()+119,ROW()+1,1,,"Cash"))</f>
        <v>236.960095048208</v>
      </c>
      <c r="E73" s="43" t="n">
        <f aca="true">INDIRECT(ADDRESS(COLUMN()+119,ROW()+1,1,,"Cash"))</f>
        <v>59.3302440353872</v>
      </c>
      <c r="F73" s="43" t="n">
        <f aca="true">INDIRECT(ADDRESS(COLUMN()+119,ROW()+1,1,,"Cash"))</f>
        <v>2727.92701163708</v>
      </c>
      <c r="G73" s="43" t="n">
        <f aca="true">INDIRECT(ADDRESS(COLUMN()+119,ROW()+1,1,,"Cash"))</f>
        <v>385.333572862305</v>
      </c>
      <c r="H73" s="43" t="n">
        <f aca="true">INDIRECT(ADDRESS(COLUMN()+119,ROW()+1,1,,"Cash"))</f>
        <v>385.716206372756</v>
      </c>
      <c r="I73" s="43" t="n">
        <f aca="true">INDIRECT(ADDRESS(COLUMN()+119,ROW()+1,1,,"Cash"))</f>
        <v>1744.27710889312</v>
      </c>
      <c r="J73" s="43" t="n">
        <f aca="true">INDIRECT(ADDRESS(COLUMN()+119,ROW()+1,1,,"Cash"))</f>
        <v>122.026290072455</v>
      </c>
      <c r="K73" s="43" t="n">
        <f aca="true">INDIRECT(ADDRESS(COLUMN()+119,ROW()+1,1,,"Cash"))</f>
        <v>1343.19758960409</v>
      </c>
      <c r="L73" s="43" t="n">
        <f aca="true">INDIRECT(ADDRESS(COLUMN()+119,ROW()+1,1,,"Cash"))</f>
        <v>353.681509751565</v>
      </c>
      <c r="M73" s="43" t="n">
        <f aca="true">INDIRECT(ADDRESS(COLUMN()+119,ROW()+1,1,,"Cash"))</f>
        <v>702.772779253219</v>
      </c>
      <c r="N73" s="43" t="n">
        <f aca="true">INDIRECT(ADDRESS(COLUMN()+119,ROW()+1,1,,"Cash"))</f>
        <v>332.455736490976</v>
      </c>
      <c r="O73" s="43" t="n">
        <f aca="true">INDIRECT(ADDRESS(COLUMN()+119,ROW()+1,1,,"Cash"))</f>
        <v>479.184411549583</v>
      </c>
      <c r="P73" s="43" t="n">
        <f aca="true">INDIRECT(ADDRESS(COLUMN()+119,ROW()+1,1,,"Cash"))</f>
        <v>109.653566322249</v>
      </c>
      <c r="Q73" s="44" t="n">
        <f aca="true">INDIRECT(ADDRESS(COLUMN()+119,ROW()+1,1,,"Cash"))</f>
        <v>100</v>
      </c>
      <c r="R73" s="43" t="n">
        <f aca="true">INDIRECT(ADDRESS(COLUMN()+119,ROW()+1,1,,"Cash"))</f>
        <v>291.549890683677</v>
      </c>
      <c r="S73" s="43" t="n">
        <f aca="true">INDIRECT(ADDRESS(COLUMN()+119,ROW()+1,1,,"Cash"))</f>
        <v>14934.8383925833</v>
      </c>
      <c r="T73" s="43" t="n">
        <f aca="true">INDIRECT(ADDRESS(COLUMN()+119,ROW()+1,1,,"Cash"))</f>
        <v>71.6071357429833</v>
      </c>
      <c r="U73" s="43" t="n">
        <f aca="true">INDIRECT(ADDRESS(COLUMN()+119,ROW()+1,1,,"Cash"))</f>
        <v>2106.94471358657</v>
      </c>
      <c r="V73" s="43" t="n">
        <f aca="true">INDIRECT(ADDRESS(COLUMN()+119,ROW()+1,1,,"Cash"))</f>
        <v>223.855490753506</v>
      </c>
      <c r="W73" s="43" t="n">
        <f aca="true">INDIRECT(ADDRESS(COLUMN()+119,ROW()+1,1,,"Cash"))</f>
        <v>4715.93223594299</v>
      </c>
      <c r="X73" s="43" t="n">
        <f aca="true">INDIRECT(ADDRESS(COLUMN()+119,ROW()+1,1,,"Cash"))</f>
        <v>1995.15124309831</v>
      </c>
    </row>
    <row r="74" customFormat="false" ht="12.8" hidden="false" customHeight="false" outlineLevel="0" collapsed="false">
      <c r="A74" s="1" t="s">
        <v>394</v>
      </c>
      <c r="B74" s="10" t="n">
        <f aca="true">INDIRECT(ADDRESS(COLUMN()+119,ROW()+1,1,,"Cash"))</f>
        <v>120.811178799204</v>
      </c>
      <c r="C74" s="10" t="n">
        <f aca="true">INDIRECT(ADDRESS(COLUMN()+119,ROW()+1,1,,"Cash"))</f>
        <v>56.800033931701</v>
      </c>
      <c r="D74" s="10" t="n">
        <f aca="true">INDIRECT(ADDRESS(COLUMN()+119,ROW()+1,1,,"Cash"))</f>
        <v>20.8208966858025</v>
      </c>
      <c r="E74" s="10" t="n">
        <f aca="true">INDIRECT(ADDRESS(COLUMN()+119,ROW()+1,1,,"Cash"))</f>
        <v>8.65626456854895</v>
      </c>
      <c r="F74" s="10" t="n">
        <f aca="true">INDIRECT(ADDRESS(COLUMN()+119,ROW()+1,1,,"Cash"))</f>
        <v>114.714437881587</v>
      </c>
      <c r="G74" s="10" t="n">
        <f aca="true">INDIRECT(ADDRESS(COLUMN()+119,ROW()+1,1,,"Cash"))</f>
        <v>33.9408259612392</v>
      </c>
      <c r="H74" s="10" t="n">
        <f aca="true">INDIRECT(ADDRESS(COLUMN()+119,ROW()+1,1,,"Cash"))</f>
        <v>28.4509877806863</v>
      </c>
      <c r="I74" s="10" t="n">
        <f aca="true">INDIRECT(ADDRESS(COLUMN()+119,ROW()+1,1,,"Cash"))</f>
        <v>79.656698448162</v>
      </c>
      <c r="J74" s="10" t="n">
        <f aca="true">INDIRECT(ADDRESS(COLUMN()+119,ROW()+1,1,,"Cash"))</f>
        <v>15.0879809153872</v>
      </c>
      <c r="K74" s="10" t="n">
        <f aca="true">INDIRECT(ADDRESS(COLUMN()+119,ROW()+1,1,,"Cash"))</f>
        <v>72.6863853339129</v>
      </c>
      <c r="L74" s="10" t="n">
        <f aca="true">INDIRECT(ADDRESS(COLUMN()+119,ROW()+1,1,,"Cash"))</f>
        <v>26.1594149300627</v>
      </c>
      <c r="M74" s="10" t="n">
        <f aca="true">INDIRECT(ADDRESS(COLUMN()+119,ROW()+1,1,,"Cash"))</f>
        <v>34.521765677435</v>
      </c>
      <c r="N74" s="10" t="n">
        <f aca="true">INDIRECT(ADDRESS(COLUMN()+119,ROW()+1,1,,"Cash"))</f>
        <v>26.4715348624228</v>
      </c>
      <c r="O74" s="10" t="n">
        <f aca="true">INDIRECT(ADDRESS(COLUMN()+119,ROW()+1,1,,"Cash"))</f>
        <v>28.0753940405226</v>
      </c>
      <c r="P74" s="10" t="n">
        <f aca="true">INDIRECT(ADDRESS(COLUMN()+119,ROW()+1,1,,"Cash"))</f>
        <v>14.1346869349623</v>
      </c>
      <c r="Q74" s="26" t="n">
        <f aca="true">INDIRECT(ADDRESS(COLUMN()+119,ROW()+1,1,,"Cash"))</f>
        <v>14.7648287732814</v>
      </c>
      <c r="R74" s="10" t="n">
        <f aca="true">INDIRECT(ADDRESS(COLUMN()+119,ROW()+1,1,,"Cash"))</f>
        <v>26.5220931433143</v>
      </c>
      <c r="S74" s="10" t="n">
        <f aca="true">INDIRECT(ADDRESS(COLUMN()+119,ROW()+1,1,,"Cash"))</f>
        <v>272.064211007432</v>
      </c>
      <c r="T74" s="10" t="n">
        <f aca="true">INDIRECT(ADDRESS(COLUMN()+119,ROW()+1,1,,"Cash"))</f>
        <v>11.2303346481541</v>
      </c>
      <c r="U74" s="10" t="n">
        <f aca="true">INDIRECT(ADDRESS(COLUMN()+119,ROW()+1,1,,"Cash"))</f>
        <v>92.3229061775565</v>
      </c>
      <c r="V74" s="10" t="n">
        <f aca="true">INDIRECT(ADDRESS(COLUMN()+119,ROW()+1,1,,"Cash"))</f>
        <v>18.0474274374505</v>
      </c>
      <c r="W74" s="10" t="n">
        <f aca="true">INDIRECT(ADDRESS(COLUMN()+119,ROW()+1,1,,"Cash"))</f>
        <v>155.382085555745</v>
      </c>
      <c r="X74" s="10" t="n">
        <f aca="true">INDIRECT(ADDRESS(COLUMN()+119,ROW()+1,1,,"Cash"))</f>
        <v>101.729185717147</v>
      </c>
    </row>
    <row r="75" customFormat="false" ht="12.8" hidden="false" customHeight="false" outlineLevel="0" collapsed="false">
      <c r="A75" s="1" t="s">
        <v>395</v>
      </c>
      <c r="B75" s="10" t="n">
        <f aca="true">INDIRECT(ADDRESS(COLUMN()+119,ROW()+1,1,,"Cash"))</f>
        <v>44.5982174429614</v>
      </c>
      <c r="C75" s="10" t="n">
        <f aca="true">INDIRECT(ADDRESS(COLUMN()+119,ROW()+1,1,,"Cash"))</f>
        <v>21.3166228036095</v>
      </c>
      <c r="D75" s="10" t="n">
        <f aca="true">INDIRECT(ADDRESS(COLUMN()+119,ROW()+1,1,,"Cash"))</f>
        <v>10.13743312269</v>
      </c>
      <c r="E75" s="10" t="n">
        <f aca="true">INDIRECT(ADDRESS(COLUMN()+119,ROW()+1,1,,"Cash"))</f>
        <v>8.75704000264095</v>
      </c>
      <c r="F75" s="10" t="n">
        <f aca="true">INDIRECT(ADDRESS(COLUMN()+119,ROW()+1,1,,"Cash"))</f>
        <v>29.005241750259</v>
      </c>
      <c r="G75" s="10" t="n">
        <f aca="true">INDIRECT(ADDRESS(COLUMN()+119,ROW()+1,1,,"Cash"))</f>
        <v>15.5346477933937</v>
      </c>
      <c r="H75" s="10" t="n">
        <f aca="true">INDIRECT(ADDRESS(COLUMN()+119,ROW()+1,1,,"Cash"))</f>
        <v>10.5277003108846</v>
      </c>
      <c r="I75" s="10" t="n">
        <f aca="true">INDIRECT(ADDRESS(COLUMN()+119,ROW()+1,1,,"Cash"))</f>
        <v>259.597744803178</v>
      </c>
      <c r="J75" s="10" t="n">
        <f aca="true">INDIRECT(ADDRESS(COLUMN()+119,ROW()+1,1,,"Cash"))</f>
        <v>5.8474244948185</v>
      </c>
      <c r="K75" s="10" t="n">
        <f aca="true">INDIRECT(ADDRESS(COLUMN()+119,ROW()+1,1,,"Cash"))</f>
        <v>19.1425415032865</v>
      </c>
      <c r="L75" s="10" t="n">
        <f aca="true">INDIRECT(ADDRESS(COLUMN()+119,ROW()+1,1,,"Cash"))</f>
        <v>90.1828606969774</v>
      </c>
      <c r="M75" s="10" t="n">
        <f aca="true">INDIRECT(ADDRESS(COLUMN()+119,ROW()+1,1,,"Cash"))</f>
        <v>203.46726739703</v>
      </c>
      <c r="N75" s="10" t="n">
        <f aca="true">INDIRECT(ADDRESS(COLUMN()+119,ROW()+1,1,,"Cash"))</f>
        <v>13.4518177061217</v>
      </c>
      <c r="O75" s="10" t="n">
        <f aca="true">INDIRECT(ADDRESS(COLUMN()+119,ROW()+1,1,,"Cash"))</f>
        <v>12.0595195953448</v>
      </c>
      <c r="P75" s="10" t="n">
        <f aca="true">INDIRECT(ADDRESS(COLUMN()+119,ROW()+1,1,,"Cash"))</f>
        <v>53.5116743624632</v>
      </c>
      <c r="Q75" s="26" t="n">
        <f aca="true">INDIRECT(ADDRESS(COLUMN()+119,ROW()+1,1,,"Cash"))</f>
        <v>6.34712377207493</v>
      </c>
      <c r="R75" s="10" t="n">
        <f aca="true">INDIRECT(ADDRESS(COLUMN()+119,ROW()+1,1,,"Cash"))</f>
        <v>926.888267007041</v>
      </c>
      <c r="S75" s="10" t="n">
        <f aca="true">INDIRECT(ADDRESS(COLUMN()+119,ROW()+1,1,,"Cash"))</f>
        <v>46.8326520040954</v>
      </c>
      <c r="T75" s="10" t="n">
        <f aca="true">INDIRECT(ADDRESS(COLUMN()+119,ROW()+1,1,,"Cash"))</f>
        <v>4.49521789083344</v>
      </c>
      <c r="U75" s="10" t="n">
        <f aca="true">INDIRECT(ADDRESS(COLUMN()+119,ROW()+1,1,,"Cash"))</f>
        <v>63.6248359028828</v>
      </c>
      <c r="V75" s="10" t="n">
        <f aca="true">INDIRECT(ADDRESS(COLUMN()+119,ROW()+1,1,,"Cash"))</f>
        <v>27.1300339647143</v>
      </c>
      <c r="W75" s="10" t="n">
        <f aca="true">INDIRECT(ADDRESS(COLUMN()+119,ROW()+1,1,,"Cash"))</f>
        <v>23.6137234847343</v>
      </c>
      <c r="X75" s="10" t="n">
        <f aca="true">INDIRECT(ADDRESS(COLUMN()+119,ROW()+1,1,,"Cash"))</f>
        <v>20.2348796486045</v>
      </c>
    </row>
    <row r="76" customFormat="false" ht="12.8" hidden="false" customHeight="false" outlineLevel="0" collapsed="false">
      <c r="A76" s="1" t="s">
        <v>396</v>
      </c>
      <c r="B76" s="10" t="n">
        <f aca="true">INDIRECT(ADDRESS(COLUMN()+119,ROW()+1,1,,"Cash"))</f>
        <v>16.4143739023994</v>
      </c>
      <c r="C76" s="10" t="n">
        <f aca="true">INDIRECT(ADDRESS(COLUMN()+119,ROW()+1,1,,"Cash"))</f>
        <v>47.5502503266563</v>
      </c>
      <c r="D76" s="10" t="n">
        <f aca="true">INDIRECT(ADDRESS(COLUMN()+119,ROW()+1,1,,"Cash"))</f>
        <v>13.338042020538</v>
      </c>
      <c r="E76" s="10" t="n">
        <f aca="true">INDIRECT(ADDRESS(COLUMN()+119,ROW()+1,1,,"Cash"))</f>
        <v>69.5444826491856</v>
      </c>
      <c r="F76" s="10" t="n">
        <f aca="true">INDIRECT(ADDRESS(COLUMN()+119,ROW()+1,1,,"Cash"))</f>
        <v>37.9318248475159</v>
      </c>
      <c r="G76" s="10" t="n">
        <f aca="true">INDIRECT(ADDRESS(COLUMN()+119,ROW()+1,1,,"Cash"))</f>
        <v>35.4446710977693</v>
      </c>
      <c r="H76" s="10" t="n">
        <f aca="true">INDIRECT(ADDRESS(COLUMN()+119,ROW()+1,1,,"Cash"))</f>
        <v>22.9913708751474</v>
      </c>
      <c r="I76" s="10" t="n">
        <f aca="true">INDIRECT(ADDRESS(COLUMN()+119,ROW()+1,1,,"Cash"))</f>
        <v>31.7957907138418</v>
      </c>
      <c r="J76" s="10" t="n">
        <f aca="true">INDIRECT(ADDRESS(COLUMN()+119,ROW()+1,1,,"Cash"))</f>
        <v>7.49173205409194</v>
      </c>
      <c r="K76" s="10" t="n">
        <f aca="true">INDIRECT(ADDRESS(COLUMN()+119,ROW()+1,1,,"Cash"))</f>
        <v>21.0013536861031</v>
      </c>
      <c r="L76" s="10" t="n">
        <f aca="true">INDIRECT(ADDRESS(COLUMN()+119,ROW()+1,1,,"Cash"))</f>
        <v>47.5557867319608</v>
      </c>
      <c r="M76" s="10" t="n">
        <f aca="true">INDIRECT(ADDRESS(COLUMN()+119,ROW()+1,1,,"Cash"))</f>
        <v>13.9455517519693</v>
      </c>
      <c r="N76" s="10" t="n">
        <f aca="true">INDIRECT(ADDRESS(COLUMN()+119,ROW()+1,1,,"Cash"))</f>
        <v>24.2835734473982</v>
      </c>
      <c r="O76" s="10" t="n">
        <f aca="true">INDIRECT(ADDRESS(COLUMN()+119,ROW()+1,1,,"Cash"))</f>
        <v>99.6149273648016</v>
      </c>
      <c r="P76" s="10" t="n">
        <f aca="true">INDIRECT(ADDRESS(COLUMN()+119,ROW()+1,1,,"Cash"))</f>
        <v>13.5278362572226</v>
      </c>
      <c r="Q76" s="26" t="n">
        <f aca="true">INDIRECT(ADDRESS(COLUMN()+119,ROW()+1,1,,"Cash"))</f>
        <v>11.35258000215</v>
      </c>
      <c r="R76" s="10" t="n">
        <f aca="true">INDIRECT(ADDRESS(COLUMN()+119,ROW()+1,1,,"Cash"))</f>
        <v>15.5078359784737</v>
      </c>
      <c r="S76" s="10" t="n">
        <f aca="true">INDIRECT(ADDRESS(COLUMN()+119,ROW()+1,1,,"Cash"))</f>
        <v>41.8811093447455</v>
      </c>
      <c r="T76" s="10" t="n">
        <f aca="true">INDIRECT(ADDRESS(COLUMN()+119,ROW()+1,1,,"Cash"))</f>
        <v>32.1234470376771</v>
      </c>
      <c r="U76" s="10" t="n">
        <f aca="true">INDIRECT(ADDRESS(COLUMN()+119,ROW()+1,1,,"Cash"))</f>
        <v>286.130995436955</v>
      </c>
      <c r="V76" s="10" t="n">
        <f aca="true">INDIRECT(ADDRESS(COLUMN()+119,ROW()+1,1,,"Cash"))</f>
        <v>37.579103867878</v>
      </c>
      <c r="W76" s="10" t="n">
        <f aca="true">INDIRECT(ADDRESS(COLUMN()+119,ROW()+1,1,,"Cash"))</f>
        <v>27.3992865495134</v>
      </c>
      <c r="X76" s="10" t="n">
        <f aca="true">INDIRECT(ADDRESS(COLUMN()+119,ROW()+1,1,,"Cash"))</f>
        <v>58.5289107621226</v>
      </c>
    </row>
    <row r="77" customFormat="false" ht="12.8" hidden="false" customHeight="false" outlineLevel="0" collapsed="false">
      <c r="A77" s="1" t="s">
        <v>397</v>
      </c>
      <c r="B77" s="10" t="n">
        <f aca="true">INDIRECT(ADDRESS(COLUMN()+119,ROW()+1,1,,"Cash"))</f>
        <v>31754.2114892268</v>
      </c>
      <c r="C77" s="10" t="n">
        <f aca="true">INDIRECT(ADDRESS(COLUMN()+119,ROW()+1,1,,"Cash"))</f>
        <v>32048.2429869653</v>
      </c>
      <c r="D77" s="10" t="n">
        <f aca="true">INDIRECT(ADDRESS(COLUMN()+119,ROW()+1,1,,"Cash"))</f>
        <v>212396.698056167</v>
      </c>
      <c r="E77" s="10" t="n">
        <f aca="true">INDIRECT(ADDRESS(COLUMN()+119,ROW()+1,1,,"Cash"))</f>
        <v>50847.239021996</v>
      </c>
      <c r="F77" s="10" t="n">
        <f aca="true">INDIRECT(ADDRESS(COLUMN()+119,ROW()+1,1,,"Cash"))</f>
        <v>53627.8375175201</v>
      </c>
      <c r="G77" s="10" t="n">
        <f aca="true">INDIRECT(ADDRESS(COLUMN()+119,ROW()+1,1,,"Cash"))</f>
        <v>39665.4827506832</v>
      </c>
      <c r="H77" s="10" t="n">
        <f aca="true">INDIRECT(ADDRESS(COLUMN()+119,ROW()+1,1,,"Cash"))</f>
        <v>21087.6897432806</v>
      </c>
      <c r="I77" s="10" t="n">
        <f aca="true">INDIRECT(ADDRESS(COLUMN()+119,ROW()+1,1,,"Cash"))</f>
        <v>253465.627016084</v>
      </c>
      <c r="J77" s="10" t="n">
        <f aca="true">INDIRECT(ADDRESS(COLUMN()+119,ROW()+1,1,,"Cash"))</f>
        <v>75894.3374557627</v>
      </c>
      <c r="K77" s="10" t="n">
        <f aca="true">INDIRECT(ADDRESS(COLUMN()+119,ROW()+1,1,,"Cash"))</f>
        <v>34121.1608234984</v>
      </c>
      <c r="L77" s="10" t="n">
        <f aca="true">INDIRECT(ADDRESS(COLUMN()+119,ROW()+1,1,,"Cash"))</f>
        <v>103332.346253637</v>
      </c>
      <c r="M77" s="10" t="n">
        <f aca="true">INDIRECT(ADDRESS(COLUMN()+119,ROW()+1,1,,"Cash"))</f>
        <v>24584.6095451787</v>
      </c>
      <c r="N77" s="10" t="n">
        <f aca="true">INDIRECT(ADDRESS(COLUMN()+119,ROW()+1,1,,"Cash"))</f>
        <v>31313.8376174297</v>
      </c>
      <c r="O77" s="10" t="n">
        <f aca="true">INDIRECT(ADDRESS(COLUMN()+119,ROW()+1,1,,"Cash"))</f>
        <v>38090.9177282748</v>
      </c>
      <c r="P77" s="10" t="n">
        <f aca="true">INDIRECT(ADDRESS(COLUMN()+119,ROW()+1,1,,"Cash"))</f>
        <v>97739.4527154051</v>
      </c>
      <c r="Q77" s="26" t="n">
        <f aca="true">INDIRECT(ADDRESS(COLUMN()+119,ROW()+1,1,,"Cash"))</f>
        <v>29741.5836358041</v>
      </c>
      <c r="R77" s="10" t="n">
        <f aca="true">INDIRECT(ADDRESS(COLUMN()+119,ROW()+1,1,,"Cash"))</f>
        <v>55953.8544000659</v>
      </c>
      <c r="S77" s="10" t="n">
        <f aca="true">INDIRECT(ADDRESS(COLUMN()+119,ROW()+1,1,,"Cash"))</f>
        <v>242750.955458563</v>
      </c>
      <c r="T77" s="10" t="n">
        <f aca="true">INDIRECT(ADDRESS(COLUMN()+119,ROW()+1,1,,"Cash"))</f>
        <v>1274725.19830861</v>
      </c>
      <c r="U77" s="10" t="n">
        <f aca="true">INDIRECT(ADDRESS(COLUMN()+119,ROW()+1,1,,"Cash"))</f>
        <v>35553.3071586242</v>
      </c>
      <c r="V77" s="10" t="n">
        <f aca="true">INDIRECT(ADDRESS(COLUMN()+119,ROW()+1,1,,"Cash"))</f>
        <v>26194.6457911762</v>
      </c>
      <c r="W77" s="10" t="n">
        <f aca="true">INDIRECT(ADDRESS(COLUMN()+119,ROW()+1,1,,"Cash"))</f>
        <v>55830.7520735866</v>
      </c>
      <c r="X77" s="10" t="n">
        <f aca="true">INDIRECT(ADDRESS(COLUMN()+119,ROW()+1,1,,"Cash"))</f>
        <v>35557.9810865648</v>
      </c>
    </row>
    <row r="78" customFormat="false" ht="12.8" hidden="false" customHeight="false" outlineLevel="0" collapsed="false">
      <c r="A78" s="1" t="s">
        <v>398</v>
      </c>
      <c r="B78" s="10" t="n">
        <f aca="true">INDIRECT(ADDRESS(COLUMN()+119,ROW()+1,1,,"Cash"))</f>
        <v>12313.2008005839</v>
      </c>
      <c r="C78" s="10" t="n">
        <f aca="true">INDIRECT(ADDRESS(COLUMN()+119,ROW()+1,1,,"Cash"))</f>
        <v>19826.0370985202</v>
      </c>
      <c r="D78" s="10" t="n">
        <f aca="true">INDIRECT(ADDRESS(COLUMN()+119,ROW()+1,1,,"Cash"))</f>
        <v>22232.3203397117</v>
      </c>
      <c r="E78" s="10" t="n">
        <f aca="true">INDIRECT(ADDRESS(COLUMN()+119,ROW()+1,1,,"Cash"))</f>
        <v>43861.0306532889</v>
      </c>
      <c r="F78" s="10" t="n">
        <f aca="true">INDIRECT(ADDRESS(COLUMN()+119,ROW()+1,1,,"Cash"))</f>
        <v>19450.3824851689</v>
      </c>
      <c r="G78" s="10" t="n">
        <f aca="true">INDIRECT(ADDRESS(COLUMN()+119,ROW()+1,1,,"Cash"))</f>
        <v>128933.022128694</v>
      </c>
      <c r="H78" s="10" t="n">
        <f aca="true">INDIRECT(ADDRESS(COLUMN()+119,ROW()+1,1,,"Cash"))</f>
        <v>34787.8486707321</v>
      </c>
      <c r="I78" s="10" t="n">
        <f aca="true">INDIRECT(ADDRESS(COLUMN()+119,ROW()+1,1,,"Cash"))</f>
        <v>22955.7698150202</v>
      </c>
      <c r="J78" s="10" t="n">
        <f aca="true">INDIRECT(ADDRESS(COLUMN()+119,ROW()+1,1,,"Cash"))</f>
        <v>42936.7723196833</v>
      </c>
      <c r="K78" s="10" t="n">
        <f aca="true">INDIRECT(ADDRESS(COLUMN()+119,ROW()+1,1,,"Cash"))</f>
        <v>93648.8502245019</v>
      </c>
      <c r="L78" s="10" t="n">
        <f aca="true">INDIRECT(ADDRESS(COLUMN()+119,ROW()+1,1,,"Cash"))</f>
        <v>36695.3055507637</v>
      </c>
      <c r="M78" s="10" t="n">
        <f aca="true">INDIRECT(ADDRESS(COLUMN()+119,ROW()+1,1,,"Cash"))</f>
        <v>937258.34053636</v>
      </c>
      <c r="N78" s="10" t="n">
        <f aca="true">INDIRECT(ADDRESS(COLUMN()+119,ROW()+1,1,,"Cash"))</f>
        <v>14060.699890815</v>
      </c>
      <c r="O78" s="10" t="n">
        <f aca="true">INDIRECT(ADDRESS(COLUMN()+119,ROW()+1,1,,"Cash"))</f>
        <v>41565.1314811295</v>
      </c>
      <c r="P78" s="10" t="n">
        <f aca="true">INDIRECT(ADDRESS(COLUMN()+119,ROW()+1,1,,"Cash"))</f>
        <v>13077.5941627052</v>
      </c>
      <c r="Q78" s="26" t="n">
        <f aca="true">INDIRECT(ADDRESS(COLUMN()+119,ROW()+1,1,,"Cash"))</f>
        <v>54792.4551995752</v>
      </c>
      <c r="R78" s="10" t="n">
        <f aca="true">INDIRECT(ADDRESS(COLUMN()+119,ROW()+1,1,,"Cash"))</f>
        <v>16085.8654570014</v>
      </c>
      <c r="S78" s="10" t="n">
        <f aca="true">INDIRECT(ADDRESS(COLUMN()+119,ROW()+1,1,,"Cash"))</f>
        <v>78334.2860084605</v>
      </c>
      <c r="T78" s="10" t="n">
        <f aca="true">INDIRECT(ADDRESS(COLUMN()+119,ROW()+1,1,,"Cash"))</f>
        <v>633688.395538689</v>
      </c>
      <c r="U78" s="10" t="n">
        <f aca="true">INDIRECT(ADDRESS(COLUMN()+119,ROW()+1,1,,"Cash"))</f>
        <v>108265.13891846</v>
      </c>
      <c r="V78" s="10" t="n">
        <f aca="true">INDIRECT(ADDRESS(COLUMN()+119,ROW()+1,1,,"Cash"))</f>
        <v>40898.2363790022</v>
      </c>
      <c r="W78" s="10" t="n">
        <f aca="true">INDIRECT(ADDRESS(COLUMN()+119,ROW()+1,1,,"Cash"))</f>
        <v>25087.5054389165</v>
      </c>
      <c r="X78" s="10" t="n">
        <f aca="true">INDIRECT(ADDRESS(COLUMN()+119,ROW()+1,1,,"Cash"))</f>
        <v>56570.5453623245</v>
      </c>
    </row>
    <row r="79" customFormat="false" ht="12.8" hidden="false" customHeight="false" outlineLevel="0" collapsed="false">
      <c r="A79" s="1" t="s">
        <v>399</v>
      </c>
      <c r="B79" s="10" t="n">
        <f aca="true">INDIRECT(ADDRESS(COLUMN()+119,ROW()+1,1,,"Cash"))</f>
        <v>91.9494549178993</v>
      </c>
      <c r="C79" s="10" t="n">
        <f aca="true">INDIRECT(ADDRESS(COLUMN()+119,ROW()+1,1,,"Cash"))</f>
        <v>284.99323240066</v>
      </c>
      <c r="D79" s="10" t="n">
        <f aca="true">INDIRECT(ADDRESS(COLUMN()+119,ROW()+1,1,,"Cash"))</f>
        <v>120.24493713297</v>
      </c>
      <c r="E79" s="10" t="n">
        <f aca="true">INDIRECT(ADDRESS(COLUMN()+119,ROW()+1,1,,"Cash"))</f>
        <v>17.4840717070296</v>
      </c>
      <c r="F79" s="10" t="n">
        <f aca="true">INDIRECT(ADDRESS(COLUMN()+119,ROW()+1,1,,"Cash"))</f>
        <v>260.962015404866</v>
      </c>
      <c r="G79" s="10" t="n">
        <f aca="true">INDIRECT(ADDRESS(COLUMN()+119,ROW()+1,1,,"Cash"))</f>
        <v>72.6305083990569</v>
      </c>
      <c r="H79" s="10" t="n">
        <f aca="true">INDIRECT(ADDRESS(COLUMN()+119,ROW()+1,1,,"Cash"))</f>
        <v>95.8992205139928</v>
      </c>
      <c r="I79" s="10" t="n">
        <f aca="true">INDIRECT(ADDRESS(COLUMN()+119,ROW()+1,1,,"Cash"))</f>
        <v>75.1490418576127</v>
      </c>
      <c r="J79" s="10" t="n">
        <f aca="true">INDIRECT(ADDRESS(COLUMN()+119,ROW()+1,1,,"Cash"))</f>
        <v>22.9208489657876</v>
      </c>
      <c r="K79" s="10" t="n">
        <f aca="true">INDIRECT(ADDRESS(COLUMN()+119,ROW()+1,1,,"Cash"))</f>
        <v>51.9272286855893</v>
      </c>
      <c r="L79" s="10" t="n">
        <f aca="true">INDIRECT(ADDRESS(COLUMN()+119,ROW()+1,1,,"Cash"))</f>
        <v>48.6905529946046</v>
      </c>
      <c r="M79" s="10" t="n">
        <f aca="true">INDIRECT(ADDRESS(COLUMN()+119,ROW()+1,1,,"Cash"))</f>
        <v>91.2878485691141</v>
      </c>
      <c r="N79" s="10" t="n">
        <f aca="true">INDIRECT(ADDRESS(COLUMN()+119,ROW()+1,1,,"Cash"))</f>
        <v>23.4645649218532</v>
      </c>
      <c r="O79" s="10" t="n">
        <f aca="true">INDIRECT(ADDRESS(COLUMN()+119,ROW()+1,1,,"Cash"))</f>
        <v>80.3327206814068</v>
      </c>
      <c r="P79" s="10" t="n">
        <f aca="true">INDIRECT(ADDRESS(COLUMN()+119,ROW()+1,1,,"Cash"))</f>
        <v>17.9523999493546</v>
      </c>
      <c r="Q79" s="26" t="n">
        <f aca="true">INDIRECT(ADDRESS(COLUMN()+119,ROW()+1,1,,"Cash"))</f>
        <v>25.1203207150013</v>
      </c>
      <c r="R79" s="10" t="n">
        <f aca="true">INDIRECT(ADDRESS(COLUMN()+119,ROW()+1,1,,"Cash"))</f>
        <v>19.4751649045211</v>
      </c>
      <c r="S79" s="10" t="n">
        <f aca="true">INDIRECT(ADDRESS(COLUMN()+119,ROW()+1,1,,"Cash"))</f>
        <v>119.294256958786</v>
      </c>
      <c r="T79" s="10" t="n">
        <f aca="true">INDIRECT(ADDRESS(COLUMN()+119,ROW()+1,1,,"Cash"))</f>
        <v>212.731845172353</v>
      </c>
      <c r="U79" s="10" t="n">
        <f aca="true">INDIRECT(ADDRESS(COLUMN()+119,ROW()+1,1,,"Cash"))</f>
        <v>53.0005705904275</v>
      </c>
      <c r="V79" s="10" t="n">
        <f aca="true">INDIRECT(ADDRESS(COLUMN()+119,ROW()+1,1,,"Cash"))</f>
        <v>107.44663033322</v>
      </c>
      <c r="W79" s="10" t="n">
        <f aca="true">INDIRECT(ADDRESS(COLUMN()+119,ROW()+1,1,,"Cash"))</f>
        <v>67.2363168328255</v>
      </c>
      <c r="X79" s="10" t="n">
        <f aca="true">INDIRECT(ADDRESS(COLUMN()+119,ROW()+1,1,,"Cash"))</f>
        <v>112.879746967657</v>
      </c>
    </row>
    <row r="80" customFormat="false" ht="12.8" hidden="false" customHeight="false" outlineLevel="0" collapsed="false">
      <c r="A80" s="1" t="s">
        <v>400</v>
      </c>
      <c r="B80" s="10" t="n">
        <f aca="true">INDIRECT(ADDRESS(COLUMN()+119,ROW()+1,1,,"Cash"))</f>
        <v>10.1045896710985</v>
      </c>
      <c r="C80" s="10" t="n">
        <f aca="true">INDIRECT(ADDRESS(COLUMN()+119,ROW()+1,1,,"Cash"))</f>
        <v>3689.21568434517</v>
      </c>
      <c r="D80" s="10" t="n">
        <f aca="true">INDIRECT(ADDRESS(COLUMN()+119,ROW()+1,1,,"Cash"))</f>
        <v>42.1093724569782</v>
      </c>
      <c r="E80" s="10" t="n">
        <f aca="true">INDIRECT(ADDRESS(COLUMN()+119,ROW()+1,1,,"Cash"))</f>
        <v>16.6709396204542</v>
      </c>
      <c r="F80" s="10" t="n">
        <f aca="true">INDIRECT(ADDRESS(COLUMN()+119,ROW()+1,1,,"Cash"))</f>
        <v>12.3632744100625</v>
      </c>
      <c r="G80" s="10" t="n">
        <f aca="true">INDIRECT(ADDRESS(COLUMN()+119,ROW()+1,1,,"Cash"))</f>
        <v>40.1967917091623</v>
      </c>
      <c r="H80" s="10" t="n">
        <f aca="true">INDIRECT(ADDRESS(COLUMN()+119,ROW()+1,1,,"Cash"))</f>
        <v>6.0585243883506</v>
      </c>
      <c r="I80" s="10" t="n">
        <f aca="true">INDIRECT(ADDRESS(COLUMN()+119,ROW()+1,1,,"Cash"))</f>
        <v>66.1040257730905</v>
      </c>
      <c r="J80" s="10" t="n">
        <f aca="true">INDIRECT(ADDRESS(COLUMN()+119,ROW()+1,1,,"Cash"))</f>
        <v>24.6024281461561</v>
      </c>
      <c r="K80" s="10" t="n">
        <f aca="true">INDIRECT(ADDRESS(COLUMN()+119,ROW()+1,1,,"Cash"))</f>
        <v>45.6967203438054</v>
      </c>
      <c r="L80" s="10" t="n">
        <f aca="true">INDIRECT(ADDRESS(COLUMN()+119,ROW()+1,1,,"Cash"))</f>
        <v>13.8751052842818</v>
      </c>
      <c r="M80" s="10" t="n">
        <f aca="true">INDIRECT(ADDRESS(COLUMN()+119,ROW()+1,1,,"Cash"))</f>
        <v>7.87447564599368</v>
      </c>
      <c r="N80" s="10" t="n">
        <f aca="true">INDIRECT(ADDRESS(COLUMN()+119,ROW()+1,1,,"Cash"))</f>
        <v>7.31241608353171</v>
      </c>
      <c r="O80" s="10" t="n">
        <f aca="true">INDIRECT(ADDRESS(COLUMN()+119,ROW()+1,1,,"Cash"))</f>
        <v>103.15717017502</v>
      </c>
      <c r="P80" s="10" t="n">
        <f aca="true">INDIRECT(ADDRESS(COLUMN()+119,ROW()+1,1,,"Cash"))</f>
        <v>8.1421533291453</v>
      </c>
      <c r="Q80" s="26" t="n">
        <f aca="true">INDIRECT(ADDRESS(COLUMN()+119,ROW()+1,1,,"Cash"))</f>
        <v>11.4617582262589</v>
      </c>
      <c r="R80" s="10" t="n">
        <f aca="true">INDIRECT(ADDRESS(COLUMN()+119,ROW()+1,1,,"Cash"))</f>
        <v>9.00557667302905</v>
      </c>
      <c r="S80" s="10" t="n">
        <f aca="true">INDIRECT(ADDRESS(COLUMN()+119,ROW()+1,1,,"Cash"))</f>
        <v>17.9796415375469</v>
      </c>
      <c r="T80" s="10" t="n">
        <f aca="true">INDIRECT(ADDRESS(COLUMN()+119,ROW()+1,1,,"Cash"))</f>
        <v>305.998966087318</v>
      </c>
      <c r="U80" s="10" t="n">
        <f aca="true">INDIRECT(ADDRESS(COLUMN()+119,ROW()+1,1,,"Cash"))</f>
        <v>12.1858025761264</v>
      </c>
      <c r="V80" s="10" t="n">
        <f aca="true">INDIRECT(ADDRESS(COLUMN()+119,ROW()+1,1,,"Cash"))</f>
        <v>7.57733996336903</v>
      </c>
      <c r="W80" s="10" t="n">
        <f aca="true">INDIRECT(ADDRESS(COLUMN()+119,ROW()+1,1,,"Cash"))</f>
        <v>6.84725572624211</v>
      </c>
      <c r="X80" s="10" t="n">
        <f aca="true">INDIRECT(ADDRESS(COLUMN()+119,ROW()+1,1,,"Cash"))</f>
        <v>11.4456139114662</v>
      </c>
    </row>
    <row r="81" customFormat="false" ht="12.8" hidden="false" customHeight="false" outlineLevel="0" collapsed="false">
      <c r="A81" s="1" t="s">
        <v>401</v>
      </c>
      <c r="B81" s="10" t="n">
        <f aca="true">INDIRECT(ADDRESS(COLUMN()+119,ROW()+1,1,,"Cash"))</f>
        <v>480.872600074846</v>
      </c>
      <c r="C81" s="10" t="n">
        <f aca="true">INDIRECT(ADDRESS(COLUMN()+119,ROW()+1,1,,"Cash"))</f>
        <v>154.056106142842</v>
      </c>
      <c r="D81" s="10" t="n">
        <f aca="true">INDIRECT(ADDRESS(COLUMN()+119,ROW()+1,1,,"Cash"))</f>
        <v>72.5479987848652</v>
      </c>
      <c r="E81" s="10" t="n">
        <f aca="true">INDIRECT(ADDRESS(COLUMN()+119,ROW()+1,1,,"Cash"))</f>
        <v>22.5402279730762</v>
      </c>
      <c r="F81" s="10" t="n">
        <f aca="true">INDIRECT(ADDRESS(COLUMN()+119,ROW()+1,1,,"Cash"))</f>
        <v>311.651827584062</v>
      </c>
      <c r="G81" s="10" t="n">
        <f aca="true">INDIRECT(ADDRESS(COLUMN()+119,ROW()+1,1,,"Cash"))</f>
        <v>118.24428204802</v>
      </c>
      <c r="H81" s="10" t="n">
        <f aca="true">INDIRECT(ADDRESS(COLUMN()+119,ROW()+1,1,,"Cash"))</f>
        <v>99.0168923214062</v>
      </c>
      <c r="I81" s="10" t="n">
        <f aca="true">INDIRECT(ADDRESS(COLUMN()+119,ROW()+1,1,,"Cash"))</f>
        <v>217.159285477049</v>
      </c>
      <c r="J81" s="10" t="n">
        <f aca="true">INDIRECT(ADDRESS(COLUMN()+119,ROW()+1,1,,"Cash"))</f>
        <v>52.7940787487796</v>
      </c>
      <c r="K81" s="10" t="n">
        <f aca="true">INDIRECT(ADDRESS(COLUMN()+119,ROW()+1,1,,"Cash"))</f>
        <v>198.597695212261</v>
      </c>
      <c r="L81" s="10" t="n">
        <f aca="true">INDIRECT(ADDRESS(COLUMN()+119,ROW()+1,1,,"Cash"))</f>
        <v>88.7013862227295</v>
      </c>
      <c r="M81" s="10" t="n">
        <f aca="true">INDIRECT(ADDRESS(COLUMN()+119,ROW()+1,1,,"Cash"))</f>
        <v>116.852850817108</v>
      </c>
      <c r="N81" s="10" t="n">
        <f aca="true">INDIRECT(ADDRESS(COLUMN()+119,ROW()+1,1,,"Cash"))</f>
        <v>65.171050856666</v>
      </c>
      <c r="O81" s="10" t="n">
        <f aca="true">INDIRECT(ADDRESS(COLUMN()+119,ROW()+1,1,,"Cash"))</f>
        <v>95.3766738188712</v>
      </c>
      <c r="P81" s="10" t="n">
        <f aca="true">INDIRECT(ADDRESS(COLUMN()+119,ROW()+1,1,,"Cash"))</f>
        <v>49.392840616831</v>
      </c>
      <c r="Q81" s="26" t="n">
        <f aca="true">INDIRECT(ADDRESS(COLUMN()+119,ROW()+1,1,,"Cash"))</f>
        <v>51.764671382344</v>
      </c>
      <c r="R81" s="10" t="n">
        <f aca="true">INDIRECT(ADDRESS(COLUMN()+119,ROW()+1,1,,"Cash"))</f>
        <v>89.8007490779861</v>
      </c>
      <c r="S81" s="10" t="n">
        <f aca="true">INDIRECT(ADDRESS(COLUMN()+119,ROW()+1,1,,"Cash"))</f>
        <v>738.157679010695</v>
      </c>
      <c r="T81" s="10" t="n">
        <f aca="true">INDIRECT(ADDRESS(COLUMN()+119,ROW()+1,1,,"Cash"))</f>
        <v>38.0572651106826</v>
      </c>
      <c r="U81" s="10" t="n">
        <f aca="true">INDIRECT(ADDRESS(COLUMN()+119,ROW()+1,1,,"Cash"))</f>
        <v>251.269483896839</v>
      </c>
      <c r="V81" s="10" t="n">
        <f aca="true">INDIRECT(ADDRESS(COLUMN()+119,ROW()+1,1,,"Cash"))</f>
        <v>62.3682675999708</v>
      </c>
      <c r="W81" s="10" t="n">
        <f aca="true">INDIRECT(ADDRESS(COLUMN()+119,ROW()+1,1,,"Cash"))</f>
        <v>620.094151289603</v>
      </c>
      <c r="X81" s="10" t="n">
        <f aca="true">INDIRECT(ADDRESS(COLUMN()+119,ROW()+1,1,,"Cash"))</f>
        <v>406.660912220931</v>
      </c>
    </row>
    <row r="82" customFormat="false" ht="12.8" hidden="false" customHeight="false" outlineLevel="0" collapsed="false">
      <c r="A82" s="1" t="s">
        <v>124</v>
      </c>
      <c r="B82" s="10" t="n">
        <f aca="true">INDIRECT(ADDRESS(COLUMN()+119,ROW()+1,1,,"Cash"))</f>
        <v>69.6447221518191</v>
      </c>
      <c r="C82" s="10" t="n">
        <f aca="true">INDIRECT(ADDRESS(COLUMN()+119,ROW()+1,1,,"Cash"))</f>
        <v>46.7459023612399</v>
      </c>
      <c r="D82" s="10" t="n">
        <f aca="true">INDIRECT(ADDRESS(COLUMN()+119,ROW()+1,1,,"Cash"))</f>
        <v>11.0352095413198</v>
      </c>
      <c r="E82" s="10" t="n">
        <f aca="true">INDIRECT(ADDRESS(COLUMN()+119,ROW()+1,1,,"Cash"))</f>
        <v>1.80281163238469</v>
      </c>
      <c r="F82" s="10" t="n">
        <f aca="true">INDIRECT(ADDRESS(COLUMN()+119,ROW()+1,1,,"Cash"))</f>
        <v>456.778470598289</v>
      </c>
      <c r="G82" s="10" t="n">
        <f aca="true">INDIRECT(ADDRESS(COLUMN()+119,ROW()+1,1,,"Cash"))</f>
        <v>10.8700368252522</v>
      </c>
      <c r="H82" s="10" t="n">
        <f aca="true">INDIRECT(ADDRESS(COLUMN()+119,ROW()+1,1,,"Cash"))</f>
        <v>9.80164356675973</v>
      </c>
      <c r="I82" s="10" t="n">
        <f aca="true">INDIRECT(ADDRESS(COLUMN()+119,ROW()+1,1,,"Cash"))</f>
        <v>109.035530691803</v>
      </c>
      <c r="J82" s="10" t="n">
        <f aca="true">INDIRECT(ADDRESS(COLUMN()+119,ROW()+1,1,,"Cash"))</f>
        <v>27.5992276445658</v>
      </c>
      <c r="K82" s="10" t="n">
        <f aca="true">INDIRECT(ADDRESS(COLUMN()+119,ROW()+1,1,,"Cash"))</f>
        <v>32.9648863994434</v>
      </c>
      <c r="L82" s="10" t="n">
        <f aca="true">INDIRECT(ADDRESS(COLUMN()+119,ROW()+1,1,,"Cash"))</f>
        <v>13.5030211396556</v>
      </c>
      <c r="M82" s="10" t="n">
        <f aca="true">INDIRECT(ADDRESS(COLUMN()+119,ROW()+1,1,,"Cash"))</f>
        <v>117.741342772705</v>
      </c>
      <c r="N82" s="10" t="n">
        <f aca="true">INDIRECT(ADDRESS(COLUMN()+119,ROW()+1,1,,"Cash"))</f>
        <v>25.4991085715715</v>
      </c>
      <c r="O82" s="10" t="n">
        <f aca="true">INDIRECT(ADDRESS(COLUMN()+119,ROW()+1,1,,"Cash"))</f>
        <v>14.3317365819199</v>
      </c>
      <c r="P82" s="10" t="n">
        <f aca="true">INDIRECT(ADDRESS(COLUMN()+119,ROW()+1,1,,"Cash"))</f>
        <v>40.9668790764365</v>
      </c>
      <c r="Q82" s="26" t="n">
        <f aca="true">INDIRECT(ADDRESS(COLUMN()+119,ROW()+1,1,,"Cash"))</f>
        <v>9.83683146241717</v>
      </c>
      <c r="R82" s="10" t="n">
        <f aca="true">INDIRECT(ADDRESS(COLUMN()+119,ROW()+1,1,,"Cash"))</f>
        <v>12.9097760976966</v>
      </c>
      <c r="S82" s="10" t="n">
        <f aca="true">INDIRECT(ADDRESS(COLUMN()+119,ROW()+1,1,,"Cash"))</f>
        <v>380.978341357255</v>
      </c>
      <c r="T82" s="10" t="n">
        <f aca="true">INDIRECT(ADDRESS(COLUMN()+119,ROW()+1,1,,"Cash"))</f>
        <v>2.31548992008946</v>
      </c>
      <c r="U82" s="10" t="n">
        <f aca="true">INDIRECT(ADDRESS(COLUMN()+119,ROW()+1,1,,"Cash"))</f>
        <v>52.3789244439842</v>
      </c>
      <c r="V82" s="10" t="n">
        <f aca="true">INDIRECT(ADDRESS(COLUMN()+119,ROW()+1,1,,"Cash"))</f>
        <v>108.642830002465</v>
      </c>
      <c r="W82" s="10" t="n">
        <f aca="true">INDIRECT(ADDRESS(COLUMN()+119,ROW()+1,1,,"Cash"))</f>
        <v>1090.86847923406</v>
      </c>
      <c r="X82" s="10" t="n">
        <f aca="true">INDIRECT(ADDRESS(COLUMN()+119,ROW()+1,1,,"Cash"))</f>
        <v>122.672154666182</v>
      </c>
    </row>
    <row r="83" customFormat="false" ht="12.8" hidden="false" customHeight="false" outlineLevel="0" collapsed="false">
      <c r="A83" s="1" t="s">
        <v>402</v>
      </c>
      <c r="B83" s="10" t="n">
        <f aca="true">INDIRECT(ADDRESS(COLUMN()+119,ROW()+1,1,,"Cash"))</f>
        <v>1.90121785091596</v>
      </c>
      <c r="C83" s="10" t="n">
        <f aca="true">INDIRECT(ADDRESS(COLUMN()+119,ROW()+1,1,,"Cash"))</f>
        <v>1</v>
      </c>
      <c r="D83" s="10" t="n">
        <f aca="true">INDIRECT(ADDRESS(COLUMN()+119,ROW()+1,1,,"Cash"))</f>
        <v>1</v>
      </c>
      <c r="E83" s="10" t="n">
        <f aca="true">INDIRECT(ADDRESS(COLUMN()+119,ROW()+1,1,,"Cash"))</f>
        <v>1</v>
      </c>
      <c r="F83" s="10" t="n">
        <f aca="true">INDIRECT(ADDRESS(COLUMN()+119,ROW()+1,1,,"Cash"))</f>
        <v>1</v>
      </c>
      <c r="G83" s="10" t="n">
        <f aca="true">INDIRECT(ADDRESS(COLUMN()+119,ROW()+1,1,,"Cash"))</f>
        <v>1</v>
      </c>
      <c r="H83" s="10" t="n">
        <f aca="true">INDIRECT(ADDRESS(COLUMN()+119,ROW()+1,1,,"Cash"))</f>
        <v>1</v>
      </c>
      <c r="I83" s="10" t="n">
        <f aca="true">INDIRECT(ADDRESS(COLUMN()+119,ROW()+1,1,,"Cash"))</f>
        <v>1</v>
      </c>
      <c r="J83" s="10" t="n">
        <f aca="true">INDIRECT(ADDRESS(COLUMN()+119,ROW()+1,1,,"Cash"))</f>
        <v>1</v>
      </c>
      <c r="K83" s="10" t="n">
        <f aca="true">INDIRECT(ADDRESS(COLUMN()+119,ROW()+1,1,,"Cash"))</f>
        <v>1</v>
      </c>
      <c r="L83" s="10" t="n">
        <f aca="true">INDIRECT(ADDRESS(COLUMN()+119,ROW()+1,1,,"Cash"))</f>
        <v>1</v>
      </c>
      <c r="M83" s="10" t="n">
        <f aca="true">INDIRECT(ADDRESS(COLUMN()+119,ROW()+1,1,,"Cash"))</f>
        <v>1</v>
      </c>
      <c r="N83" s="10" t="n">
        <f aca="true">INDIRECT(ADDRESS(COLUMN()+119,ROW()+1,1,,"Cash"))</f>
        <v>1</v>
      </c>
      <c r="O83" s="10" t="n">
        <f aca="true">INDIRECT(ADDRESS(COLUMN()+119,ROW()+1,1,,"Cash"))</f>
        <v>1.05457409232062</v>
      </c>
      <c r="P83" s="10" t="n">
        <f aca="true">INDIRECT(ADDRESS(COLUMN()+119,ROW()+1,1,,"Cash"))</f>
        <v>1</v>
      </c>
      <c r="Q83" s="26" t="n">
        <f aca="true">INDIRECT(ADDRESS(COLUMN()+119,ROW()+1,1,,"Cash"))</f>
        <v>1</v>
      </c>
      <c r="R83" s="10" t="n">
        <f aca="true">INDIRECT(ADDRESS(COLUMN()+119,ROW()+1,1,,"Cash"))</f>
        <v>1</v>
      </c>
      <c r="S83" s="10" t="n">
        <f aca="true">INDIRECT(ADDRESS(COLUMN()+119,ROW()+1,1,,"Cash"))</f>
        <v>1</v>
      </c>
      <c r="T83" s="10" t="n">
        <f aca="true">INDIRECT(ADDRESS(COLUMN()+119,ROW()+1,1,,"Cash"))</f>
        <v>43.57918348012</v>
      </c>
      <c r="U83" s="10" t="n">
        <f aca="true">INDIRECT(ADDRESS(COLUMN()+119,ROW()+1,1,,"Cash"))</f>
        <v>1</v>
      </c>
      <c r="V83" s="10" t="n">
        <f aca="true">INDIRECT(ADDRESS(COLUMN()+119,ROW()+1,1,,"Cash"))</f>
        <v>1</v>
      </c>
      <c r="W83" s="10" t="n">
        <f aca="true">INDIRECT(ADDRESS(COLUMN()+119,ROW()+1,1,,"Cash"))</f>
        <v>1</v>
      </c>
      <c r="X83" s="10" t="n">
        <f aca="true">INDIRECT(ADDRESS(COLUMN()+119,ROW()+1,1,,"Cash"))</f>
        <v>1</v>
      </c>
    </row>
    <row r="84" customFormat="false" ht="12.8" hidden="false" customHeight="false" outlineLevel="0" collapsed="false">
      <c r="A84" s="1" t="s">
        <v>403</v>
      </c>
      <c r="B84" s="10" t="n">
        <f aca="true">INDIRECT(ADDRESS(COLUMN()+119,ROW()+1,1,,"Cash"))</f>
        <v>1220.91966359356</v>
      </c>
      <c r="C84" s="10" t="n">
        <f aca="true">INDIRECT(ADDRESS(COLUMN()+119,ROW()+1,1,,"Cash"))</f>
        <v>8.4776038459069</v>
      </c>
      <c r="D84" s="10" t="n">
        <f aca="true">INDIRECT(ADDRESS(COLUMN()+119,ROW()+1,1,,"Cash"))</f>
        <v>44.9923885404529</v>
      </c>
      <c r="E84" s="10" t="n">
        <f aca="true">INDIRECT(ADDRESS(COLUMN()+119,ROW()+1,1,,"Cash"))</f>
        <v>2781.64864790915</v>
      </c>
      <c r="F84" s="10" t="n">
        <f aca="true">INDIRECT(ADDRESS(COLUMN()+119,ROW()+1,1,,"Cash"))</f>
        <v>31.9977363991214</v>
      </c>
      <c r="G84" s="10" t="n">
        <f aca="true">INDIRECT(ADDRESS(COLUMN()+119,ROW()+1,1,,"Cash"))</f>
        <v>56.9961722449585</v>
      </c>
      <c r="H84" s="10" t="n">
        <f aca="true">INDIRECT(ADDRESS(COLUMN()+119,ROW()+1,1,,"Cash"))</f>
        <v>6583.65513129819</v>
      </c>
      <c r="I84" s="10" t="n">
        <f aca="true">INDIRECT(ADDRESS(COLUMN()+119,ROW()+1,1,,"Cash"))</f>
        <v>11.5021056768337</v>
      </c>
      <c r="J84" s="10" t="n">
        <f aca="true">INDIRECT(ADDRESS(COLUMN()+119,ROW()+1,1,,"Cash"))</f>
        <v>36.4250867947525</v>
      </c>
      <c r="K84" s="10" t="n">
        <f aca="true">INDIRECT(ADDRESS(COLUMN()+119,ROW()+1,1,,"Cash"))</f>
        <v>14.5706105439669</v>
      </c>
      <c r="L84" s="10" t="n">
        <f aca="true">INDIRECT(ADDRESS(COLUMN()+119,ROW()+1,1,,"Cash"))</f>
        <v>92.3113767867024</v>
      </c>
      <c r="M84" s="10" t="n">
        <f aca="true">INDIRECT(ADDRESS(COLUMN()+119,ROW()+1,1,,"Cash"))</f>
        <v>814.405273230771</v>
      </c>
      <c r="N84" s="10" t="n">
        <f aca="true">INDIRECT(ADDRESS(COLUMN()+119,ROW()+1,1,,"Cash"))</f>
        <v>60.6676868669373</v>
      </c>
      <c r="O84" s="10" t="n">
        <f aca="true">INDIRECT(ADDRESS(COLUMN()+119,ROW()+1,1,,"Cash"))</f>
        <v>18.6561343510642</v>
      </c>
      <c r="P84" s="10" t="n">
        <f aca="true">INDIRECT(ADDRESS(COLUMN()+119,ROW()+1,1,,"Cash"))</f>
        <v>63.0720530969842</v>
      </c>
      <c r="Q84" s="26" t="n">
        <f aca="true">INDIRECT(ADDRESS(COLUMN()+119,ROW()+1,1,,"Cash"))</f>
        <v>6.0113100742759</v>
      </c>
      <c r="R84" s="10" t="n">
        <f aca="true">INDIRECT(ADDRESS(COLUMN()+119,ROW()+1,1,,"Cash"))</f>
        <v>50.9920329164369</v>
      </c>
      <c r="S84" s="10" t="n">
        <f aca="true">INDIRECT(ADDRESS(COLUMN()+119,ROW()+1,1,,"Cash"))</f>
        <v>403.99349139338</v>
      </c>
      <c r="T84" s="10" t="n">
        <f aca="true">INDIRECT(ADDRESS(COLUMN()+119,ROW()+1,1,,"Cash"))</f>
        <v>944.436549018606</v>
      </c>
      <c r="U84" s="10" t="n">
        <f aca="true">INDIRECT(ADDRESS(COLUMN()+119,ROW()+1,1,,"Cash"))</f>
        <v>39.2630944345152</v>
      </c>
      <c r="V84" s="10" t="n">
        <f aca="true">INDIRECT(ADDRESS(COLUMN()+119,ROW()+1,1,,"Cash"))</f>
        <v>54.4419983946261</v>
      </c>
      <c r="W84" s="10" t="n">
        <f aca="true">INDIRECT(ADDRESS(COLUMN()+119,ROW()+1,1,,"Cash"))</f>
        <v>611.380703585655</v>
      </c>
      <c r="X84" s="10" t="n">
        <f aca="true">INDIRECT(ADDRESS(COLUMN()+119,ROW()+1,1,,"Cash"))</f>
        <v>112.971023037213</v>
      </c>
    </row>
    <row r="85" customFormat="false" ht="12.8" hidden="false" customHeight="false" outlineLevel="0" collapsed="false">
      <c r="A85" s="1" t="s">
        <v>127</v>
      </c>
      <c r="B85" s="10" t="n">
        <f aca="true">INDIRECT(ADDRESS(COLUMN()+119,ROW()+1,1,,"Cash"))</f>
        <v>224.044923684849</v>
      </c>
      <c r="C85" s="10" t="n">
        <f aca="true">INDIRECT(ADDRESS(COLUMN()+119,ROW()+1,1,,"Cash"))</f>
        <v>19.8248922185687</v>
      </c>
      <c r="D85" s="10" t="n">
        <f aca="true">INDIRECT(ADDRESS(COLUMN()+119,ROW()+1,1,,"Cash"))</f>
        <v>299.407157249675</v>
      </c>
      <c r="E85" s="10" t="n">
        <f aca="true">INDIRECT(ADDRESS(COLUMN()+119,ROW()+1,1,,"Cash"))</f>
        <v>1683.77603321515</v>
      </c>
      <c r="F85" s="10" t="n">
        <f aca="true">INDIRECT(ADDRESS(COLUMN()+119,ROW()+1,1,,"Cash"))</f>
        <v>19.4343053111925</v>
      </c>
      <c r="G85" s="10" t="n">
        <f aca="true">INDIRECT(ADDRESS(COLUMN()+119,ROW()+1,1,,"Cash"))</f>
        <v>737.04011186139</v>
      </c>
      <c r="H85" s="10" t="n">
        <f aca="true">INDIRECT(ADDRESS(COLUMN()+119,ROW()+1,1,,"Cash"))</f>
        <v>132.867816072878</v>
      </c>
      <c r="I85" s="10" t="n">
        <f aca="true">INDIRECT(ADDRESS(COLUMN()+119,ROW()+1,1,,"Cash"))</f>
        <v>9.1788134441637</v>
      </c>
      <c r="J85" s="10" t="n">
        <f aca="true">INDIRECT(ADDRESS(COLUMN()+119,ROW()+1,1,,"Cash"))</f>
        <v>253.037543146617</v>
      </c>
      <c r="K85" s="10" t="n">
        <f aca="true">INDIRECT(ADDRESS(COLUMN()+119,ROW()+1,1,,"Cash"))</f>
        <v>11.168820930554</v>
      </c>
      <c r="L85" s="10" t="n">
        <f aca="true">INDIRECT(ADDRESS(COLUMN()+119,ROW()+1,1,,"Cash"))</f>
        <v>85.3356555763921</v>
      </c>
      <c r="M85" s="10" t="n">
        <f aca="true">INDIRECT(ADDRESS(COLUMN()+119,ROW()+1,1,,"Cash"))</f>
        <v>69.9041987636356</v>
      </c>
      <c r="N85" s="10" t="n">
        <f aca="true">INDIRECT(ADDRESS(COLUMN()+119,ROW()+1,1,,"Cash"))</f>
        <v>6049.29495589381</v>
      </c>
      <c r="O85" s="10" t="n">
        <f aca="true">INDIRECT(ADDRESS(COLUMN()+119,ROW()+1,1,,"Cash"))</f>
        <v>55.9417798621615</v>
      </c>
      <c r="P85" s="10" t="n">
        <f aca="true">INDIRECT(ADDRESS(COLUMN()+119,ROW()+1,1,,"Cash"))</f>
        <v>946.552044789917</v>
      </c>
      <c r="Q85" s="26" t="n">
        <f aca="true">INDIRECT(ADDRESS(COLUMN()+119,ROW()+1,1,,"Cash"))</f>
        <v>4.47653873603446</v>
      </c>
      <c r="R85" s="10" t="n">
        <f aca="true">INDIRECT(ADDRESS(COLUMN()+119,ROW()+1,1,,"Cash"))</f>
        <v>136.551189975535</v>
      </c>
      <c r="S85" s="10" t="n">
        <f aca="true">INDIRECT(ADDRESS(COLUMN()+119,ROW()+1,1,,"Cash"))</f>
        <v>22.7373308811757</v>
      </c>
      <c r="T85" s="10" t="n">
        <f aca="true">INDIRECT(ADDRESS(COLUMN()+119,ROW()+1,1,,"Cash"))</f>
        <v>942.740017604046</v>
      </c>
      <c r="U85" s="10" t="n">
        <f aca="true">INDIRECT(ADDRESS(COLUMN()+119,ROW()+1,1,,"Cash"))</f>
        <v>15.7375784102872</v>
      </c>
      <c r="V85" s="10" t="n">
        <f aca="true">INDIRECT(ADDRESS(COLUMN()+119,ROW()+1,1,,"Cash"))</f>
        <v>88.2180152136258</v>
      </c>
      <c r="W85" s="10" t="n">
        <f aca="true">INDIRECT(ADDRESS(COLUMN()+119,ROW()+1,1,,"Cash"))</f>
        <v>163.917715567247</v>
      </c>
      <c r="X85" s="10" t="n">
        <f aca="true">INDIRECT(ADDRESS(COLUMN()+119,ROW()+1,1,,"Cash"))</f>
        <v>40.001114063164</v>
      </c>
    </row>
    <row r="86" customFormat="false" ht="12.8" hidden="false" customHeight="false" outlineLevel="0" collapsed="false">
      <c r="A86" s="1" t="s">
        <v>128</v>
      </c>
      <c r="B86" s="10" t="n">
        <f aca="true">INDIRECT(ADDRESS(COLUMN()+119,ROW()+1,1,,"Cash"))</f>
        <v>211.308509379331</v>
      </c>
      <c r="C86" s="10" t="n">
        <f aca="true">INDIRECT(ADDRESS(COLUMN()+119,ROW()+1,1,,"Cash"))</f>
        <v>417.086347489229</v>
      </c>
      <c r="D86" s="10" t="n">
        <f aca="true">INDIRECT(ADDRESS(COLUMN()+119,ROW()+1,1,,"Cash"))</f>
        <v>162.51950061954</v>
      </c>
      <c r="E86" s="10" t="n">
        <f aca="true">INDIRECT(ADDRESS(COLUMN()+119,ROW()+1,1,,"Cash"))</f>
        <v>86.1930696146657</v>
      </c>
      <c r="F86" s="10" t="n">
        <f aca="true">INDIRECT(ADDRESS(COLUMN()+119,ROW()+1,1,,"Cash"))</f>
        <v>466.3580660759</v>
      </c>
      <c r="G86" s="10" t="n">
        <f aca="true">INDIRECT(ADDRESS(COLUMN()+119,ROW()+1,1,,"Cash"))</f>
        <v>183.331279999528</v>
      </c>
      <c r="H86" s="10" t="n">
        <f aca="true">INDIRECT(ADDRESS(COLUMN()+119,ROW()+1,1,,"Cash"))</f>
        <v>758.309667852828</v>
      </c>
      <c r="I86" s="10" t="n">
        <f aca="true">INDIRECT(ADDRESS(COLUMN()+119,ROW()+1,1,,"Cash"))</f>
        <v>140.415513810138</v>
      </c>
      <c r="J86" s="10" t="n">
        <f aca="true">INDIRECT(ADDRESS(COLUMN()+119,ROW()+1,1,,"Cash"))</f>
        <v>181.302002478968</v>
      </c>
      <c r="K86" s="10" t="n">
        <f aca="true">INDIRECT(ADDRESS(COLUMN()+119,ROW()+1,1,,"Cash"))</f>
        <v>185.055213950668</v>
      </c>
      <c r="L86" s="10" t="n">
        <f aca="true">INDIRECT(ADDRESS(COLUMN()+119,ROW()+1,1,,"Cash"))</f>
        <v>162.393057571795</v>
      </c>
      <c r="M86" s="10" t="n">
        <f aca="true">INDIRECT(ADDRESS(COLUMN()+119,ROW()+1,1,,"Cash"))</f>
        <v>1188.59007529517</v>
      </c>
      <c r="N86" s="10" t="n">
        <f aca="true">INDIRECT(ADDRESS(COLUMN()+119,ROW()+1,1,,"Cash"))</f>
        <v>619.859448619089</v>
      </c>
      <c r="O86" s="10" t="n">
        <f aca="true">INDIRECT(ADDRESS(COLUMN()+119,ROW()+1,1,,"Cash"))</f>
        <v>177.902315178758</v>
      </c>
      <c r="P86" s="10" t="n">
        <f aca="true">INDIRECT(ADDRESS(COLUMN()+119,ROW()+1,1,,"Cash"))</f>
        <v>152.735308362397</v>
      </c>
      <c r="Q86" s="26" t="n">
        <f aca="true">INDIRECT(ADDRESS(COLUMN()+119,ROW()+1,1,,"Cash"))</f>
        <v>63.9198083541728</v>
      </c>
      <c r="R86" s="10" t="n">
        <f aca="true">INDIRECT(ADDRESS(COLUMN()+119,ROW()+1,1,,"Cash"))</f>
        <v>799.545480769835</v>
      </c>
      <c r="S86" s="10" t="n">
        <f aca="true">INDIRECT(ADDRESS(COLUMN()+119,ROW()+1,1,,"Cash"))</f>
        <v>450.026294288232</v>
      </c>
      <c r="T86" s="10" t="n">
        <f aca="true">INDIRECT(ADDRESS(COLUMN()+119,ROW()+1,1,,"Cash"))</f>
        <v>72.3845286046103</v>
      </c>
      <c r="U86" s="10" t="n">
        <f aca="true">INDIRECT(ADDRESS(COLUMN()+119,ROW()+1,1,,"Cash"))</f>
        <v>141.373160958609</v>
      </c>
      <c r="V86" s="10" t="n">
        <f aca="true">INDIRECT(ADDRESS(COLUMN()+119,ROW()+1,1,,"Cash"))</f>
        <v>111.664601428343</v>
      </c>
      <c r="W86" s="10" t="n">
        <f aca="true">INDIRECT(ADDRESS(COLUMN()+119,ROW()+1,1,,"Cash"))</f>
        <v>200.202583173065</v>
      </c>
      <c r="X86" s="10" t="n">
        <f aca="true">INDIRECT(ADDRESS(COLUMN()+119,ROW()+1,1,,"Cash"))</f>
        <v>462.494088499529</v>
      </c>
    </row>
    <row r="87" customFormat="false" ht="12.8" hidden="false" customHeight="false" outlineLevel="0" collapsed="false">
      <c r="A87" s="1" t="s">
        <v>129</v>
      </c>
      <c r="B87" s="10" t="n">
        <f aca="true">INDIRECT(ADDRESS(COLUMN()+119,ROW()+1,1,,"Cash"))</f>
        <v>2152.79012208513</v>
      </c>
      <c r="C87" s="10" t="n">
        <f aca="true">INDIRECT(ADDRESS(COLUMN()+119,ROW()+1,1,,"Cash"))</f>
        <v>4178.4865006037</v>
      </c>
      <c r="D87" s="10" t="n">
        <f aca="true">INDIRECT(ADDRESS(COLUMN()+119,ROW()+1,1,,"Cash"))</f>
        <v>8348.28266889841</v>
      </c>
      <c r="E87" s="10" t="n">
        <f aca="true">INDIRECT(ADDRESS(COLUMN()+119,ROW()+1,1,,"Cash"))</f>
        <v>637.917843122384</v>
      </c>
      <c r="F87" s="10" t="n">
        <f aca="true">INDIRECT(ADDRESS(COLUMN()+119,ROW()+1,1,,"Cash"))</f>
        <v>23052.0147615263</v>
      </c>
      <c r="G87" s="10" t="n">
        <f aca="true">INDIRECT(ADDRESS(COLUMN()+119,ROW()+1,1,,"Cash"))</f>
        <v>8508.93323426772</v>
      </c>
      <c r="H87" s="10" t="n">
        <f aca="true">INDIRECT(ADDRESS(COLUMN()+119,ROW()+1,1,,"Cash"))</f>
        <v>8755.72874470544</v>
      </c>
      <c r="I87" s="10" t="n">
        <f aca="true">INDIRECT(ADDRESS(COLUMN()+119,ROW()+1,1,,"Cash"))</f>
        <v>1809.11768225841</v>
      </c>
      <c r="J87" s="10" t="n">
        <f aca="true">INDIRECT(ADDRESS(COLUMN()+119,ROW()+1,1,,"Cash"))</f>
        <v>887.435788692635</v>
      </c>
      <c r="K87" s="10" t="n">
        <f aca="true">INDIRECT(ADDRESS(COLUMN()+119,ROW()+1,1,,"Cash"))</f>
        <v>1375.23771607533</v>
      </c>
      <c r="L87" s="10" t="n">
        <f aca="true">INDIRECT(ADDRESS(COLUMN()+119,ROW()+1,1,,"Cash"))</f>
        <v>1031.23603550847</v>
      </c>
      <c r="M87" s="10" t="n">
        <f aca="true">INDIRECT(ADDRESS(COLUMN()+119,ROW()+1,1,,"Cash"))</f>
        <v>1350.72906285057</v>
      </c>
      <c r="N87" s="10" t="n">
        <f aca="true">INDIRECT(ADDRESS(COLUMN()+119,ROW()+1,1,,"Cash"))</f>
        <v>4781.59344802006</v>
      </c>
      <c r="O87" s="10" t="n">
        <f aca="true">INDIRECT(ADDRESS(COLUMN()+119,ROW()+1,1,,"Cash"))</f>
        <v>2736.9299099033</v>
      </c>
      <c r="P87" s="10" t="n">
        <f aca="true">INDIRECT(ADDRESS(COLUMN()+119,ROW()+1,1,,"Cash"))</f>
        <v>889.985971062814</v>
      </c>
      <c r="Q87" s="26" t="n">
        <f aca="true">INDIRECT(ADDRESS(COLUMN()+119,ROW()+1,1,,"Cash"))</f>
        <v>755.394241809652</v>
      </c>
      <c r="R87" s="10" t="n">
        <f aca="true">INDIRECT(ADDRESS(COLUMN()+119,ROW()+1,1,,"Cash"))</f>
        <v>1035.66249962224</v>
      </c>
      <c r="S87" s="10" t="n">
        <f aca="true">INDIRECT(ADDRESS(COLUMN()+119,ROW()+1,1,,"Cash"))</f>
        <v>15975.7782869396</v>
      </c>
      <c r="T87" s="10" t="n">
        <f aca="true">INDIRECT(ADDRESS(COLUMN()+119,ROW()+1,1,,"Cash"))</f>
        <v>667.043634324878</v>
      </c>
      <c r="U87" s="10" t="n">
        <f aca="true">INDIRECT(ADDRESS(COLUMN()+119,ROW()+1,1,,"Cash"))</f>
        <v>8212.30397309212</v>
      </c>
      <c r="V87" s="10" t="n">
        <f aca="true">INDIRECT(ADDRESS(COLUMN()+119,ROW()+1,1,,"Cash"))</f>
        <v>620.384849708173</v>
      </c>
      <c r="W87" s="10" t="n">
        <f aca="true">INDIRECT(ADDRESS(COLUMN()+119,ROW()+1,1,,"Cash"))</f>
        <v>1236.33078966659</v>
      </c>
      <c r="X87" s="10" t="n">
        <f aca="true">INDIRECT(ADDRESS(COLUMN()+119,ROW()+1,1,,"Cash"))</f>
        <v>4292.95977098777</v>
      </c>
    </row>
    <row r="88" customFormat="false" ht="12.8" hidden="false" customHeight="false" outlineLevel="0" collapsed="false">
      <c r="A88" s="1" t="s">
        <v>130</v>
      </c>
      <c r="B88" s="10" t="n">
        <f aca="true">INDIRECT(ADDRESS(COLUMN()+119,ROW()+1,1,,"Cash"))</f>
        <v>857.229325759887</v>
      </c>
      <c r="C88" s="10" t="n">
        <f aca="true">INDIRECT(ADDRESS(COLUMN()+119,ROW()+1,1,,"Cash"))</f>
        <v>679.29194573637</v>
      </c>
      <c r="D88" s="10" t="n">
        <f aca="true">INDIRECT(ADDRESS(COLUMN()+119,ROW()+1,1,,"Cash"))</f>
        <v>531.912928345303</v>
      </c>
      <c r="E88" s="10" t="n">
        <f aca="true">INDIRECT(ADDRESS(COLUMN()+119,ROW()+1,1,,"Cash"))</f>
        <v>247.662149298725</v>
      </c>
      <c r="F88" s="10" t="n">
        <f aca="true">INDIRECT(ADDRESS(COLUMN()+119,ROW()+1,1,,"Cash"))</f>
        <v>4162.63392519963</v>
      </c>
      <c r="G88" s="10" t="n">
        <f aca="true">INDIRECT(ADDRESS(COLUMN()+119,ROW()+1,1,,"Cash"))</f>
        <v>668.523299841769</v>
      </c>
      <c r="H88" s="10" t="n">
        <f aca="true">INDIRECT(ADDRESS(COLUMN()+119,ROW()+1,1,,"Cash"))</f>
        <v>399.270964723997</v>
      </c>
      <c r="I88" s="10" t="n">
        <f aca="true">INDIRECT(ADDRESS(COLUMN()+119,ROW()+1,1,,"Cash"))</f>
        <v>1174.13942541508</v>
      </c>
      <c r="J88" s="10" t="n">
        <f aca="true">INDIRECT(ADDRESS(COLUMN()+119,ROW()+1,1,,"Cash"))</f>
        <v>2074.67941669824</v>
      </c>
      <c r="K88" s="10" t="n">
        <f aca="true">INDIRECT(ADDRESS(COLUMN()+119,ROW()+1,1,,"Cash"))</f>
        <v>423.792784708969</v>
      </c>
      <c r="L88" s="10" t="n">
        <f aca="true">INDIRECT(ADDRESS(COLUMN()+119,ROW()+1,1,,"Cash"))</f>
        <v>779.71011857333</v>
      </c>
      <c r="M88" s="10" t="n">
        <f aca="true">INDIRECT(ADDRESS(COLUMN()+119,ROW()+1,1,,"Cash"))</f>
        <v>3728.65010117361</v>
      </c>
      <c r="N88" s="10" t="n">
        <f aca="true">INDIRECT(ADDRESS(COLUMN()+119,ROW()+1,1,,"Cash"))</f>
        <v>1192.72075732644</v>
      </c>
      <c r="O88" s="10" t="n">
        <f aca="true">INDIRECT(ADDRESS(COLUMN()+119,ROW()+1,1,,"Cash"))</f>
        <v>599.388641967142</v>
      </c>
      <c r="P88" s="10" t="n">
        <f aca="true">INDIRECT(ADDRESS(COLUMN()+119,ROW()+1,1,,"Cash"))</f>
        <v>3599.70340795603</v>
      </c>
      <c r="Q88" s="26" t="n">
        <f aca="true">INDIRECT(ADDRESS(COLUMN()+119,ROW()+1,1,,"Cash"))</f>
        <v>452.619680994835</v>
      </c>
      <c r="R88" s="10" t="n">
        <f aca="true">INDIRECT(ADDRESS(COLUMN()+119,ROW()+1,1,,"Cash"))</f>
        <v>837.425478159956</v>
      </c>
      <c r="S88" s="10" t="n">
        <f aca="true">INDIRECT(ADDRESS(COLUMN()+119,ROW()+1,1,,"Cash"))</f>
        <v>1533.20132665754</v>
      </c>
      <c r="T88" s="10" t="n">
        <f aca="true">INDIRECT(ADDRESS(COLUMN()+119,ROW()+1,1,,"Cash"))</f>
        <v>219.359748927306</v>
      </c>
      <c r="U88" s="10" t="n">
        <f aca="true">INDIRECT(ADDRESS(COLUMN()+119,ROW()+1,1,,"Cash"))</f>
        <v>529.218761392395</v>
      </c>
      <c r="V88" s="10" t="n">
        <f aca="true">INDIRECT(ADDRESS(COLUMN()+119,ROW()+1,1,,"Cash"))</f>
        <v>8497.12928416151</v>
      </c>
      <c r="W88" s="10" t="n">
        <f aca="true">INDIRECT(ADDRESS(COLUMN()+119,ROW()+1,1,,"Cash"))</f>
        <v>13943.395334191</v>
      </c>
      <c r="X88" s="10" t="n">
        <f aca="true">INDIRECT(ADDRESS(COLUMN()+119,ROW()+1,1,,"Cash"))</f>
        <v>2213.54567219239</v>
      </c>
    </row>
    <row r="89" customFormat="false" ht="12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22"/>
      <c r="R89" s="7"/>
      <c r="S89" s="7"/>
      <c r="T89" s="7"/>
      <c r="U89" s="7"/>
      <c r="V89" s="7"/>
      <c r="W89" s="7"/>
      <c r="X89" s="7"/>
    </row>
    <row r="90" customFormat="false" ht="12.8" hidden="false" customHeight="false" outlineLevel="0" collapsed="false">
      <c r="A90" s="45" t="s">
        <v>629</v>
      </c>
    </row>
    <row r="91" customFormat="false" ht="12.8" hidden="false" customHeight="false" outlineLevel="0" collapsed="false">
      <c r="A91" s="1" t="s">
        <v>420</v>
      </c>
      <c r="B91" s="0" t="s">
        <v>282</v>
      </c>
      <c r="C91" s="0" t="s">
        <v>630</v>
      </c>
      <c r="D91" s="0" t="s">
        <v>631</v>
      </c>
      <c r="E91" s="0" t="s">
        <v>632</v>
      </c>
      <c r="F91" s="0" t="s">
        <v>633</v>
      </c>
      <c r="G91" s="0" t="s">
        <v>633</v>
      </c>
      <c r="H91" s="0" t="s">
        <v>633</v>
      </c>
      <c r="I91" s="0" t="s">
        <v>633</v>
      </c>
      <c r="J91" s="0" t="s">
        <v>634</v>
      </c>
      <c r="K91" s="0" t="s">
        <v>282</v>
      </c>
      <c r="L91" s="0" t="s">
        <v>282</v>
      </c>
      <c r="M91" s="0" t="s">
        <v>635</v>
      </c>
      <c r="N91" s="0" t="s">
        <v>636</v>
      </c>
      <c r="O91" s="0" t="s">
        <v>282</v>
      </c>
      <c r="P91" s="0" t="s">
        <v>635</v>
      </c>
      <c r="Q91" s="18" t="s">
        <v>633</v>
      </c>
      <c r="R91" s="0" t="s">
        <v>631</v>
      </c>
      <c r="S91" s="0" t="s">
        <v>633</v>
      </c>
      <c r="T91" s="0" t="s">
        <v>636</v>
      </c>
      <c r="U91" s="0" t="s">
        <v>631</v>
      </c>
      <c r="V91" s="0" t="s">
        <v>282</v>
      </c>
      <c r="W91" s="0" t="s">
        <v>282</v>
      </c>
      <c r="X91" s="0" t="s">
        <v>637</v>
      </c>
    </row>
    <row r="92" customFormat="false" ht="12.8" hidden="false" customHeight="false" outlineLevel="0" collapsed="false">
      <c r="A92" s="1" t="s">
        <v>421</v>
      </c>
      <c r="B92" s="0" t="s">
        <v>638</v>
      </c>
      <c r="C92" s="0" t="s">
        <v>176</v>
      </c>
      <c r="D92" s="0" t="s">
        <v>633</v>
      </c>
      <c r="E92" s="0" t="s">
        <v>636</v>
      </c>
      <c r="F92" s="0" t="s">
        <v>282</v>
      </c>
      <c r="G92" s="0" t="s">
        <v>282</v>
      </c>
      <c r="H92" s="0" t="s">
        <v>637</v>
      </c>
      <c r="I92" s="0" t="s">
        <v>639</v>
      </c>
      <c r="J92" s="0" t="s">
        <v>637</v>
      </c>
      <c r="K92" s="0" t="s">
        <v>181</v>
      </c>
      <c r="L92" s="0" t="s">
        <v>640</v>
      </c>
      <c r="M92" s="0" t="s">
        <v>633</v>
      </c>
      <c r="N92" s="0" t="s">
        <v>633</v>
      </c>
      <c r="O92" s="0" t="s">
        <v>633</v>
      </c>
      <c r="P92" s="0" t="s">
        <v>636</v>
      </c>
      <c r="Q92" s="18" t="s">
        <v>635</v>
      </c>
      <c r="R92" s="0" t="s">
        <v>637</v>
      </c>
      <c r="S92" s="0" t="s">
        <v>282</v>
      </c>
      <c r="T92" s="0" t="s">
        <v>631</v>
      </c>
      <c r="U92" s="0" t="s">
        <v>282</v>
      </c>
      <c r="V92" s="0" t="s">
        <v>637</v>
      </c>
      <c r="W92" s="0" t="s">
        <v>633</v>
      </c>
      <c r="X92" s="0" t="s">
        <v>282</v>
      </c>
    </row>
    <row r="93" customFormat="false" ht="12.8" hidden="false" customHeight="false" outlineLevel="0" collapsed="false">
      <c r="A93" s="1" t="s">
        <v>422</v>
      </c>
      <c r="B93" s="0" t="s">
        <v>641</v>
      </c>
      <c r="C93" s="0" t="s">
        <v>642</v>
      </c>
      <c r="D93" s="0" t="s">
        <v>282</v>
      </c>
      <c r="E93" s="0" t="s">
        <v>643</v>
      </c>
      <c r="F93" s="0" t="s">
        <v>631</v>
      </c>
      <c r="G93" s="0" t="s">
        <v>634</v>
      </c>
      <c r="H93" s="0" t="s">
        <v>282</v>
      </c>
      <c r="I93" s="0" t="s">
        <v>642</v>
      </c>
      <c r="J93" s="0" t="s">
        <v>282</v>
      </c>
      <c r="K93" s="0" t="s">
        <v>642</v>
      </c>
      <c r="L93" s="0" t="s">
        <v>630</v>
      </c>
      <c r="M93" s="0" t="s">
        <v>282</v>
      </c>
      <c r="N93" s="0" t="s">
        <v>635</v>
      </c>
      <c r="O93" s="0" t="s">
        <v>644</v>
      </c>
      <c r="P93" s="0" t="s">
        <v>634</v>
      </c>
      <c r="Q93" s="18" t="s">
        <v>637</v>
      </c>
      <c r="R93" s="0" t="s">
        <v>633</v>
      </c>
      <c r="S93" s="0" t="s">
        <v>639</v>
      </c>
      <c r="T93" s="0" t="s">
        <v>635</v>
      </c>
      <c r="U93" s="0" t="s">
        <v>633</v>
      </c>
      <c r="V93" s="0" t="s">
        <v>645</v>
      </c>
      <c r="W93" s="0" t="s">
        <v>636</v>
      </c>
      <c r="X93" s="0" t="s">
        <v>636</v>
      </c>
    </row>
    <row r="94" customFormat="false" ht="12.8" hidden="false" customHeight="false" outlineLevel="0" collapsed="false">
      <c r="A94" s="1" t="s">
        <v>423</v>
      </c>
      <c r="B94" s="0" t="s">
        <v>646</v>
      </c>
      <c r="C94" s="0" t="s">
        <v>639</v>
      </c>
      <c r="D94" s="0" t="s">
        <v>638</v>
      </c>
      <c r="E94" s="0" t="s">
        <v>631</v>
      </c>
      <c r="F94" s="0" t="s">
        <v>175</v>
      </c>
      <c r="G94" s="0" t="s">
        <v>635</v>
      </c>
      <c r="H94" s="0" t="s">
        <v>636</v>
      </c>
      <c r="I94" s="0" t="s">
        <v>640</v>
      </c>
      <c r="J94" s="0" t="s">
        <v>632</v>
      </c>
      <c r="K94" s="0" t="s">
        <v>639</v>
      </c>
      <c r="L94" s="0" t="s">
        <v>647</v>
      </c>
      <c r="M94" s="0" t="s">
        <v>648</v>
      </c>
      <c r="N94" s="0" t="s">
        <v>282</v>
      </c>
      <c r="O94" s="0" t="s">
        <v>649</v>
      </c>
      <c r="P94" s="0" t="s">
        <v>632</v>
      </c>
      <c r="Q94" s="18" t="s">
        <v>650</v>
      </c>
      <c r="R94" s="0" t="s">
        <v>282</v>
      </c>
      <c r="S94" s="0" t="s">
        <v>642</v>
      </c>
      <c r="T94" s="0" t="s">
        <v>637</v>
      </c>
      <c r="U94" s="0" t="s">
        <v>639</v>
      </c>
      <c r="V94" s="0" t="s">
        <v>651</v>
      </c>
      <c r="W94" s="0" t="s">
        <v>652</v>
      </c>
      <c r="X94" s="0" t="s">
        <v>638</v>
      </c>
    </row>
    <row r="95" customFormat="false" ht="12.8" hidden="false" customHeight="false" outlineLevel="0" collapsed="false">
      <c r="A95" s="1" t="s">
        <v>424</v>
      </c>
      <c r="B95" s="0" t="s">
        <v>644</v>
      </c>
      <c r="C95" s="0" t="s">
        <v>179</v>
      </c>
      <c r="D95" s="0" t="s">
        <v>652</v>
      </c>
      <c r="E95" s="0" t="s">
        <v>653</v>
      </c>
      <c r="F95" s="0" t="s">
        <v>639</v>
      </c>
      <c r="G95" s="0" t="s">
        <v>653</v>
      </c>
      <c r="H95" s="0" t="s">
        <v>179</v>
      </c>
      <c r="I95" s="0" t="s">
        <v>654</v>
      </c>
      <c r="J95" s="0" t="s">
        <v>653</v>
      </c>
      <c r="K95" s="0" t="s">
        <v>648</v>
      </c>
      <c r="L95" s="0" t="s">
        <v>655</v>
      </c>
      <c r="M95" s="0" t="s">
        <v>180</v>
      </c>
      <c r="N95" s="0" t="s">
        <v>175</v>
      </c>
      <c r="O95" s="0" t="s">
        <v>170</v>
      </c>
      <c r="P95" s="0" t="s">
        <v>653</v>
      </c>
      <c r="Q95" s="18" t="s">
        <v>656</v>
      </c>
      <c r="R95" s="0" t="s">
        <v>635</v>
      </c>
      <c r="S95" s="0" t="s">
        <v>657</v>
      </c>
      <c r="T95" s="0" t="s">
        <v>650</v>
      </c>
      <c r="U95" s="0" t="s">
        <v>642</v>
      </c>
      <c r="V95" s="0" t="s">
        <v>658</v>
      </c>
      <c r="W95" s="0" t="s">
        <v>638</v>
      </c>
      <c r="X95" s="0" t="s">
        <v>182</v>
      </c>
    </row>
    <row r="96" customFormat="false" ht="12.8" hidden="false" customHeight="false" outlineLevel="0" collapsed="false">
      <c r="A96" s="1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7"/>
      <c r="R96" s="46"/>
      <c r="S96" s="46"/>
      <c r="T96" s="46"/>
      <c r="U96" s="46"/>
      <c r="V96" s="46"/>
      <c r="W96" s="46"/>
      <c r="X96" s="46"/>
    </row>
    <row r="97" customFormat="false" ht="12.8" hidden="false" customHeight="false" outlineLevel="0" collapsed="false">
      <c r="A97" s="1" t="s">
        <v>427</v>
      </c>
      <c r="B97" s="0" t="s">
        <v>642</v>
      </c>
      <c r="C97" s="0" t="s">
        <v>631</v>
      </c>
      <c r="D97" s="0" t="s">
        <v>642</v>
      </c>
      <c r="E97" s="0" t="s">
        <v>642</v>
      </c>
      <c r="F97" s="0" t="s">
        <v>635</v>
      </c>
      <c r="G97" s="0" t="s">
        <v>642</v>
      </c>
      <c r="H97" s="0" t="s">
        <v>642</v>
      </c>
      <c r="I97" s="0" t="s">
        <v>635</v>
      </c>
      <c r="J97" s="0" t="s">
        <v>642</v>
      </c>
      <c r="K97" s="0" t="s">
        <v>631</v>
      </c>
      <c r="L97" s="0" t="s">
        <v>642</v>
      </c>
      <c r="M97" s="0" t="s">
        <v>642</v>
      </c>
      <c r="N97" s="0" t="s">
        <v>642</v>
      </c>
      <c r="O97" s="0" t="s">
        <v>642</v>
      </c>
      <c r="P97" s="0" t="s">
        <v>642</v>
      </c>
      <c r="Q97" s="18" t="s">
        <v>631</v>
      </c>
      <c r="R97" s="0" t="s">
        <v>642</v>
      </c>
      <c r="S97" s="0" t="s">
        <v>631</v>
      </c>
      <c r="T97" s="0" t="s">
        <v>642</v>
      </c>
      <c r="U97" s="0" t="s">
        <v>634</v>
      </c>
      <c r="V97" s="0" t="s">
        <v>642</v>
      </c>
      <c r="W97" s="0" t="s">
        <v>642</v>
      </c>
      <c r="X97" s="0" t="s">
        <v>642</v>
      </c>
    </row>
    <row r="98" customFormat="false" ht="12.8" hidden="false" customHeight="false" outlineLevel="0" collapsed="false">
      <c r="A98" s="1" t="s">
        <v>428</v>
      </c>
      <c r="B98" s="0" t="s">
        <v>659</v>
      </c>
      <c r="C98" s="0" t="s">
        <v>635</v>
      </c>
      <c r="D98" s="0" t="s">
        <v>659</v>
      </c>
      <c r="E98" s="0" t="s">
        <v>659</v>
      </c>
      <c r="F98" s="0" t="s">
        <v>650</v>
      </c>
      <c r="G98" s="0" t="s">
        <v>659</v>
      </c>
      <c r="H98" s="0" t="s">
        <v>659</v>
      </c>
      <c r="I98" s="0" t="s">
        <v>634</v>
      </c>
      <c r="J98" s="0" t="s">
        <v>659</v>
      </c>
      <c r="K98" s="0" t="s">
        <v>635</v>
      </c>
      <c r="L98" s="0" t="s">
        <v>659</v>
      </c>
      <c r="M98" s="0" t="s">
        <v>659</v>
      </c>
      <c r="N98" s="0" t="s">
        <v>659</v>
      </c>
      <c r="O98" s="0" t="s">
        <v>659</v>
      </c>
      <c r="P98" s="0" t="s">
        <v>659</v>
      </c>
      <c r="Q98" s="18" t="s">
        <v>282</v>
      </c>
      <c r="R98" s="0" t="s">
        <v>659</v>
      </c>
      <c r="S98" s="0" t="s">
        <v>635</v>
      </c>
      <c r="T98" s="0" t="s">
        <v>659</v>
      </c>
      <c r="U98" s="0" t="s">
        <v>650</v>
      </c>
      <c r="V98" s="0" t="s">
        <v>659</v>
      </c>
      <c r="W98" s="0" t="s">
        <v>659</v>
      </c>
      <c r="X98" s="0" t="s">
        <v>659</v>
      </c>
    </row>
    <row r="99" customFormat="false" ht="12.8" hidden="false" customHeight="false" outlineLevel="0" collapsed="false">
      <c r="A99" s="1" t="s">
        <v>429</v>
      </c>
      <c r="B99" s="0" t="s">
        <v>660</v>
      </c>
      <c r="C99" s="0" t="s">
        <v>634</v>
      </c>
      <c r="D99" s="0" t="s">
        <v>660</v>
      </c>
      <c r="E99" s="0" t="s">
        <v>660</v>
      </c>
      <c r="F99" s="0" t="s">
        <v>656</v>
      </c>
      <c r="G99" s="0" t="s">
        <v>660</v>
      </c>
      <c r="H99" s="0" t="s">
        <v>660</v>
      </c>
      <c r="I99" s="0" t="s">
        <v>650</v>
      </c>
      <c r="J99" s="0" t="s">
        <v>660</v>
      </c>
      <c r="K99" s="0" t="s">
        <v>634</v>
      </c>
      <c r="L99" s="0" t="s">
        <v>660</v>
      </c>
      <c r="M99" s="0" t="s">
        <v>660</v>
      </c>
      <c r="N99" s="0" t="s">
        <v>660</v>
      </c>
      <c r="O99" s="0" t="s">
        <v>660</v>
      </c>
      <c r="P99" s="0" t="s">
        <v>660</v>
      </c>
      <c r="Q99" s="18" t="s">
        <v>636</v>
      </c>
      <c r="R99" s="0" t="s">
        <v>660</v>
      </c>
      <c r="S99" s="0" t="s">
        <v>634</v>
      </c>
      <c r="T99" s="0" t="s">
        <v>660</v>
      </c>
      <c r="U99" s="0" t="s">
        <v>656</v>
      </c>
      <c r="V99" s="0" t="s">
        <v>660</v>
      </c>
      <c r="W99" s="0" t="s">
        <v>660</v>
      </c>
      <c r="X99" s="0" t="s">
        <v>660</v>
      </c>
    </row>
    <row r="100" customFormat="false" ht="12.8" hidden="false" customHeight="false" outlineLevel="0" collapsed="false">
      <c r="A100" s="1" t="s">
        <v>430</v>
      </c>
      <c r="B100" s="0" t="s">
        <v>661</v>
      </c>
      <c r="C100" s="0" t="s">
        <v>650</v>
      </c>
      <c r="D100" s="0" t="s">
        <v>661</v>
      </c>
      <c r="E100" s="0" t="s">
        <v>661</v>
      </c>
      <c r="F100" s="0" t="s">
        <v>653</v>
      </c>
      <c r="G100" s="0" t="s">
        <v>661</v>
      </c>
      <c r="H100" s="0" t="s">
        <v>661</v>
      </c>
      <c r="I100" s="0" t="s">
        <v>656</v>
      </c>
      <c r="J100" s="0" t="s">
        <v>661</v>
      </c>
      <c r="K100" s="0" t="s">
        <v>653</v>
      </c>
      <c r="L100" s="0" t="s">
        <v>661</v>
      </c>
      <c r="M100" s="0" t="s">
        <v>661</v>
      </c>
      <c r="N100" s="0" t="s">
        <v>661</v>
      </c>
      <c r="O100" s="0" t="s">
        <v>661</v>
      </c>
      <c r="P100" s="0" t="s">
        <v>661</v>
      </c>
      <c r="Q100" s="18" t="s">
        <v>645</v>
      </c>
      <c r="R100" s="0" t="s">
        <v>661</v>
      </c>
      <c r="S100" s="0" t="s">
        <v>650</v>
      </c>
      <c r="T100" s="0" t="s">
        <v>661</v>
      </c>
      <c r="U100" s="0" t="s">
        <v>636</v>
      </c>
      <c r="V100" s="0" t="s">
        <v>661</v>
      </c>
      <c r="W100" s="0" t="s">
        <v>661</v>
      </c>
      <c r="X100" s="0" t="s">
        <v>661</v>
      </c>
    </row>
    <row r="101" customFormat="false" ht="12.8" hidden="false" customHeight="false" outlineLevel="0" collapsed="false">
      <c r="A101" s="1" t="s">
        <v>431</v>
      </c>
      <c r="B101" s="0" t="s">
        <v>662</v>
      </c>
      <c r="C101" s="0" t="s">
        <v>656</v>
      </c>
      <c r="D101" s="0" t="s">
        <v>662</v>
      </c>
      <c r="E101" s="0" t="s">
        <v>662</v>
      </c>
      <c r="F101" s="0" t="s">
        <v>643</v>
      </c>
      <c r="G101" s="0" t="s">
        <v>662</v>
      </c>
      <c r="H101" s="0" t="s">
        <v>662</v>
      </c>
      <c r="I101" s="0" t="s">
        <v>653</v>
      </c>
      <c r="J101" s="0" t="s">
        <v>662</v>
      </c>
      <c r="K101" s="0" t="s">
        <v>643</v>
      </c>
      <c r="L101" s="0" t="s">
        <v>662</v>
      </c>
      <c r="M101" s="0" t="s">
        <v>662</v>
      </c>
      <c r="N101" s="0" t="s">
        <v>662</v>
      </c>
      <c r="O101" s="0" t="s">
        <v>662</v>
      </c>
      <c r="P101" s="0" t="s">
        <v>662</v>
      </c>
      <c r="Q101" s="18" t="s">
        <v>651</v>
      </c>
      <c r="R101" s="0" t="s">
        <v>662</v>
      </c>
      <c r="S101" s="0" t="s">
        <v>656</v>
      </c>
      <c r="T101" s="0" t="s">
        <v>662</v>
      </c>
      <c r="U101" s="0" t="s">
        <v>653</v>
      </c>
      <c r="V101" s="0" t="s">
        <v>662</v>
      </c>
      <c r="W101" s="0" t="s">
        <v>662</v>
      </c>
      <c r="X101" s="0" t="s">
        <v>662</v>
      </c>
    </row>
    <row r="103" customFormat="false" ht="12.8" hidden="false" customHeight="false" outlineLevel="0" collapsed="false">
      <c r="A103" s="45" t="s">
        <v>663</v>
      </c>
    </row>
    <row r="104" customFormat="false" ht="12.8" hidden="false" customHeight="false" outlineLevel="0" collapsed="false">
      <c r="A104" s="1" t="s">
        <v>420</v>
      </c>
      <c r="B104" s="0" t="s">
        <v>282</v>
      </c>
      <c r="C104" s="0" t="s">
        <v>17</v>
      </c>
      <c r="D104" s="0" t="s">
        <v>282</v>
      </c>
      <c r="E104" s="0" t="s">
        <v>411</v>
      </c>
      <c r="F104" s="0" t="s">
        <v>282</v>
      </c>
      <c r="G104" s="0" t="s">
        <v>282</v>
      </c>
      <c r="H104" s="0" t="s">
        <v>282</v>
      </c>
      <c r="I104" s="0" t="s">
        <v>282</v>
      </c>
      <c r="J104" s="0" t="s">
        <v>413</v>
      </c>
      <c r="K104" s="0" t="s">
        <v>282</v>
      </c>
      <c r="L104" s="0" t="s">
        <v>282</v>
      </c>
      <c r="M104" s="0" t="s">
        <v>282</v>
      </c>
      <c r="N104" s="0" t="s">
        <v>411</v>
      </c>
      <c r="O104" s="0" t="s">
        <v>282</v>
      </c>
      <c r="P104" s="0" t="s">
        <v>413</v>
      </c>
      <c r="Q104" s="18" t="s">
        <v>415</v>
      </c>
      <c r="R104" s="0" t="s">
        <v>282</v>
      </c>
      <c r="S104" s="0" t="s">
        <v>282</v>
      </c>
      <c r="T104" s="0" t="s">
        <v>413</v>
      </c>
      <c r="U104" s="0" t="s">
        <v>282</v>
      </c>
      <c r="V104" s="0" t="s">
        <v>411</v>
      </c>
      <c r="W104" s="0" t="s">
        <v>282</v>
      </c>
      <c r="X104" s="0" t="s">
        <v>411</v>
      </c>
    </row>
    <row r="105" customFormat="false" ht="12.8" hidden="false" customHeight="false" outlineLevel="0" collapsed="false">
      <c r="A105" s="1" t="s">
        <v>421</v>
      </c>
      <c r="B105" s="0" t="s">
        <v>17</v>
      </c>
      <c r="C105" s="0" t="s">
        <v>17</v>
      </c>
      <c r="D105" s="0" t="s">
        <v>415</v>
      </c>
      <c r="E105" s="0" t="s">
        <v>413</v>
      </c>
      <c r="F105" s="0" t="s">
        <v>17</v>
      </c>
      <c r="G105" s="0" t="s">
        <v>411</v>
      </c>
      <c r="H105" s="0" t="s">
        <v>414</v>
      </c>
      <c r="I105" s="0" t="s">
        <v>17</v>
      </c>
      <c r="J105" s="0" t="s">
        <v>411</v>
      </c>
      <c r="K105" s="0" t="s">
        <v>416</v>
      </c>
      <c r="L105" s="0" t="s">
        <v>417</v>
      </c>
      <c r="M105" s="0" t="s">
        <v>17</v>
      </c>
      <c r="N105" s="0" t="s">
        <v>282</v>
      </c>
      <c r="O105" s="0" t="s">
        <v>17</v>
      </c>
      <c r="P105" s="0" t="s">
        <v>411</v>
      </c>
      <c r="Q105" s="18" t="s">
        <v>414</v>
      </c>
      <c r="R105" s="0" t="s">
        <v>419</v>
      </c>
      <c r="S105" s="0" t="s">
        <v>17</v>
      </c>
      <c r="T105" s="0" t="s">
        <v>411</v>
      </c>
      <c r="U105" s="0" t="s">
        <v>17</v>
      </c>
      <c r="V105" s="0" t="s">
        <v>412</v>
      </c>
      <c r="W105" s="0" t="s">
        <v>17</v>
      </c>
      <c r="X105" s="0" t="s">
        <v>282</v>
      </c>
    </row>
    <row r="106" customFormat="false" ht="12.8" hidden="false" customHeight="false" outlineLevel="0" collapsed="false">
      <c r="A106" s="1" t="s">
        <v>422</v>
      </c>
      <c r="B106" s="0" t="s">
        <v>17</v>
      </c>
      <c r="C106" s="0" t="s">
        <v>17</v>
      </c>
      <c r="D106" s="0" t="s">
        <v>417</v>
      </c>
      <c r="E106" s="0" t="s">
        <v>412</v>
      </c>
      <c r="F106" s="0" t="s">
        <v>17</v>
      </c>
      <c r="G106" s="0" t="s">
        <v>414</v>
      </c>
      <c r="H106" s="0" t="s">
        <v>17</v>
      </c>
      <c r="I106" s="0" t="s">
        <v>17</v>
      </c>
      <c r="J106" s="0" t="s">
        <v>415</v>
      </c>
      <c r="K106" s="0" t="s">
        <v>17</v>
      </c>
      <c r="L106" s="0" t="s">
        <v>17</v>
      </c>
      <c r="M106" s="0" t="s">
        <v>17</v>
      </c>
      <c r="N106" s="0" t="s">
        <v>17</v>
      </c>
      <c r="O106" s="0" t="s">
        <v>17</v>
      </c>
      <c r="P106" s="0" t="s">
        <v>412</v>
      </c>
      <c r="Q106" s="18" t="s">
        <v>413</v>
      </c>
      <c r="R106" s="0" t="s">
        <v>415</v>
      </c>
      <c r="S106" s="0" t="s">
        <v>17</v>
      </c>
      <c r="T106" s="0" t="s">
        <v>415</v>
      </c>
      <c r="U106" s="0" t="s">
        <v>17</v>
      </c>
      <c r="V106" s="0" t="s">
        <v>282</v>
      </c>
      <c r="W106" s="0" t="s">
        <v>17</v>
      </c>
      <c r="X106" s="0" t="s">
        <v>17</v>
      </c>
    </row>
    <row r="107" customFormat="false" ht="12.8" hidden="false" customHeight="false" outlineLevel="0" collapsed="false">
      <c r="A107" s="1" t="s">
        <v>423</v>
      </c>
      <c r="B107" s="0" t="s">
        <v>17</v>
      </c>
      <c r="C107" s="0" t="s">
        <v>17</v>
      </c>
      <c r="D107" s="0" t="s">
        <v>419</v>
      </c>
      <c r="E107" s="0" t="s">
        <v>415</v>
      </c>
      <c r="F107" s="0" t="s">
        <v>17</v>
      </c>
      <c r="G107" s="0" t="s">
        <v>413</v>
      </c>
      <c r="H107" s="0" t="s">
        <v>17</v>
      </c>
      <c r="I107" s="0" t="s">
        <v>17</v>
      </c>
      <c r="J107" s="0" t="s">
        <v>412</v>
      </c>
      <c r="K107" s="0" t="s">
        <v>17</v>
      </c>
      <c r="L107" s="0" t="s">
        <v>17</v>
      </c>
      <c r="M107" s="0" t="s">
        <v>17</v>
      </c>
      <c r="N107" s="0" t="s">
        <v>17</v>
      </c>
      <c r="O107" s="0" t="s">
        <v>17</v>
      </c>
      <c r="P107" s="0" t="s">
        <v>415</v>
      </c>
      <c r="Q107" s="18" t="s">
        <v>412</v>
      </c>
      <c r="R107" s="0" t="s">
        <v>17</v>
      </c>
      <c r="S107" s="0" t="s">
        <v>17</v>
      </c>
      <c r="T107" s="0" t="s">
        <v>412</v>
      </c>
      <c r="U107" s="0" t="s">
        <v>17</v>
      </c>
      <c r="V107" s="0" t="s">
        <v>413</v>
      </c>
      <c r="W107" s="0" t="s">
        <v>17</v>
      </c>
      <c r="X107" s="0" t="s">
        <v>17</v>
      </c>
    </row>
    <row r="108" customFormat="false" ht="12.8" hidden="false" customHeight="false" outlineLevel="0" collapsed="false">
      <c r="A108" s="1" t="s">
        <v>424</v>
      </c>
      <c r="B108" s="0" t="s">
        <v>17</v>
      </c>
      <c r="C108" s="0" t="s">
        <v>17</v>
      </c>
      <c r="D108" s="0" t="s">
        <v>17</v>
      </c>
      <c r="E108" s="0" t="s">
        <v>414</v>
      </c>
      <c r="F108" s="0" t="s">
        <v>17</v>
      </c>
      <c r="G108" s="0" t="s">
        <v>415</v>
      </c>
      <c r="H108" s="0" t="s">
        <v>17</v>
      </c>
      <c r="I108" s="0" t="s">
        <v>17</v>
      </c>
      <c r="J108" s="0" t="s">
        <v>414</v>
      </c>
      <c r="K108" s="0" t="s">
        <v>17</v>
      </c>
      <c r="L108" s="0" t="s">
        <v>17</v>
      </c>
      <c r="M108" s="0" t="s">
        <v>17</v>
      </c>
      <c r="N108" s="0" t="s">
        <v>17</v>
      </c>
      <c r="O108" s="0" t="s">
        <v>17</v>
      </c>
      <c r="P108" s="0" t="s">
        <v>414</v>
      </c>
      <c r="Q108" s="18" t="s">
        <v>416</v>
      </c>
      <c r="R108" s="0" t="s">
        <v>17</v>
      </c>
      <c r="S108" s="0" t="s">
        <v>17</v>
      </c>
      <c r="T108" s="0" t="s">
        <v>414</v>
      </c>
      <c r="U108" s="0" t="s">
        <v>17</v>
      </c>
      <c r="V108" s="0" t="s">
        <v>417</v>
      </c>
      <c r="W108" s="0" t="s">
        <v>17</v>
      </c>
      <c r="X108" s="0" t="s">
        <v>17</v>
      </c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 t="s">
        <v>427</v>
      </c>
      <c r="B110" s="0" t="s">
        <v>416</v>
      </c>
      <c r="C110" s="0" t="s">
        <v>413</v>
      </c>
      <c r="D110" s="0" t="s">
        <v>416</v>
      </c>
      <c r="E110" s="0" t="s">
        <v>416</v>
      </c>
      <c r="F110" s="0" t="s">
        <v>413</v>
      </c>
      <c r="G110" s="0" t="s">
        <v>416</v>
      </c>
      <c r="H110" s="0" t="s">
        <v>416</v>
      </c>
      <c r="I110" s="0" t="s">
        <v>413</v>
      </c>
      <c r="J110" s="0" t="s">
        <v>416</v>
      </c>
      <c r="K110" s="0" t="s">
        <v>413</v>
      </c>
      <c r="L110" s="0" t="s">
        <v>416</v>
      </c>
      <c r="M110" s="0" t="s">
        <v>416</v>
      </c>
      <c r="N110" s="0" t="s">
        <v>416</v>
      </c>
      <c r="O110" s="0" t="s">
        <v>416</v>
      </c>
      <c r="P110" s="0" t="s">
        <v>416</v>
      </c>
      <c r="Q110" s="18" t="s">
        <v>411</v>
      </c>
      <c r="R110" s="0" t="s">
        <v>416</v>
      </c>
      <c r="S110" s="0" t="s">
        <v>413</v>
      </c>
      <c r="T110" s="0" t="s">
        <v>416</v>
      </c>
      <c r="U110" s="0" t="s">
        <v>413</v>
      </c>
      <c r="V110" s="0" t="s">
        <v>416</v>
      </c>
      <c r="W110" s="0" t="s">
        <v>416</v>
      </c>
      <c r="X110" s="0" t="s">
        <v>416</v>
      </c>
    </row>
    <row r="111" customFormat="false" ht="12.8" hidden="false" customHeight="false" outlineLevel="0" collapsed="false">
      <c r="A111" s="1" t="s">
        <v>428</v>
      </c>
      <c r="B111" s="0" t="s">
        <v>413</v>
      </c>
      <c r="C111" s="0" t="s">
        <v>415</v>
      </c>
      <c r="D111" s="0" t="s">
        <v>411</v>
      </c>
      <c r="E111" s="0" t="s">
        <v>282</v>
      </c>
      <c r="F111" s="0" t="s">
        <v>415</v>
      </c>
      <c r="G111" s="0" t="s">
        <v>419</v>
      </c>
      <c r="H111" s="0" t="s">
        <v>413</v>
      </c>
      <c r="I111" s="0" t="s">
        <v>415</v>
      </c>
      <c r="J111" s="0" t="s">
        <v>17</v>
      </c>
      <c r="K111" s="0" t="s">
        <v>411</v>
      </c>
      <c r="L111" s="0" t="s">
        <v>414</v>
      </c>
      <c r="M111" s="0" t="s">
        <v>411</v>
      </c>
      <c r="N111" s="0" t="s">
        <v>412</v>
      </c>
      <c r="O111" s="0" t="s">
        <v>411</v>
      </c>
      <c r="P111" s="0" t="s">
        <v>417</v>
      </c>
      <c r="Q111" s="18" t="s">
        <v>17</v>
      </c>
      <c r="R111" s="0" t="s">
        <v>412</v>
      </c>
      <c r="S111" s="0" t="s">
        <v>415</v>
      </c>
      <c r="T111" s="0" t="s">
        <v>282</v>
      </c>
      <c r="U111" s="0" t="s">
        <v>411</v>
      </c>
      <c r="V111" s="0" t="s">
        <v>415</v>
      </c>
      <c r="W111" s="0" t="s">
        <v>413</v>
      </c>
      <c r="X111" s="0" t="s">
        <v>413</v>
      </c>
    </row>
    <row r="112" customFormat="false" ht="12.8" hidden="false" customHeight="false" outlineLevel="0" collapsed="false">
      <c r="A112" s="1" t="s">
        <v>429</v>
      </c>
      <c r="B112" s="0" t="s">
        <v>412</v>
      </c>
      <c r="C112" s="0" t="s">
        <v>414</v>
      </c>
      <c r="D112" s="0" t="s">
        <v>413</v>
      </c>
      <c r="E112" s="0" t="s">
        <v>419</v>
      </c>
      <c r="F112" s="0" t="s">
        <v>411</v>
      </c>
      <c r="G112" s="0" t="s">
        <v>412</v>
      </c>
      <c r="H112" s="0" t="s">
        <v>415</v>
      </c>
      <c r="I112" s="0" t="s">
        <v>411</v>
      </c>
      <c r="J112" s="0" t="s">
        <v>17</v>
      </c>
      <c r="K112" s="0" t="s">
        <v>412</v>
      </c>
      <c r="L112" s="0" t="s">
        <v>413</v>
      </c>
      <c r="M112" s="0" t="s">
        <v>413</v>
      </c>
      <c r="N112" s="0" t="s">
        <v>414</v>
      </c>
      <c r="O112" s="0" t="s">
        <v>413</v>
      </c>
      <c r="P112" s="0" t="s">
        <v>17</v>
      </c>
      <c r="Q112" s="18" t="s">
        <v>17</v>
      </c>
      <c r="R112" s="0" t="s">
        <v>411</v>
      </c>
      <c r="S112" s="0" t="s">
        <v>411</v>
      </c>
      <c r="T112" s="0" t="s">
        <v>17</v>
      </c>
      <c r="U112" s="0" t="s">
        <v>414</v>
      </c>
      <c r="V112" s="0" t="s">
        <v>419</v>
      </c>
      <c r="W112" s="0" t="s">
        <v>412</v>
      </c>
      <c r="X112" s="0" t="s">
        <v>415</v>
      </c>
    </row>
    <row r="113" customFormat="false" ht="12.8" hidden="false" customHeight="false" outlineLevel="0" collapsed="false">
      <c r="A113" s="1" t="s">
        <v>430</v>
      </c>
      <c r="B113" s="0" t="s">
        <v>415</v>
      </c>
      <c r="C113" s="0" t="s">
        <v>411</v>
      </c>
      <c r="D113" s="0" t="s">
        <v>412</v>
      </c>
      <c r="E113" s="0" t="s">
        <v>17</v>
      </c>
      <c r="F113" s="0" t="s">
        <v>412</v>
      </c>
      <c r="G113" s="0" t="s">
        <v>418</v>
      </c>
      <c r="H113" s="0" t="s">
        <v>412</v>
      </c>
      <c r="I113" s="0" t="s">
        <v>414</v>
      </c>
      <c r="J113" s="0" t="s">
        <v>17</v>
      </c>
      <c r="K113" s="0" t="s">
        <v>415</v>
      </c>
      <c r="L113" s="0" t="s">
        <v>419</v>
      </c>
      <c r="M113" s="0" t="s">
        <v>414</v>
      </c>
      <c r="N113" s="0" t="s">
        <v>419</v>
      </c>
      <c r="O113" s="0" t="s">
        <v>414</v>
      </c>
      <c r="P113" s="0" t="s">
        <v>17</v>
      </c>
      <c r="Q113" s="18" t="s">
        <v>17</v>
      </c>
      <c r="R113" s="0" t="s">
        <v>414</v>
      </c>
      <c r="S113" s="0" t="s">
        <v>414</v>
      </c>
      <c r="T113" s="0" t="s">
        <v>17</v>
      </c>
      <c r="U113" s="0" t="s">
        <v>415</v>
      </c>
      <c r="V113" s="0" t="s">
        <v>17</v>
      </c>
      <c r="W113" s="0" t="s">
        <v>415</v>
      </c>
      <c r="X113" s="0" t="s">
        <v>412</v>
      </c>
    </row>
    <row r="114" customFormat="false" ht="12.8" hidden="false" customHeight="false" outlineLevel="0" collapsed="false">
      <c r="A114" s="1" t="s">
        <v>431</v>
      </c>
      <c r="B114" s="0" t="s">
        <v>414</v>
      </c>
      <c r="C114" s="0" t="s">
        <v>419</v>
      </c>
      <c r="D114" s="0" t="s">
        <v>414</v>
      </c>
      <c r="E114" s="0" t="s">
        <v>17</v>
      </c>
      <c r="F114" s="0" t="s">
        <v>414</v>
      </c>
      <c r="G114" s="0" t="s">
        <v>17</v>
      </c>
      <c r="H114" s="0" t="s">
        <v>419</v>
      </c>
      <c r="I114" s="0" t="s">
        <v>412</v>
      </c>
      <c r="J114" s="0" t="s">
        <v>17</v>
      </c>
      <c r="K114" s="0" t="s">
        <v>414</v>
      </c>
      <c r="L114" s="0" t="s">
        <v>412</v>
      </c>
      <c r="M114" s="0" t="s">
        <v>415</v>
      </c>
      <c r="N114" s="0" t="s">
        <v>415</v>
      </c>
      <c r="O114" s="0" t="s">
        <v>415</v>
      </c>
      <c r="P114" s="0" t="s">
        <v>17</v>
      </c>
      <c r="Q114" s="18" t="s">
        <v>17</v>
      </c>
      <c r="R114" s="0" t="s">
        <v>413</v>
      </c>
      <c r="S114" s="0" t="s">
        <v>412</v>
      </c>
      <c r="T114" s="0" t="s">
        <v>17</v>
      </c>
      <c r="U114" s="0" t="s">
        <v>412</v>
      </c>
      <c r="V114" s="0" t="s">
        <v>17</v>
      </c>
      <c r="W114" s="0" t="s">
        <v>414</v>
      </c>
      <c r="X114" s="0" t="s">
        <v>414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2018-10-06T20:26:09Z</dcterms:created>
  <dc:creator/>
  <dc:description/>
  <dc:language>en-US</dc:language>
  <cp:lastModifiedBy/>
  <dcterms:modified xsi:type="dcterms:W3CDTF">2019-03-07T09:34:26Z</dcterms:modified>
  <cp:revision>431</cp:revision>
  <dc:subject/>
  <dc:title/>
</cp:coreProperties>
</file>