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apacity" sheetId="1" state="visible" r:id="rId2"/>
    <sheet name="Demand" sheetId="2" state="visible" r:id="rId3"/>
    <sheet name="DemClcs" sheetId="3" state="visible" r:id="rId4"/>
    <sheet name="Flows" sheetId="4" state="visible" r:id="rId5"/>
    <sheet name="Cash" sheetId="5" state="visible" r:id="rId6"/>
    <sheet name="Tech" sheetId="6" state="visible" r:id="rId7"/>
    <sheet name="Dists" sheetId="7" state="visible" r:id="rId8"/>
    <sheet name="Populations" sheetId="8" state="visible" r:id="rId9"/>
    <sheet name="Vanuchu" sheetId="9" state="visible" r:id="rId10"/>
    <sheet name="Show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<sst xmlns="http://schemas.openxmlformats.org/spreadsheetml/2006/main" count="2698" uniqueCount="664">
  <si>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</si>
  <si>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</si>
  <si>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</si>
  <si>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</si>
  <si>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</si>
  <si>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</si>
  <si>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</si>
  <si>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</si>
  <si>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</si>
  <si>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</si>
  <si>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</si>
  <si>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</si>
  <si>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</si>
  <si>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</si>
  <si>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</si>
  <si>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</si>
  <si>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</si>
  <si>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N/A</t>
  </si>
  <si>
    <t xml:space="preserve">Honey Capacity</t>
  </si>
  <si>
    <t xml:space="preserve">Agr. Capacity</t>
  </si>
  <si>
    <t xml:space="preserve">Manu. Capacity</t>
  </si>
  <si>
    <t xml:space="preserve">Capacity Sum</t>
  </si>
  <si>
    <t xml:space="preserve">Name</t>
  </si>
  <si>
    <t xml:space="preserve">Climate</t>
  </si>
  <si>
    <t xml:space="preserve">Hexes</t>
  </si>
  <si>
    <t xml:space="preserve">Work Days</t>
  </si>
  <si>
    <t xml:space="preserve">Tech</t>
  </si>
  <si>
    <t xml:space="preserve">Arability</t>
  </si>
  <si>
    <t xml:space="preserve">L. Used</t>
  </si>
  <si>
    <t xml:space="preserve">Nye (lb/acre)</t>
  </si>
  <si>
    <t xml:space="preserve">Sweet Potatoes (lb/acre)</t>
  </si>
  <si>
    <t xml:space="preserve">Jeet (lb/acre)</t>
  </si>
  <si>
    <t xml:space="preserve">Jingla (lb/acre)</t>
  </si>
  <si>
    <t xml:space="preserve">Chipak (lb/acre)</t>
  </si>
  <si>
    <t xml:space="preserve">Veam (lb/acre)</t>
  </si>
  <si>
    <t xml:space="preserve">Nunives (lb/acre)</t>
  </si>
  <si>
    <t xml:space="preserve">Jax (lb/acre)</t>
  </si>
  <si>
    <t xml:space="preserve">Honey (lb/acre)</t>
  </si>
  <si>
    <t xml:space="preserve">Wax (lb/acre)</t>
  </si>
  <si>
    <t xml:space="preserve">|--|</t>
  </si>
  <si>
    <t xml:space="preserve">Sugar (KT)</t>
  </si>
  <si>
    <t xml:space="preserve">Jeet (KT)</t>
  </si>
  <si>
    <t xml:space="preserve">Jeet Seed (KT)</t>
  </si>
  <si>
    <t xml:space="preserve">Jeet Out (KT)</t>
  </si>
  <si>
    <t xml:space="preserve">Nye (KT)</t>
  </si>
  <si>
    <t xml:space="preserve">Nye Seed (KT)</t>
  </si>
  <si>
    <t xml:space="preserve">Nye Out (KT)</t>
  </si>
  <si>
    <t xml:space="preserve">Veam (KT)</t>
  </si>
  <si>
    <t xml:space="preserve">Nunives (KT)</t>
  </si>
  <si>
    <t xml:space="preserve">Jax (KT)</t>
  </si>
  <si>
    <t xml:space="preserve">Honey (KT)</t>
  </si>
  <si>
    <t xml:space="preserve">Wax (KT)</t>
  </si>
  <si>
    <t xml:space="preserve">Dairy Jound (ea)</t>
  </si>
  <si>
    <t xml:space="preserve">Zhou (ea)</t>
  </si>
  <si>
    <t xml:space="preserve">Flou (ea)</t>
  </si>
  <si>
    <t xml:space="preserve">Jingla (KT)</t>
  </si>
  <si>
    <t xml:space="preserve">Flour (KT)</t>
  </si>
  <si>
    <t xml:space="preserve">Bread (KT)</t>
  </si>
  <si>
    <t xml:space="preserve">Veg Oil (KT)</t>
  </si>
  <si>
    <t xml:space="preserve">Cheese (KT)</t>
  </si>
  <si>
    <t xml:space="preserve">Zhou Meat (KT)</t>
  </si>
  <si>
    <t xml:space="preserve">Flou Meat (KT)</t>
  </si>
  <si>
    <t xml:space="preserve">Eggs (KT)</t>
  </si>
  <si>
    <t xml:space="preserve">Cider (KT)</t>
  </si>
  <si>
    <t xml:space="preserve">Sauce (KT)</t>
  </si>
  <si>
    <t xml:space="preserve">Chipak (KT)</t>
  </si>
  <si>
    <t xml:space="preserve">Wool (KT)</t>
  </si>
  <si>
    <t xml:space="preserve">Lumber (KT)</t>
  </si>
  <si>
    <t xml:space="preserve">Timber (KT)</t>
  </si>
  <si>
    <t xml:space="preserve">Carpentry (KT)</t>
  </si>
  <si>
    <t xml:space="preserve">Bricks (KT)</t>
  </si>
  <si>
    <t xml:space="preserve">Mason (KT)</t>
  </si>
  <si>
    <t xml:space="preserve">Fur Coats (KT)</t>
  </si>
  <si>
    <t xml:space="preserve">Zhou Shoes (KT)</t>
  </si>
  <si>
    <t xml:space="preserve">Hoe (KT)</t>
  </si>
  <si>
    <t xml:space="preserve">Hatchet (KT)</t>
  </si>
  <si>
    <t xml:space="preserve">Auger (KT)</t>
  </si>
  <si>
    <t xml:space="preserve">Scissors (KT)</t>
  </si>
  <si>
    <t xml:space="preserve">Chisels (KT)</t>
  </si>
  <si>
    <t xml:space="preserve">Hammers (KT)</t>
  </si>
  <si>
    <t xml:space="preserve">Sickle (KT)</t>
  </si>
  <si>
    <t xml:space="preserve">Axe (KT)</t>
  </si>
  <si>
    <t xml:space="preserve">Chainmail (KT)</t>
  </si>
  <si>
    <t xml:space="preserve">Platemail (KT)</t>
  </si>
  <si>
    <t xml:space="preserve">Shortsword (KT)</t>
  </si>
  <si>
    <t xml:space="preserve">Longsword (KT)</t>
  </si>
  <si>
    <t xml:space="preserve">Dagger (KT)</t>
  </si>
  <si>
    <t xml:space="preserve">Staff (KT)</t>
  </si>
  <si>
    <t xml:space="preserve">Spear (KT)</t>
  </si>
  <si>
    <t xml:space="preserve">Battleaxe (KT)</t>
  </si>
  <si>
    <t xml:space="preserve">Thread (KT)</t>
  </si>
  <si>
    <t xml:space="preserve">Sweater (KT)</t>
  </si>
  <si>
    <t xml:space="preserve">Silk Cloth (KT)</t>
  </si>
  <si>
    <t xml:space="preserve">Cloth (KT)</t>
  </si>
  <si>
    <t xml:space="preserve">Leather (KT)</t>
  </si>
  <si>
    <t xml:space="preserve">Shirts (KT)</t>
  </si>
  <si>
    <t xml:space="preserve">Vests (KT)</t>
  </si>
  <si>
    <t xml:space="preserve">Pants (KT)</t>
  </si>
  <si>
    <t xml:space="preserve">Coat (KT)</t>
  </si>
  <si>
    <t xml:space="preserve">Salt (KT)</t>
  </si>
  <si>
    <t xml:space="preserve">Cured Meat (KT)</t>
  </si>
  <si>
    <t xml:space="preserve">Salted Fish (KT)</t>
  </si>
  <si>
    <t xml:space="preserve">Sausage (KT)</t>
  </si>
  <si>
    <t xml:space="preserve">Pickles (KT)</t>
  </si>
  <si>
    <t xml:space="preserve">Smoked Meats (KT)</t>
  </si>
  <si>
    <t xml:space="preserve">Barrel (Ktspace)</t>
  </si>
  <si>
    <t xml:space="preserve">Pottery (KT)</t>
  </si>
  <si>
    <t xml:space="preserve">Ore (KT)</t>
  </si>
  <si>
    <t xml:space="preserve">Cu (KT)</t>
  </si>
  <si>
    <t xml:space="preserve">Iron (KT)</t>
  </si>
  <si>
    <t xml:space="preserve">Pb (KT)</t>
  </si>
  <si>
    <t xml:space="preserve">Ag (KT)</t>
  </si>
  <si>
    <t xml:space="preserve">Au (KT)</t>
  </si>
  <si>
    <t xml:space="preserve">Cu Coin (KT)</t>
  </si>
  <si>
    <t xml:space="preserve">Ag Coin (KT)</t>
  </si>
  <si>
    <t xml:space="preserve">Au Coin (KT)</t>
  </si>
  <si>
    <t xml:space="preserve">Beer (KT)</t>
  </si>
  <si>
    <t xml:space="preserve">Rope (KT)</t>
  </si>
  <si>
    <t xml:space="preserve">Bowstring (KT)</t>
  </si>
  <si>
    <t xml:space="preserve">Whale Oil (KT)</t>
  </si>
  <si>
    <t xml:space="preserve">Whale Wax (KT)</t>
  </si>
  <si>
    <t xml:space="preserve">Vinegar (KT)</t>
  </si>
  <si>
    <t xml:space="preserve">Furs (KT)</t>
  </si>
  <si>
    <t xml:space="preserve">Game Meat (KT)</t>
  </si>
  <si>
    <t xml:space="preserve">Game Leather (KT)</t>
  </si>
  <si>
    <t xml:space="preserve">Basket (Ktspace)</t>
  </si>
  <si>
    <t xml:space="preserve">Diamonds (KT)</t>
  </si>
  <si>
    <t xml:space="preserve">Gems (KT)</t>
  </si>
  <si>
    <t xml:space="preserve">Arrows (KT)</t>
  </si>
  <si>
    <t xml:space="preserve">Backpacks (KT)</t>
  </si>
  <si>
    <t xml:space="preserve">Saddles (KT)</t>
  </si>
  <si>
    <t xml:space="preserve">Eskinoko</t>
  </si>
  <si>
    <t xml:space="preserve">Taiga</t>
  </si>
  <si>
    <t xml:space="preserve">Oko</t>
  </si>
  <si>
    <t xml:space="preserve">Mts</t>
  </si>
  <si>
    <t xml:space="preserve">Bono</t>
  </si>
  <si>
    <t xml:space="preserve">Temp</t>
  </si>
  <si>
    <t xml:space="preserve">Khanak</t>
  </si>
  <si>
    <t xml:space="preserve">Steppe</t>
  </si>
  <si>
    <t xml:space="preserve">Anoko</t>
  </si>
  <si>
    <t xml:space="preserve">Floresta</t>
  </si>
  <si>
    <t xml:space="preserve">Branio</t>
  </si>
  <si>
    <t xml:space="preserve">Ukal</t>
  </si>
  <si>
    <t xml:space="preserve">Chinki</t>
  </si>
  <si>
    <t xml:space="preserve">Bulkini</t>
  </si>
  <si>
    <t xml:space="preserve">Selva</t>
  </si>
  <si>
    <t xml:space="preserve">Jungle</t>
  </si>
  <si>
    <t xml:space="preserve">Danio</t>
  </si>
  <si>
    <t xml:space="preserve">Venilche</t>
  </si>
  <si>
    <t xml:space="preserve">Sav</t>
  </si>
  <si>
    <t xml:space="preserve">Mechansa</t>
  </si>
  <si>
    <t xml:space="preserve">Vantrokeno</t>
  </si>
  <si>
    <t xml:space="preserve">Vanuchu</t>
  </si>
  <si>
    <t xml:space="preserve">Izukini</t>
  </si>
  <si>
    <t xml:space="preserve">Medi</t>
  </si>
  <si>
    <t xml:space="preserve">Budunu</t>
  </si>
  <si>
    <t xml:space="preserve">Azucar</t>
  </si>
  <si>
    <t xml:space="preserve">Loncar</t>
  </si>
  <si>
    <t xml:space="preserve">Arania</t>
  </si>
  <si>
    <t xml:space="preserve">Kimundu</t>
  </si>
  <si>
    <t xml:space="preserve">Agula</t>
  </si>
  <si>
    <t xml:space="preserve">Capita Ratio</t>
  </si>
  <si>
    <t xml:space="preserve">Barley Seed Ratio</t>
  </si>
  <si>
    <t xml:space="preserve">Potato Seed Ratio</t>
  </si>
  <si>
    <t xml:space="preserve">Wheat Seed Ratio</t>
  </si>
  <si>
    <t xml:space="preserve">Notes:</t>
  </si>
  <si>
    <t xml:space="preserve">Yield</t>
  </si>
  <si>
    <t xml:space="preserve">Cords</t>
  </si>
  <si>
    <t xml:space="preserve">Brick</t>
  </si>
  <si>
    <t xml:space="preserve">Coats</t>
  </si>
  <si>
    <t xml:space="preserve">Zhou Shoes</t>
  </si>
  <si>
    <t xml:space="preserve">Hoes</t>
  </si>
  <si>
    <t xml:space="preserve">Hatchets</t>
  </si>
  <si>
    <t xml:space="preserve">Augers</t>
  </si>
  <si>
    <t xml:space="preserve">Scissors</t>
  </si>
  <si>
    <t xml:space="preserve">Chisels</t>
  </si>
  <si>
    <t xml:space="preserve">Hammers</t>
  </si>
  <si>
    <t xml:space="preserve">Sickles</t>
  </si>
  <si>
    <t xml:space="preserve">Axes</t>
  </si>
  <si>
    <t xml:space="preserve">Chainmail</t>
  </si>
  <si>
    <t xml:space="preserve">Platemail</t>
  </si>
  <si>
    <t xml:space="preserve">Shortsword</t>
  </si>
  <si>
    <t xml:space="preserve">Longsword</t>
  </si>
  <si>
    <t xml:space="preserve">Daggers</t>
  </si>
  <si>
    <t xml:space="preserve">Staffs</t>
  </si>
  <si>
    <t xml:space="preserve">Spears</t>
  </si>
  <si>
    <t xml:space="preserve">Battleaxes</t>
  </si>
  <si>
    <t xml:space="preserve">Maximum</t>
  </si>
  <si>
    <t xml:space="preserve">1lb wx =</t>
  </si>
  <si>
    <t xml:space="preserve">11.25lb Nun.</t>
  </si>
  <si>
    <t xml:space="preserve">Sweater = 2lb wool</t>
  </si>
  <si>
    <t xml:space="preserve">4yd/lb</t>
  </si>
  <si>
    <t xml:space="preserve">2.22yd/lb</t>
  </si>
  <si>
    <t xml:space="preserve">Zhou Hide = 2lb</t>
  </si>
  <si>
    <t xml:space="preserve">Shirt = 3.5yd</t>
  </si>
  <si>
    <t xml:space="preserve">Vest = 2yd</t>
  </si>
  <si>
    <t xml:space="preserve">Pants = 2.5yd</t>
  </si>
  <si>
    <t xml:space="preserve">Coat = 7yd</t>
  </si>
  <si>
    <t xml:space="preserve">lb/barrel=</t>
  </si>
  <si>
    <t xml:space="preserve">Average plate = 2lb</t>
  </si>
  <si>
    <t xml:space="preserve">1lb = 24coins</t>
  </si>
  <si>
    <t xml:space="preserve">2lb rope = 50’</t>
  </si>
  <si>
    <t xml:space="preserve">2lb string =</t>
  </si>
  <si>
    <t xml:space="preserve">lb/pelt</t>
  </si>
  <si>
    <t xml:space="preserve">yd/lb = 2</t>
  </si>
  <si>
    <t xml:space="preserve">0.02lb/arrow</t>
  </si>
  <si>
    <t xml:space="preserve">0.5lb/pack</t>
  </si>
  <si>
    <t xml:space="preserve">25lb/saddle</t>
  </si>
  <si>
    <t xml:space="preserve">80hrs light</t>
  </si>
  <si>
    <t xml:space="preserve">'=30qt oil</t>
  </si>
  <si>
    <t xml:space="preserve">KT Jingla</t>
  </si>
  <si>
    <t xml:space="preserve">lb/cord</t>
  </si>
  <si>
    <t xml:space="preserve">lb/brick</t>
  </si>
  <si>
    <t xml:space="preserve">pelts/KT</t>
  </si>
  <si>
    <t xml:space="preserve">lb/shoe</t>
  </si>
  <si>
    <t xml:space="preserve">lb/ea</t>
  </si>
  <si>
    <t xml:space="preserve">yd/lb</t>
  </si>
  <si>
    <t xml:space="preserve">sweaters/KT=</t>
  </si>
  <si>
    <t xml:space="preserve">yd/KT=</t>
  </si>
  <si>
    <t xml:space="preserve">yd/KT</t>
  </si>
  <si>
    <t xml:space="preserve">Zhou Hide = 4yd</t>
  </si>
  <si>
    <t xml:space="preserve">Shirt/KT</t>
  </si>
  <si>
    <t xml:space="preserve">Vests/KT</t>
  </si>
  <si>
    <t xml:space="preserve">Pants/KT</t>
  </si>
  <si>
    <t xml:space="preserve">Coats/KT</t>
  </si>
  <si>
    <t xml:space="preserve">1ton = 48Kcoins</t>
  </si>
  <si>
    <t xml:space="preserve">1ton = 50Kft</t>
  </si>
  <si>
    <t xml:space="preserve">1500ft</t>
  </si>
  <si>
    <t xml:space="preserve">4Myd / KT</t>
  </si>
  <si>
    <t xml:space="preserve">arrows/KT</t>
  </si>
  <si>
    <t xml:space="preserve">4Mpcks</t>
  </si>
  <si>
    <t xml:space="preserve">saddles/KT=</t>
  </si>
  <si>
    <t xml:space="preserve">Crop Multiplier</t>
  </si>
  <si>
    <t xml:space="preserve">'=30kg oil</t>
  </si>
  <si>
    <t xml:space="preserve">per KT Cider</t>
  </si>
  <si>
    <t xml:space="preserve">per KT Sauce</t>
  </si>
  <si>
    <t xml:space="preserve">0.5lb/yd leather</t>
  </si>
  <si>
    <t xml:space="preserve">barrels/KT=</t>
  </si>
  <si>
    <t xml:space="preserve">1KT = 48Mcoins</t>
  </si>
  <si>
    <t xml:space="preserve">1KT = 50Mft</t>
  </si>
  <si>
    <t xml:space="preserve">1ton = 1.5Mft</t>
  </si>
  <si>
    <t xml:space="preserve">'=1KT</t>
  </si>
  <si>
    <t xml:space="preserve">'=66lb oil</t>
  </si>
  <si>
    <t xml:space="preserve">cord/KT</t>
  </si>
  <si>
    <t xml:space="preserve">KT/Kbcks</t>
  </si>
  <si>
    <t xml:space="preserve">Kcoats/KT</t>
  </si>
  <si>
    <t xml:space="preserve">KT/K</t>
  </si>
  <si>
    <t xml:space="preserve">Kyd/KT</t>
  </si>
  <si>
    <t xml:space="preserve">4.44Myd / KT</t>
  </si>
  <si>
    <t xml:space="preserve">1KT = 1.5Gft</t>
  </si>
  <si>
    <t xml:space="preserve">Rope is at </t>
  </si>
  <si>
    <t xml:space="preserve">lb/yd</t>
  </si>
  <si>
    <t xml:space="preserve">100Marrows</t>
  </si>
  <si>
    <t xml:space="preserve">Board Feet</t>
  </si>
  <si>
    <t xml:space="preserve">50ft lengths</t>
  </si>
  <si>
    <t xml:space="preserve">String is at</t>
  </si>
  <si>
    <t xml:space="preserve">Kgal/KT</t>
  </si>
  <si>
    <t xml:space="preserve">Sweater = 2/5yd fab</t>
  </si>
  <si>
    <t xml:space="preserve">and holds</t>
  </si>
  <si>
    <t xml:space="preserve">5ft lengths</t>
  </si>
  <si>
    <t xml:space="preserve">yds/KT</t>
  </si>
  <si>
    <t xml:space="preserve">lb/bf</t>
  </si>
  <si>
    <t xml:space="preserve">250lb wt</t>
  </si>
  <si>
    <t xml:space="preserve">Dyes increase</t>
  </si>
  <si>
    <t xml:space="preserve">83.33lb wt</t>
  </si>
  <si>
    <t xml:space="preserve">KT/Kbf</t>
  </si>
  <si>
    <t xml:space="preserve">cost by 20-50%</t>
  </si>
  <si>
    <t xml:space="preserve">1.5 days / cord</t>
  </si>
  <si>
    <t xml:space="preserve">Furrier (KT)</t>
  </si>
  <si>
    <t xml:space="preserve">Nation</t>
  </si>
  <si>
    <t xml:space="preserve">They say you need 1.5lb</t>
  </si>
  <si>
    <t xml:space="preserve">Or 2 loaves of bread per</t>
  </si>
  <si>
    <t xml:space="preserve">day, but that plus 0.8gal beer</t>
  </si>
  <si>
    <t xml:space="preserve">adds up to 4000 cal.</t>
  </si>
  <si>
    <t xml:space="preserve">So, I am doing 1 loaf</t>
  </si>
  <si>
    <t xml:space="preserve">And 0.4gal of beer per day</t>
  </si>
  <si>
    <t xml:space="preserve">Random?</t>
  </si>
  <si>
    <t xml:space="preserve">Minimum=</t>
  </si>
  <si>
    <t xml:space="preserve">Cloth Modifier</t>
  </si>
  <si>
    <t xml:space="preserve">Modifier</t>
  </si>
  <si>
    <t xml:space="preserve">Tool Modifier</t>
  </si>
  <si>
    <t xml:space="preserve">Coin Ratio</t>
  </si>
  <si>
    <t xml:space="preserve">Honey</t>
  </si>
  <si>
    <t xml:space="preserve">Agri.</t>
  </si>
  <si>
    <t xml:space="preserve">Manu.</t>
  </si>
  <si>
    <t xml:space="preserve">Rate Locks</t>
  </si>
  <si>
    <t xml:space="preserve">Typical 1 story Medieval Waddle and Daab House</t>
  </si>
  <si>
    <t xml:space="preserve">Equal to a…</t>
  </si>
  <si>
    <t xml:space="preserve">sq ft house</t>
  </si>
  <si>
    <t xml:space="preserve">So, a single side of a hex house is…</t>
  </si>
  <si>
    <t xml:space="preserve">ft</t>
  </si>
  <si>
    <t xml:space="preserve">vertical posts</t>
  </si>
  <si>
    <t xml:space="preserve">perimeter roof supports</t>
  </si>
  <si>
    <t xml:space="preserve">cross braces for each of the 6 sides</t>
  </si>
  <si>
    <t xml:space="preserve">Main pt 2 pt roof beam</t>
  </si>
  <si>
    <t xml:space="preserve">2each side 2 side roof beams</t>
  </si>
  <si>
    <t xml:space="preserve">total boardfeet</t>
  </si>
  <si>
    <t xml:space="preserve">kbf</t>
  </si>
  <si>
    <t xml:space="preserve">Kt</t>
  </si>
  <si>
    <t xml:space="preserve">yr lifespan</t>
  </si>
  <si>
    <t xml:space="preserve">people per family</t>
  </si>
  <si>
    <t xml:space="preserve">Kt/(ppl*yr)</t>
  </si>
  <si>
    <t xml:space="preserve">@ 10 yr for family of 6</t>
  </si>
  <si>
    <t xml:space="preserve">Kbrck for fireplace</t>
  </si>
  <si>
    <t xml:space="preserve">Jeet for Bread</t>
  </si>
  <si>
    <t xml:space="preserve">lb bread/(ppl*day)</t>
  </si>
  <si>
    <t xml:space="preserve">eff. Flour → bread</t>
  </si>
  <si>
    <t xml:space="preserve">Baker’s Take</t>
  </si>
  <si>
    <t xml:space="preserve">eff. Jeet → flour</t>
  </si>
  <si>
    <t xml:space="preserve">Miller’s Take</t>
  </si>
  <si>
    <t xml:space="preserve">days/yr</t>
  </si>
  <si>
    <t xml:space="preserve">Nye for beer</t>
  </si>
  <si>
    <t xml:space="preserve">gal/(ppl*day)</t>
  </si>
  <si>
    <t xml:space="preserve">lbNye/gal</t>
  </si>
  <si>
    <t xml:space="preserve">eff brew</t>
  </si>
  <si>
    <t xml:space="preserve">To 1 watering</t>
  </si>
  <si>
    <t xml:space="preserve">Meat Consumption</t>
  </si>
  <si>
    <t xml:space="preserve">To 1 compared to jeet</t>
  </si>
  <si>
    <t xml:space="preserve">Clothing</t>
  </si>
  <si>
    <t xml:space="preserve">yd/shirt</t>
  </si>
  <si>
    <t xml:space="preserve">yd/pants</t>
  </si>
  <si>
    <t xml:space="preserve">Sets / ppl</t>
  </si>
  <si>
    <t xml:space="preserve">|--| </t>
  </si>
  <si>
    <t xml:space="preserve">Production</t>
  </si>
  <si>
    <t xml:space="preserve">Sum</t>
  </si>
  <si>
    <t xml:space="preserve">Consumption</t>
  </si>
  <si>
    <t xml:space="preserve">Net Exports</t>
  </si>
  <si>
    <t xml:space="preserve">Sugar (oz)</t>
  </si>
  <si>
    <t xml:space="preserve">Jeet (lb)</t>
  </si>
  <si>
    <t xml:space="preserve">Nye (lb)</t>
  </si>
  <si>
    <t xml:space="preserve">Veam (lb)</t>
  </si>
  <si>
    <t xml:space="preserve">Nunives (lb)</t>
  </si>
  <si>
    <t xml:space="preserve">Jax (lb)</t>
  </si>
  <si>
    <t xml:space="preserve">Honey (lb)</t>
  </si>
  <si>
    <t xml:space="preserve">Wax (lb)</t>
  </si>
  <si>
    <t xml:space="preserve">Jingla (lb)</t>
  </si>
  <si>
    <t xml:space="preserve">Flour (lb)</t>
  </si>
  <si>
    <t xml:space="preserve">Bread (loaf)</t>
  </si>
  <si>
    <t xml:space="preserve">Veg Oil (lb)</t>
  </si>
  <si>
    <t xml:space="preserve">Cheese (lb)</t>
  </si>
  <si>
    <t xml:space="preserve">Zhou Meat (lb)</t>
  </si>
  <si>
    <t xml:space="preserve">Flou Meat (lb)</t>
  </si>
  <si>
    <t xml:space="preserve">Eggs (ea)</t>
  </si>
  <si>
    <t xml:space="preserve">Cider (gal)</t>
  </si>
  <si>
    <t xml:space="preserve">Sauce (lb)</t>
  </si>
  <si>
    <t xml:space="preserve">Chipak (lb)</t>
  </si>
  <si>
    <t xml:space="preserve">Wool (lb)</t>
  </si>
  <si>
    <t xml:space="preserve">Lumber (Kbf)</t>
  </si>
  <si>
    <t xml:space="preserve">Timber (Kbf)</t>
  </si>
  <si>
    <t xml:space="preserve">Carpentry (Kbf)</t>
  </si>
  <si>
    <t xml:space="preserve">Bricks (Kbrck)</t>
  </si>
  <si>
    <t xml:space="preserve">Mason (Kbrck)</t>
  </si>
  <si>
    <t xml:space="preserve">Fur Coats (ea)</t>
  </si>
  <si>
    <t xml:space="preserve">Zhou Shoes (ea)</t>
  </si>
  <si>
    <t xml:space="preserve">Hoe (ea)</t>
  </si>
  <si>
    <t xml:space="preserve">Hatchet (ea)</t>
  </si>
  <si>
    <t xml:space="preserve">Auger (ea)</t>
  </si>
  <si>
    <t xml:space="preserve">Scissors (ea)</t>
  </si>
  <si>
    <t xml:space="preserve">Chisels (ea)</t>
  </si>
  <si>
    <t xml:space="preserve">Hammers (ea)</t>
  </si>
  <si>
    <t xml:space="preserve">Sickle (ea)</t>
  </si>
  <si>
    <t xml:space="preserve">Axe (ea)</t>
  </si>
  <si>
    <t xml:space="preserve">Chainmail (ea)</t>
  </si>
  <si>
    <t xml:space="preserve">Platemail (ea)</t>
  </si>
  <si>
    <t xml:space="preserve">Shortsword (ea)</t>
  </si>
  <si>
    <t xml:space="preserve">Longsword (ea)</t>
  </si>
  <si>
    <t xml:space="preserve">Dagger (ea)</t>
  </si>
  <si>
    <t xml:space="preserve">Staff (ea)</t>
  </si>
  <si>
    <t xml:space="preserve">Spear (ea)</t>
  </si>
  <si>
    <t xml:space="preserve">Battleaxe (ea)</t>
  </si>
  <si>
    <t xml:space="preserve">Thread (Kyd)</t>
  </si>
  <si>
    <t xml:space="preserve">Sweater (ea)</t>
  </si>
  <si>
    <t xml:space="preserve">Silk Cloth (yd)</t>
  </si>
  <si>
    <t xml:space="preserve">Cloth (yd)</t>
  </si>
  <si>
    <t xml:space="preserve">Leather (yd)</t>
  </si>
  <si>
    <t xml:space="preserve">Shirts (ea)</t>
  </si>
  <si>
    <t xml:space="preserve">Vests (ea)</t>
  </si>
  <si>
    <t xml:space="preserve">Pants (ea)</t>
  </si>
  <si>
    <t xml:space="preserve">Coat (ea)</t>
  </si>
  <si>
    <t xml:space="preserve">Salt (lb)</t>
  </si>
  <si>
    <t xml:space="preserve">Cured Meat (lb)</t>
  </si>
  <si>
    <t xml:space="preserve">Salted Fish (lb)</t>
  </si>
  <si>
    <t xml:space="preserve">Sausage (lb)</t>
  </si>
  <si>
    <t xml:space="preserve">Pickles (lb)</t>
  </si>
  <si>
    <t xml:space="preserve">Smoked Meats (lb)</t>
  </si>
  <si>
    <t xml:space="preserve">Barrel (ea)</t>
  </si>
  <si>
    <t xml:space="preserve">Pottery (ea)</t>
  </si>
  <si>
    <t xml:space="preserve">Ore (lb)</t>
  </si>
  <si>
    <t xml:space="preserve">Cu (lb)</t>
  </si>
  <si>
    <t xml:space="preserve">Iron (lb)</t>
  </si>
  <si>
    <t xml:space="preserve">Pb (lb)</t>
  </si>
  <si>
    <t xml:space="preserve">Ag (lb)</t>
  </si>
  <si>
    <t xml:space="preserve">Au (lb)</t>
  </si>
  <si>
    <t xml:space="preserve">Cu Coin (ea)</t>
  </si>
  <si>
    <t xml:space="preserve">Ag Coin (ea)</t>
  </si>
  <si>
    <t xml:space="preserve">Au Coin (ea)</t>
  </si>
  <si>
    <t xml:space="preserve">Beer (gal)</t>
  </si>
  <si>
    <t xml:space="preserve">Rope (yd)</t>
  </si>
  <si>
    <t xml:space="preserve">Bowstring (Kyd)</t>
  </si>
  <si>
    <t xml:space="preserve">Whale Oil (gal)</t>
  </si>
  <si>
    <t xml:space="preserve">Whale Wax (lb)</t>
  </si>
  <si>
    <t xml:space="preserve">Vinegar (gal)</t>
  </si>
  <si>
    <t xml:space="preserve">Furs (ea)</t>
  </si>
  <si>
    <t xml:space="preserve">Game Meat (lb)</t>
  </si>
  <si>
    <t xml:space="preserve">Basket (Lbspace)</t>
  </si>
  <si>
    <t xml:space="preserve">Diamonds (lb)</t>
  </si>
  <si>
    <t xml:space="preserve">'=Vanuchu cc supply</t>
  </si>
  <si>
    <t xml:space="preserve">Lifespan</t>
  </si>
  <si>
    <t xml:space="preserve">Conversion</t>
  </si>
  <si>
    <t xml:space="preserve">Prod Price (cc)</t>
  </si>
  <si>
    <t xml:space="preserve">Items</t>
  </si>
  <si>
    <t xml:space="preserve">Industries</t>
  </si>
  <si>
    <t xml:space="preserve">Net Exports (gc)</t>
  </si>
  <si>
    <t xml:space="preserve">Produce</t>
  </si>
  <si>
    <t xml:space="preserve">Animal</t>
  </si>
  <si>
    <t xml:space="preserve">Food Prod</t>
  </si>
  <si>
    <t xml:space="preserve">Textile</t>
  </si>
  <si>
    <t xml:space="preserve">Tools</t>
  </si>
  <si>
    <t xml:space="preserve">Mineral</t>
  </si>
  <si>
    <t xml:space="preserve">Wood</t>
  </si>
  <si>
    <t xml:space="preserve">Pottery</t>
  </si>
  <si>
    <t xml:space="preserve">Service</t>
  </si>
  <si>
    <t xml:space="preserve">#1 Export</t>
  </si>
  <si>
    <t xml:space="preserve">#2 Export</t>
  </si>
  <si>
    <t xml:space="preserve">#3 Export</t>
  </si>
  <si>
    <t xml:space="preserve">#4 Export</t>
  </si>
  <si>
    <t xml:space="preserve">#5 Export</t>
  </si>
  <si>
    <t xml:space="preserve">Dem Price (cc)</t>
  </si>
  <si>
    <t xml:space="preserve">Net Imports (gc)</t>
  </si>
  <si>
    <t xml:space="preserve">#1 Import</t>
  </si>
  <si>
    <t xml:space="preserve">#2 Import</t>
  </si>
  <si>
    <t xml:space="preserve">#3 Import</t>
  </si>
  <si>
    <t xml:space="preserve">#4 Import</t>
  </si>
  <si>
    <t xml:space="preserve">#5 Import</t>
  </si>
  <si>
    <t xml:space="preserve">Final Price</t>
  </si>
  <si>
    <t xml:space="preserve">Thread (yd)</t>
  </si>
  <si>
    <t xml:space="preserve">Barrel (Lbspace)</t>
  </si>
  <si>
    <t xml:space="preserve">Pottery (Lbspace)</t>
  </si>
  <si>
    <t xml:space="preserve">Lumber</t>
  </si>
  <si>
    <t xml:space="preserve">Tech =</t>
  </si>
  <si>
    <t xml:space="preserve">Cost =</t>
  </si>
  <si>
    <t xml:space="preserve">Crew</t>
  </si>
  <si>
    <t xml:space="preserve">Capacity (bf)</t>
  </si>
  <si>
    <t xml:space="preserve">Speed (hx/day)</t>
  </si>
  <si>
    <t xml:space="preserve">Cost (Kbf/cap)</t>
  </si>
  <si>
    <t xml:space="preserve">Hewing</t>
  </si>
  <si>
    <t xml:space="preserve">lumberjack</t>
  </si>
  <si>
    <t xml:space="preserve">boardfeet/day</t>
  </si>
  <si>
    <t xml:space="preserve">Sawmill</t>
  </si>
  <si>
    <t xml:space="preserve">hewers</t>
  </si>
  <si>
    <t xml:space="preserve">2 guys 200</t>
  </si>
  <si>
    <t xml:space="preserve">sawmill</t>
  </si>
  <si>
    <t xml:space="preserve">5 guys 4000</t>
  </si>
  <si>
    <t xml:space="preserve">Mill</t>
  </si>
  <si>
    <t xml:space="preserve">Capacity (tons)</t>
  </si>
  <si>
    <t xml:space="preserve">Cost (man*day/ton)</t>
  </si>
  <si>
    <t xml:space="preserve">Costs</t>
  </si>
  <si>
    <t xml:space="preserve">Sums</t>
  </si>
  <si>
    <t xml:space="preserve">Urb. Ratios</t>
  </si>
  <si>
    <t xml:space="preserve">Ratios</t>
  </si>
  <si>
    <t xml:space="preserve">Min =</t>
  </si>
  <si>
    <t xml:space="preserve">Max =</t>
  </si>
  <si>
    <t xml:space="preserve">Sum =</t>
  </si>
  <si>
    <t xml:space="preserve">Region</t>
  </si>
  <si>
    <t xml:space="preserve">Ppl / km^2</t>
  </si>
  <si>
    <t xml:space="preserve">Food / Dist.</t>
  </si>
  <si>
    <t xml:space="preserve">% urban rate</t>
  </si>
  <si>
    <t xml:space="preserve">#Capitals</t>
  </si>
  <si>
    <t xml:space="preserve">#L Cities</t>
  </si>
  <si>
    <t xml:space="preserve">#Cities</t>
  </si>
  <si>
    <t xml:space="preserve">#Towns</t>
  </si>
  <si>
    <t xml:space="preserve">#Vlgs/hxs</t>
  </si>
  <si>
    <t xml:space="preserve">Capital Rat</t>
  </si>
  <si>
    <t xml:space="preserve">H City Rate</t>
  </si>
  <si>
    <t xml:space="preserve">L City Rate</t>
  </si>
  <si>
    <t xml:space="preserve">City Rate</t>
  </si>
  <si>
    <t xml:space="preserve">Town Rate</t>
  </si>
  <si>
    <t xml:space="preserve">Tot. Area (km^2)</t>
  </si>
  <si>
    <t xml:space="preserve">Reg. Pop.</t>
  </si>
  <si>
    <t xml:space="preserve">Ruralites</t>
  </si>
  <si>
    <t xml:space="preserve">Urbanites</t>
  </si>
  <si>
    <t xml:space="preserve">x</t>
  </si>
  <si>
    <t xml:space="preserve">Pop./Capital</t>
  </si>
  <si>
    <t xml:space="preserve">Pop./Large City</t>
  </si>
  <si>
    <t xml:space="preserve">Pop./City</t>
  </si>
  <si>
    <t xml:space="preserve">Pop./Town</t>
  </si>
  <si>
    <t xml:space="preserve">Pop./Village</t>
  </si>
  <si>
    <t xml:space="preserve">Average</t>
  </si>
  <si>
    <t xml:space="preserve">Total</t>
  </si>
  <si>
    <t xml:space="preserve">Pop Mult.</t>
  </si>
  <si>
    <t xml:space="preserve">Description:</t>
  </si>
  <si>
    <t xml:space="preserve">Capital</t>
  </si>
  <si>
    <t xml:space="preserve">Large City</t>
  </si>
  <si>
    <t xml:space="preserve">City</t>
  </si>
  <si>
    <t xml:space="preserve">Town</t>
  </si>
  <si>
    <t xml:space="preserve">Village</t>
  </si>
  <si>
    <t xml:space="preserve">Population:</t>
  </si>
  <si>
    <t xml:space="preserve">Bakeries</t>
  </si>
  <si>
    <t xml:space="preserve">c</t>
  </si>
  <si>
    <t xml:space="preserve">Breweries</t>
  </si>
  <si>
    <t xml:space="preserve">Distilleries/Winerys</t>
  </si>
  <si>
    <t xml:space="preserve">Butchers</t>
  </si>
  <si>
    <t xml:space="preserve">map width</t>
  </si>
  <si>
    <t xml:space="preserve">Carpenters</t>
  </si>
  <si>
    <t xml:space="preserve">map height</t>
  </si>
  <si>
    <t xml:space="preserve">Wheelwrights/Cartwrights/Cabinetmakers/Coopers/woodcarvers/etc</t>
  </si>
  <si>
    <t xml:space="preserve">Churches</t>
  </si>
  <si>
    <t xml:space="preserve">all tiles on map</t>
  </si>
  <si>
    <t xml:space="preserve">Clergy</t>
  </si>
  <si>
    <t xml:space="preserve">white tiles on map</t>
  </si>
  <si>
    <t xml:space="preserve">Dyers</t>
  </si>
  <si>
    <t xml:space="preserve">usable tiles</t>
  </si>
  <si>
    <t xml:space="preserve">Banks</t>
  </si>
  <si>
    <t xml:space="preserve">Moneychangers/Lenders</t>
  </si>
  <si>
    <t xml:space="preserve">Fishmongers</t>
  </si>
  <si>
    <t xml:space="preserve">Foundries</t>
  </si>
  <si>
    <t xml:space="preserve">Country Stores</t>
  </si>
  <si>
    <t xml:space="preserve">Spice Stores</t>
  </si>
  <si>
    <t xml:space="preserve">Brokers</t>
  </si>
  <si>
    <t xml:space="preserve">Inns</t>
  </si>
  <si>
    <t xml:space="preserve">Taverns</t>
  </si>
  <si>
    <t xml:space="preserve">General Leatherworkers</t>
  </si>
  <si>
    <t xml:space="preserve">Cobblers/Saddlers/etc.</t>
  </si>
  <si>
    <t xml:space="preserve">Sculptors</t>
  </si>
  <si>
    <t xml:space="preserve">Masons</t>
  </si>
  <si>
    <t xml:space="preserve">Stonecutters</t>
  </si>
  <si>
    <t xml:space="preserve">Grist Mills</t>
  </si>
  <si>
    <t xml:space="preserve">Sawmills/Fulling mills/etc.</t>
  </si>
  <si>
    <t xml:space="preserve">Glaziers/Blowers</t>
  </si>
  <si>
    <t xml:space="preserve">Potteries</t>
  </si>
  <si>
    <t xml:space="preserve">Lawyers</t>
  </si>
  <si>
    <t xml:space="preserve">Notaries</t>
  </si>
  <si>
    <t xml:space="preserve">Scribes</t>
  </si>
  <si>
    <t xml:space="preserve">Blacksmiths</t>
  </si>
  <si>
    <t xml:space="preserve">Metalsmiths</t>
  </si>
  <si>
    <t xml:space="preserve">Tanners</t>
  </si>
  <si>
    <t xml:space="preserve">Teachers</t>
  </si>
  <si>
    <t xml:space="preserve">Tutors</t>
  </si>
  <si>
    <t xml:space="preserve">Weavers/Spinners/Carders</t>
  </si>
  <si>
    <t xml:space="preserve">Tailors/Carpet/Tapestry makers</t>
  </si>
  <si>
    <t xml:space="preserve">Furriers</t>
  </si>
  <si>
    <t xml:space="preserve">Universities</t>
  </si>
  <si>
    <t xml:space="preserve">Stables</t>
  </si>
  <si>
    <t xml:space="preserve">Random Weighted Values Start</t>
  </si>
  <si>
    <t xml:space="preserve">Brothels</t>
  </si>
  <si>
    <t xml:space="preserve">|</t>
  </si>
  <si>
    <t xml:space="preserve">Ropemakers</t>
  </si>
  <si>
    <t xml:space="preserve">Herbalists/Apothecaries</t>
  </si>
  <si>
    <t xml:space="preserve">Barbers</t>
  </si>
  <si>
    <t xml:space="preserve">Lampmakers</t>
  </si>
  <si>
    <t xml:space="preserve">Painters</t>
  </si>
  <si>
    <t xml:space="preserve">Bathhouses</t>
  </si>
  <si>
    <t xml:space="preserve">Sharpeners</t>
  </si>
  <si>
    <t xml:space="preserve">Thatchers</t>
  </si>
  <si>
    <t xml:space="preserve">Bowyers/Fletchers</t>
  </si>
  <si>
    <t xml:space="preserve">Ship's Chandlers</t>
  </si>
  <si>
    <t xml:space="preserve">Candlemakers</t>
  </si>
  <si>
    <t xml:space="preserve">Horse Trainers</t>
  </si>
  <si>
    <t xml:space="preserve">Jewelers</t>
  </si>
  <si>
    <t xml:space="preserve">Outfitters</t>
  </si>
  <si>
    <t xml:space="preserve">Pawnshops</t>
  </si>
  <si>
    <t xml:space="preserve">Soapmakers</t>
  </si>
  <si>
    <t xml:space="preserve">Undertakers</t>
  </si>
  <si>
    <t xml:space="preserve">Messengers/Heralds</t>
  </si>
  <si>
    <t xml:space="preserve">Gaming Houses</t>
  </si>
  <si>
    <t xml:space="preserve">Perfumers</t>
  </si>
  <si>
    <t xml:space="preserve">Papermakers</t>
  </si>
  <si>
    <t xml:space="preserve">Seers</t>
  </si>
  <si>
    <t xml:space="preserve">Engravers</t>
  </si>
  <si>
    <t xml:space="preserve">Clockmakers</t>
  </si>
  <si>
    <t xml:space="preserve">Animal Trainers</t>
  </si>
  <si>
    <t xml:space="preserve">Architects</t>
  </si>
  <si>
    <t xml:space="preserve">Cartographers</t>
  </si>
  <si>
    <t xml:space="preserve">Engineers</t>
  </si>
  <si>
    <t xml:space="preserve">Instrument Makers</t>
  </si>
  <si>
    <t xml:space="preserve">Random Weighted Values End</t>
  </si>
  <si>
    <t xml:space="preserve">Regional</t>
  </si>
  <si>
    <t xml:space="preserve">Ports</t>
  </si>
  <si>
    <t xml:space="preserve">Sailmakers</t>
  </si>
  <si>
    <t xml:space="preserve">Ropewalk</t>
  </si>
  <si>
    <t xml:space="preserve">Fishdryers</t>
  </si>
  <si>
    <t xml:space="preserve">Nautical Carvers</t>
  </si>
  <si>
    <t xml:space="preserve">Chandlers</t>
  </si>
  <si>
    <t xml:space="preserve">Warehouses</t>
  </si>
  <si>
    <t xml:space="preserve">Ships Carpenters</t>
  </si>
  <si>
    <t xml:space="preserve">Smiths</t>
  </si>
  <si>
    <t xml:space="preserve">Navigators</t>
  </si>
  <si>
    <t xml:space="preserve">Steersmen</t>
  </si>
  <si>
    <t xml:space="preserve">Boatmakers</t>
  </si>
  <si>
    <t xml:space="preserve">Tattoo Artitsts</t>
  </si>
  <si>
    <t xml:space="preserve">Shipwrights</t>
  </si>
  <si>
    <t xml:space="preserve">Marine Undertakers</t>
  </si>
  <si>
    <t xml:space="preserve">Freight Shippers</t>
  </si>
  <si>
    <t xml:space="preserve">Mountain Town</t>
  </si>
  <si>
    <t xml:space="preserve">Mining Tool Shops</t>
  </si>
  <si>
    <t xml:space="preserve">Sawmills</t>
  </si>
  <si>
    <t xml:space="preserve">Assayers</t>
  </si>
  <si>
    <t xml:space="preserve">Alchemists</t>
  </si>
  <si>
    <t xml:space="preserve">Trappers</t>
  </si>
  <si>
    <t xml:space="preserve">Guilds (1 per 4/5 Businesses)</t>
  </si>
  <si>
    <t xml:space="preserve">Beer/Wine/Tea Consumption (gallon/day)</t>
  </si>
  <si>
    <t xml:space="preserve">Water Consumption (gallon/day)</t>
  </si>
  <si>
    <t xml:space="preserve">Grain Consumption (lb/day)</t>
  </si>
  <si>
    <t xml:space="preserve">Cow Consumption (head/day)</t>
  </si>
  <si>
    <t xml:space="preserve">Small Livestock Consumption (head/day)</t>
  </si>
  <si>
    <t xml:space="preserve">City Area (mi^2)</t>
  </si>
  <si>
    <t xml:space="preserve">Surrounding Farmland to Support City (mi^2)</t>
  </si>
  <si>
    <t xml:space="preserve">`w</t>
  </si>
  <si>
    <t xml:space="preserve">`W</t>
  </si>
  <si>
    <t xml:space="preserve">Square Yards in City Area</t>
  </si>
  <si>
    <t xml:space="preserve">Yards in a hex for this city flat to flat</t>
  </si>
  <si>
    <t xml:space="preserve">Yards in a hex for this city point to point</t>
  </si>
  <si>
    <t xml:space="preserve">These values are random weighted values for -</t>
  </si>
  <si>
    <t xml:space="preserve">rows between Stables and Instrument Makers. ---&gt;</t>
  </si>
  <si>
    <t xml:space="preserve">I hard-coded columns C-J so the number of shops -</t>
  </si>
  <si>
    <t xml:space="preserve">doesn't change every time I open excel.</t>
  </si>
  <si>
    <t xml:space="preserve">If you want to allow columns C-J to change every time you -</t>
  </si>
  <si>
    <t xml:space="preserve">open excel, just highlight B105-B139, click the bottom-right -</t>
  </si>
  <si>
    <t xml:space="preserve">corner of the highlighted area, and drag over column J.</t>
  </si>
  <si>
    <t xml:space="preserve">Grain Consumption Calculation</t>
  </si>
  <si>
    <t xml:space="preserve">Bushels of grain / day</t>
  </si>
  <si>
    <t xml:space="preserve">Source</t>
  </si>
  <si>
    <t xml:space="preserve">Lb / Bushel</t>
  </si>
  <si>
    <t xml:space="preserve">Days / yr</t>
  </si>
  <si>
    <t xml:space="preserve">Consumption of Grain (lb/(person*yr))</t>
  </si>
  <si>
    <t xml:space="preserve">Meat Consumption Calculation</t>
  </si>
  <si>
    <t xml:space="preserve">Population of Barcelona 1450s</t>
  </si>
  <si>
    <t xml:space="preserve">Muttons Consumed in Barcelona 1462</t>
  </si>
  <si>
    <t xml:space="preserve">% of meat in diet</t>
  </si>
  <si>
    <t xml:space="preserve">lb of meat per mutton</t>
  </si>
  <si>
    <t xml:space="preserve">Consumption of Meat (lb/(person*yr))</t>
  </si>
  <si>
    <t xml:space="preserve">Item</t>
  </si>
  <si>
    <t xml:space="preserve">Spear</t>
  </si>
  <si>
    <t xml:space="preserve">Cider</t>
  </si>
  <si>
    <t xml:space="preserve">Jeet</t>
  </si>
  <si>
    <t xml:space="preserve">Wax</t>
  </si>
  <si>
    <t xml:space="preserve">Salt</t>
  </si>
  <si>
    <t xml:space="preserve">Sauce</t>
  </si>
  <si>
    <t xml:space="preserve">Chipak</t>
  </si>
  <si>
    <t xml:space="preserve">Cured Meat</t>
  </si>
  <si>
    <t xml:space="preserve">Thread</t>
  </si>
  <si>
    <t xml:space="preserve">Auger</t>
  </si>
  <si>
    <t xml:space="preserve">Dagger</t>
  </si>
  <si>
    <t xml:space="preserve">Iron</t>
  </si>
  <si>
    <t xml:space="preserve">Axe</t>
  </si>
  <si>
    <t xml:space="preserve">Nye</t>
  </si>
  <si>
    <t xml:space="preserve">Salted Fish</t>
  </si>
  <si>
    <t xml:space="preserve">Sickle</t>
  </si>
  <si>
    <t xml:space="preserve">Nunives</t>
  </si>
  <si>
    <t xml:space="preserve">Jingla</t>
  </si>
  <si>
    <t xml:space="preserve">Hoe</t>
  </si>
  <si>
    <t xml:space="preserve">Battleaxe</t>
  </si>
  <si>
    <t xml:space="preserve">Sweater</t>
  </si>
  <si>
    <t xml:space="preserve">Veg Oil</t>
  </si>
  <si>
    <t xml:space="preserve">Sugar</t>
  </si>
  <si>
    <t xml:space="preserve">Silk Cloth</t>
  </si>
  <si>
    <t xml:space="preserve">Whale Wax</t>
  </si>
  <si>
    <t xml:space="preserve">Vinegar</t>
  </si>
  <si>
    <t xml:space="preserve">Cheese</t>
  </si>
  <si>
    <t xml:space="preserve">Cu</t>
  </si>
  <si>
    <t xml:space="preserve">Ag</t>
  </si>
  <si>
    <t xml:space="preserve">Au</t>
  </si>
  <si>
    <t xml:space="preserve">Diamonds</t>
  </si>
  <si>
    <t xml:space="preserve">Industry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</si>
</sst>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#,##0.000"/>
    <numFmt numFmtId="167" formatCode="#,##0.00"/>
    <numFmt numFmtId="168" formatCode="#,##0"/>
    <numFmt numFmtId="169" formatCode="0.000"/>
    <numFmt numFmtId="170" formatCode="0.00"/>
    <numFmt numFmtId="171" formatCode="#,##0.00000"/>
    <numFmt numFmtId="172" formatCode="#,##0.00000000"/>
    <numFmt numFmtId="173" formatCode="#,##0.000000"/>
    <numFmt numFmtId="174" formatCode="0"/>
    <numFmt numFmtId="175" formatCode="0.0"/>
    <numFmt numFmtId="176" formatCode="#,##0.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avenswing59.blogspot.com/2013/10/medieval-demographics-done-right-pt-ii.html" TargetMode="External"/><Relationship Id="rId2" Type="http://schemas.openxmlformats.org/officeDocument/2006/relationships/hyperlink" Target="http://kswheat.com/news/2015/07/22/what-does-a-bushel-of-wheat-mean-to-me" TargetMode="External"/><Relationship Id="rId3" Type="http://schemas.openxmlformats.org/officeDocument/2006/relationships/hyperlink" Target="https://en.wikipedia.org/wiki/List_of_largest_European_cities_in_history" TargetMode="External"/><Relationship Id="rId4" Type="http://schemas.openxmlformats.org/officeDocument/2006/relationships/hyperlink" Target="http://www.medievalists.net/2011/06/how-much-meat-did-medieval-people-eat/" TargetMode="External"/><Relationship Id="rId5" Type="http://schemas.openxmlformats.org/officeDocument/2006/relationships/hyperlink" Target="http://www.medievalists.net/2011/06/how-much-meat-did-medieval-people-eat/" TargetMode="External"/><Relationship Id="rId6" Type="http://schemas.openxmlformats.org/officeDocument/2006/relationships/hyperlink" Target="https://en.wikipedia.org/wiki/Lamb_and_mutt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7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T3" activeCellId="0" sqref="AT3"/>
    </sheetView>
  </sheetViews>
  <sheetFormatPr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8.38"/>
    <col collapsed="false" customWidth="true" hidden="false" outlineLevel="0" max="3" min="3" style="0" width="6.93"/>
    <col collapsed="false" customWidth="true" hidden="false" outlineLevel="0" max="4" min="4" style="0" width="11.12"/>
    <col collapsed="false" customWidth="true" hidden="false" outlineLevel="0" max="5" min="5" style="0" width="5.78"/>
    <col collapsed="false" customWidth="true" hidden="false" outlineLevel="0" max="6" min="6" style="0" width="9.1"/>
    <col collapsed="false" customWidth="true" hidden="false" outlineLevel="0" max="7" min="7" style="0" width="12.42"/>
    <col collapsed="false" customWidth="true" hidden="false" outlineLevel="0" max="8" min="8" style="0" width="17.47"/>
    <col collapsed="false" customWidth="true" hidden="false" outlineLevel="0" max="9" min="9" style="0" width="23.1"/>
    <col collapsed="false" customWidth="true" hidden="false" outlineLevel="0" max="10" min="10" style="0" width="17.33"/>
    <col collapsed="false" customWidth="true" hidden="false" outlineLevel="0" max="11" min="11" style="0" width="14.88"/>
    <col collapsed="false" customWidth="true" hidden="false" outlineLevel="0" max="12" min="12" style="0" width="15.61"/>
    <col collapsed="false" customWidth="true" hidden="false" outlineLevel="0" max="13" min="13" style="0" width="14.3"/>
    <col collapsed="false" customWidth="true" hidden="false" outlineLevel="0" max="14" min="14" style="0" width="16.6"/>
    <col collapsed="false" customWidth="true" hidden="false" outlineLevel="0" max="15" min="15" style="0" width="12.42"/>
    <col collapsed="false" customWidth="true" hidden="false" outlineLevel="0" max="16" min="16" style="0" width="15.02"/>
    <col collapsed="false" customWidth="true" hidden="false" outlineLevel="0" max="17" min="17" style="0" width="13.14"/>
    <col collapsed="false" customWidth="true" hidden="false" outlineLevel="0" max="18" min="18" style="0" width="3.9"/>
    <col collapsed="false" customWidth="true" hidden="false" outlineLevel="0" max="19" min="19" style="0" width="11.12"/>
    <col collapsed="false" customWidth="true" hidden="false" outlineLevel="0" max="20" min="20" style="0" width="17.33"/>
    <col collapsed="false" customWidth="true" hidden="false" outlineLevel="0" max="21" min="21" style="0" width="14.43"/>
    <col collapsed="false" customWidth="true" hidden="false" outlineLevel="0" max="22" min="22" style="0" width="17.33"/>
    <col collapsed="false" customWidth="true" hidden="false" outlineLevel="0" max="23" min="23" style="0" width="10.84"/>
    <col collapsed="false" customWidth="true" hidden="false" outlineLevel="0" max="24" min="24" style="0" width="14.16"/>
    <col collapsed="false" customWidth="true" hidden="false" outlineLevel="0" max="25" min="25" style="0" width="12.85"/>
    <col collapsed="false" customWidth="true" hidden="false" outlineLevel="0" max="26" min="26" style="0" width="10.84"/>
    <col collapsed="false" customWidth="true" hidden="false" outlineLevel="0" max="27" min="27" style="0" width="12.98"/>
    <col collapsed="false" customWidth="true" hidden="false" outlineLevel="0" max="28" min="28" style="0" width="9.82"/>
    <col collapsed="false" customWidth="true" hidden="false" outlineLevel="0" max="29" min="29" style="0" width="17.33"/>
    <col collapsed="false" customWidth="true" hidden="false" outlineLevel="0" max="30" min="30" style="0" width="10.25"/>
    <col collapsed="false" customWidth="true" hidden="false" outlineLevel="0" max="33" min="31" style="0" width="17.33"/>
    <col collapsed="false" customWidth="true" hidden="false" outlineLevel="0" max="34" min="34" style="0" width="11.84"/>
    <col collapsed="false" customWidth="true" hidden="false" outlineLevel="0" max="35" min="35" style="0" width="13.43"/>
    <col collapsed="false" customWidth="true" hidden="false" outlineLevel="0" max="36" min="36" style="0" width="10.98"/>
    <col collapsed="false" customWidth="true" hidden="false" outlineLevel="0" max="38" min="37" style="0" width="12.29"/>
    <col collapsed="false" customWidth="true" hidden="false" outlineLevel="0" max="39" min="39" style="0" width="15.15"/>
    <col collapsed="false" customWidth="true" hidden="false" outlineLevel="0" max="40" min="40" style="0" width="14.59"/>
    <col collapsed="false" customWidth="true" hidden="false" outlineLevel="0" max="41" min="41" style="0" width="10.39"/>
    <col collapsed="false" customWidth="true" hidden="false" outlineLevel="0" max="42" min="42" style="0" width="17.33"/>
    <col collapsed="false" customWidth="true" hidden="false" outlineLevel="0" max="43" min="43" style="0" width="18.34"/>
    <col collapsed="false" customWidth="true" hidden="false" outlineLevel="0" max="44" min="44" style="0" width="11.99"/>
    <col collapsed="false" customWidth="true" hidden="false" outlineLevel="0" max="45" min="45" style="0" width="10.39"/>
    <col collapsed="false" customWidth="true" hidden="false" outlineLevel="0" max="46" min="46" style="0" width="14.16"/>
    <col collapsed="false" customWidth="true" hidden="false" outlineLevel="0" max="47" min="47" style="0" width="12.13"/>
    <col collapsed="false" customWidth="true" hidden="false" outlineLevel="0" max="48" min="48" style="0" width="14.43"/>
    <col collapsed="false" customWidth="true" hidden="false" outlineLevel="0" max="49" min="49" style="0" width="11.41"/>
    <col collapsed="false" customWidth="true" hidden="false" outlineLevel="0" max="50" min="50" style="0" width="11.7"/>
    <col collapsed="false" customWidth="true" hidden="false" outlineLevel="0" max="51" min="51" style="0" width="14.43"/>
    <col collapsed="false" customWidth="true" hidden="false" outlineLevel="0" max="52" min="52" style="0" width="16.6"/>
    <col collapsed="false" customWidth="true" hidden="false" outlineLevel="0" max="53" min="53" style="0" width="9.24"/>
    <col collapsed="false" customWidth="true" hidden="false" outlineLevel="0" max="54" min="54" style="0" width="12.42"/>
    <col collapsed="false" customWidth="true" hidden="false" outlineLevel="0" max="55" min="55" style="0" width="11.12"/>
    <col collapsed="false" customWidth="true" hidden="false" outlineLevel="0" max="56" min="56" style="0" width="13.57"/>
    <col collapsed="false" customWidth="true" hidden="false" outlineLevel="0" max="57" min="57" style="0" width="18.34"/>
    <col collapsed="false" customWidth="true" hidden="false" outlineLevel="0" max="58" min="58" style="0" width="14.3"/>
    <col collapsed="false" customWidth="true" hidden="false" outlineLevel="0" max="59" min="59" style="0" width="11.27"/>
    <col collapsed="false" customWidth="true" hidden="false" outlineLevel="0" max="60" min="60" style="0" width="9.1"/>
    <col collapsed="false" customWidth="true" hidden="false" outlineLevel="0" max="61" min="61" style="0" width="14.88"/>
    <col collapsed="false" customWidth="true" hidden="false" outlineLevel="0" max="62" min="62" style="0" width="14.16"/>
    <col collapsed="false" customWidth="true" hidden="false" outlineLevel="0" max="63" min="63" style="0" width="16.17"/>
    <col collapsed="false" customWidth="true" hidden="false" outlineLevel="0" max="64" min="64" style="0" width="15.88"/>
    <col collapsed="false" customWidth="true" hidden="false" outlineLevel="0" max="65" min="65" style="0" width="12.29"/>
    <col collapsed="false" customWidth="true" hidden="false" outlineLevel="0" max="66" min="66" style="0" width="9.82"/>
    <col collapsed="false" customWidth="true" hidden="false" outlineLevel="0" max="67" min="67" style="0" width="10.98"/>
    <col collapsed="false" customWidth="true" hidden="false" outlineLevel="0" max="68" min="68" style="0" width="13.87"/>
    <col collapsed="false" customWidth="true" hidden="false" outlineLevel="0" max="69" min="69" style="0" width="14.43"/>
    <col collapsed="false" customWidth="true" hidden="false" outlineLevel="0" max="70" min="70" style="0" width="17.47"/>
    <col collapsed="false" customWidth="true" hidden="false" outlineLevel="0" max="71" min="71" style="0" width="14.59"/>
    <col collapsed="false" customWidth="true" hidden="false" outlineLevel="0" max="72" min="72" style="0" width="12.98"/>
    <col collapsed="false" customWidth="true" hidden="false" outlineLevel="0" max="73" min="73" style="0" width="18.47"/>
    <col collapsed="false" customWidth="true" hidden="false" outlineLevel="0" max="74" min="74" style="0" width="12.42"/>
    <col collapsed="false" customWidth="true" hidden="false" outlineLevel="0" max="75" min="75" style="0" width="10.69"/>
    <col collapsed="false" customWidth="true" hidden="false" outlineLevel="0" max="76" min="76" style="0" width="13.43"/>
    <col collapsed="false" customWidth="true" hidden="false" outlineLevel="0" max="77" min="77" style="0" width="10.84"/>
    <col collapsed="false" customWidth="true" hidden="false" outlineLevel="0" max="78" min="78" style="0" width="11.84"/>
    <col collapsed="false" customWidth="true" hidden="false" outlineLevel="0" max="79" min="79" style="0" width="17.33"/>
    <col collapsed="false" customWidth="true" hidden="false" outlineLevel="0" max="80" min="80" style="0" width="15.88"/>
    <col collapsed="false" customWidth="true" hidden="false" outlineLevel="0" max="81" min="81" style="0" width="13.43"/>
    <col collapsed="false" customWidth="true" hidden="false" outlineLevel="0" max="82" min="82" style="0" width="12.29"/>
    <col collapsed="false" customWidth="true" hidden="false" outlineLevel="0" max="83" min="83" style="0" width="18.92"/>
    <col collapsed="false" customWidth="true" hidden="false" outlineLevel="0" max="84" min="84" style="0" width="15.74"/>
    <col collapsed="false" customWidth="true" hidden="false" outlineLevel="0" max="85" min="85" style="0" width="17.78"/>
    <col collapsed="false" customWidth="true" hidden="false" outlineLevel="0" max="86" min="86" style="0" width="14.43"/>
    <col collapsed="false" customWidth="true" hidden="false" outlineLevel="0" max="87" min="87" style="0" width="10.84"/>
    <col collapsed="false" customWidth="true" hidden="false" outlineLevel="0" max="89" min="88" style="0" width="13.43"/>
    <col collapsed="false" customWidth="true" hidden="false" outlineLevel="0" max="90" min="90" style="0" width="10.84"/>
    <col collapsed="false" customWidth="true" hidden="false" outlineLevel="0" max="91" min="91" style="0" width="9.82"/>
    <col collapsed="false" customWidth="true" hidden="false" outlineLevel="0" max="94" min="92" style="0" width="15.45"/>
    <col collapsed="false" customWidth="true" hidden="false" outlineLevel="0" max="95" min="95" style="0" width="11.84"/>
    <col collapsed="false" customWidth="true" hidden="false" outlineLevel="0" max="96" min="96" style="0" width="12.98"/>
    <col collapsed="false" customWidth="true" hidden="false" outlineLevel="0" max="97" min="97" style="0" width="14.88"/>
    <col collapsed="false" customWidth="true" hidden="false" outlineLevel="0" max="98" min="98" style="0" width="14.43"/>
    <col collapsed="false" customWidth="true" hidden="false" outlineLevel="0" max="99" min="99" style="0" width="15.61"/>
    <col collapsed="false" customWidth="true" hidden="false" outlineLevel="0" max="100" min="100" style="0" width="12.56"/>
    <col collapsed="false" customWidth="true" hidden="false" outlineLevel="0" max="101" min="101" style="0" width="18.34"/>
    <col collapsed="false" customWidth="true" hidden="false" outlineLevel="0" max="102" min="102" style="0" width="15.74"/>
    <col collapsed="false" customWidth="true" hidden="false" outlineLevel="0" max="103" min="103" style="0" width="18.2"/>
    <col collapsed="false" customWidth="true" hidden="false" outlineLevel="0" max="104" min="104" style="0" width="16.33"/>
    <col collapsed="false" customWidth="true" hidden="false" outlineLevel="0" max="105" min="105" style="0" width="14.88"/>
    <col collapsed="false" customWidth="true" hidden="false" outlineLevel="0" max="106" min="106" style="0" width="10.98"/>
    <col collapsed="false" customWidth="true" hidden="false" outlineLevel="0" max="107" min="107" style="0" width="12.13"/>
    <col collapsed="false" customWidth="true" hidden="false" outlineLevel="0" max="108" min="108" style="0" width="15.31"/>
    <col collapsed="false" customWidth="true" hidden="false" outlineLevel="0" max="109" min="109" style="0" width="12.98"/>
    <col collapsed="false" customWidth="false" hidden="false" outlineLevel="0" max="110" min="110" style="0" width="11.52"/>
    <col collapsed="false" customWidth="true" hidden="false" outlineLevel="0" max="111" min="111" style="0" width="15.45"/>
    <col collapsed="false" customWidth="true" hidden="false" outlineLevel="0" max="112" min="112" style="0" width="13.43"/>
    <col collapsed="false" customWidth="true" hidden="false" outlineLevel="0" max="113" min="113" style="0" width="15.31"/>
    <col collapsed="false" customWidth="false" hidden="false" outlineLevel="0" max="114" min="114" style="0" width="11.52"/>
    <col collapsed="false" customWidth="true" hidden="false" outlineLevel="0" max="115" min="115" style="0" width="17.33"/>
    <col collapsed="false" customWidth="false" hidden="false" outlineLevel="0" max="117" min="116" style="0" width="11.52"/>
    <col collapsed="false" customWidth="true" hidden="false" outlineLevel="0" max="118" min="118" style="0" width="6.21"/>
    <col collapsed="false" customWidth="true" hidden="false" outlineLevel="0" max="120" min="119" style="0" width="8.22"/>
    <col collapsed="false" customWidth="false" hidden="false" outlineLevel="0" max="1025" min="12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n">
        <v>1</v>
      </c>
      <c r="T1" s="1" t="s">
        <v>17</v>
      </c>
      <c r="U1" s="1" t="s">
        <v>17</v>
      </c>
      <c r="V1" s="1" t="n">
        <v>2</v>
      </c>
      <c r="W1" s="1" t="s">
        <v>17</v>
      </c>
      <c r="X1" s="1" t="s">
        <v>17</v>
      </c>
      <c r="Y1" s="1" t="n">
        <v>3</v>
      </c>
      <c r="Z1" s="1" t="n">
        <v>4</v>
      </c>
      <c r="AA1" s="1" t="n">
        <v>5</v>
      </c>
      <c r="AB1" s="1" t="n">
        <v>6</v>
      </c>
      <c r="AC1" s="1" t="n">
        <v>7</v>
      </c>
      <c r="AD1" s="1" t="n">
        <v>8</v>
      </c>
      <c r="AE1" s="1" t="n">
        <v>9</v>
      </c>
      <c r="AF1" s="1" t="n">
        <v>10</v>
      </c>
      <c r="AG1" s="1" t="n">
        <v>11</v>
      </c>
      <c r="AH1" s="1" t="n">
        <v>12</v>
      </c>
      <c r="AI1" s="1" t="n">
        <v>13</v>
      </c>
      <c r="AJ1" s="1" t="n">
        <v>14</v>
      </c>
      <c r="AK1" s="1" t="n">
        <v>15</v>
      </c>
      <c r="AL1" s="1" t="n">
        <v>16</v>
      </c>
      <c r="AM1" s="1" t="n">
        <v>17</v>
      </c>
      <c r="AN1" s="1" t="n">
        <v>18</v>
      </c>
      <c r="AO1" s="1" t="n">
        <v>19</v>
      </c>
      <c r="AP1" s="1" t="n">
        <v>20</v>
      </c>
      <c r="AQ1" s="1" t="n">
        <v>21</v>
      </c>
      <c r="AR1" s="1" t="n">
        <v>22</v>
      </c>
      <c r="AS1" s="1" t="n">
        <v>23</v>
      </c>
      <c r="AT1" s="1" t="n">
        <v>24</v>
      </c>
      <c r="AU1" s="1" t="n">
        <v>25</v>
      </c>
      <c r="AV1" s="1" t="n">
        <v>26</v>
      </c>
      <c r="AW1" s="1" t="n">
        <v>27</v>
      </c>
      <c r="AX1" s="1" t="n">
        <v>28</v>
      </c>
      <c r="AY1" s="1" t="n">
        <v>29</v>
      </c>
      <c r="AZ1" s="1" t="n">
        <v>30</v>
      </c>
      <c r="BA1" s="1" t="n">
        <v>31</v>
      </c>
      <c r="BB1" s="1" t="n">
        <v>32</v>
      </c>
      <c r="BC1" s="1" t="n">
        <v>33</v>
      </c>
      <c r="BD1" s="1" t="n">
        <v>34</v>
      </c>
      <c r="BE1" s="1" t="n">
        <v>35</v>
      </c>
      <c r="BF1" s="1" t="n">
        <v>36</v>
      </c>
      <c r="BG1" s="1" t="n">
        <v>37</v>
      </c>
      <c r="BH1" s="1" t="n">
        <v>38</v>
      </c>
      <c r="BI1" s="1" t="n">
        <v>39</v>
      </c>
      <c r="BJ1" s="1" t="n">
        <v>40</v>
      </c>
      <c r="BK1" s="1" t="n">
        <v>41</v>
      </c>
      <c r="BL1" s="1" t="n">
        <v>42</v>
      </c>
      <c r="BM1" s="1" t="n">
        <v>43</v>
      </c>
      <c r="BN1" s="1" t="n">
        <v>44</v>
      </c>
      <c r="BO1" s="1" t="n">
        <v>45</v>
      </c>
      <c r="BP1" s="1" t="n">
        <v>46</v>
      </c>
      <c r="BQ1" s="1" t="n">
        <v>47</v>
      </c>
      <c r="BR1" s="1" t="n">
        <v>48</v>
      </c>
      <c r="BS1" s="1" t="n">
        <v>49</v>
      </c>
      <c r="BT1" s="1" t="n">
        <v>50</v>
      </c>
      <c r="BU1" s="1" t="n">
        <v>51</v>
      </c>
      <c r="BV1" s="1" t="n">
        <v>52</v>
      </c>
      <c r="BW1" s="1" t="n">
        <v>53</v>
      </c>
      <c r="BX1" s="1" t="n">
        <v>54</v>
      </c>
      <c r="BY1" s="1" t="n">
        <v>55</v>
      </c>
      <c r="BZ1" s="1" t="n">
        <v>56</v>
      </c>
      <c r="CA1" s="1" t="n">
        <v>57</v>
      </c>
      <c r="CB1" s="1" t="n">
        <v>58</v>
      </c>
      <c r="CC1" s="1" t="n">
        <v>59</v>
      </c>
      <c r="CD1" s="1" t="n">
        <v>60</v>
      </c>
      <c r="CE1" s="1" t="n">
        <v>61</v>
      </c>
      <c r="CF1" s="1" t="n">
        <v>62</v>
      </c>
      <c r="CG1" s="1" t="n">
        <v>63</v>
      </c>
      <c r="CH1" s="1" t="n">
        <v>64</v>
      </c>
      <c r="CI1" s="1" t="n">
        <v>65</v>
      </c>
      <c r="CJ1" s="1" t="n">
        <v>66</v>
      </c>
      <c r="CK1" s="1" t="n">
        <v>67</v>
      </c>
      <c r="CL1" s="1" t="n">
        <v>68</v>
      </c>
      <c r="CM1" s="1" t="n">
        <v>69</v>
      </c>
      <c r="CN1" s="1" t="n">
        <v>70</v>
      </c>
      <c r="CO1" s="1" t="n">
        <v>71</v>
      </c>
      <c r="CP1" s="1" t="n">
        <v>72</v>
      </c>
      <c r="CQ1" s="1" t="n">
        <v>73</v>
      </c>
      <c r="CR1" s="1" t="n">
        <v>74</v>
      </c>
      <c r="CS1" s="1" t="n">
        <v>75</v>
      </c>
      <c r="CT1" s="1" t="n">
        <v>76</v>
      </c>
      <c r="CU1" s="1" t="n">
        <v>77</v>
      </c>
      <c r="CV1" s="1" t="n">
        <v>78</v>
      </c>
      <c r="CW1" s="1" t="n">
        <v>79</v>
      </c>
      <c r="CX1" s="1" t="n">
        <v>80</v>
      </c>
      <c r="CY1" s="1" t="n">
        <v>81</v>
      </c>
      <c r="CZ1" s="1" t="n">
        <v>82</v>
      </c>
      <c r="DA1" s="1" t="n">
        <v>83</v>
      </c>
      <c r="DB1" s="1" t="n">
        <v>84</v>
      </c>
      <c r="DC1" s="1" t="n">
        <v>85</v>
      </c>
      <c r="DD1" s="1" t="n">
        <v>86</v>
      </c>
      <c r="DE1" s="1" t="n">
        <v>87</v>
      </c>
      <c r="DG1" s="1" t="s">
        <v>18</v>
      </c>
      <c r="DH1" s="1" t="s">
        <v>19</v>
      </c>
      <c r="DI1" s="1" t="s">
        <v>20</v>
      </c>
      <c r="DK1" s="1" t="s">
        <v>21</v>
      </c>
    </row>
    <row r="2" s="1" customFormat="tru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2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3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 t="s">
        <v>125</v>
      </c>
      <c r="DA2" s="1" t="s">
        <v>126</v>
      </c>
      <c r="DB2" s="1" t="s">
        <v>127</v>
      </c>
      <c r="DC2" s="1" t="s">
        <v>128</v>
      </c>
      <c r="DD2" s="1" t="s">
        <v>129</v>
      </c>
      <c r="DE2" s="1" t="s">
        <v>130</v>
      </c>
    </row>
    <row r="3" s="4" customFormat="true" ht="12.8" hidden="false" customHeight="false" outlineLevel="0" collapsed="false">
      <c r="A3" s="0" t="s">
        <v>131</v>
      </c>
      <c r="B3" s="0" t="s">
        <v>132</v>
      </c>
      <c r="C3" s="0" t="n">
        <v>131</v>
      </c>
      <c r="D3" s="0" t="n">
        <f aca="false">IF(B3="Taiga",265,IF(B3="Mts",265,IF(B3="Temp",230,IF(B3="Steppe",265,IF(B3="Jungle",180,IF(B3="Sav",240,IF(B3="Medi",230,0)))))))</f>
        <v>265</v>
      </c>
      <c r="E3" s="0" t="n">
        <v>1</v>
      </c>
      <c r="F3" s="4" t="n">
        <f aca="false">IF(B3="Taiga",0.43,IF(B3="Mts",0.21,IF(B3="Temp",0.64,IF(B3="Steppe",0.57,IF(B3="Jungle",0.43,IF(B3="Sav",0.57,IF(B3="Medi",0.43,0)))))))</f>
        <v>0.43</v>
      </c>
      <c r="G3" s="4" t="n">
        <f aca="false">IF(B3="Taiga",0.43,IF(B3="Mts",0.8,IF(B3="Temp",0.64,IF(B3="Steppe",0.64,IF(B3="Jungle",0.43,IF(B3="Sav",0.8,IF(B3="Medi",0.6,0)))))))</f>
        <v>0.43</v>
      </c>
      <c r="H3" s="4" t="n">
        <f aca="false">$H$31*IF(B3="Taiga",528,IF(B3="Mts",855.27,IF(B3="Temp",565.94,IF(B3="Steppe",551.72,IF(B3="Jungle",575.43,IF(B3="Sav",599.15,IF(B3="Medi",564.36,0)))))))</f>
        <v>1584</v>
      </c>
      <c r="I3" s="4" t="n">
        <f aca="false">$H$31*IF(B3="Taiga",2608.19,IF(B3="Mts",2100,IF(B3="Temp",2976.19,IF(B3="Steppe",2450.48,IF(B3="Jungle",2135.05,IF(B3="Sav",2310.29,IF(B3="Medi",2485.52,0)))))))</f>
        <v>7824.57</v>
      </c>
      <c r="J3" s="4" t="n">
        <f aca="false">$H$31*IF(B3="Taiga",500.54,IF(B3="Mts",360,IF(B3="Temp",570.81,IF(B3="Steppe",441.95,IF(B3="Jungle",486.49,IF(B3="Sav",518.92,IF(B3="Medi",640,0)))))))</f>
        <v>1501.62</v>
      </c>
      <c r="K3" s="4" t="n">
        <f aca="false">$H$31*IF(B3="Taiga",2003.09,IF(B3="Mts",1612.8,IF(B3="Temp",2285.71,IF(B3="Steppe",1881.97,IF(B3="Jungle",1639.72,IF(B3="Sav",1774.3,IF(B3="Medi",1908.88,0)))))))</f>
        <v>6009.27</v>
      </c>
      <c r="L3" s="4" t="n">
        <f aca="false">$H$31*IF(B3="Taiga",260.82,IF(B3="Mts",210,IF(B3="Temp",297.62,IF(B3="Steppe",245.05,IF(B3="Jungle",213.5,IF(B3="Sav",231.03,IF(B3="Medi",248.55,0)))))))</f>
        <v>782.46</v>
      </c>
      <c r="M3" s="4" t="n">
        <f aca="false">$H$31*IF(B3="Taiga",250,IF(B3="Mts",640,IF(B3="Temp",295.2174,IF(B3="Steppe",278.2609,IF(B3="Jungle",306.5217,IF(B3="Sav",334.7826,IF(B3="Medi",293.3333,0)))))))</f>
        <v>750</v>
      </c>
      <c r="N3" s="4" t="n">
        <f aca="false">$H$31*IF(B3="Taiga",1491.9691,IF(B3="Mts",980,IF(B3="Temp",1747.9537,IF(B3="Steppe",1278.5174,IF(B3="Jungle",1440.7722,IF(B3="Sav",1558.9189,IF(B3="Medi",2000,0)))))))</f>
        <v>4475.9073</v>
      </c>
      <c r="O3" s="4" t="n">
        <f aca="false">$H$31*IF(B3="Taiga",68.5,IF(B3="Mts",25,IF(B3="Temp",100,IF(B3="Steppe",55,IF(B3="Jungle",28,IF(B3="Sav",43,IF(B3="Medi",58,0)))))))</f>
        <v>205.5</v>
      </c>
      <c r="P3" s="4" t="n">
        <f aca="false">$H$31*20*15/8000</f>
        <v>0.1125</v>
      </c>
      <c r="Q3" s="4" t="n">
        <f aca="false">$H$31*20*15/8000</f>
        <v>0.1125</v>
      </c>
      <c r="R3" s="1" t="s">
        <v>39</v>
      </c>
      <c r="S3" s="4" t="n">
        <f aca="false">C3*F3*G3*360*640*1393.66125/(2000*1000)</f>
        <v>3888.8206192944</v>
      </c>
      <c r="T3" s="4" t="n">
        <f aca="false">C3*F3*G3*J3*640*1393.66125*2/(1000*2000*3)</f>
        <v>10813.9459598979</v>
      </c>
      <c r="U3" s="4" t="n">
        <f aca="false">T3*J$28</f>
        <v>3604.64865329929</v>
      </c>
      <c r="V3" s="4" t="n">
        <f aca="false">T3-U3</f>
        <v>7209.29730659859</v>
      </c>
      <c r="W3" s="4" t="n">
        <f aca="false">C3*F3*G3*H3*640*1393.66125*2/(1000*2000*3)</f>
        <v>11407.2071499302</v>
      </c>
      <c r="X3" s="4" t="n">
        <f aca="false">W3*H$28</f>
        <v>3111.05649543552</v>
      </c>
      <c r="Y3" s="4" t="n">
        <f aca="false">W3-X3</f>
        <v>8296.15065449472</v>
      </c>
      <c r="Z3" s="4" t="n">
        <f aca="false">C3*F3*G3*M3*640*1393.66125/(1000*2000*3)</f>
        <v>2700.56987451</v>
      </c>
      <c r="AA3" s="4" t="n">
        <f aca="false">C3*F3*G3*N3*640*1393.66125/(2000*1000)</f>
        <v>48350.0016619176</v>
      </c>
      <c r="AB3" s="4" t="n">
        <f aca="false">C3*F3*G3*O3*640*1393.66125/(2000*1000)</f>
        <v>2219.86843684722</v>
      </c>
      <c r="AC3" s="4" t="n">
        <f aca="false">C3*P3*640*1393.66125/(2000*1000)</f>
        <v>6.572506455</v>
      </c>
      <c r="AD3" s="4" t="n">
        <f aca="false">C3*Q3*640*1393.66125/(2000*1000)</f>
        <v>6.572506455</v>
      </c>
      <c r="AE3" s="4" t="n">
        <f aca="false">($V3+$Z3)*2000*1000/(3*365)</f>
        <v>18100214.0294221</v>
      </c>
      <c r="AF3" s="4" t="n">
        <f aca="false">($V3+$Z3)*2000*1000/(18*100)</f>
        <v>11010963.5345651</v>
      </c>
      <c r="AG3" s="4" t="n">
        <f aca="false">($V3+$Z3)*2000*1000/(3*365)</f>
        <v>18100214.0294221</v>
      </c>
      <c r="AH3" s="4" t="n">
        <f aca="false">C3*F3*G3*K3*640*1393.66125/(2000*1000)</f>
        <v>64913.8141191868</v>
      </c>
      <c r="AI3" s="4" t="n">
        <f aca="false">3*12*D3*Populations!$S2/(5*1000)</f>
        <v>56350.872</v>
      </c>
      <c r="AJ3" s="4" t="n">
        <f aca="false">1.5*D3*750*Populations!$S2/(1000*2000*15)</f>
        <v>293.494125</v>
      </c>
      <c r="AK3" s="4" t="n">
        <f aca="false">66*10*D3*Populations!$S2/(1000*2000*6)</f>
        <v>430.45805</v>
      </c>
      <c r="AL3" s="4" t="n">
        <f aca="false">AE3*365/(2000*1000)</f>
        <v>3303.28906036953</v>
      </c>
      <c r="AM3" s="4" t="n">
        <f aca="false">AF3*25*238/(51*2000*1000)</f>
        <v>642.306206182964</v>
      </c>
      <c r="AN3" s="4" t="n">
        <f aca="false">AG3*100*238/(600*1000*2000)</f>
        <v>358.987578250205</v>
      </c>
      <c r="AO3" s="4" t="n">
        <f aca="false">AG3*120*2/(16*1000*2000)</f>
        <v>135.751605220666</v>
      </c>
      <c r="AP3" s="4" t="n">
        <f aca="false">D3*4800*Populations!$S2/($AP$28*10*1000*2000)</f>
        <v>1060.68776775</v>
      </c>
      <c r="AQ3" s="4" t="n">
        <f aca="false">D3*2*4800*Populations!$S2/($AQ$28*10*1000*2000)</f>
        <v>4079.5683375</v>
      </c>
      <c r="AR3" s="4" t="n">
        <f aca="false">C3*F3*G3*L3*640*1393.66125/(2000*1000)</f>
        <v>8452.35161603638</v>
      </c>
      <c r="AS3" s="4" t="n">
        <f aca="false">AF3*600*6/(90*1000*2000)</f>
        <v>220.219270691302</v>
      </c>
      <c r="AT3" s="4" t="n">
        <f aca="false">IF(B3="Taiga",236.2,IF(B3="Mts",10,IF(B3="Temp",400,IF(B3="Steppe",25,IF(B3="Jungle",400,IF(B3="Sav",103.6,IF(B3="Medi",181.6,0)))))))*D3*AT$36*Populations!$R2/1000</f>
        <v>47772.014863818</v>
      </c>
      <c r="AU3" s="4" t="n">
        <f aca="false">INDEX(Tech!$F$3:$F$13,MATCH(E3,Tech!$E$3:$E$13,1))*D3*AT$36*Populations!$S2/(365*1000)</f>
        <v>1467.470625</v>
      </c>
      <c r="AV3" s="4" t="n">
        <f aca="false">D3*12.5*AT$36*Populations!$S2/(10*30)</f>
        <v>611.44609375</v>
      </c>
      <c r="AW3" s="4" t="n">
        <f aca="false">0.125*D3*AW$30*Populations!$R2/1000</f>
        <v>52.1431946743356</v>
      </c>
      <c r="AX3" s="4" t="n">
        <f aca="false">D3*AW$30*Populations!$S2/(3*1000)</f>
        <v>10.088860546875</v>
      </c>
      <c r="AY3" s="4" t="n">
        <f aca="false">D3*Populations!$S2/(2*1000*AY$30)/1000</f>
        <v>7.04385899999999</v>
      </c>
      <c r="AZ3" s="4" t="n">
        <f aca="false">D3*AZ$30*Populations!$S2/(2*1000)</f>
        <v>4.89156875</v>
      </c>
      <c r="BA3" s="4" t="n">
        <f aca="false">D3*2*BA$30*Populations!$S2/1000</f>
        <v>23.47953</v>
      </c>
      <c r="BB3" s="4" t="n">
        <f aca="false">D3*3*BB$30*Populations!$S2/1000</f>
        <v>17.6096475</v>
      </c>
      <c r="BC3" s="4" t="n">
        <f aca="false">D3*11*BC$30*Populations!$S2/(15*1000)</f>
        <v>3.4436644</v>
      </c>
      <c r="BD3" s="4" t="n">
        <f aca="false">D3*11*BD$30*Populations!$S2/(8*1000)</f>
        <v>8.0710884375</v>
      </c>
      <c r="BE3" s="4" t="n">
        <f aca="false">D3*11*BE$30*Populations!$S2/(3*1000)</f>
        <v>5.22699060714285</v>
      </c>
      <c r="BF3" s="4" t="n">
        <f aca="false">D3*11*BF$30*Populations!$S2/(5*1000)</f>
        <v>3.7665079375</v>
      </c>
      <c r="BG3" s="4" t="n">
        <f aca="false">D3*11*BG$30*Populations!$S2/(9*1000)</f>
        <v>9.56573444444445</v>
      </c>
      <c r="BH3" s="4" t="n">
        <f aca="false">D3*11*BH$30*Populations!$S2/(12*1000)</f>
        <v>5.380725625</v>
      </c>
      <c r="BI3" s="4" t="n">
        <f aca="false">D3*BI$30*Populations!$S2/(1000*125/12)</f>
        <v>15.0268992</v>
      </c>
      <c r="BJ3" s="4" t="n">
        <f aca="false">D3*BJ$30*Populations!$S2/(30*1000)</f>
        <v>6.82993439333333</v>
      </c>
      <c r="BK3" s="4" t="n">
        <f aca="false">D3*BK$30*Populations!$S2/(7*1000)</f>
        <v>0.943373973214286</v>
      </c>
      <c r="BL3" s="4" t="n">
        <f aca="false">D3*BL$30*Populations!$S2/(8.5*1000)</f>
        <v>1.55379242647059</v>
      </c>
      <c r="BM3" s="4" t="n">
        <f aca="false">D3*BM$30*Populations!$S2/1000</f>
        <v>3.30180890625</v>
      </c>
      <c r="BN3" s="4" t="n">
        <f aca="false">D3*BN$30*Populations!$S2/(1.5*1000)</f>
        <v>7.82651</v>
      </c>
      <c r="BO3" s="4" t="n">
        <f aca="false">D3*BO$30*Populations!$S2/(2*1000)</f>
        <v>6.359039375</v>
      </c>
      <c r="BP3" s="4" t="n">
        <f aca="false">D3*BP$30*Populations!$S2/(4*1000)</f>
        <v>1.467470625</v>
      </c>
      <c r="BQ3" s="4" t="n">
        <f aca="false">D3*Populations!$R2*10/(3*1000*2000)</f>
        <v>179.779903523635</v>
      </c>
      <c r="BR3" s="4" t="n">
        <f aca="false">D3*2*Populations!$R2/(30*1000*2000)</f>
        <v>3.5955980704727</v>
      </c>
      <c r="BS3" s="4" t="n">
        <f aca="false">D3*2*Populations!$S2/((37.5/12)*1000*2000)</f>
        <v>2.5044832</v>
      </c>
      <c r="BT3" s="4" t="n">
        <f aca="false">D3*2*Populations!$S2/((20/9)*1000*2000)</f>
        <v>3.5219295</v>
      </c>
      <c r="BU3" s="4" t="n">
        <f aca="false">AF3*25*4/(51*$BU$32)</f>
        <v>5.39753114439466</v>
      </c>
      <c r="BV3" s="4" t="n">
        <f aca="false">D3*Populations!$S2*12/($BV$30*3)</f>
        <v>24.6535065</v>
      </c>
      <c r="BW3" s="4" t="n">
        <f aca="false">D3*Populations!$S2*12/(2*$BW$30)</f>
        <v>21.131577</v>
      </c>
      <c r="BX3" s="4" t="n">
        <f aca="false">D3*Populations!$S2*12/(5*$BX$30)</f>
        <v>10.5657885</v>
      </c>
      <c r="BY3" s="4" t="n">
        <f aca="false">D3*Populations!$S2/(2*$BY$30)</f>
        <v>6.163376625</v>
      </c>
      <c r="BZ3" s="4" t="n">
        <f aca="false">D3*Populations!$R2*500/(1000*2000)</f>
        <v>26966.9855285453</v>
      </c>
      <c r="CA3" s="4" t="n">
        <f aca="false">D3*Populations!R2*15/(1000*2000)</f>
        <v>809.009565856359</v>
      </c>
      <c r="CB3" s="4" t="n">
        <f aca="false">IF(B3="Mts",1,D3*Populations!R2*30/(1000*2000))</f>
        <v>1618.01913171272</v>
      </c>
      <c r="CC3" s="4" t="n">
        <f aca="false">D3*40*Populations!R2/(1000*2000)</f>
        <v>2157.35884228362</v>
      </c>
      <c r="CD3" s="4" t="n">
        <f aca="false">D3*40*Populations!R2/(1000*2000)</f>
        <v>2157.35884228362</v>
      </c>
      <c r="CE3" s="4" t="n">
        <f aca="false">D3*20*Populations!R2/(1000*2000)</f>
        <v>1078.67942114181</v>
      </c>
      <c r="CF3" s="4" t="n">
        <f aca="false">D3*8.3454*32*Populations!$S2/(1000*2000)</f>
        <v>1045.045704864</v>
      </c>
      <c r="CG3" s="4" t="n">
        <f aca="false">D3*50*2*Populations!$S2/(3*1000*2000)</f>
        <v>130.441833333333</v>
      </c>
      <c r="CH3" s="4" t="n">
        <f aca="false">IF(B3="Mts",20*D3*Populations!$R2/1000,0.001)</f>
        <v>0.001</v>
      </c>
      <c r="CI3" s="4" t="n">
        <f aca="false">IF(NOT(CH3=0.001),0.006*CH3/3,0.001)</f>
        <v>0.001</v>
      </c>
      <c r="CJ3" s="4" t="n">
        <f aca="false">IF(NOT(CH3=0.001),0.7*CH3/3,0.001)</f>
        <v>0.001</v>
      </c>
      <c r="CK3" s="4" t="n">
        <f aca="false">IF(NOT(CH3=0.001),0.65*CH3/3,0.001)</f>
        <v>0.001</v>
      </c>
      <c r="CL3" s="4" t="n">
        <f aca="false">IF(NOT(CH3=0.001),0.002*CH3/3,0.001)</f>
        <v>0.001</v>
      </c>
      <c r="CM3" s="4" t="n">
        <f aca="false">IF(NOT(CH3=0.001),0.001*CH3/3,0.001)</f>
        <v>0.001</v>
      </c>
      <c r="CN3" s="4" t="n">
        <f aca="false">D3*3*110/(24*2000)*Populations!$S2</f>
        <v>53807.25625</v>
      </c>
      <c r="CO3" s="4" t="n">
        <f aca="false">D3*3*12/(24*2000)*Populations!$S2</f>
        <v>5869.8825</v>
      </c>
      <c r="CP3" s="4" t="n">
        <f aca="false">D3*3*1.4/(24*2000)*Populations!$S2</f>
        <v>684.819625</v>
      </c>
      <c r="CQ3" s="4" t="n">
        <f aca="false">D3*6400*8.3454*Populations!$S2/(10*1000*2000)</f>
        <v>20900.91409728</v>
      </c>
      <c r="CR3" s="4" t="n">
        <f aca="false">D3*2*Populations!$S2/(1000*2000)</f>
        <v>7.82651</v>
      </c>
      <c r="CS3" s="4" t="n">
        <f aca="false">D3*2*30*Populations!$S2/(1000*2000)</f>
        <v>234.7953</v>
      </c>
      <c r="CT3" s="4" t="n">
        <f aca="false">27*Populations!$R2/(4*1000*2000)</f>
        <v>1.37378982881268</v>
      </c>
      <c r="CU3" s="4" t="n">
        <f aca="false">27*Populations!$R2/(16*1000*2000)</f>
        <v>0.343447457203171</v>
      </c>
      <c r="CV3" s="4" t="n">
        <f aca="false">AP3*0.9</f>
        <v>954.618990975002</v>
      </c>
      <c r="CW3" s="4" t="n">
        <f aca="false">2.5*D3*Populations!$R2/(60*2000)</f>
        <v>2247.24879404544</v>
      </c>
      <c r="CX3" s="4" t="n">
        <f aca="false">D3*125*Populations!R2/(6*1000*2000)</f>
        <v>1123.62439702272</v>
      </c>
      <c r="CY3" s="4" t="n">
        <f aca="false">D3*1.875*2*Populations!R2/(6*1000*2000)</f>
        <v>33.7087319106816</v>
      </c>
      <c r="CZ3" s="4" t="n">
        <f aca="false">D3*2*20*Populations!$R2/(1000*2000)</f>
        <v>2157.35884228362</v>
      </c>
      <c r="DA3" s="4" t="n">
        <f aca="false">IF(NOT(CH3=0.001),CH3*0.00001,0.001)</f>
        <v>0.001</v>
      </c>
      <c r="DB3" s="4" t="n">
        <f aca="false">IF(NOT(CH3=0.001),CH3*0.00001,0.001)</f>
        <v>0.001</v>
      </c>
      <c r="DC3" s="4" t="n">
        <f aca="false">D3*0.02*12*Populations!$S2/(3*1000*2000)</f>
        <v>0.3130604</v>
      </c>
      <c r="DD3" s="4" t="n">
        <f aca="false">D3*0.5*12*Populations!$S2/(5*1000*2000)</f>
        <v>4.695906</v>
      </c>
      <c r="DE3" s="4" t="n">
        <f aca="false">D3*6*25*Populations!$S2/(1000*2000)</f>
        <v>586.98825</v>
      </c>
      <c r="DG3" s="4" t="n">
        <f aca="false">PRODUCT(AC3:AD3)</f>
        <v>43.1978411010167</v>
      </c>
      <c r="DH3" s="4" t="n">
        <f aca="false">LOG(PRODUCT(S3,V3,Y3:AB3,AE3:AH3,AL3:AO3,AR3:AT3,AW3,BQ3:BU3,BZ3,CH3:CM3,CT3:CU3,CW3:DB3),2)</f>
        <v>228.335285500613</v>
      </c>
      <c r="DI3" s="4" t="n">
        <f aca="false">LOG(PRODUCT($AI3:$AK3,$AP3:$AQ3,$AU3:$AV3,AX3:BP3,BV3:BY3,CA3:CG3,CN3:CS3,CV3,DC3:DE3),2)</f>
        <v>288.76352249823</v>
      </c>
      <c r="DK3" s="4" t="n">
        <f aca="false">SUM(DG3:DI3)</f>
        <v>560.29664909986</v>
      </c>
      <c r="DL3" s="0"/>
      <c r="DM3" s="0"/>
      <c r="DN3" s="4" t="n">
        <f aca="false">LOG(PRODUCT(AC3:AD3),2)</f>
        <v>5.43288730749171</v>
      </c>
      <c r="DO3" s="4" t="n">
        <f aca="false">LOG(PRODUCT(S3,V3,Y3:AB3,AE3:AH3,AL3:AO3,AR3:AS3),2)</f>
        <v>220.850557827926</v>
      </c>
      <c r="DP3" s="4" t="n">
        <f aca="false">LOG(PRODUCT($AI3:$AK3,$AP3:$AQ3,$AT3:$AZ3),2)+LOG(PRODUCT($BA3:$BZ3),2)+LOG(PRODUCT($CA3:$DE3),2)</f>
        <v>296.248250170917</v>
      </c>
    </row>
    <row r="4" s="4" customFormat="true" ht="12.8" hidden="false" customHeight="false" outlineLevel="0" collapsed="false">
      <c r="A4" s="0" t="s">
        <v>133</v>
      </c>
      <c r="B4" s="0" t="s">
        <v>134</v>
      </c>
      <c r="C4" s="0" t="n">
        <v>211</v>
      </c>
      <c r="D4" s="0" t="n">
        <f aca="false">IF(B4="Taiga",265,IF(B4="Mts",265,IF(B4="Temp",230,IF(B4="Steppe",265,IF(B4="Jungle",180,IF(B4="Sav",240,IF(B4="Medi",230,0)))))))</f>
        <v>265</v>
      </c>
      <c r="E4" s="0" t="n">
        <v>1</v>
      </c>
      <c r="F4" s="4" t="n">
        <f aca="false">IF(B4="Taiga",0.43,IF(B4="Mts",0.21,IF(B4="Temp",0.64,IF(B4="Steppe",0.57,IF(B4="Jungle",0.43,IF(B4="Sav",0.57,IF(B4="Medi",0.43,0)))))))</f>
        <v>0.21</v>
      </c>
      <c r="G4" s="4" t="n">
        <f aca="false">IF(B4="Taiga",0.43,IF(B4="Mts",0.8,IF(B4="Temp",0.64,IF(B4="Steppe",0.64,IF(B4="Jungle",0.43,IF(B4="Sav",0.8,IF(B4="Medi",0.6,0)))))))</f>
        <v>0.8</v>
      </c>
      <c r="H4" s="4" t="n">
        <f aca="false">$H$31*IF(B4="Taiga",528,IF(B4="Mts",855.27,IF(B4="Temp",565.94,IF(B4="Steppe",551.72,IF(B4="Jungle",575.43,IF(B4="Sav",599.15,IF(B4="Medi",564.36,0)))))))</f>
        <v>2565.81</v>
      </c>
      <c r="I4" s="4" t="n">
        <f aca="false">$H$31*IF(B4="Taiga",2608.19,IF(B4="Mts",2100,IF(B4="Temp",2976.19,IF(B4="Steppe",2450.48,IF(B4="Jungle",2135.05,IF(B4="Sav",2310.29,IF(B4="Medi",2485.52,0)))))))</f>
        <v>6300</v>
      </c>
      <c r="J4" s="4" t="n">
        <f aca="false">$H$31*IF(B4="Taiga",500.54,IF(B4="Mts",360,IF(B4="Temp",570.81,IF(B4="Steppe",441.95,IF(B4="Jungle",486.49,IF(B4="Sav",518.92,IF(B4="Medi",640,0)))))))</f>
        <v>1080</v>
      </c>
      <c r="K4" s="4" t="n">
        <f aca="false">$H$31*IF(B4="Taiga",2003.09,IF(B4="Mts",1612.8,IF(B4="Temp",2285.71,IF(B4="Steppe",1881.97,IF(B4="Jungle",1639.72,IF(B4="Sav",1774.3,IF(B4="Medi",1908.88,0)))))))</f>
        <v>4838.4</v>
      </c>
      <c r="L4" s="4" t="n">
        <f aca="false">$H$31*IF(B4="Taiga",260.82,IF(B4="Mts",210,IF(B4="Temp",297.62,IF(B4="Steppe",245.05,IF(B4="Jungle",213.5,IF(B4="Sav",231.03,IF(B4="Medi",248.55,0)))))))</f>
        <v>630</v>
      </c>
      <c r="M4" s="4" t="n">
        <f aca="false">$H$31*IF(B4="Taiga",250,IF(B4="Mts",640,IF(B4="Temp",295.2174,IF(B4="Steppe",278.2609,IF(B4="Jungle",306.5217,IF(B4="Sav",334.7826,IF(B4="Medi",293.3333,0)))))))</f>
        <v>1920</v>
      </c>
      <c r="N4" s="4" t="n">
        <f aca="false">$H$31*IF(B4="Taiga",1491.9691,IF(B4="Mts",980,IF(B4="Temp",1747.9537,IF(B4="Steppe",1278.5174,IF(B4="Jungle",1440.7722,IF(B4="Sav",1558.9189,IF(B4="Medi",2000,0)))))))</f>
        <v>2940</v>
      </c>
      <c r="O4" s="4" t="n">
        <f aca="false">$H$31*IF(B4="Taiga",68.5,IF(B4="Mts",25,IF(B4="Temp",100,IF(B4="Steppe",55,IF(B4="Jungle",28,IF(B4="Sav",43,IF(B4="Medi",58,0)))))))</f>
        <v>75</v>
      </c>
      <c r="P4" s="4" t="n">
        <f aca="false">$H$31*20*15/8000</f>
        <v>0.1125</v>
      </c>
      <c r="Q4" s="4" t="n">
        <f aca="false">$H$31*20*15/8000</f>
        <v>0.1125</v>
      </c>
      <c r="R4" s="1" t="s">
        <v>39</v>
      </c>
      <c r="S4" s="4" t="n">
        <f aca="false">C4*F4*G4*360*640*1393.66125/(2000*1000)</f>
        <v>5691.168459648</v>
      </c>
      <c r="T4" s="4" t="n">
        <f aca="false">C4*F4*G4*J4*640*1393.66125*2/(1000*2000*3)</f>
        <v>11382.336919296</v>
      </c>
      <c r="U4" s="4" t="n">
        <f aca="false">T4*J$28</f>
        <v>3794.112306432</v>
      </c>
      <c r="V4" s="4" t="n">
        <f aca="false">T4-U4</f>
        <v>7588.224612864</v>
      </c>
      <c r="W4" s="4" t="n">
        <f aca="false">C4*F4*G4*H4*640*1393.66125*2/(1000*2000*3)</f>
        <v>27041.5869360175</v>
      </c>
      <c r="X4" s="4" t="n">
        <f aca="false">W4*H$28</f>
        <v>7374.9782552775</v>
      </c>
      <c r="Y4" s="4" t="n">
        <f aca="false">W4-X4</f>
        <v>19666.60868074</v>
      </c>
      <c r="Z4" s="4" t="n">
        <f aca="false">C4*F4*G4*M4*640*1393.66125/(1000*2000*3)</f>
        <v>10117.632817152</v>
      </c>
      <c r="AA4" s="4" t="n">
        <f aca="false">C4*F4*G4*N4*640*1393.66125/(2000*1000)</f>
        <v>46477.875753792</v>
      </c>
      <c r="AB4" s="4" t="n">
        <f aca="false">C4*F4*G4*O4*640*1393.66125/(2000*1000)</f>
        <v>1185.66009576</v>
      </c>
      <c r="AC4" s="4" t="n">
        <f aca="false">C4*P4*640*1393.66125/(2000*1000)</f>
        <v>10.586250855</v>
      </c>
      <c r="AD4" s="4" t="n">
        <f aca="false">C4*Q4*640*1393.66125/(2000*1000)</f>
        <v>10.586250855</v>
      </c>
      <c r="AE4" s="4" t="n">
        <f aca="false">($V4+$Z4)*2000*1000/(3*365)</f>
        <v>32339465.6256</v>
      </c>
      <c r="AF4" s="4" t="n">
        <f aca="false">($V4+$Z4)*2000*1000/(18*100)</f>
        <v>19673174.92224</v>
      </c>
      <c r="AG4" s="4" t="n">
        <f aca="false">($V4+$Z4)*2000*1000/(3*365)</f>
        <v>32339465.6256</v>
      </c>
      <c r="AH4" s="4" t="n">
        <f aca="false">C4*F4*G4*K4*640*1393.66125/(2000*1000)</f>
        <v>76489.3040976691</v>
      </c>
      <c r="AI4" s="4" t="n">
        <f aca="false">3*12*D4*Populations!$S3/(5*1000)</f>
        <v>91429.452</v>
      </c>
      <c r="AJ4" s="4" t="n">
        <f aca="false">1.5*D4*750*Populations!$S3/(1000*2000*15)</f>
        <v>476.1950625</v>
      </c>
      <c r="AK4" s="4" t="n">
        <f aca="false">66*10*D4*Populations!$S3/(1000*2000*6)</f>
        <v>698.419425</v>
      </c>
      <c r="AL4" s="4" t="n">
        <f aca="false">AE4*365/(2000*1000)</f>
        <v>5901.952476672</v>
      </c>
      <c r="AM4" s="4" t="n">
        <f aca="false">AF4*25*238/(51*2000*1000)</f>
        <v>1147.601870464</v>
      </c>
      <c r="AN4" s="4" t="n">
        <f aca="false">AG4*100*238/(600*1000*2000)</f>
        <v>641.3994015744</v>
      </c>
      <c r="AO4" s="4" t="n">
        <f aca="false">AG4*120*2/(16*1000*2000)</f>
        <v>242.545992192</v>
      </c>
      <c r="AP4" s="4" t="n">
        <f aca="false">D4*4800*Populations!$S3/($AP$28*10*1000*2000)</f>
        <v>1720.968955875</v>
      </c>
      <c r="AQ4" s="4" t="n">
        <f aca="false">D4*2*4800*Populations!$S3/($AQ$28*10*1000*2000)</f>
        <v>6619.11136875</v>
      </c>
      <c r="AR4" s="4" t="n">
        <f aca="false">C4*F4*G4*L4*640*1393.66125/(2000*1000)</f>
        <v>9959.544804384</v>
      </c>
      <c r="AS4" s="4" t="n">
        <f aca="false">AF4*600*6/(90*1000*2000)</f>
        <v>393.4634984448</v>
      </c>
      <c r="AT4" s="4" t="n">
        <f aca="false">IF(B4="Taiga",236.2,IF(B4="Mts",10,IF(B4="Temp",400,IF(B4="Steppe",25,IF(B4="Jungle",400,IF(B4="Sav",103.6,IF(B4="Medi",181.6,0)))))))*D4*AT$36*Populations!$R3/1000</f>
        <v>4523.8955765625</v>
      </c>
      <c r="AU4" s="4" t="n">
        <f aca="false">INDEX(Tech!$F$3:$F$13,MATCH(E4,Tech!$E$3:$E$13,1))*D4*AT$36*Populations!$S3/(365*1000)</f>
        <v>2380.9753125</v>
      </c>
      <c r="AV4" s="4" t="n">
        <f aca="false">D4*12.5*AT$36*Populations!$S3/(10*30)</f>
        <v>992.073046875</v>
      </c>
      <c r="AW4" s="4" t="n">
        <f aca="false">0.125*D4*AW$30*Populations!$R3/1000</f>
        <v>116.631682833252</v>
      </c>
      <c r="AX4" s="4" t="n">
        <f aca="false">D4*AW$30*Populations!$S3/(3*1000)</f>
        <v>16.3692052734375</v>
      </c>
      <c r="AY4" s="4" t="n">
        <f aca="false">D4*Populations!$S3/(2*1000*AY$30)/1000</f>
        <v>11.4286815</v>
      </c>
      <c r="AZ4" s="4" t="n">
        <f aca="false">D4*AZ$30*Populations!$S3/(2*1000)</f>
        <v>7.936584375</v>
      </c>
      <c r="BA4" s="4" t="n">
        <f aca="false">D4*2*BA$30*Populations!$S3/1000</f>
        <v>38.095605</v>
      </c>
      <c r="BB4" s="4" t="n">
        <f aca="false">D4*3*BB$30*Populations!$S3/1000</f>
        <v>28.57170375</v>
      </c>
      <c r="BC4" s="4" t="n">
        <f aca="false">D4*11*BC$30*Populations!$S3/(15*1000)</f>
        <v>5.5873554</v>
      </c>
      <c r="BD4" s="4" t="n">
        <f aca="false">D4*11*BD$30*Populations!$S3/(8*1000)</f>
        <v>13.09536421875</v>
      </c>
      <c r="BE4" s="4" t="n">
        <f aca="false">D4*11*BE$30*Populations!$S3/(3*1000)</f>
        <v>8.48080730357142</v>
      </c>
      <c r="BF4" s="4" t="n">
        <f aca="false">D4*11*BF$30*Populations!$S3/(5*1000)</f>
        <v>6.11116996875</v>
      </c>
      <c r="BG4" s="4" t="n">
        <f aca="false">D4*11*BG$30*Populations!$S3/(9*1000)</f>
        <v>15.5204316666667</v>
      </c>
      <c r="BH4" s="4" t="n">
        <f aca="false">D4*11*BH$30*Populations!$S3/(12*1000)</f>
        <v>8.7302428125</v>
      </c>
      <c r="BI4" s="4" t="n">
        <f aca="false">D4*BI$30*Populations!$S3/(1000*125/12)</f>
        <v>24.3811872</v>
      </c>
      <c r="BJ4" s="4" t="n">
        <f aca="false">D4*BJ$30*Populations!$S3/(30*1000)</f>
        <v>11.08158821</v>
      </c>
      <c r="BK4" s="4" t="n">
        <f aca="false">D4*BK$30*Populations!$S3/(7*1000)</f>
        <v>1.53062698660714</v>
      </c>
      <c r="BL4" s="4" t="n">
        <f aca="false">D4*BL$30*Populations!$S3/(8.5*1000)</f>
        <v>2.52103268382353</v>
      </c>
      <c r="BM4" s="4" t="n">
        <f aca="false">D4*BM$30*Populations!$S3/1000</f>
        <v>5.357194453125</v>
      </c>
      <c r="BN4" s="4" t="n">
        <f aca="false">D4*BN$30*Populations!$S3/(1.5*1000)</f>
        <v>12.698535</v>
      </c>
      <c r="BO4" s="4" t="n">
        <f aca="false">D4*BO$30*Populations!$S3/(2*1000)</f>
        <v>10.3175596875</v>
      </c>
      <c r="BP4" s="4" t="n">
        <f aca="false">D4*BP$30*Populations!$S3/(4*1000)</f>
        <v>2.3809753125</v>
      </c>
      <c r="BQ4" s="4" t="n">
        <f aca="false">D4*Populations!$R3*10/(3*1000*2000)</f>
        <v>402.12405125</v>
      </c>
      <c r="BR4" s="4" t="n">
        <f aca="false">D4*2*Populations!$R3/(30*1000*2000)</f>
        <v>8.042481025</v>
      </c>
      <c r="BS4" s="4" t="n">
        <f aca="false">D4*2*Populations!$S3/((37.5/12)*1000*2000)</f>
        <v>4.0635312</v>
      </c>
      <c r="BT4" s="4" t="n">
        <f aca="false">D4*2*Populations!$S3/((20/9)*1000*2000)</f>
        <v>5.71434075</v>
      </c>
      <c r="BU4" s="4" t="n">
        <f aca="false">AF4*25*4/(51*$BU$32)</f>
        <v>9.64371319717647</v>
      </c>
      <c r="BV4" s="4" t="n">
        <f aca="false">D4*Populations!$S3*12/($BV$30*3)</f>
        <v>40.00038525</v>
      </c>
      <c r="BW4" s="4" t="n">
        <f aca="false">D4*Populations!$S3*12/(2*$BW$30)</f>
        <v>34.2860445</v>
      </c>
      <c r="BX4" s="4" t="n">
        <f aca="false">D4*Populations!$S3*12/(5*$BX$30)</f>
        <v>17.14302225</v>
      </c>
      <c r="BY4" s="4" t="n">
        <f aca="false">D4*Populations!$S3/(2*$BY$30)</f>
        <v>10.0000963125</v>
      </c>
      <c r="BZ4" s="4" t="n">
        <f aca="false">D4*Populations!$R3*500/(1000*2000)</f>
        <v>60318.6076875</v>
      </c>
      <c r="CA4" s="4" t="n">
        <f aca="false">D4*Populations!R3*15/(1000*2000)</f>
        <v>1809.558230625</v>
      </c>
      <c r="CB4" s="4" t="n">
        <f aca="false">IF(B4="Mts",1,D4*Populations!R3*30/(1000*2000))</f>
        <v>1</v>
      </c>
      <c r="CC4" s="4" t="n">
        <f aca="false">D4*40*Populations!R3/(1000*2000)</f>
        <v>4825.488615</v>
      </c>
      <c r="CD4" s="4" t="n">
        <f aca="false">D4*40*Populations!R3/(1000*2000)</f>
        <v>4825.488615</v>
      </c>
      <c r="CE4" s="4" t="n">
        <f aca="false">D4*20*Populations!R3/(1000*2000)</f>
        <v>2412.7443075</v>
      </c>
      <c r="CF4" s="4" t="n">
        <f aca="false">D4*8.3454*32*Populations!$S3/(1000*2000)</f>
        <v>1695.589663824</v>
      </c>
      <c r="CG4" s="4" t="n">
        <f aca="false">D4*50*2*Populations!$S3/(3*1000*2000)</f>
        <v>211.64225</v>
      </c>
      <c r="CH4" s="4" t="n">
        <f aca="false">IF(B4="Mts",20*D4*Populations!$R3/1000,0.001)</f>
        <v>4825488.615</v>
      </c>
      <c r="CI4" s="4" t="n">
        <f aca="false">IF(NOT(CH4=0.001),0.006*CH4/3,0.001)</f>
        <v>9650.97723</v>
      </c>
      <c r="CJ4" s="4" t="n">
        <f aca="false">IF(NOT(CH4=0.001),0.7*CH4/3,0.001)</f>
        <v>1125947.3435</v>
      </c>
      <c r="CK4" s="4" t="n">
        <f aca="false">IF(NOT(CH4=0.001),0.65*CH4/3,0.001)</f>
        <v>1045522.53325</v>
      </c>
      <c r="CL4" s="4" t="n">
        <f aca="false">IF(NOT(CH4=0.001),0.002*CH4/3,0.001)</f>
        <v>3216.99241</v>
      </c>
      <c r="CM4" s="4" t="n">
        <f aca="false">IF(NOT(CH4=0.001),0.001*CH4/3,0.001)</f>
        <v>1608.496205</v>
      </c>
      <c r="CN4" s="4" t="n">
        <f aca="false">D4*3*110/(24*2000)*Populations!$S3</f>
        <v>87302.428125</v>
      </c>
      <c r="CO4" s="4" t="n">
        <f aca="false">D4*3*12/(24*2000)*Populations!$S3</f>
        <v>9523.90125</v>
      </c>
      <c r="CP4" s="4" t="n">
        <f aca="false">D4*3*1.4/(24*2000)*Populations!$S3</f>
        <v>1111.1218125</v>
      </c>
      <c r="CQ4" s="4" t="n">
        <f aca="false">D4*6400*8.3454*Populations!$S3/(10*1000*2000)</f>
        <v>33911.79327648</v>
      </c>
      <c r="CR4" s="4" t="n">
        <f aca="false">D4*2*Populations!$S3/(1000*2000)</f>
        <v>12.698535</v>
      </c>
      <c r="CS4" s="4" t="n">
        <f aca="false">D4*2*30*Populations!$S3/(1000*2000)</f>
        <v>380.95605</v>
      </c>
      <c r="CT4" s="4" t="n">
        <f aca="false">27*Populations!$R3/(4*1000*2000)</f>
        <v>3.07283473125</v>
      </c>
      <c r="CU4" s="4" t="n">
        <f aca="false">27*Populations!$R3/(16*1000*2000)</f>
        <v>0.7682086828125</v>
      </c>
      <c r="CV4" s="4" t="n">
        <f aca="false">AP4*0.9</f>
        <v>1548.8720602875</v>
      </c>
      <c r="CW4" s="4" t="n">
        <f aca="false">2.5*D4*Populations!$R3/(60*2000)</f>
        <v>5026.550640625</v>
      </c>
      <c r="CX4" s="4" t="n">
        <f aca="false">D4*125*Populations!R3/(6*1000*2000)</f>
        <v>2513.2753203125</v>
      </c>
      <c r="CY4" s="4" t="n">
        <f aca="false">D4*1.875*2*Populations!R3/(6*1000*2000)</f>
        <v>75.398259609375</v>
      </c>
      <c r="CZ4" s="4" t="n">
        <f aca="false">D4*2*20*Populations!$R3/(1000*2000)</f>
        <v>4825.488615</v>
      </c>
      <c r="DA4" s="4" t="n">
        <f aca="false">IF(NOT(CH4=0.001),CH4*0.00001,0.001)</f>
        <v>48.25488615</v>
      </c>
      <c r="DB4" s="4" t="n">
        <f aca="false">IF(NOT(CH4=0.001),CH4*0.00001,0.001)</f>
        <v>48.25488615</v>
      </c>
      <c r="DC4" s="4" t="n">
        <f aca="false">D4*0.02*12*Populations!$S3/(3*1000*2000)</f>
        <v>0.5079414</v>
      </c>
      <c r="DD4" s="4" t="n">
        <f aca="false">D4*0.5*12*Populations!$S3/(5*1000*2000)</f>
        <v>7.619121</v>
      </c>
      <c r="DE4" s="4" t="n">
        <f aca="false">D4*6*25*Populations!$S3/(1000*2000)</f>
        <v>952.390125</v>
      </c>
      <c r="DG4" s="4" t="n">
        <f aca="false">PRODUCT(AC4:AD4)</f>
        <v>112.068707164988</v>
      </c>
      <c r="DH4" s="4" t="n">
        <f aca="false">LOG(PRODUCT(S4,V4,Y4:AB4,AE4:AH4,AL4:AO4,AR4:AT4,AW4,BQ4:BU4,BZ4,CH4:CM4,CT4:CU4,CW4:DB4),2)</f>
        <v>437.518337695671</v>
      </c>
      <c r="DI4" s="4" t="n">
        <f aca="false">LOG(PRODUCT($AI4:$AK4,$AP4:$AQ4,$AU4:$AV4,AX4:BP4,BV4:BY4,CA4:CG4,CN4:CS4,CV4,DC4:DE4),2)</f>
        <v>312.074428582776</v>
      </c>
      <c r="DK4" s="4" t="n">
        <f aca="false">SUM(DG4:DI4)</f>
        <v>861.661473443435</v>
      </c>
    </row>
    <row r="5" s="4" customFormat="true" ht="12.8" hidden="false" customHeight="false" outlineLevel="0" collapsed="false">
      <c r="A5" s="0" t="s">
        <v>135</v>
      </c>
      <c r="B5" s="0" t="s">
        <v>136</v>
      </c>
      <c r="C5" s="0" t="n">
        <v>109</v>
      </c>
      <c r="D5" s="0" t="n">
        <f aca="false">IF(B5="Taiga",265,IF(B5="Mts",265,IF(B5="Temp",230,IF(B5="Steppe",265,IF(B5="Jungle",180,IF(B5="Sav",240,IF(B5="Medi",230,0)))))))</f>
        <v>230</v>
      </c>
      <c r="E5" s="0" t="n">
        <v>1</v>
      </c>
      <c r="F5" s="4" t="n">
        <f aca="false">IF(B5="Taiga",0.43,IF(B5="Mts",0.21,IF(B5="Temp",0.64,IF(B5="Steppe",0.57,IF(B5="Jungle",0.43,IF(B5="Sav",0.57,IF(B5="Medi",0.43,0)))))))</f>
        <v>0.64</v>
      </c>
      <c r="G5" s="4" t="n">
        <f aca="false">IF(B5="Taiga",0.43,IF(B5="Mts",0.8,IF(B5="Temp",0.64,IF(B5="Steppe",0.64,IF(B5="Jungle",0.43,IF(B5="Sav",0.8,IF(B5="Medi",0.6,0)))))))</f>
        <v>0.64</v>
      </c>
      <c r="H5" s="4" t="n">
        <f aca="false">$H$31*IF(B5="Taiga",528,IF(B5="Mts",855.27,IF(B5="Temp",565.94,IF(B5="Steppe",551.72,IF(B5="Jungle",575.43,IF(B5="Sav",599.15,IF(B5="Medi",564.36,0)))))))</f>
        <v>1697.82</v>
      </c>
      <c r="I5" s="4" t="n">
        <f aca="false">$H$31*IF(B5="Taiga",2608.19,IF(B5="Mts",2100,IF(B5="Temp",2976.19,IF(B5="Steppe",2450.48,IF(B5="Jungle",2135.05,IF(B5="Sav",2310.29,IF(B5="Medi",2485.52,0)))))))</f>
        <v>8928.57</v>
      </c>
      <c r="J5" s="4" t="n">
        <f aca="false">$H$31*IF(B5="Taiga",500.54,IF(B5="Mts",360,IF(B5="Temp",570.81,IF(B5="Steppe",441.95,IF(B5="Jungle",486.49,IF(B5="Sav",518.92,IF(B5="Medi",640,0)))))))</f>
        <v>1712.43</v>
      </c>
      <c r="K5" s="4" t="n">
        <f aca="false">$H$31*IF(B5="Taiga",2003.09,IF(B5="Mts",1612.8,IF(B5="Temp",2285.71,IF(B5="Steppe",1881.97,IF(B5="Jungle",1639.72,IF(B5="Sav",1774.3,IF(B5="Medi",1908.88,0)))))))</f>
        <v>6857.13</v>
      </c>
      <c r="L5" s="4" t="n">
        <f aca="false">$H$31*IF(B5="Taiga",260.82,IF(B5="Mts",210,IF(B5="Temp",297.62,IF(B5="Steppe",245.05,IF(B5="Jungle",213.5,IF(B5="Sav",231.03,IF(B5="Medi",248.55,0)))))))</f>
        <v>892.86</v>
      </c>
      <c r="M5" s="4" t="n">
        <f aca="false">$H$31*IF(B5="Taiga",250,IF(B5="Mts",640,IF(B5="Temp",295.2174,IF(B5="Steppe",278.2609,IF(B5="Jungle",306.5217,IF(B5="Sav",334.7826,IF(B5="Medi",293.3333,0)))))))</f>
        <v>885.6522</v>
      </c>
      <c r="N5" s="4" t="n">
        <f aca="false">$H$31*IF(B5="Taiga",1491.9691,IF(B5="Mts",980,IF(B5="Temp",1747.9537,IF(B5="Steppe",1278.5174,IF(B5="Jungle",1440.7722,IF(B5="Sav",1558.9189,IF(B5="Medi",2000,0)))))))</f>
        <v>5243.8611</v>
      </c>
      <c r="O5" s="4" t="n">
        <f aca="false">$H$31*IF(B5="Taiga",68.5,IF(B5="Mts",25,IF(B5="Temp",100,IF(B5="Steppe",55,IF(B5="Jungle",28,IF(B5="Sav",43,IF(B5="Medi",58,0)))))))</f>
        <v>300</v>
      </c>
      <c r="P5" s="4" t="n">
        <f aca="false">$H$31*20*15/8000</f>
        <v>0.1125</v>
      </c>
      <c r="Q5" s="4" t="n">
        <f aca="false">$H$31*20*15/8000</f>
        <v>0.1125</v>
      </c>
      <c r="R5" s="1" t="s">
        <v>39</v>
      </c>
      <c r="S5" s="4" t="n">
        <f aca="false">C5*F5*G5*360*640*1393.66125/(2000*1000)</f>
        <v>7167.9695192064</v>
      </c>
      <c r="T5" s="4" t="n">
        <f aca="false">C5*F5*G5*J5*640*1393.66125*2/(1000*2000*3)</f>
        <v>22730.82600699</v>
      </c>
      <c r="U5" s="4" t="n">
        <f aca="false">T5*J$28</f>
        <v>7576.94200233001</v>
      </c>
      <c r="V5" s="4" t="n">
        <f aca="false">T5-U5</f>
        <v>15153.88400466</v>
      </c>
      <c r="W5" s="4" t="n">
        <f aca="false">C5*F5*G5*H5*640*1393.66125*2/(1000*2000*3)</f>
        <v>22536.8926094426</v>
      </c>
      <c r="X5" s="4" t="n">
        <f aca="false">W5*H$28</f>
        <v>6146.42525712072</v>
      </c>
      <c r="Y5" s="4" t="n">
        <f aca="false">W5-X5</f>
        <v>16390.4673523219</v>
      </c>
      <c r="Z5" s="4" t="n">
        <f aca="false">C5*F5*G5*M5*640*1393.66125/(1000*2000*3)</f>
        <v>5878.08145760934</v>
      </c>
      <c r="AA5" s="4" t="n">
        <f aca="false">C5*F5*G5*N5*640*1393.66125/(2000*1000)</f>
        <v>104410.657021534</v>
      </c>
      <c r="AB5" s="4" t="n">
        <f aca="false">C5*F5*G5*O5*640*1393.66125/(2000*1000)</f>
        <v>5973.307932672</v>
      </c>
      <c r="AC5" s="4" t="n">
        <f aca="false">C5*P5*640*1393.66125/(2000*1000)</f>
        <v>5.468726745</v>
      </c>
      <c r="AD5" s="4" t="n">
        <f aca="false">C5*Q5*640*1393.66125/(2000*1000)</f>
        <v>5.468726745</v>
      </c>
      <c r="AE5" s="4" t="n">
        <f aca="false">($V5+$Z5)*2000*1000/(3*365)</f>
        <v>38414548.7895331</v>
      </c>
      <c r="AF5" s="4" t="n">
        <f aca="false">($V5+$Z5)*2000*1000/(18*100)</f>
        <v>23368850.5136326</v>
      </c>
      <c r="AG5" s="4" t="n">
        <f aca="false">($V5+$Z5)*2000*1000/(3*365)</f>
        <v>38414548.7895331</v>
      </c>
      <c r="AH5" s="4" t="n">
        <f aca="false">C5*F5*G5*K5*640*1393.66125/(2000*1000)</f>
        <v>136532.496747877</v>
      </c>
      <c r="AI5" s="4" t="n">
        <f aca="false">3*12*D5*Populations!$S4/(5*1000)</f>
        <v>382372.056</v>
      </c>
      <c r="AJ5" s="4" t="n">
        <f aca="false">1.5*D5*750*Populations!$S4/(1000*2000*15)</f>
        <v>1991.521125</v>
      </c>
      <c r="AK5" s="4" t="n">
        <f aca="false">66*10*D5*Populations!$S4/(1000*2000*6)</f>
        <v>2920.89765</v>
      </c>
      <c r="AL5" s="4" t="n">
        <f aca="false">AE5*365/(2000*1000)</f>
        <v>7010.65515408979</v>
      </c>
      <c r="AM5" s="4" t="n">
        <f aca="false">AF5*25*238/(51*2000*1000)</f>
        <v>1363.18294662857</v>
      </c>
      <c r="AN5" s="4" t="n">
        <f aca="false">AG5*100*238/(600*1000*2000)</f>
        <v>761.888550992407</v>
      </c>
      <c r="AO5" s="4" t="n">
        <f aca="false">AG5*120*2/(16*1000*2000)</f>
        <v>288.109115921498</v>
      </c>
      <c r="AP5" s="4" t="n">
        <f aca="false">D5*4800*Populations!$S4/($AP$28*10*1000*2000)</f>
        <v>7197.35734575001</v>
      </c>
      <c r="AQ5" s="4" t="n">
        <f aca="false">D5*2*4800*Populations!$S4/($AQ$28*10*1000*2000)</f>
        <v>27682.1436375</v>
      </c>
      <c r="AR5" s="4" t="n">
        <f aca="false">C5*F5*G5*L5*640*1393.66125/(2000*1000)</f>
        <v>17777.7590692184</v>
      </c>
      <c r="AS5" s="4" t="n">
        <f aca="false">AF5*600*6/(90*1000*2000)</f>
        <v>467.377010272653</v>
      </c>
      <c r="AT5" s="4" t="n">
        <f aca="false">IF(B5="Taiga",236.2,IF(B5="Mts",10,IF(B5="Temp",400,IF(B5="Steppe",25,IF(B5="Jungle",400,IF(B5="Sav",103.6,IF(B5="Medi",181.6,0)))))))*D5*AT$36*Populations!$R4/1000</f>
        <v>376612.291097792</v>
      </c>
      <c r="AU5" s="4" t="n">
        <f aca="false">INDEX(Tech!$F$3:$F$13,MATCH(E5,Tech!$E$3:$E$13,1))*D5*AT$36*Populations!$S4/(365*1000)</f>
        <v>9957.605625</v>
      </c>
      <c r="AV5" s="4" t="n">
        <f aca="false">D5*12.5*AT$36*Populations!$S4/(10*30)</f>
        <v>4149.00234375</v>
      </c>
      <c r="AW5" s="4" t="n">
        <f aca="false">0.125*D5*AW$30*Populations!$R4/1000</f>
        <v>242.738390746624</v>
      </c>
      <c r="AX5" s="4" t="n">
        <f aca="false">D5*AW$30*Populations!$S4/(3*1000)</f>
        <v>68.458538671875</v>
      </c>
      <c r="AY5" s="4" t="n">
        <f aca="false">D5*Populations!$S4/(2*1000*AY$30)/1000</f>
        <v>47.796507</v>
      </c>
      <c r="AZ5" s="4" t="n">
        <f aca="false">D5*AZ$30*Populations!$S4/(2*1000)</f>
        <v>33.19201875</v>
      </c>
      <c r="BA5" s="4" t="n">
        <f aca="false">D5*2*BA$30*Populations!$S4/1000</f>
        <v>159.32169</v>
      </c>
      <c r="BB5" s="4" t="n">
        <f aca="false">D5*3*BB$30*Populations!$S4/1000</f>
        <v>119.4912675</v>
      </c>
      <c r="BC5" s="4" t="n">
        <f aca="false">D5*11*BC$30*Populations!$S4/(15*1000)</f>
        <v>23.3671812</v>
      </c>
      <c r="BD5" s="4" t="n">
        <f aca="false">D5*11*BD$30*Populations!$S4/(8*1000)</f>
        <v>54.7668309375</v>
      </c>
      <c r="BE5" s="4" t="n">
        <f aca="false">D5*11*BE$30*Populations!$S4/(3*1000)</f>
        <v>35.4680428928571</v>
      </c>
      <c r="BF5" s="4" t="n">
        <f aca="false">D5*11*BF$30*Populations!$S4/(5*1000)</f>
        <v>25.5578544375</v>
      </c>
      <c r="BG5" s="4" t="n">
        <f aca="false">D5*11*BG$30*Populations!$S4/(9*1000)</f>
        <v>64.9088366666667</v>
      </c>
      <c r="BH5" s="4" t="n">
        <f aca="false">D5*11*BH$30*Populations!$S4/(12*1000)</f>
        <v>36.511220625</v>
      </c>
      <c r="BI5" s="4" t="n">
        <f aca="false">D5*BI$30*Populations!$S4/(1000*125/12)</f>
        <v>101.9658816</v>
      </c>
      <c r="BJ5" s="4" t="n">
        <f aca="false">D5*BJ$30*Populations!$S4/(30*1000)</f>
        <v>46.34490938</v>
      </c>
      <c r="BK5" s="4" t="n">
        <f aca="false">D5*BK$30*Populations!$S4/(7*1000)</f>
        <v>6.40131790178571</v>
      </c>
      <c r="BL5" s="4" t="n">
        <f aca="false">D5*BL$30*Populations!$S4/(8.5*1000)</f>
        <v>10.5433471323529</v>
      </c>
      <c r="BM5" s="4" t="n">
        <f aca="false">D5*BM$30*Populations!$S4/1000</f>
        <v>22.40461265625</v>
      </c>
      <c r="BN5" s="4" t="n">
        <f aca="false">D5*BN$30*Populations!$S4/(1.5*1000)</f>
        <v>53.10723</v>
      </c>
      <c r="BO5" s="4" t="n">
        <f aca="false">D5*BO$30*Populations!$S4/(2*1000)</f>
        <v>43.149624375</v>
      </c>
      <c r="BP5" s="4" t="n">
        <f aca="false">D5*BP$30*Populations!$S4/(4*1000)</f>
        <v>9.957605625</v>
      </c>
      <c r="BQ5" s="4" t="n">
        <f aca="false">D5*Populations!$R4*10/(3*1000*2000)</f>
        <v>836.916202439537</v>
      </c>
      <c r="BR5" s="4" t="n">
        <f aca="false">D5*2*Populations!$R4/(30*1000*2000)</f>
        <v>16.7383240487907</v>
      </c>
      <c r="BS5" s="4" t="n">
        <f aca="false">D5*2*Populations!$S4/((37.5/12)*1000*2000)</f>
        <v>16.9943136</v>
      </c>
      <c r="BT5" s="4" t="n">
        <f aca="false">D5*2*Populations!$S4/((20/9)*1000*2000)</f>
        <v>23.8982535</v>
      </c>
      <c r="BU5" s="4" t="n">
        <f aca="false">AF5*25*4/(51*$BU$32)</f>
        <v>11.4553188792317</v>
      </c>
      <c r="BV5" s="4" t="n">
        <f aca="false">D5*Populations!$S4*12/($BV$30*3)</f>
        <v>167.2877745</v>
      </c>
      <c r="BW5" s="4" t="n">
        <f aca="false">D5*Populations!$S4*12/(2*$BW$30)</f>
        <v>143.389521</v>
      </c>
      <c r="BX5" s="4" t="n">
        <f aca="false">D5*Populations!$S4*12/(5*$BX$30)</f>
        <v>71.6947604999999</v>
      </c>
      <c r="BY5" s="4" t="n">
        <f aca="false">D5*Populations!$S4/(2*$BY$30)</f>
        <v>41.821943625</v>
      </c>
      <c r="BZ5" s="4" t="n">
        <f aca="false">D5*Populations!$R4*500/(1000*2000)</f>
        <v>125537.430365931</v>
      </c>
      <c r="CA5" s="4" t="n">
        <f aca="false">D5*Populations!R4*15/(1000*2000)</f>
        <v>3766.12291097792</v>
      </c>
      <c r="CB5" s="4" t="n">
        <f aca="false">IF(B5="Mts",1,D5*Populations!R4*30/(1000*2000))</f>
        <v>7532.24582195584</v>
      </c>
      <c r="CC5" s="4" t="n">
        <f aca="false">D5*40*Populations!R4/(1000*2000)</f>
        <v>10042.9944292745</v>
      </c>
      <c r="CD5" s="4" t="n">
        <f aca="false">D5*40*Populations!R4/(1000*2000)</f>
        <v>10042.9944292745</v>
      </c>
      <c r="CE5" s="4" t="n">
        <f aca="false">D5*20*Populations!R4/(1000*2000)</f>
        <v>5021.49721463722</v>
      </c>
      <c r="CF5" s="4" t="n">
        <f aca="false">D5*8.3454*32*Populations!$S4/(1000*2000)</f>
        <v>7091.217235872</v>
      </c>
      <c r="CG5" s="4" t="n">
        <f aca="false">D5*50*2*Populations!$S4/(3*1000*2000)</f>
        <v>885.1205</v>
      </c>
      <c r="CH5" s="4" t="n">
        <f aca="false">IF(B5="Mts",20*D5*Populations!$R4/1000,0.001)</f>
        <v>0.001</v>
      </c>
      <c r="CI5" s="4" t="n">
        <f aca="false">IF(NOT(CH5=0.001),0.006*CH5/3,0.001)</f>
        <v>0.001</v>
      </c>
      <c r="CJ5" s="4" t="n">
        <f aca="false">IF(NOT(CH5=0.001),0.7*CH5/3,0.001)</f>
        <v>0.001</v>
      </c>
      <c r="CK5" s="4" t="n">
        <f aca="false">IF(NOT(CH5=0.001),0.65*CH5/3,0.001)</f>
        <v>0.001</v>
      </c>
      <c r="CL5" s="4" t="n">
        <f aca="false">IF(NOT(CH5=0.001),0.002*CH5/3,0.001)</f>
        <v>0.001</v>
      </c>
      <c r="CM5" s="4" t="n">
        <f aca="false">IF(NOT(CH5=0.001),0.001*CH5/3,0.001)</f>
        <v>0.001</v>
      </c>
      <c r="CN5" s="4" t="n">
        <f aca="false">D5*3*110/(24*2000)*Populations!$S4</f>
        <v>365112.20625</v>
      </c>
      <c r="CO5" s="4" t="n">
        <f aca="false">D5*3*12/(24*2000)*Populations!$S4</f>
        <v>39830.4225</v>
      </c>
      <c r="CP5" s="4" t="n">
        <f aca="false">D5*3*1.4/(24*2000)*Populations!$S4</f>
        <v>4646.882625</v>
      </c>
      <c r="CQ5" s="4" t="n">
        <f aca="false">D5*6400*8.3454*Populations!$S4/(10*1000*2000)</f>
        <v>141824.34471744</v>
      </c>
      <c r="CR5" s="4" t="n">
        <f aca="false">D5*2*Populations!$S4/(1000*2000)</f>
        <v>53.10723</v>
      </c>
      <c r="CS5" s="4" t="n">
        <f aca="false">D5*2*30*Populations!$S4/(1000*2000)</f>
        <v>1593.2169</v>
      </c>
      <c r="CT5" s="4" t="n">
        <f aca="false">27*Populations!$R4/(4*1000*2000)</f>
        <v>7.36850134756549</v>
      </c>
      <c r="CU5" s="4" t="n">
        <f aca="false">27*Populations!$R4/(16*1000*2000)</f>
        <v>1.84212533689137</v>
      </c>
      <c r="CV5" s="4" t="n">
        <f aca="false">AP5*0.9</f>
        <v>6477.62161117501</v>
      </c>
      <c r="CW5" s="4" t="n">
        <f aca="false">2.5*D5*Populations!$R4/(60*2000)</f>
        <v>10461.4525304942</v>
      </c>
      <c r="CX5" s="4" t="n">
        <f aca="false">D5*125*Populations!R4/(6*1000*2000)</f>
        <v>5230.72626524711</v>
      </c>
      <c r="CY5" s="4" t="n">
        <f aca="false">D5*1.875*2*Populations!R4/(6*1000*2000)</f>
        <v>156.921787957413</v>
      </c>
      <c r="CZ5" s="4" t="n">
        <f aca="false">D5*2*20*Populations!$R4/(1000*2000)</f>
        <v>10042.9944292745</v>
      </c>
      <c r="DA5" s="4" t="n">
        <f aca="false">IF(NOT(CH5=0.001),CH5*0.00001,0.001)</f>
        <v>0.001</v>
      </c>
      <c r="DB5" s="4" t="n">
        <f aca="false">IF(NOT(CH5=0.001),CH5*0.00001,0.001)</f>
        <v>0.001</v>
      </c>
      <c r="DC5" s="4" t="n">
        <f aca="false">D5*0.02*12*Populations!$S4/(3*1000*2000)</f>
        <v>2.1242892</v>
      </c>
      <c r="DD5" s="4" t="n">
        <f aca="false">D5*0.5*12*Populations!$S4/(5*1000*2000)</f>
        <v>31.864338</v>
      </c>
      <c r="DE5" s="4" t="n">
        <f aca="false">D5*6*25*Populations!$S4/(1000*2000)</f>
        <v>3983.04225</v>
      </c>
      <c r="DG5" s="4" t="n">
        <f aca="false">PRODUCT(AC5:AD5)</f>
        <v>29.9069722114783</v>
      </c>
      <c r="DH5" s="4" t="n">
        <f aca="false">LOG(PRODUCT(S5,V5,Y5:AB5,AE5:AH5,AL5:AO5,AR5:AT5,AW5,BQ5:BU5,BZ5,CH5:CM5,CT5:CU5,CW5:DB5),2)</f>
        <v>277.949554221965</v>
      </c>
      <c r="DI5" s="4" t="n">
        <f aca="false">LOG(PRODUCT($AI5:$AK5,$AP5:$AQ5,$AU5:$AV5,AX5:BP5,BV5:BY5,CA5:CG5,CN5:CS5,CV5,DC5:DE5),2)</f>
        <v>415.881404232553</v>
      </c>
      <c r="DK5" s="4" t="n">
        <f aca="false">SUM(DG5:DI5)</f>
        <v>723.737930665996</v>
      </c>
    </row>
    <row r="6" s="4" customFormat="true" ht="12.8" hidden="false" customHeight="false" outlineLevel="0" collapsed="false">
      <c r="A6" s="0" t="s">
        <v>137</v>
      </c>
      <c r="B6" s="0" t="s">
        <v>138</v>
      </c>
      <c r="C6" s="0" t="n">
        <f aca="false">6*15+14+13+12+128+95+66+36</f>
        <v>454</v>
      </c>
      <c r="D6" s="0" t="n">
        <f aca="false">IF(B6="Taiga",265,IF(B6="Mts",265,IF(B6="Temp",230,IF(B6="Steppe",265,IF(B6="Jungle",180,IF(B6="Sav",240,IF(B6="Medi",230,0)))))))</f>
        <v>265</v>
      </c>
      <c r="E6" s="0" t="n">
        <v>1</v>
      </c>
      <c r="F6" s="4" t="n">
        <f aca="false">IF(B6="Taiga",0.43,IF(B6="Mts",0.21,IF(B6="Temp",0.64,IF(B6="Steppe",0.57,IF(B6="Jungle",0.43,IF(B6="Sav",0.57,IF(B6="Medi",0.43,0)))))))</f>
        <v>0.57</v>
      </c>
      <c r="G6" s="4" t="n">
        <f aca="false">IF(B6="Taiga",0.43,IF(B6="Mts",0.8,IF(B6="Temp",0.64,IF(B6="Steppe",0.64,IF(B6="Jungle",0.43,IF(B6="Sav",0.8,IF(B6="Medi",0.6,0)))))))</f>
        <v>0.64</v>
      </c>
      <c r="H6" s="4" t="n">
        <f aca="false">$H$31*IF(B6="Taiga",528,IF(B6="Mts",855.27,IF(B6="Temp",565.94,IF(B6="Steppe",551.72,IF(B6="Jungle",575.43,IF(B6="Sav",599.15,IF(B6="Medi",564.36,0)))))))</f>
        <v>1655.16</v>
      </c>
      <c r="I6" s="4" t="n">
        <f aca="false">$H$31*IF(B6="Taiga",2608.19,IF(B6="Mts",2100,IF(B6="Temp",2976.19,IF(B6="Steppe",2450.48,IF(B6="Jungle",2135.05,IF(B6="Sav",2310.29,IF(B6="Medi",2485.52,0)))))))</f>
        <v>7351.44</v>
      </c>
      <c r="J6" s="4" t="n">
        <f aca="false">$H$31*IF(B6="Taiga",500.54,IF(B6="Mts",360,IF(B6="Temp",570.81,IF(B6="Steppe",441.95,IF(B6="Jungle",486.49,IF(B6="Sav",518.92,IF(B6="Medi",640,0)))))))</f>
        <v>1325.85</v>
      </c>
      <c r="K6" s="4" t="n">
        <f aca="false">$H$31*IF(B6="Taiga",2003.09,IF(B6="Mts",1612.8,IF(B6="Temp",2285.71,IF(B6="Steppe",1881.97,IF(B6="Jungle",1639.72,IF(B6="Sav",1774.3,IF(B6="Medi",1908.88,0)))))))</f>
        <v>5645.91</v>
      </c>
      <c r="L6" s="4" t="n">
        <f aca="false">$H$31*IF(B6="Taiga",260.82,IF(B6="Mts",210,IF(B6="Temp",297.62,IF(B6="Steppe",245.05,IF(B6="Jungle",213.5,IF(B6="Sav",231.03,IF(B6="Medi",248.55,0)))))))</f>
        <v>735.15</v>
      </c>
      <c r="M6" s="4" t="n">
        <f aca="false">$H$31*IF(B6="Taiga",250,IF(B6="Mts",640,IF(B6="Temp",295.2174,IF(B6="Steppe",278.2609,IF(B6="Jungle",306.5217,IF(B6="Sav",334.7826,IF(B6="Medi",293.3333,0)))))))</f>
        <v>834.7827</v>
      </c>
      <c r="N6" s="4" t="n">
        <f aca="false">$H$31*IF(B6="Taiga",1491.9691,IF(B6="Mts",980,IF(B6="Temp",1747.9537,IF(B6="Steppe",1278.5174,IF(B6="Jungle",1440.7722,IF(B6="Sav",1558.9189,IF(B6="Medi",2000,0)))))))</f>
        <v>3835.5522</v>
      </c>
      <c r="O6" s="4" t="n">
        <f aca="false">$H$31*IF(B6="Taiga",68.5,IF(B6="Mts",25,IF(B6="Temp",100,IF(B6="Steppe",55,IF(B6="Jungle",28,IF(B6="Sav",43,IF(B6="Medi",58,0)))))))</f>
        <v>165</v>
      </c>
      <c r="P6" s="4" t="n">
        <f aca="false">$H$31*20*15/8000</f>
        <v>0.1125</v>
      </c>
      <c r="Q6" s="4" t="n">
        <f aca="false">$H$31*20*15/8000</f>
        <v>0.1125</v>
      </c>
      <c r="R6" s="1" t="s">
        <v>39</v>
      </c>
      <c r="S6" s="4" t="n">
        <f aca="false">C6*F6*G6*360*640*1393.66125/(2000*1000)</f>
        <v>26590.1254612992</v>
      </c>
      <c r="T6" s="4" t="n">
        <f aca="false">C6*F6*G6*J6*640*1393.66125*2/(1000*2000*3)</f>
        <v>65286.144153451</v>
      </c>
      <c r="U6" s="4" t="n">
        <f aca="false">T6*J$28</f>
        <v>21762.0480511503</v>
      </c>
      <c r="V6" s="4" t="n">
        <f aca="false">T6-U6</f>
        <v>43524.0961023007</v>
      </c>
      <c r="W6" s="4" t="n">
        <f aca="false">C6*F6*G6*H6*640*1393.66125*2/(1000*2000*3)</f>
        <v>81501.6889972667</v>
      </c>
      <c r="X6" s="4" t="n">
        <f aca="false">W6*H$28</f>
        <v>22227.7333628909</v>
      </c>
      <c r="Y6" s="4" t="n">
        <f aca="false">W6-X6</f>
        <v>59273.9556343757</v>
      </c>
      <c r="Z6" s="4" t="n">
        <f aca="false">C6*F6*G6*M6*640*1393.66125/(1000*2000*3)</f>
        <v>20552.7562277056</v>
      </c>
      <c r="AA6" s="4" t="n">
        <f aca="false">C6*F6*G6*N6*640*1393.66125/(2000*1000)</f>
        <v>283299.48392045</v>
      </c>
      <c r="AB6" s="4" t="n">
        <f aca="false">C6*F6*G6*O6*640*1393.66125/(2000*1000)</f>
        <v>12187.1408364288</v>
      </c>
      <c r="AC6" s="4" t="n">
        <f aca="false">C6*P6*640*1393.66125/(2000*1000)</f>
        <v>22.77799947</v>
      </c>
      <c r="AD6" s="4" t="n">
        <f aca="false">C6*Q6*640*1393.66125/(2000*1000)</f>
        <v>22.77799947</v>
      </c>
      <c r="AE6" s="4" t="n">
        <f aca="false">($V6+$Z6)*2000*1000/(3*365)</f>
        <v>117035346.721473</v>
      </c>
      <c r="AF6" s="4" t="n">
        <f aca="false">($V6+$Z6)*2000*1000/(18*100)</f>
        <v>71196502.5888959</v>
      </c>
      <c r="AG6" s="4" t="n">
        <f aca="false">($V6+$Z6)*2000*1000/(3*365)</f>
        <v>117035346.721473</v>
      </c>
      <c r="AH6" s="4" t="n">
        <f aca="false">C6*F6*G6*K6*640*1393.66125/(2000*1000)</f>
        <v>417015.153453344</v>
      </c>
      <c r="AI6" s="4" t="n">
        <f aca="false">3*12*D6*Populations!$S5/(5*1000)</f>
        <v>903636.432</v>
      </c>
      <c r="AJ6" s="4" t="n">
        <f aca="false">1.5*D6*750*Populations!$S5/(1000*2000*15)</f>
        <v>4706.43975</v>
      </c>
      <c r="AK6" s="4" t="n">
        <f aca="false">66*10*D6*Populations!$S5/(1000*2000*6)</f>
        <v>6902.7783</v>
      </c>
      <c r="AL6" s="4" t="n">
        <f aca="false">AE6*365/(2000*1000)</f>
        <v>21358.9507766688</v>
      </c>
      <c r="AM6" s="4" t="n">
        <f aca="false">AF6*25*238/(51*2000*1000)</f>
        <v>4153.1293176856</v>
      </c>
      <c r="AN6" s="4" t="n">
        <f aca="false">AG6*100*238/(600*1000*2000)</f>
        <v>2321.20104330921</v>
      </c>
      <c r="AO6" s="4" t="n">
        <f aca="false">AG6*120*2/(16*1000*2000)</f>
        <v>877.765100411046</v>
      </c>
      <c r="AP6" s="4" t="n">
        <f aca="false">D6*4800*Populations!$S5/($AP$28*10*1000*2000)</f>
        <v>17009.0732565</v>
      </c>
      <c r="AQ6" s="4" t="n">
        <f aca="false">D6*2*4800*Populations!$S5/($AQ$28*10*1000*2000)</f>
        <v>65419.512525</v>
      </c>
      <c r="AR6" s="4" t="n">
        <f aca="false">C6*F6*G6*L6*640*1393.66125/(2000*1000)</f>
        <v>54299.2520357614</v>
      </c>
      <c r="AS6" s="4" t="n">
        <f aca="false">AF6*600*6/(90*1000*2000)</f>
        <v>1423.93005177792</v>
      </c>
      <c r="AT6" s="4" t="n">
        <f aca="false">IF(B6="Taiga",236.2,IF(B6="Mts",10,IF(B6="Temp",400,IF(B6="Steppe",25,IF(B6="Jungle",400,IF(B6="Sav",103.6,IF(B6="Medi",181.6,0)))))))*D6*AT$36*Populations!$R5/1000</f>
        <v>68279.8010703271</v>
      </c>
      <c r="AU6" s="4" t="n">
        <f aca="false">INDEX(Tech!$F$3:$F$13,MATCH(E6,Tech!$E$3:$E$13,1))*D6*AT$36*Populations!$S5/(365*1000)</f>
        <v>23532.19875</v>
      </c>
      <c r="AV6" s="4" t="n">
        <f aca="false">D6*12.5*AT$36*Populations!$S5/(10*30)</f>
        <v>9805.0828125</v>
      </c>
      <c r="AW6" s="4" t="n">
        <f aca="false">0.125*D6*AW$30*Populations!$R5/1000</f>
        <v>704.135448537749</v>
      </c>
      <c r="AX6" s="4" t="n">
        <f aca="false">D6*AW$30*Populations!$S5/(3*1000)</f>
        <v>161.78386640625</v>
      </c>
      <c r="AY6" s="4" t="n">
        <f aca="false">D6*Populations!$S5/(2*1000*AY$30)/1000</f>
        <v>112.954554</v>
      </c>
      <c r="AZ6" s="4" t="n">
        <f aca="false">D6*AZ$30*Populations!$S5/(2*1000)</f>
        <v>78.4406625</v>
      </c>
      <c r="BA6" s="4" t="n">
        <f aca="false">D6*2*BA$30*Populations!$S5/1000</f>
        <v>376.51518</v>
      </c>
      <c r="BB6" s="4" t="n">
        <f aca="false">D6*3*BB$30*Populations!$S5/1000</f>
        <v>282.386385</v>
      </c>
      <c r="BC6" s="4" t="n">
        <f aca="false">D6*11*BC$30*Populations!$S5/(15*1000)</f>
        <v>55.2222264</v>
      </c>
      <c r="BD6" s="4" t="n">
        <f aca="false">D6*11*BD$30*Populations!$S5/(8*1000)</f>
        <v>129.427093125</v>
      </c>
      <c r="BE6" s="4" t="n">
        <f aca="false">D6*11*BE$30*Populations!$S5/(3*1000)</f>
        <v>83.8194507857142</v>
      </c>
      <c r="BF6" s="4" t="n">
        <f aca="false">D6*11*BF$30*Populations!$S5/(5*1000)</f>
        <v>60.399310125</v>
      </c>
      <c r="BG6" s="4" t="n">
        <f aca="false">D6*11*BG$30*Populations!$S5/(9*1000)</f>
        <v>153.395073333333</v>
      </c>
      <c r="BH6" s="4" t="n">
        <f aca="false">D6*11*BH$30*Populations!$S5/(12*1000)</f>
        <v>86.28472875</v>
      </c>
      <c r="BI6" s="4" t="n">
        <f aca="false">D6*BI$30*Populations!$S5/(1000*125/12)</f>
        <v>240.9697152</v>
      </c>
      <c r="BJ6" s="4" t="n">
        <f aca="false">D6*BJ$30*Populations!$S5/(30*1000)</f>
        <v>109.52408236</v>
      </c>
      <c r="BK6" s="4" t="n">
        <f aca="false">D6*BK$30*Populations!$S5/(7*1000)</f>
        <v>15.1278420535714</v>
      </c>
      <c r="BL6" s="4" t="n">
        <f aca="false">D6*BL$30*Populations!$S5/(8.5*1000)</f>
        <v>24.9164457352941</v>
      </c>
      <c r="BM6" s="4" t="n">
        <f aca="false">D6*BM$30*Populations!$S5/1000</f>
        <v>52.9474471875</v>
      </c>
      <c r="BN6" s="4" t="n">
        <f aca="false">D6*BN$30*Populations!$S5/(1.5*1000)</f>
        <v>125.50506</v>
      </c>
      <c r="BO6" s="4" t="n">
        <f aca="false">D6*BO$30*Populations!$S5/(2*1000)</f>
        <v>101.97286125</v>
      </c>
      <c r="BP6" s="4" t="n">
        <f aca="false">D6*BP$30*Populations!$S5/(4*1000)</f>
        <v>23.53219875</v>
      </c>
      <c r="BQ6" s="4" t="n">
        <f aca="false">D6*Populations!$R5*10/(3*1000*2000)</f>
        <v>2427.7262602783</v>
      </c>
      <c r="BR6" s="4" t="n">
        <f aca="false">D6*2*Populations!$R5/(30*1000*2000)</f>
        <v>48.554525205566</v>
      </c>
      <c r="BS6" s="4" t="n">
        <f aca="false">D6*2*Populations!$S5/((37.5/12)*1000*2000)</f>
        <v>40.1616192</v>
      </c>
      <c r="BT6" s="4" t="n">
        <f aca="false">D6*2*Populations!$S5/((20/9)*1000*2000)</f>
        <v>56.477277</v>
      </c>
      <c r="BU6" s="4" t="n">
        <f aca="false">AF6*25*4/(51*$BU$32)</f>
        <v>34.9002463671059</v>
      </c>
      <c r="BV6" s="4" t="n">
        <f aca="false">D6*Populations!$S5*12/($BV$30*3)</f>
        <v>395.340939</v>
      </c>
      <c r="BW6" s="4" t="n">
        <f aca="false">D6*Populations!$S5*12/(2*$BW$30)</f>
        <v>338.863662</v>
      </c>
      <c r="BX6" s="4" t="n">
        <f aca="false">D6*Populations!$S5*12/(5*$BX$30)</f>
        <v>169.431831</v>
      </c>
      <c r="BY6" s="4" t="n">
        <f aca="false">D6*Populations!$S5/(2*$BY$30)</f>
        <v>98.83523475</v>
      </c>
      <c r="BZ6" s="4" t="n">
        <f aca="false">D6*Populations!$R5*500/(1000*2000)</f>
        <v>364158.939041745</v>
      </c>
      <c r="CA6" s="4" t="n">
        <f aca="false">D6*Populations!R5*15/(1000*2000)</f>
        <v>10924.7681712523</v>
      </c>
      <c r="CB6" s="4" t="n">
        <f aca="false">IF(B6="Mts",1,D6*Populations!R5*30/(10*1000*2000))</f>
        <v>2184.95363425047</v>
      </c>
      <c r="CC6" s="4" t="n">
        <f aca="false">D6*40*Populations!R5/(1000*2000)</f>
        <v>29132.7151233396</v>
      </c>
      <c r="CD6" s="4" t="n">
        <f aca="false">D6*40*Populations!R5/(1000*2000)</f>
        <v>29132.7151233396</v>
      </c>
      <c r="CE6" s="4" t="n">
        <f aca="false">D6*20*Populations!R5/(1000*2000)</f>
        <v>14566.3575616698</v>
      </c>
      <c r="CF6" s="4" t="n">
        <f aca="false">D6*8.3454*32*Populations!$S5/(1000*2000)</f>
        <v>16758.238843584</v>
      </c>
      <c r="CG6" s="4" t="n">
        <f aca="false">D6*50*2*Populations!$S5/(3*1000*2000)</f>
        <v>2091.751</v>
      </c>
      <c r="CH6" s="4" t="n">
        <f aca="false">IF(B6="Mts",20*D6*Populations!$R5/1000,0.001)</f>
        <v>0.001</v>
      </c>
      <c r="CI6" s="4" t="n">
        <f aca="false">IF(NOT(CH6=0.001),0.006*CH6/3,0.001)</f>
        <v>0.001</v>
      </c>
      <c r="CJ6" s="4" t="n">
        <f aca="false">IF(NOT(CH6=0.001),0.7*CH6/3,0.001)</f>
        <v>0.001</v>
      </c>
      <c r="CK6" s="4" t="n">
        <f aca="false">IF(NOT(CH6=0.001),0.65*CH6/3,0.001)</f>
        <v>0.001</v>
      </c>
      <c r="CL6" s="4" t="n">
        <f aca="false">IF(NOT(CH6=0.001),0.002*CH6/3,0.001)</f>
        <v>0.001</v>
      </c>
      <c r="CM6" s="4" t="n">
        <f aca="false">IF(NOT(CH6=0.001),0.001*CH6/3,0.001)</f>
        <v>0.001</v>
      </c>
      <c r="CN6" s="4" t="n">
        <f aca="false">D6*3*110/(24*2000)*Populations!$S5</f>
        <v>862847.2875</v>
      </c>
      <c r="CO6" s="4" t="n">
        <f aca="false">D6*3*12/(24*2000)*Populations!$S5</f>
        <v>94128.795</v>
      </c>
      <c r="CP6" s="4" t="n">
        <f aca="false">D6*3*1.4/(24*2000)*Populations!$S5</f>
        <v>10981.69275</v>
      </c>
      <c r="CQ6" s="4" t="n">
        <f aca="false">D6*6400*8.3454*Populations!$S5/(10*1000*2000)</f>
        <v>335164.77687168</v>
      </c>
      <c r="CR6" s="4" t="n">
        <f aca="false">D6*2*Populations!$S5/(1000*2000)</f>
        <v>125.50506</v>
      </c>
      <c r="CS6" s="4" t="n">
        <f aca="false">D6*2*30*Populations!$S5/(1000*2000)</f>
        <v>3765.1518</v>
      </c>
      <c r="CT6" s="4" t="n">
        <f aca="false">27*Populations!$R5/(4*1000*2000)</f>
        <v>18.5514931209945</v>
      </c>
      <c r="CU6" s="4" t="n">
        <f aca="false">27*Populations!$R5/(16*1000*2000)</f>
        <v>4.63787328024864</v>
      </c>
      <c r="CV6" s="4" t="n">
        <f aca="false">AP6*0.9</f>
        <v>15308.16593085</v>
      </c>
      <c r="CW6" s="4" t="n">
        <f aca="false">2.5*D6*Populations!$R5/(60*2000)</f>
        <v>30346.5782534787</v>
      </c>
      <c r="CX6" s="4" t="n">
        <f aca="false">D6*125*Populations!R5/(6*1000*2000)</f>
        <v>15173.2891267394</v>
      </c>
      <c r="CY6" s="4" t="n">
        <f aca="false">D6*1.875*2*Populations!R5/(6*1000*2000)</f>
        <v>455.198673802181</v>
      </c>
      <c r="CZ6" s="4" t="n">
        <f aca="false">D6*2*20*Populations!$R5/(1000*2000)</f>
        <v>29132.7151233396</v>
      </c>
      <c r="DA6" s="4" t="n">
        <f aca="false">IF(NOT(CH6=0.001),CH6*0.00001,0.001)</f>
        <v>0.001</v>
      </c>
      <c r="DB6" s="4" t="n">
        <f aca="false">IF(NOT(CH6=0.001),CH6*0.00001,0.001)</f>
        <v>0.001</v>
      </c>
      <c r="DC6" s="4" t="n">
        <f aca="false">D6*0.02*12*Populations!$S5/(3*1000*2000)</f>
        <v>5.0202024</v>
      </c>
      <c r="DD6" s="4" t="n">
        <f aca="false">D6*0.5*12*Populations!$S5/(5*1000*2000)</f>
        <v>75.303036</v>
      </c>
      <c r="DE6" s="4" t="n">
        <f aca="false">D6*6*25*Populations!$S5/(1000*2000)</f>
        <v>9412.8795</v>
      </c>
      <c r="DG6" s="4" t="n">
        <f aca="false">PRODUCT(AC6:AD6)</f>
        <v>518.83725985532</v>
      </c>
      <c r="DH6" s="4" t="n">
        <f aca="false">LOG(PRODUCT(S6,V6,Y6:AB6,AE6:AH6,AL6:AO6,AR6:AT6,AW6,BQ6:BU6,BZ6,CH6:CM6,CT6:CU6,CW6:DB6),2)</f>
        <v>320.152669612604</v>
      </c>
      <c r="DI6" s="4" t="n">
        <f aca="false">LOG(PRODUCT($AI6:$AK6,$AP6:$AQ6,$AU6:$AV6,AX6:BP6,BV6:BY6,CA6:CG6,CN6:CS6,CV6,DC6:DE6),2)</f>
        <v>472.353873927422</v>
      </c>
      <c r="DK6" s="4" t="n">
        <f aca="false">SUM(DG6:DI6)</f>
        <v>1311.34380339535</v>
      </c>
    </row>
    <row r="7" s="4" customFormat="true" ht="12.8" hidden="false" customHeight="false" outlineLevel="0" collapsed="false">
      <c r="A7" s="0" t="s">
        <v>139</v>
      </c>
      <c r="B7" s="0" t="s">
        <v>134</v>
      </c>
      <c r="C7" s="0" t="n">
        <v>103</v>
      </c>
      <c r="D7" s="0" t="n">
        <f aca="false">IF(B7="Taiga",265,IF(B7="Mts",265,IF(B7="Temp",230,IF(B7="Steppe",265,IF(B7="Jungle",180,IF(B7="Sav",240,IF(B7="Medi",230,0)))))))</f>
        <v>265</v>
      </c>
      <c r="E7" s="0" t="n">
        <v>1</v>
      </c>
      <c r="F7" s="4" t="n">
        <f aca="false">IF(B7="Taiga",0.43,IF(B7="Mts",0.21,IF(B7="Temp",0.64,IF(B7="Steppe",0.57,IF(B7="Jungle",0.43,IF(B7="Sav",0.57,IF(B7="Medi",0.43,0)))))))</f>
        <v>0.21</v>
      </c>
      <c r="G7" s="4" t="n">
        <f aca="false">IF(B7="Taiga",0.43,IF(B7="Mts",0.8,IF(B7="Temp",0.64,IF(B7="Steppe",0.64,IF(B7="Jungle",0.43,IF(B7="Sav",0.8,IF(B7="Medi",0.6,0)))))))</f>
        <v>0.8</v>
      </c>
      <c r="H7" s="4" t="n">
        <f aca="false">$H$31*IF(B7="Taiga",528,IF(B7="Mts",855.27,IF(B7="Temp",565.94,IF(B7="Steppe",551.72,IF(B7="Jungle",575.43,IF(B7="Sav",599.15,IF(B7="Medi",564.36,0)))))))</f>
        <v>2565.81</v>
      </c>
      <c r="I7" s="4" t="n">
        <f aca="false">$H$31*IF(B7="Taiga",2608.19,IF(B7="Mts",2100,IF(B7="Temp",2976.19,IF(B7="Steppe",2450.48,IF(B7="Jungle",2135.05,IF(B7="Sav",2310.29,IF(B7="Medi",2485.52,0)))))))</f>
        <v>6300</v>
      </c>
      <c r="J7" s="4" t="n">
        <f aca="false">$H$31*IF(B7="Taiga",500.54,IF(B7="Mts",360,IF(B7="Temp",570.81,IF(B7="Steppe",441.95,IF(B7="Jungle",486.49,IF(B7="Sav",518.92,IF(B7="Medi",640,0)))))))</f>
        <v>1080</v>
      </c>
      <c r="K7" s="4" t="n">
        <f aca="false">$H$31*IF(B7="Taiga",2003.09,IF(B7="Mts",1612.8,IF(B7="Temp",2285.71,IF(B7="Steppe",1881.97,IF(B7="Jungle",1639.72,IF(B7="Sav",1774.3,IF(B7="Medi",1908.88,0)))))))</f>
        <v>4838.4</v>
      </c>
      <c r="L7" s="4" t="n">
        <f aca="false">$H$31*IF(B7="Taiga",260.82,IF(B7="Mts",210,IF(B7="Temp",297.62,IF(B7="Steppe",245.05,IF(B7="Jungle",213.5,IF(B7="Sav",231.03,IF(B7="Medi",248.55,0)))))))</f>
        <v>630</v>
      </c>
      <c r="M7" s="4" t="n">
        <f aca="false">$H$31*IF(B7="Taiga",250,IF(B7="Mts",640,IF(B7="Temp",295.2174,IF(B7="Steppe",278.2609,IF(B7="Jungle",306.5217,IF(B7="Sav",334.7826,IF(B7="Medi",293.3333,0)))))))</f>
        <v>1920</v>
      </c>
      <c r="N7" s="4" t="n">
        <f aca="false">$H$31*IF(B7="Taiga",1491.9691,IF(B7="Mts",980,IF(B7="Temp",1747.9537,IF(B7="Steppe",1278.5174,IF(B7="Jungle",1440.7722,IF(B7="Sav",1558.9189,IF(B7="Medi",2000,0)))))))</f>
        <v>2940</v>
      </c>
      <c r="O7" s="4" t="n">
        <f aca="false">$H$31*IF(B7="Taiga",68.5,IF(B7="Mts",25,IF(B7="Temp",100,IF(B7="Steppe",55,IF(B7="Jungle",28,IF(B7="Sav",43,IF(B7="Medi",58,0)))))))</f>
        <v>75</v>
      </c>
      <c r="P7" s="4" t="n">
        <f aca="false">$H$31*20*15/8000</f>
        <v>0.1125</v>
      </c>
      <c r="Q7" s="4" t="n">
        <f aca="false">$H$31*20*15/8000</f>
        <v>0.1125</v>
      </c>
      <c r="R7" s="1" t="s">
        <v>39</v>
      </c>
      <c r="S7" s="4" t="n">
        <f aca="false">C7*F7*G7*360*640*1393.66125/(2000*1000)</f>
        <v>2778.153323904</v>
      </c>
      <c r="T7" s="4" t="n">
        <f aca="false">C7*F7*G7*J7*640*1393.66125*2/(1000*2000*3)</f>
        <v>5556.306647808</v>
      </c>
      <c r="U7" s="4" t="n">
        <f aca="false">T7*J$28</f>
        <v>1852.102215936</v>
      </c>
      <c r="V7" s="4" t="n">
        <f aca="false">T7-U7</f>
        <v>3704.204431872</v>
      </c>
      <c r="W7" s="4" t="n">
        <f aca="false">C7*F7*G7*H7*640*1393.66125*2/(1000*2000*3)</f>
        <v>13200.3955185299</v>
      </c>
      <c r="X7" s="4" t="n">
        <f aca="false">W7*H$28</f>
        <v>3600.10786868996</v>
      </c>
      <c r="Y7" s="4" t="n">
        <f aca="false">W7-X7</f>
        <v>9600.28764983989</v>
      </c>
      <c r="Z7" s="4" t="n">
        <f aca="false">C7*F7*G7*M7*640*1393.66125/(1000*2000*3)</f>
        <v>4938.939242496</v>
      </c>
      <c r="AA7" s="4" t="n">
        <f aca="false">C7*F7*G7*N7*640*1393.66125/(2000*1000)</f>
        <v>22688.252145216</v>
      </c>
      <c r="AB7" s="4" t="n">
        <f aca="false">C7*F7*G7*O7*640*1393.66125/(2000*1000)</f>
        <v>578.78194248</v>
      </c>
      <c r="AC7" s="4" t="n">
        <f aca="false">C7*P7*640*1393.66125/(2000*1000)</f>
        <v>5.167695915</v>
      </c>
      <c r="AD7" s="4" t="n">
        <f aca="false">C7*Q7*640*1393.66125/(2000*1000)</f>
        <v>5.167695915</v>
      </c>
      <c r="AE7" s="4" t="n">
        <f aca="false">($V7+$Z7)*2000*1000/(3*365)</f>
        <v>15786563.7888</v>
      </c>
      <c r="AF7" s="4" t="n">
        <f aca="false">($V7+$Z7)*2000*1000/(18*100)</f>
        <v>9603492.97152</v>
      </c>
      <c r="AG7" s="4" t="n">
        <f aca="false">($V7+$Z7)*2000*1000/(3*365)</f>
        <v>15786563.7888</v>
      </c>
      <c r="AH7" s="4" t="n">
        <f aca="false">C7*F7*G7*K7*640*1393.66125/(2000*1000)</f>
        <v>37338.3806732698</v>
      </c>
      <c r="AI7" s="4" t="n">
        <f aca="false">3*12*D7*Populations!$S6/(5*1000)</f>
        <v>51662.916</v>
      </c>
      <c r="AJ7" s="4" t="n">
        <f aca="false">1.5*D7*750*Populations!$S6/(1000*2000*15)</f>
        <v>269.0776875</v>
      </c>
      <c r="AK7" s="4" t="n">
        <f aca="false">66*10*D7*Populations!$S6/(1000*2000*6)</f>
        <v>394.647275</v>
      </c>
      <c r="AL7" s="4" t="n">
        <f aca="false">AE7*365/(2000*1000)</f>
        <v>2881.047891456</v>
      </c>
      <c r="AM7" s="4" t="n">
        <f aca="false">AF7*25*238/(51*2000*1000)</f>
        <v>560.203756672</v>
      </c>
      <c r="AN7" s="4" t="n">
        <f aca="false">AG7*100*238/(600*1000*2000)</f>
        <v>313.1001818112</v>
      </c>
      <c r="AO7" s="4" t="n">
        <f aca="false">AG7*120*2/(16*1000*2000)</f>
        <v>118.399228416</v>
      </c>
      <c r="AP7" s="4" t="n">
        <f aca="false">D7*4800*Populations!$S6/($AP$28*10*1000*2000)</f>
        <v>972.446762625002</v>
      </c>
      <c r="AQ7" s="4" t="n">
        <f aca="false">D7*2*4800*Populations!$S6/($AQ$28*10*1000*2000)</f>
        <v>3740.17985625</v>
      </c>
      <c r="AR7" s="4" t="n">
        <f aca="false">C7*F7*G7*L7*640*1393.66125/(2000*1000)</f>
        <v>4861.768316832</v>
      </c>
      <c r="AS7" s="4" t="n">
        <f aca="false">AF7*600*6/(90*1000*2000)</f>
        <v>192.0698594304</v>
      </c>
      <c r="AT7" s="4" t="n">
        <f aca="false">IF(B7="Taiga",236.2,IF(B7="Mts",10,IF(B7="Temp",400,IF(B7="Steppe",25,IF(B7="Jungle",400,IF(B7="Sav",103.6,IF(B7="Medi",181.6,0)))))))*D7*AT$36*Populations!$R6/1000</f>
        <v>2190.03742015849</v>
      </c>
      <c r="AU7" s="4" t="n">
        <f aca="false">INDEX(Tech!$F$3:$F$13,MATCH(E7,Tech!$E$3:$E$13,1))*D7*AT$36*Populations!$S6/(365*1000)</f>
        <v>1345.3884375</v>
      </c>
      <c r="AV7" s="4" t="n">
        <f aca="false">D7*12.5*AT$36*Populations!$S6/(10*30)</f>
        <v>560.578515625</v>
      </c>
      <c r="AW7" s="4" t="n">
        <f aca="false">0.125*D7*AW$30*Populations!$R6/1000</f>
        <v>56.4619022384611</v>
      </c>
      <c r="AX7" s="4" t="n">
        <f aca="false">D7*AW$30*Populations!$S6/(3*1000)</f>
        <v>9.2495455078125</v>
      </c>
      <c r="AY7" s="4" t="n">
        <f aca="false">D7*Populations!$S6/(2*1000*AY$30)/1000</f>
        <v>6.4578645</v>
      </c>
      <c r="AZ7" s="4" t="n">
        <f aca="false">D7*AZ$30*Populations!$S6/(2*1000)</f>
        <v>4.484628125</v>
      </c>
      <c r="BA7" s="4" t="n">
        <f aca="false">D7*2*BA$30*Populations!$S6/1000</f>
        <v>21.526215</v>
      </c>
      <c r="BB7" s="4" t="n">
        <f aca="false">D7*3*BB$30*Populations!$S6/1000</f>
        <v>16.14466125</v>
      </c>
      <c r="BC7" s="4" t="n">
        <f aca="false">D7*11*BC$30*Populations!$S6/(15*1000)</f>
        <v>3.1571782</v>
      </c>
      <c r="BD7" s="4" t="n">
        <f aca="false">D7*11*BD$30*Populations!$S6/(8*1000)</f>
        <v>7.39963640625</v>
      </c>
      <c r="BE7" s="4" t="n">
        <f aca="false">D7*11*BE$30*Populations!$S6/(3*1000)</f>
        <v>4.79214548214285</v>
      </c>
      <c r="BF7" s="4" t="n">
        <f aca="false">D7*11*BF$30*Populations!$S6/(5*1000)</f>
        <v>3.45316365625</v>
      </c>
      <c r="BG7" s="4" t="n">
        <f aca="false">D7*11*BG$30*Populations!$S6/(9*1000)</f>
        <v>8.76993944444445</v>
      </c>
      <c r="BH7" s="4" t="n">
        <f aca="false">D7*11*BH$30*Populations!$S6/(12*1000)</f>
        <v>4.9330909375</v>
      </c>
      <c r="BI7" s="4" t="n">
        <f aca="false">D7*BI$30*Populations!$S6/(1000*125/12)</f>
        <v>13.7767776</v>
      </c>
      <c r="BJ7" s="4" t="n">
        <f aca="false">D7*BJ$30*Populations!$S6/(30*1000)</f>
        <v>6.26173676333333</v>
      </c>
      <c r="BK7" s="4" t="n">
        <f aca="false">D7*BK$30*Populations!$S6/(7*1000)</f>
        <v>0.864892566964286</v>
      </c>
      <c r="BL7" s="4" t="n">
        <f aca="false">D7*BL$30*Populations!$S6/(8.5*1000)</f>
        <v>1.42452893382353</v>
      </c>
      <c r="BM7" s="4" t="n">
        <f aca="false">D7*BM$30*Populations!$S6/1000</f>
        <v>3.027123984375</v>
      </c>
      <c r="BN7" s="4" t="n">
        <f aca="false">D7*BN$30*Populations!$S6/(1.5*1000)</f>
        <v>7.175405</v>
      </c>
      <c r="BO7" s="4" t="n">
        <f aca="false">D7*BO$30*Populations!$S6/(2*1000)</f>
        <v>5.8300165625</v>
      </c>
      <c r="BP7" s="4" t="n">
        <f aca="false">D7*BP$30*Populations!$S6/(4*1000)</f>
        <v>1.3453884375</v>
      </c>
      <c r="BQ7" s="4" t="n">
        <f aca="false">D7*Populations!$R6*10/(3*1000*2000)</f>
        <v>194.669992902977</v>
      </c>
      <c r="BR7" s="4" t="n">
        <f aca="false">D7*2*Populations!$R6/(30*1000*2000)</f>
        <v>3.89339985805954</v>
      </c>
      <c r="BS7" s="4" t="n">
        <f aca="false">D7*2*Populations!$S6/((37.5/12)*1000*2000)</f>
        <v>2.2961296</v>
      </c>
      <c r="BT7" s="4" t="n">
        <f aca="false">D7*2*Populations!$S6/((20/9)*1000*2000)</f>
        <v>3.22893225</v>
      </c>
      <c r="BU7" s="4" t="n">
        <f aca="false">AF7*25*4/(51*$BU$32)</f>
        <v>4.70759459388235</v>
      </c>
      <c r="BV7" s="4" t="n">
        <f aca="false">D7*Populations!$S6*12/($BV$30*3)</f>
        <v>22.60252575</v>
      </c>
      <c r="BW7" s="4" t="n">
        <f aca="false">D7*Populations!$S6*12/(2*$BW$30)</f>
        <v>19.3735935</v>
      </c>
      <c r="BX7" s="4" t="n">
        <f aca="false">D7*Populations!$S6*12/(5*$BX$30)</f>
        <v>9.68679674999999</v>
      </c>
      <c r="BY7" s="4" t="n">
        <f aca="false">D7*Populations!$S6/(2*$BY$30)</f>
        <v>5.6506314375</v>
      </c>
      <c r="BZ7" s="4" t="n">
        <f aca="false">D7*Populations!$R6*500/(1000*2000)</f>
        <v>29200.4989354465</v>
      </c>
      <c r="CA7" s="4" t="n">
        <f aca="false">D7*Populations!R6*15/(1000*2000)</f>
        <v>876.014968063396</v>
      </c>
      <c r="CB7" s="4" t="n">
        <f aca="false">IF(B7="Mts",1,D7*Populations!R6*30/(1000*2000))</f>
        <v>1</v>
      </c>
      <c r="CC7" s="4" t="n">
        <f aca="false">D7*40*Populations!R6/(1000*2000)</f>
        <v>2336.03991483572</v>
      </c>
      <c r="CD7" s="4" t="n">
        <f aca="false">D7*40*Populations!R6/(1000*2000)</f>
        <v>2336.03991483572</v>
      </c>
      <c r="CE7" s="4" t="n">
        <f aca="false">D7*20*Populations!R6/(1000*2000)</f>
        <v>1168.01995741786</v>
      </c>
      <c r="CF7" s="4" t="n">
        <f aca="false">D7*8.3454*32*Populations!$S6/(1000*2000)</f>
        <v>958.105998192</v>
      </c>
      <c r="CG7" s="4" t="n">
        <f aca="false">D7*50*2*Populations!$S6/(3*1000*2000)</f>
        <v>119.590083333333</v>
      </c>
      <c r="CH7" s="4" t="n">
        <f aca="false">IF(B7="Mts",20*D7*Populations!$R6/1000,0.001)</f>
        <v>2336039.91483572</v>
      </c>
      <c r="CI7" s="4" t="n">
        <f aca="false">IF(NOT(CH7=0.001),0.006*CH7/3,0.001)</f>
        <v>4672.07982967145</v>
      </c>
      <c r="CJ7" s="4" t="n">
        <f aca="false">IF(NOT(CH7=0.001),0.7*CH7/3,0.001)</f>
        <v>545075.980128335</v>
      </c>
      <c r="CK7" s="4" t="n">
        <f aca="false">IF(NOT(CH7=0.001),0.65*CH7/3,0.001)</f>
        <v>506141.98154774</v>
      </c>
      <c r="CL7" s="4" t="n">
        <f aca="false">IF(NOT(CH7=0.001),0.002*CH7/3,0.001)</f>
        <v>1557.35994322382</v>
      </c>
      <c r="CM7" s="4" t="n">
        <f aca="false">IF(NOT(CH7=0.001),0.001*CH7/3,0.001)</f>
        <v>778.679971611908</v>
      </c>
      <c r="CN7" s="4" t="n">
        <f aca="false">D7*3*110/(24*2000)*Populations!$S6</f>
        <v>49330.909375</v>
      </c>
      <c r="CO7" s="4" t="n">
        <f aca="false">D7*3*12/(24*2000)*Populations!$S6</f>
        <v>5381.55375</v>
      </c>
      <c r="CP7" s="4" t="n">
        <f aca="false">D7*3*1.4/(24*2000)*Populations!$S6</f>
        <v>627.8479375</v>
      </c>
      <c r="CQ7" s="4" t="n">
        <f aca="false">D7*6400*8.3454*Populations!$S6/(10*1000*2000)</f>
        <v>19162.11996384</v>
      </c>
      <c r="CR7" s="4" t="n">
        <f aca="false">D7*2*Populations!$S6/(1000*2000)</f>
        <v>7.175405</v>
      </c>
      <c r="CS7" s="4" t="n">
        <f aca="false">D7*2*30*Populations!$S6/(1000*2000)</f>
        <v>215.26215</v>
      </c>
      <c r="CT7" s="4" t="n">
        <f aca="false">27*Populations!$R6/(4*1000*2000)</f>
        <v>1.48757258727746</v>
      </c>
      <c r="CU7" s="4" t="n">
        <f aca="false">27*Populations!$R6/(16*1000*2000)</f>
        <v>0.371893146819366</v>
      </c>
      <c r="CV7" s="4" t="n">
        <f aca="false">AP7*0.9</f>
        <v>875.202086362502</v>
      </c>
      <c r="CW7" s="4" t="n">
        <f aca="false">2.5*D7*Populations!$R6/(60*2000)</f>
        <v>2433.37491128721</v>
      </c>
      <c r="CX7" s="4" t="n">
        <f aca="false">D7*125*Populations!R6/(6*1000*2000)</f>
        <v>1216.68745564361</v>
      </c>
      <c r="CY7" s="4" t="n">
        <f aca="false">D7*1.875*2*Populations!R6/(6*1000*2000)</f>
        <v>36.5006236693082</v>
      </c>
      <c r="CZ7" s="4" t="n">
        <f aca="false">D7*2*20*Populations!$R6/(1000*2000)</f>
        <v>2336.03991483572</v>
      </c>
      <c r="DA7" s="4" t="n">
        <f aca="false">IF(NOT(CH7=0.001),CH7*0.00001,0.001)</f>
        <v>23.3603991483572</v>
      </c>
      <c r="DB7" s="4" t="n">
        <f aca="false">IF(NOT(CH7=0.001),CH7*0.00001,0.001)</f>
        <v>23.3603991483572</v>
      </c>
      <c r="DC7" s="4" t="n">
        <f aca="false">D7*0.02*12*Populations!$S6/(3*1000*2000)</f>
        <v>0.2870162</v>
      </c>
      <c r="DD7" s="4" t="n">
        <f aca="false">D7*0.5*12*Populations!$S6/(5*1000*2000)</f>
        <v>4.305243</v>
      </c>
      <c r="DE7" s="4" t="n">
        <f aca="false">D7*6*25*Populations!$S6/(1000*2000)</f>
        <v>538.155375</v>
      </c>
      <c r="DG7" s="4" t="n">
        <f aca="false">PRODUCT(AC7:AD7)</f>
        <v>26.7050810699077</v>
      </c>
      <c r="DH7" s="4" t="n">
        <f aca="false">LOG(PRODUCT(S7,V7,Y7:AB7,AE7:AH7,AL7:AO7,AR7:AT7,AW7,BQ7:BU7,BZ7,CH7:CM7,CT7:CU7,CW7:DB7),2)</f>
        <v>398.397508606819</v>
      </c>
      <c r="DI7" s="4" t="n">
        <f aca="false">LOG(PRODUCT($AI7:$AK7,$AP7:$AQ7,$AU7:$AV7,AX7:BP7,BV7:BY7,CA7:CG7,CN7:CS7,CV7,DC7:DE7),2)</f>
        <v>273.299732464106</v>
      </c>
      <c r="DK7" s="4" t="n">
        <f aca="false">SUM(DG7:DI7)</f>
        <v>698.402322140832</v>
      </c>
    </row>
    <row r="8" s="4" customFormat="true" ht="12.8" hidden="false" customHeight="false" outlineLevel="0" collapsed="false">
      <c r="A8" s="0" t="s">
        <v>140</v>
      </c>
      <c r="B8" s="0" t="s">
        <v>136</v>
      </c>
      <c r="C8" s="0" t="n">
        <v>67</v>
      </c>
      <c r="D8" s="0" t="n">
        <f aca="false">IF(B8="Taiga",265,IF(B8="Mts",265,IF(B8="Temp",230,IF(B8="Steppe",265,IF(B8="Jungle",180,IF(B8="Sav",240,IF(B8="Medi",230,0)))))))</f>
        <v>230</v>
      </c>
      <c r="E8" s="0" t="n">
        <v>1</v>
      </c>
      <c r="F8" s="4" t="n">
        <f aca="false">IF(B8="Taiga",0.43,IF(B8="Mts",0.21,IF(B8="Temp",0.64,IF(B8="Steppe",0.57,IF(B8="Jungle",0.43,IF(B8="Sav",0.57,IF(B8="Medi",0.43,0)))))))</f>
        <v>0.64</v>
      </c>
      <c r="G8" s="4" t="n">
        <f aca="false">IF(B8="Taiga",0.43,IF(B8="Mts",0.8,IF(B8="Temp",0.64,IF(B8="Steppe",0.64,IF(B8="Jungle",0.43,IF(B8="Sav",0.8,IF(B8="Medi",0.6,0)))))))</f>
        <v>0.64</v>
      </c>
      <c r="H8" s="4" t="n">
        <f aca="false">$H$31*IF(B8="Taiga",528,IF(B8="Mts",855.27,IF(B8="Temp",565.94,IF(B8="Steppe",551.72,IF(B8="Jungle",575.43,IF(B8="Sav",599.15,IF(B8="Medi",564.36,0)))))))</f>
        <v>1697.82</v>
      </c>
      <c r="I8" s="4" t="n">
        <f aca="false">$H$31*IF(B8="Taiga",2608.19,IF(B8="Mts",2100,IF(B8="Temp",2976.19,IF(B8="Steppe",2450.48,IF(B8="Jungle",2135.05,IF(B8="Sav",2310.29,IF(B8="Medi",2485.52,0)))))))</f>
        <v>8928.57</v>
      </c>
      <c r="J8" s="4" t="n">
        <f aca="false">$H$31*IF(B8="Taiga",500.54,IF(B8="Mts",360,IF(B8="Temp",570.81,IF(B8="Steppe",441.95,IF(B8="Jungle",486.49,IF(B8="Sav",518.92,IF(B8="Medi",640,0)))))))</f>
        <v>1712.43</v>
      </c>
      <c r="K8" s="4" t="n">
        <f aca="false">$H$31*IF(B8="Taiga",2003.09,IF(B8="Mts",1612.8,IF(B8="Temp",2285.71,IF(B8="Steppe",1881.97,IF(B8="Jungle",1639.72,IF(B8="Sav",1774.3,IF(B8="Medi",1908.88,0)))))))</f>
        <v>6857.13</v>
      </c>
      <c r="L8" s="4" t="n">
        <f aca="false">$H$31*IF(B8="Taiga",260.82,IF(B8="Mts",210,IF(B8="Temp",297.62,IF(B8="Steppe",245.05,IF(B8="Jungle",213.5,IF(B8="Sav",231.03,IF(B8="Medi",248.55,0)))))))</f>
        <v>892.86</v>
      </c>
      <c r="M8" s="4" t="n">
        <f aca="false">$H$31*IF(B8="Taiga",250,IF(B8="Mts",640,IF(B8="Temp",295.2174,IF(B8="Steppe",278.2609,IF(B8="Jungle",306.5217,IF(B8="Sav",334.7826,IF(B8="Medi",293.3333,0)))))))</f>
        <v>885.6522</v>
      </c>
      <c r="N8" s="4" t="n">
        <f aca="false">$H$31*IF(B8="Taiga",1491.9691,IF(B8="Mts",980,IF(B8="Temp",1747.9537,IF(B8="Steppe",1278.5174,IF(B8="Jungle",1440.7722,IF(B8="Sav",1558.9189,IF(B8="Medi",2000,0)))))))</f>
        <v>5243.8611</v>
      </c>
      <c r="O8" s="4" t="n">
        <f aca="false">$H$31*IF(B8="Taiga",68.5,IF(B8="Mts",25,IF(B8="Temp",100,IF(B8="Steppe",55,IF(B8="Jungle",28,IF(B8="Sav",43,IF(B8="Medi",58,0)))))))</f>
        <v>300</v>
      </c>
      <c r="P8" s="4" t="n">
        <f aca="false">$H$31*20*15/8000</f>
        <v>0.1125</v>
      </c>
      <c r="Q8" s="4" t="n">
        <f aca="false">$H$31*20*15/8000</f>
        <v>0.1125</v>
      </c>
      <c r="R8" s="1" t="s">
        <v>39</v>
      </c>
      <c r="S8" s="4" t="n">
        <f aca="false">C8*F8*G8*360*640*1393.66125/(2000*1000)</f>
        <v>4405.9996127232</v>
      </c>
      <c r="T8" s="4" t="n">
        <f aca="false">C8*F8*G8*J8*640*1393.66125*2/(1000*2000*3)</f>
        <v>13972.1591052141</v>
      </c>
      <c r="U8" s="4" t="n">
        <f aca="false">T8*J$28</f>
        <v>4657.38636840468</v>
      </c>
      <c r="V8" s="4" t="n">
        <f aca="false">T8-U8</f>
        <v>9314.77273680937</v>
      </c>
      <c r="W8" s="4" t="n">
        <f aca="false">C8*F8*G8*H8*640*1393.66125*2/(1000*2000*3)</f>
        <v>13852.9523379143</v>
      </c>
      <c r="X8" s="4" t="n">
        <f aca="false">W8*H$28</f>
        <v>3778.07791034026</v>
      </c>
      <c r="Y8" s="4" t="n">
        <f aca="false">W8-X8</f>
        <v>10074.874427574</v>
      </c>
      <c r="Z8" s="4" t="n">
        <f aca="false">C8*F8*G8*M8*640*1393.66125/(1000*2000*3)</f>
        <v>3613.13263908097</v>
      </c>
      <c r="AA8" s="4" t="n">
        <f aca="false">C8*F8*G8*N8*640*1393.66125/(2000*1000)</f>
        <v>64179.0277104841</v>
      </c>
      <c r="AB8" s="4" t="n">
        <f aca="false">C8*F8*G8*O8*640*1393.66125/(2000*1000)</f>
        <v>3671.666343936</v>
      </c>
      <c r="AC8" s="4" t="n">
        <f aca="false">C8*P8*640*1393.66125/(2000*1000)</f>
        <v>3.361510935</v>
      </c>
      <c r="AD8" s="4" t="n">
        <f aca="false">C8*Q8*640*1393.66125/(2000*1000)</f>
        <v>3.361510935</v>
      </c>
      <c r="AE8" s="4" t="n">
        <f aca="false">($V8+$Z8)*2000*1000/(3*365)</f>
        <v>23612612.5587038</v>
      </c>
      <c r="AF8" s="4" t="n">
        <f aca="false">($V8+$Z8)*2000*1000/(18*100)</f>
        <v>14364339.3065448</v>
      </c>
      <c r="AG8" s="4" t="n">
        <f aca="false">($V8+$Z8)*2000*1000/(3*365)</f>
        <v>23612612.5587038</v>
      </c>
      <c r="AH8" s="4" t="n">
        <f aca="false">C8*F8*G8*K8*640*1393.66125/(2000*1000)</f>
        <v>83923.6447899796</v>
      </c>
      <c r="AI8" s="4" t="n">
        <f aca="false">3*12*D8*Populations!$S7/(5*1000)</f>
        <v>232103.304</v>
      </c>
      <c r="AJ8" s="4" t="n">
        <f aca="false">1.5*D8*750*Populations!$S7/(1000*2000*15)</f>
        <v>1208.871375</v>
      </c>
      <c r="AK8" s="4" t="n">
        <f aca="false">66*10*D8*Populations!$S7/(1000*2000*6)</f>
        <v>1773.01135</v>
      </c>
      <c r="AL8" s="4" t="n">
        <f aca="false">AE8*365/(2000*1000)</f>
        <v>4309.30179196345</v>
      </c>
      <c r="AM8" s="4" t="n">
        <f aca="false">AF8*25*238/(51*2000*1000)</f>
        <v>837.919792881782</v>
      </c>
      <c r="AN8" s="4" t="n">
        <f aca="false">AG8*100*238/(600*1000*2000)</f>
        <v>468.316815747626</v>
      </c>
      <c r="AO8" s="4" t="n">
        <f aca="false">AG8*120*2/(16*1000*2000)</f>
        <v>177.094594190279</v>
      </c>
      <c r="AP8" s="4" t="n">
        <f aca="false">D8*4800*Populations!$S7/($AP$28*10*1000*2000)</f>
        <v>4368.86114925001</v>
      </c>
      <c r="AQ8" s="4" t="n">
        <f aca="false">D8*2*4800*Populations!$S7/($AQ$28*10*1000*2000)</f>
        <v>16803.3121125</v>
      </c>
      <c r="AR8" s="4" t="n">
        <f aca="false">C8*F8*G8*L8*640*1393.66125/(2000*1000)</f>
        <v>10927.6133728223</v>
      </c>
      <c r="AS8" s="4" t="n">
        <f aca="false">AF8*600*6/(90*1000*2000)</f>
        <v>287.286786130897</v>
      </c>
      <c r="AT8" s="4" t="n">
        <f aca="false">IF(B8="Taiga",236.2,IF(B8="Mts",10,IF(B8="Temp",400,IF(B8="Steppe",25,IF(B8="Jungle",400,IF(B8="Sav",103.6,IF(B8="Medi",181.6,0)))))))*D8*AT$36*Populations!$R7/1000</f>
        <v>231801.146576549</v>
      </c>
      <c r="AU8" s="4" t="n">
        <f aca="false">INDEX(Tech!$F$3:$F$13,MATCH(E8,Tech!$E$3:$E$13,1))*D8*AT$36*Populations!$S7/(365*1000)</f>
        <v>6044.356875</v>
      </c>
      <c r="AV8" s="4" t="n">
        <f aca="false">D8*12.5*AT$36*Populations!$S7/(10*30)</f>
        <v>2518.48203125</v>
      </c>
      <c r="AW8" s="4" t="n">
        <f aca="false">0.125*D8*AW$30*Populations!$R7/1000</f>
        <v>149.403082754416</v>
      </c>
      <c r="AX8" s="4" t="n">
        <f aca="false">D8*AW$30*Populations!$S7/(3*1000)</f>
        <v>41.554953515625</v>
      </c>
      <c r="AY8" s="4" t="n">
        <f aca="false">D8*Populations!$S7/(2*1000*AY$30)/1000</f>
        <v>29.012913</v>
      </c>
      <c r="AZ8" s="4" t="n">
        <f aca="false">D8*AZ$30*Populations!$S7/(2*1000)</f>
        <v>20.14785625</v>
      </c>
      <c r="BA8" s="4" t="n">
        <f aca="false">D8*2*BA$30*Populations!$S7/1000</f>
        <v>96.70971</v>
      </c>
      <c r="BB8" s="4" t="n">
        <f aca="false">D8*3*BB$30*Populations!$S7/1000</f>
        <v>72.5322825</v>
      </c>
      <c r="BC8" s="4" t="n">
        <f aca="false">D8*11*BC$30*Populations!$S7/(15*1000)</f>
        <v>14.1840908</v>
      </c>
      <c r="BD8" s="4" t="n">
        <f aca="false">D8*11*BD$30*Populations!$S7/(8*1000)</f>
        <v>33.2439628125</v>
      </c>
      <c r="BE8" s="4" t="n">
        <f aca="false">D8*11*BE$30*Populations!$S7/(3*1000)</f>
        <v>21.5294235357143</v>
      </c>
      <c r="BF8" s="4" t="n">
        <f aca="false">D8*11*BF$30*Populations!$S7/(5*1000)</f>
        <v>15.5138493125</v>
      </c>
      <c r="BG8" s="4" t="n">
        <f aca="false">D8*11*BG$30*Populations!$S7/(9*1000)</f>
        <v>39.4002522222222</v>
      </c>
      <c r="BH8" s="4" t="n">
        <f aca="false">D8*11*BH$30*Populations!$S7/(12*1000)</f>
        <v>22.162641875</v>
      </c>
      <c r="BI8" s="4" t="n">
        <f aca="false">D8*BI$30*Populations!$S7/(1000*125/12)</f>
        <v>61.8942144</v>
      </c>
      <c r="BJ8" s="4" t="n">
        <f aca="false">D8*BJ$30*Populations!$S7/(30*1000)</f>
        <v>28.1317800866667</v>
      </c>
      <c r="BK8" s="4" t="n">
        <f aca="false">D8*BK$30*Populations!$S7/(7*1000)</f>
        <v>3.88565799107143</v>
      </c>
      <c r="BL8" s="4" t="n">
        <f aca="false">D8*BL$30*Populations!$S7/(8.5*1000)</f>
        <v>6.39990727941176</v>
      </c>
      <c r="BM8" s="4" t="n">
        <f aca="false">D8*BM$30*Populations!$S7/1000</f>
        <v>13.59980296875</v>
      </c>
      <c r="BN8" s="4" t="n">
        <f aca="false">D8*BN$30*Populations!$S7/(1.5*1000)</f>
        <v>32.23657</v>
      </c>
      <c r="BO8" s="4" t="n">
        <f aca="false">D8*BO$30*Populations!$S7/(2*1000)</f>
        <v>26.192213125</v>
      </c>
      <c r="BP8" s="4" t="n">
        <f aca="false">D8*BP$30*Populations!$S7/(4*1000)</f>
        <v>6.044356875</v>
      </c>
      <c r="BQ8" s="4" t="n">
        <f aca="false">D8*Populations!$R7*10/(3*1000*2000)</f>
        <v>515.113659058997</v>
      </c>
      <c r="BR8" s="4" t="n">
        <f aca="false">D8*2*Populations!$R7/(30*1000*2000)</f>
        <v>10.3022731811799</v>
      </c>
      <c r="BS8" s="4" t="n">
        <f aca="false">D8*2*Populations!$S7/((37.5/12)*1000*2000)</f>
        <v>10.3157024</v>
      </c>
      <c r="BT8" s="4" t="n">
        <f aca="false">D8*2*Populations!$S7/((20/9)*1000*2000)</f>
        <v>14.5064565</v>
      </c>
      <c r="BU8" s="4" t="n">
        <f aca="false">AF8*25*4/(51*$BU$32)</f>
        <v>7.0413427973259</v>
      </c>
      <c r="BV8" s="4" t="n">
        <f aca="false">D8*Populations!$S7*12/($BV$30*3)</f>
        <v>101.5451955</v>
      </c>
      <c r="BW8" s="4" t="n">
        <f aca="false">D8*Populations!$S7*12/(2*$BW$30)</f>
        <v>87.0387390000001</v>
      </c>
      <c r="BX8" s="4" t="n">
        <f aca="false">D8*Populations!$S7*12/(5*$BX$30)</f>
        <v>43.5193694999999</v>
      </c>
      <c r="BY8" s="4" t="n">
        <f aca="false">D8*Populations!$S7/(2*$BY$30)</f>
        <v>25.386298875</v>
      </c>
      <c r="BZ8" s="4" t="n">
        <f aca="false">D8*Populations!$R7*500/(1000*2000)</f>
        <v>77267.0488588496</v>
      </c>
      <c r="CA8" s="4" t="n">
        <f aca="false">D8*Populations!R7*15/(1000*2000)</f>
        <v>2318.01146576549</v>
      </c>
      <c r="CB8" s="4" t="n">
        <f aca="false">IF(B8="Mts",1,D8*Populations!R7*30/(1000*2000))</f>
        <v>4636.02293153097</v>
      </c>
      <c r="CC8" s="4" t="n">
        <f aca="false">D8*40*Populations!R7/(1000*2000)</f>
        <v>6181.36390870796</v>
      </c>
      <c r="CD8" s="4" t="n">
        <f aca="false">D8*40*Populations!R7/(1000*2000)</f>
        <v>6181.36390870796</v>
      </c>
      <c r="CE8" s="4" t="n">
        <f aca="false">D8*20*Populations!R7/(1000*2000)</f>
        <v>3090.68195435398</v>
      </c>
      <c r="CF8" s="4" t="n">
        <f aca="false">D8*8.3454*32*Populations!$S7/(1000*2000)</f>
        <v>4304.433140448</v>
      </c>
      <c r="CG8" s="4" t="n">
        <f aca="false">D8*50*2*Populations!$S7/(3*1000*2000)</f>
        <v>537.276166666667</v>
      </c>
      <c r="CH8" s="4" t="n">
        <f aca="false">IF(B8="Mts",20*D8*Populations!$R7/1000,0.001)</f>
        <v>0.001</v>
      </c>
      <c r="CI8" s="4" t="n">
        <f aca="false">IF(NOT(CH8=0.001),0.006*CH8/3,0.001)</f>
        <v>0.001</v>
      </c>
      <c r="CJ8" s="4" t="n">
        <f aca="false">IF(NOT(CH8=0.001),0.7*CH8/3,0.001)</f>
        <v>0.001</v>
      </c>
      <c r="CK8" s="4" t="n">
        <f aca="false">IF(NOT(CH8=0.001),0.65*CH8/3,0.001)</f>
        <v>0.001</v>
      </c>
      <c r="CL8" s="4" t="n">
        <f aca="false">IF(NOT(CH8=0.001),0.002*CH8/3,0.001)</f>
        <v>0.001</v>
      </c>
      <c r="CM8" s="4" t="n">
        <f aca="false">IF(NOT(CH8=0.001),0.001*CH8/3,0.001)</f>
        <v>0.001</v>
      </c>
      <c r="CN8" s="4" t="n">
        <f aca="false">D8*3*110/(24*2000)*Populations!$S7</f>
        <v>221626.41875</v>
      </c>
      <c r="CO8" s="4" t="n">
        <f aca="false">D8*3*12/(24*2000)*Populations!$S7</f>
        <v>24177.4275</v>
      </c>
      <c r="CP8" s="4" t="n">
        <f aca="false">D8*3*1.4/(24*2000)*Populations!$S7</f>
        <v>2820.699875</v>
      </c>
      <c r="CQ8" s="4" t="n">
        <f aca="false">D8*6400*8.3454*Populations!$S7/(10*1000*2000)</f>
        <v>86088.66280896</v>
      </c>
      <c r="CR8" s="4" t="n">
        <f aca="false">D8*2*Populations!$S7/(1000*2000)</f>
        <v>32.23657</v>
      </c>
      <c r="CS8" s="4" t="n">
        <f aca="false">D8*2*30*Populations!$S7/(1000*2000)</f>
        <v>967.0971</v>
      </c>
      <c r="CT8" s="4" t="n">
        <f aca="false">27*Populations!$R7/(4*1000*2000)</f>
        <v>4.53523982432378</v>
      </c>
      <c r="CU8" s="4" t="n">
        <f aca="false">27*Populations!$R7/(16*1000*2000)</f>
        <v>1.13380995608094</v>
      </c>
      <c r="CV8" s="4" t="n">
        <f aca="false">AP8*0.9</f>
        <v>3931.97503432501</v>
      </c>
      <c r="CW8" s="4" t="n">
        <f aca="false">2.5*D8*Populations!$R7/(60*2000)</f>
        <v>6438.92073823746</v>
      </c>
      <c r="CX8" s="4" t="n">
        <f aca="false">D8*125*Populations!R7/(6*1000*2000)</f>
        <v>3219.46036911873</v>
      </c>
      <c r="CY8" s="4" t="n">
        <f aca="false">D8*1.875*2*Populations!R7/(6*1000*2000)</f>
        <v>96.583811073562</v>
      </c>
      <c r="CZ8" s="4" t="n">
        <f aca="false">D8*2*20*Populations!$R7/(1000*2000)</f>
        <v>6181.36390870796</v>
      </c>
      <c r="DA8" s="4" t="n">
        <f aca="false">IF(NOT(CH8=0.001),CH8*0.00001,0.001)</f>
        <v>0.001</v>
      </c>
      <c r="DB8" s="4" t="n">
        <f aca="false">IF(NOT(CH8=0.001),CH8*0.00001,0.001)</f>
        <v>0.001</v>
      </c>
      <c r="DC8" s="4" t="n">
        <f aca="false">D8*0.02*12*Populations!$S7/(3*1000*2000)</f>
        <v>1.2894628</v>
      </c>
      <c r="DD8" s="4" t="n">
        <f aca="false">D8*0.5*12*Populations!$S7/(5*1000*2000)</f>
        <v>19.341942</v>
      </c>
      <c r="DE8" s="4" t="n">
        <f aca="false">D8*6*25*Populations!$S7/(1000*2000)</f>
        <v>2417.74275</v>
      </c>
      <c r="DG8" s="4" t="n">
        <f aca="false">PRODUCT(AC8:AD8)</f>
        <v>11.2997557661246</v>
      </c>
      <c r="DH8" s="4" t="n">
        <f aca="false">LOG(PRODUCT(S8,V8,Y8:AB8,AE8:AH8,AL8:AO8,AR8:AT8,AW8,BQ8:BU8,BZ8,CH8:CM8,CT8:CU8,CW8:DB8),2)</f>
        <v>256.871400668182</v>
      </c>
      <c r="DI8" s="4" t="n">
        <f aca="false">LOG(PRODUCT($AI8:$AK8,$AP8:$AQ8,$AU8:$AV8,AX8:BP8,BV8:BY8,CA8:CG8,CN8:CS8,CV8,DC8:DE8),2)</f>
        <v>382.131620877037</v>
      </c>
      <c r="DK8" s="4" t="n">
        <f aca="false">SUM(DG8:DI8)</f>
        <v>650.302777311343</v>
      </c>
    </row>
    <row r="9" s="4" customFormat="true" ht="12.8" hidden="false" customHeight="false" outlineLevel="0" collapsed="false">
      <c r="A9" s="0" t="s">
        <v>141</v>
      </c>
      <c r="B9" s="0" t="s">
        <v>136</v>
      </c>
      <c r="C9" s="0" t="n">
        <v>81</v>
      </c>
      <c r="D9" s="0" t="n">
        <f aca="false">IF(B9="Taiga",265,IF(B9="Mts",265,IF(B9="Temp",230,IF(B9="Steppe",265,IF(B9="Jungle",180,IF(B9="Sav",240,IF(B9="Medi",230,0)))))))</f>
        <v>230</v>
      </c>
      <c r="E9" s="0" t="n">
        <v>1</v>
      </c>
      <c r="F9" s="4" t="n">
        <f aca="false">IF(B9="Taiga",0.43,IF(B9="Mts",0.21,IF(B9="Temp",0.64,IF(B9="Steppe",0.57,IF(B9="Jungle",0.43,IF(B9="Sav",0.57,IF(B9="Medi",0.43,0)))))))</f>
        <v>0.64</v>
      </c>
      <c r="G9" s="4" t="n">
        <f aca="false">IF(B9="Taiga",0.43,IF(B9="Mts",0.8,IF(B9="Temp",0.64,IF(B9="Steppe",0.64,IF(B9="Jungle",0.43,IF(B9="Sav",0.8,IF(B9="Medi",0.6,0)))))))</f>
        <v>0.64</v>
      </c>
      <c r="H9" s="4" t="n">
        <f aca="false">$H$31*IF(B9="Taiga",528,IF(B9="Mts",855.27,IF(B9="Temp",565.94,IF(B9="Steppe",551.72,IF(B9="Jungle",575.43,IF(B9="Sav",599.15,IF(B9="Medi",564.36,0)))))))</f>
        <v>1697.82</v>
      </c>
      <c r="I9" s="4" t="n">
        <f aca="false">$H$31*IF(B9="Taiga",2608.19,IF(B9="Mts",2100,IF(B9="Temp",2976.19,IF(B9="Steppe",2450.48,IF(B9="Jungle",2135.05,IF(B9="Sav",2310.29,IF(B9="Medi",2485.52,0)))))))</f>
        <v>8928.57</v>
      </c>
      <c r="J9" s="4" t="n">
        <f aca="false">$H$31*IF(B9="Taiga",500.54,IF(B9="Mts",360,IF(B9="Temp",570.81,IF(B9="Steppe",441.95,IF(B9="Jungle",486.49,IF(B9="Sav",518.92,IF(B9="Medi",640,0)))))))</f>
        <v>1712.43</v>
      </c>
      <c r="K9" s="4" t="n">
        <f aca="false">$H$31*IF(B9="Taiga",2003.09,IF(B9="Mts",1612.8,IF(B9="Temp",2285.71,IF(B9="Steppe",1881.97,IF(B9="Jungle",1639.72,IF(B9="Sav",1774.3,IF(B9="Medi",1908.88,0)))))))</f>
        <v>6857.13</v>
      </c>
      <c r="L9" s="4" t="n">
        <f aca="false">$H$31*IF(B9="Taiga",260.82,IF(B9="Mts",210,IF(B9="Temp",297.62,IF(B9="Steppe",245.05,IF(B9="Jungle",213.5,IF(B9="Sav",231.03,IF(B9="Medi",248.55,0)))))))</f>
        <v>892.86</v>
      </c>
      <c r="M9" s="4" t="n">
        <f aca="false">$H$31*IF(B9="Taiga",250,IF(B9="Mts",640,IF(B9="Temp",295.2174,IF(B9="Steppe",278.2609,IF(B9="Jungle",306.5217,IF(B9="Sav",334.7826,IF(B9="Medi",293.3333,0)))))))</f>
        <v>885.6522</v>
      </c>
      <c r="N9" s="4" t="n">
        <f aca="false">$H$31*IF(B9="Taiga",1491.9691,IF(B9="Mts",980,IF(B9="Temp",1747.9537,IF(B9="Steppe",1278.5174,IF(B9="Jungle",1440.7722,IF(B9="Sav",1558.9189,IF(B9="Medi",2000,0)))))))</f>
        <v>5243.8611</v>
      </c>
      <c r="O9" s="4" t="n">
        <f aca="false">$H$31*IF(B9="Taiga",68.5,IF(B9="Mts",25,IF(B9="Temp",100,IF(B9="Steppe",55,IF(B9="Jungle",28,IF(B9="Sav",43,IF(B9="Medi",58,0)))))))</f>
        <v>300</v>
      </c>
      <c r="P9" s="4" t="n">
        <f aca="false">$H$31*20*15/8000</f>
        <v>0.1125</v>
      </c>
      <c r="Q9" s="4" t="n">
        <f aca="false">$H$31*20*15/8000</f>
        <v>0.1125</v>
      </c>
      <c r="R9" s="1" t="s">
        <v>39</v>
      </c>
      <c r="S9" s="4" t="n">
        <f aca="false">C9*F9*G9*360*640*1393.66125/(2000*1000)</f>
        <v>5326.6562482176</v>
      </c>
      <c r="T9" s="4" t="n">
        <f aca="false">C9*F9*G9*J9*640*1393.66125*2/(1000*2000*3)</f>
        <v>16891.7147391394</v>
      </c>
      <c r="U9" s="4" t="n">
        <f aca="false">T9*J$28</f>
        <v>5630.57157971312</v>
      </c>
      <c r="V9" s="4" t="n">
        <f aca="false">T9-U9</f>
        <v>11261.1431594263</v>
      </c>
      <c r="W9" s="4" t="n">
        <f aca="false">C9*F9*G9*H9*640*1393.66125*2/(1000*2000*3)</f>
        <v>16747.5990950904</v>
      </c>
      <c r="X9" s="4" t="n">
        <f aca="false">W9*H$28</f>
        <v>4567.52702593375</v>
      </c>
      <c r="Y9" s="4" t="n">
        <f aca="false">W9-X9</f>
        <v>12180.0720691566</v>
      </c>
      <c r="Z9" s="4" t="n">
        <f aca="false">C9*F9*G9*M9*640*1393.66125/(1000*2000*3)</f>
        <v>4368.11557859043</v>
      </c>
      <c r="AA9" s="4" t="n">
        <f aca="false">C9*F9*G9*N9*640*1393.66125/(2000*1000)</f>
        <v>77589.5708141673</v>
      </c>
      <c r="AB9" s="4" t="n">
        <f aca="false">C9*F9*G9*O9*640*1393.66125/(2000*1000)</f>
        <v>4438.880206848</v>
      </c>
      <c r="AC9" s="4" t="n">
        <f aca="false">C9*P9*640*1393.66125/(2000*1000)</f>
        <v>4.063916205</v>
      </c>
      <c r="AD9" s="4" t="n">
        <f aca="false">C9*Q9*640*1393.66125/(2000*1000)</f>
        <v>4.063916205</v>
      </c>
      <c r="AE9" s="4" t="n">
        <f aca="false">($V9+$Z9)*2000*1000/(3*365)</f>
        <v>28546591.3023136</v>
      </c>
      <c r="AF9" s="4" t="n">
        <f aca="false">($V9+$Z9)*2000*1000/(18*100)</f>
        <v>17365843.0422408</v>
      </c>
      <c r="AG9" s="4" t="n">
        <f aca="false">($V9+$Z9)*2000*1000/(3*365)</f>
        <v>28546591.3023136</v>
      </c>
      <c r="AH9" s="4" t="n">
        <f aca="false">C9*F9*G9*K9*640*1393.66125/(2000*1000)</f>
        <v>101459.928775945</v>
      </c>
      <c r="AI9" s="4" t="n">
        <f aca="false">3*12*D9*Populations!$S8/(5*1000)</f>
        <v>257233.104</v>
      </c>
      <c r="AJ9" s="4" t="n">
        <f aca="false">1.5*D9*750*Populations!$S8/(1000*2000*15)</f>
        <v>1339.75575</v>
      </c>
      <c r="AK9" s="4" t="n">
        <f aca="false">66*10*D9*Populations!$S8/(1000*2000*6)</f>
        <v>1964.9751</v>
      </c>
      <c r="AL9" s="4" t="n">
        <f aca="false">AE9*365/(2000*1000)</f>
        <v>5209.75291267223</v>
      </c>
      <c r="AM9" s="4" t="n">
        <f aca="false">AF9*25*238/(51*2000*1000)</f>
        <v>1013.00751079738</v>
      </c>
      <c r="AN9" s="4" t="n">
        <f aca="false">AG9*100*238/(600*1000*2000)</f>
        <v>566.17406082922</v>
      </c>
      <c r="AO9" s="4" t="n">
        <f aca="false">AG9*120*2/(16*1000*2000)</f>
        <v>214.099434767352</v>
      </c>
      <c r="AP9" s="4" t="n">
        <f aca="false">D9*4800*Populations!$S8/($AP$28*10*1000*2000)</f>
        <v>4841.87728050001</v>
      </c>
      <c r="AQ9" s="4" t="n">
        <f aca="false">D9*2*4800*Populations!$S8/($AQ$28*10*1000*2000)</f>
        <v>18622.604925</v>
      </c>
      <c r="AR9" s="4" t="n">
        <f aca="false">C9*F9*G9*L9*640*1393.66125/(2000*1000)</f>
        <v>13210.995271621</v>
      </c>
      <c r="AS9" s="4" t="n">
        <f aca="false">AF9*600*6/(90*1000*2000)</f>
        <v>347.316860844815</v>
      </c>
      <c r="AT9" s="4" t="n">
        <f aca="false">IF(B9="Taiga",236.2,IF(B9="Mts",10,IF(B9="Temp",400,IF(B9="Steppe",25,IF(B9="Jungle",400,IF(B9="Sav",103.6,IF(B9="Medi",181.6,0)))))))*D9*AT$36*Populations!$R8/1000</f>
        <v>282671.573448584</v>
      </c>
      <c r="AU9" s="4" t="n">
        <f aca="false">INDEX(Tech!$F$3:$F$13,MATCH(E9,Tech!$E$3:$E$13,1))*D9*AT$36*Populations!$S8/(365*1000)</f>
        <v>6698.77875</v>
      </c>
      <c r="AV9" s="4" t="n">
        <f aca="false">D9*12.5*AT$36*Populations!$S8/(10*30)</f>
        <v>2791.1578125</v>
      </c>
      <c r="AW9" s="4" t="n">
        <f aca="false">0.125*D9*AW$30*Populations!$R8/1000</f>
        <v>182.190662574283</v>
      </c>
      <c r="AX9" s="4" t="n">
        <f aca="false">D9*AW$30*Populations!$S8/(3*1000)</f>
        <v>46.05410390625</v>
      </c>
      <c r="AY9" s="4" t="n">
        <f aca="false">D9*Populations!$S8/(2*1000*AY$30)/1000</f>
        <v>32.154138</v>
      </c>
      <c r="AZ9" s="4" t="n">
        <f aca="false">D9*AZ$30*Populations!$S8/(2*1000)</f>
        <v>22.3292625</v>
      </c>
      <c r="BA9" s="4" t="n">
        <f aca="false">D9*2*BA$30*Populations!$S8/1000</f>
        <v>107.18046</v>
      </c>
      <c r="BB9" s="4" t="n">
        <f aca="false">D9*3*BB$30*Populations!$S8/1000</f>
        <v>80.385345</v>
      </c>
      <c r="BC9" s="4" t="n">
        <f aca="false">D9*11*BC$30*Populations!$S8/(15*1000)</f>
        <v>15.7198008</v>
      </c>
      <c r="BD9" s="4" t="n">
        <f aca="false">D9*11*BD$30*Populations!$S8/(8*1000)</f>
        <v>36.843283125</v>
      </c>
      <c r="BE9" s="4" t="n">
        <f aca="false">D9*11*BE$30*Populations!$S8/(3*1000)</f>
        <v>23.8604119285714</v>
      </c>
      <c r="BF9" s="4" t="n">
        <f aca="false">D9*11*BF$30*Populations!$S8/(5*1000)</f>
        <v>17.193532125</v>
      </c>
      <c r="BG9" s="4" t="n">
        <f aca="false">D9*11*BG$30*Populations!$S8/(9*1000)</f>
        <v>43.6661133333333</v>
      </c>
      <c r="BH9" s="4" t="n">
        <f aca="false">D9*11*BH$30*Populations!$S8/(12*1000)</f>
        <v>24.56218875</v>
      </c>
      <c r="BI9" s="4" t="n">
        <f aca="false">D9*BI$30*Populations!$S8/(1000*125/12)</f>
        <v>68.5954944</v>
      </c>
      <c r="BJ9" s="4" t="n">
        <f aca="false">D9*BJ$30*Populations!$S8/(30*1000)</f>
        <v>31.17760492</v>
      </c>
      <c r="BK9" s="4" t="n">
        <f aca="false">D9*BK$30*Populations!$S8/(7*1000)</f>
        <v>4.30635776785714</v>
      </c>
      <c r="BL9" s="4" t="n">
        <f aca="false">D9*BL$30*Populations!$S8/(8.5*1000)</f>
        <v>7.09282455882353</v>
      </c>
      <c r="BM9" s="4" t="n">
        <f aca="false">D9*BM$30*Populations!$S8/1000</f>
        <v>15.0722521875</v>
      </c>
      <c r="BN9" s="4" t="n">
        <f aca="false">D9*BN$30*Populations!$S8/(1.5*1000)</f>
        <v>35.72682</v>
      </c>
      <c r="BO9" s="4" t="n">
        <f aca="false">D9*BO$30*Populations!$S8/(2*1000)</f>
        <v>29.02804125</v>
      </c>
      <c r="BP9" s="4" t="n">
        <f aca="false">D9*BP$30*Populations!$S8/(4*1000)</f>
        <v>6.69877875</v>
      </c>
      <c r="BQ9" s="4" t="n">
        <f aca="false">D9*Populations!$R8*10/(3*1000*2000)</f>
        <v>628.159052107964</v>
      </c>
      <c r="BR9" s="4" t="n">
        <f aca="false">D9*2*Populations!$R8/(30*1000*2000)</f>
        <v>12.5631810421593</v>
      </c>
      <c r="BS9" s="4" t="n">
        <f aca="false">D9*2*Populations!$S8/((37.5/12)*1000*2000)</f>
        <v>11.4325824</v>
      </c>
      <c r="BT9" s="4" t="n">
        <f aca="false">D9*2*Populations!$S8/((20/9)*1000*2000)</f>
        <v>16.077069</v>
      </c>
      <c r="BU9" s="4" t="n">
        <f aca="false">AF9*25*4/(51*$BU$32)</f>
        <v>8.51266815796116</v>
      </c>
      <c r="BV9" s="4" t="n">
        <f aca="false">D9*Populations!$S8*12/($BV$30*3)</f>
        <v>112.539483</v>
      </c>
      <c r="BW9" s="4" t="n">
        <f aca="false">D9*Populations!$S8*12/(2*$BW$30)</f>
        <v>96.4624140000001</v>
      </c>
      <c r="BX9" s="4" t="n">
        <f aca="false">D9*Populations!$S8*12/(5*$BX$30)</f>
        <v>48.2312069999999</v>
      </c>
      <c r="BY9" s="4" t="n">
        <f aca="false">D9*Populations!$S8/(2*$BY$30)</f>
        <v>28.13487075</v>
      </c>
      <c r="BZ9" s="4" t="n">
        <f aca="false">D9*Populations!$R8*500/(1000*2000)</f>
        <v>94223.8578161946</v>
      </c>
      <c r="CA9" s="4" t="n">
        <f aca="false">D9*Populations!R8*15/(1000*2000)</f>
        <v>2826.71573448584</v>
      </c>
      <c r="CB9" s="4" t="n">
        <f aca="false">IF(B9="Mts",1,D9*Populations!R8*30/(1000*2000))</f>
        <v>5653.43146897168</v>
      </c>
      <c r="CC9" s="4" t="n">
        <f aca="false">D9*40*Populations!R8/(1000*2000)</f>
        <v>7537.90862529557</v>
      </c>
      <c r="CD9" s="4" t="n">
        <f aca="false">D9*40*Populations!R8/(1000*2000)</f>
        <v>7537.90862529557</v>
      </c>
      <c r="CE9" s="4" t="n">
        <f aca="false">D9*20*Populations!R8/(1000*2000)</f>
        <v>3768.95431264778</v>
      </c>
      <c r="CF9" s="4" t="n">
        <f aca="false">D9*8.3454*32*Populations!$S8/(1000*2000)</f>
        <v>4770.473658048</v>
      </c>
      <c r="CG9" s="4" t="n">
        <f aca="false">D9*50*2*Populations!$S8/(3*1000*2000)</f>
        <v>595.447</v>
      </c>
      <c r="CH9" s="4" t="n">
        <f aca="false">IF(B9="Mts",20*D9*Populations!$R8/1000,0.001)</f>
        <v>0.001</v>
      </c>
      <c r="CI9" s="4" t="n">
        <f aca="false">IF(NOT(CH9=0.001),0.006*CH9/3,0.001)</f>
        <v>0.001</v>
      </c>
      <c r="CJ9" s="4" t="n">
        <f aca="false">IF(NOT(CH9=0.001),0.7*CH9/3,0.001)</f>
        <v>0.001</v>
      </c>
      <c r="CK9" s="4" t="n">
        <f aca="false">IF(NOT(CH9=0.001),0.65*CH9/3,0.001)</f>
        <v>0.001</v>
      </c>
      <c r="CL9" s="4" t="n">
        <f aca="false">IF(NOT(CH9=0.001),0.002*CH9/3,0.001)</f>
        <v>0.001</v>
      </c>
      <c r="CM9" s="4" t="n">
        <f aca="false">IF(NOT(CH9=0.001),0.001*CH9/3,0.001)</f>
        <v>0.001</v>
      </c>
      <c r="CN9" s="4" t="n">
        <f aca="false">D9*3*110/(24*2000)*Populations!$S8</f>
        <v>245621.8875</v>
      </c>
      <c r="CO9" s="4" t="n">
        <f aca="false">D9*3*12/(24*2000)*Populations!$S8</f>
        <v>26795.115</v>
      </c>
      <c r="CP9" s="4" t="n">
        <f aca="false">D9*3*1.4/(24*2000)*Populations!$S8</f>
        <v>3126.09675</v>
      </c>
      <c r="CQ9" s="4" t="n">
        <f aca="false">D9*6400*8.3454*Populations!$S8/(10*1000*2000)</f>
        <v>95409.47316096</v>
      </c>
      <c r="CR9" s="4" t="n">
        <f aca="false">D9*2*Populations!$S8/(1000*2000)</f>
        <v>35.72682</v>
      </c>
      <c r="CS9" s="4" t="n">
        <f aca="false">D9*2*30*Populations!$S8/(1000*2000)</f>
        <v>1071.8046</v>
      </c>
      <c r="CT9" s="4" t="n">
        <f aca="false">27*Populations!$R8/(4*1000*2000)</f>
        <v>5.5305307848636</v>
      </c>
      <c r="CU9" s="4" t="n">
        <f aca="false">27*Populations!$R8/(16*1000*2000)</f>
        <v>1.3826326962159</v>
      </c>
      <c r="CV9" s="4" t="n">
        <f aca="false">AP9*0.9</f>
        <v>4357.68955245001</v>
      </c>
      <c r="CW9" s="4" t="n">
        <f aca="false">2.5*D9*Populations!$R8/(60*2000)</f>
        <v>7851.98815134955</v>
      </c>
      <c r="CX9" s="4" t="n">
        <f aca="false">D9*125*Populations!R8/(6*1000*2000)</f>
        <v>3925.99407567478</v>
      </c>
      <c r="CY9" s="4" t="n">
        <f aca="false">D9*1.875*2*Populations!R8/(6*1000*2000)</f>
        <v>117.779822270243</v>
      </c>
      <c r="CZ9" s="4" t="n">
        <f aca="false">D9*2*20*Populations!$R8/(1000*2000)</f>
        <v>7537.90862529557</v>
      </c>
      <c r="DA9" s="4" t="n">
        <f aca="false">IF(NOT(CH9=0.001),CH9*0.00001,0.001)</f>
        <v>0.001</v>
      </c>
      <c r="DB9" s="4" t="n">
        <f aca="false">IF(NOT(CH9=0.001),CH9*0.00001,0.001)</f>
        <v>0.001</v>
      </c>
      <c r="DC9" s="4" t="n">
        <f aca="false">D9*0.02*12*Populations!$S8/(3*1000*2000)</f>
        <v>1.4290728</v>
      </c>
      <c r="DD9" s="4" t="n">
        <f aca="false">D9*0.5*12*Populations!$S8/(5*1000*2000)</f>
        <v>21.436092</v>
      </c>
      <c r="DE9" s="4" t="n">
        <f aca="false">D9*6*25*Populations!$S8/(1000*2000)</f>
        <v>2679.5115</v>
      </c>
      <c r="DG9" s="4" t="n">
        <f aca="false">PRODUCT(AC9:AD9)</f>
        <v>16.5154149212616</v>
      </c>
      <c r="DH9" s="4" t="n">
        <f aca="false">LOG(PRODUCT(S9,V9,Y9:AB9,AE9:AH9,AL9:AO9,AR9:AT9,AW9,BQ9:BU9,BZ9,CH9:CM9,CT9:CU9,CW9:DB9),2)</f>
        <v>264.970583152381</v>
      </c>
      <c r="DI9" s="4" t="n">
        <f aca="false">LOG(PRODUCT($AI9:$AK9,$AP9:$AQ9,$AU9:$AV9,AX9:BP9,BV9:BY9,CA9:CG9,CN9:CS9,CV9,DC9:DE9),2)</f>
        <v>389.79180528639</v>
      </c>
      <c r="DK9" s="4" t="n">
        <f aca="false">SUM(DG9:DI9)</f>
        <v>671.277803360032</v>
      </c>
    </row>
    <row r="10" s="4" customFormat="true" ht="12.8" hidden="false" customHeight="false" outlineLevel="0" collapsed="false">
      <c r="A10" s="0" t="s">
        <v>142</v>
      </c>
      <c r="B10" s="0" t="s">
        <v>134</v>
      </c>
      <c r="C10" s="0" t="n">
        <v>144</v>
      </c>
      <c r="D10" s="0" t="n">
        <f aca="false">IF(B10="Taiga",265,IF(B10="Mts",265,IF(B10="Temp",230,IF(B10="Steppe",265,IF(B10="Jungle",180,IF(B10="Sav",240,IF(B10="Medi",230,0)))))))</f>
        <v>265</v>
      </c>
      <c r="E10" s="0" t="n">
        <v>1</v>
      </c>
      <c r="F10" s="4" t="n">
        <f aca="false">IF(B10="Taiga",0.43,IF(B10="Mts",0.21,IF(B10="Temp",0.64,IF(B10="Steppe",0.57,IF(B10="Jungle",0.43,IF(B10="Sav",0.57,IF(B10="Medi",0.43,0)))))))</f>
        <v>0.21</v>
      </c>
      <c r="G10" s="4" t="n">
        <f aca="false">IF(B10="Taiga",0.43,IF(B10="Mts",0.8,IF(B10="Temp",0.64,IF(B10="Steppe",0.64,IF(B10="Jungle",0.43,IF(B10="Sav",0.8,IF(B10="Medi",0.6,0)))))))</f>
        <v>0.8</v>
      </c>
      <c r="H10" s="4" t="n">
        <f aca="false">$H$31*IF(B10="Taiga",528,IF(B10="Mts",855.27,IF(B10="Temp",565.94,IF(B10="Steppe",551.72,IF(B10="Jungle",575.43,IF(B10="Sav",599.15,IF(B10="Medi",564.36,0)))))))</f>
        <v>2565.81</v>
      </c>
      <c r="I10" s="4" t="n">
        <f aca="false">$H$31*IF(B10="Taiga",2608.19,IF(B10="Mts",2100,IF(B10="Temp",2976.19,IF(B10="Steppe",2450.48,IF(B10="Jungle",2135.05,IF(B10="Sav",2310.29,IF(B10="Medi",2485.52,0)))))))</f>
        <v>6300</v>
      </c>
      <c r="J10" s="4" t="n">
        <f aca="false">$H$31*IF(B10="Taiga",500.54,IF(B10="Mts",360,IF(B10="Temp",570.81,IF(B10="Steppe",441.95,IF(B10="Jungle",486.49,IF(B10="Sav",518.92,IF(B10="Medi",640,0)))))))</f>
        <v>1080</v>
      </c>
      <c r="K10" s="4" t="n">
        <f aca="false">$H$31*IF(B10="Taiga",2003.09,IF(B10="Mts",1612.8,IF(B10="Temp",2285.71,IF(B10="Steppe",1881.97,IF(B10="Jungle",1639.72,IF(B10="Sav",1774.3,IF(B10="Medi",1908.88,0)))))))</f>
        <v>4838.4</v>
      </c>
      <c r="L10" s="4" t="n">
        <f aca="false">$H$31*IF(B10="Taiga",260.82,IF(B10="Mts",210,IF(B10="Temp",297.62,IF(B10="Steppe",245.05,IF(B10="Jungle",213.5,IF(B10="Sav",231.03,IF(B10="Medi",248.55,0)))))))</f>
        <v>630</v>
      </c>
      <c r="M10" s="4" t="n">
        <f aca="false">$H$31*IF(B10="Taiga",250,IF(B10="Mts",640,IF(B10="Temp",295.2174,IF(B10="Steppe",278.2609,IF(B10="Jungle",306.5217,IF(B10="Sav",334.7826,IF(B10="Medi",293.3333,0)))))))</f>
        <v>1920</v>
      </c>
      <c r="N10" s="4" t="n">
        <f aca="false">$H$31*IF(B10="Taiga",1491.9691,IF(B10="Mts",980,IF(B10="Temp",1747.9537,IF(B10="Steppe",1278.5174,IF(B10="Jungle",1440.7722,IF(B10="Sav",1558.9189,IF(B10="Medi",2000,0)))))))</f>
        <v>2940</v>
      </c>
      <c r="O10" s="4" t="n">
        <f aca="false">$H$31*IF(B10="Taiga",68.5,IF(B10="Mts",25,IF(B10="Temp",100,IF(B10="Steppe",55,IF(B10="Jungle",28,IF(B10="Sav",43,IF(B10="Medi",58,0)))))))</f>
        <v>75</v>
      </c>
      <c r="P10" s="4" t="n">
        <f aca="false">$H$31*20*15/8000</f>
        <v>0.1125</v>
      </c>
      <c r="Q10" s="4" t="n">
        <f aca="false">$H$31*20*15/8000</f>
        <v>0.1125</v>
      </c>
      <c r="R10" s="1" t="s">
        <v>39</v>
      </c>
      <c r="S10" s="4" t="n">
        <f aca="false">C10*F10*G10*360*640*1393.66125/(2000*1000)</f>
        <v>3884.020180992</v>
      </c>
      <c r="T10" s="4" t="n">
        <f aca="false">C10*F10*G10*J10*640*1393.66125*2/(1000*2000*3)</f>
        <v>7768.040361984</v>
      </c>
      <c r="U10" s="4" t="n">
        <f aca="false">T10*J$28</f>
        <v>2589.346787328</v>
      </c>
      <c r="V10" s="4" t="n">
        <f aca="false">T10-U10</f>
        <v>5178.693574656</v>
      </c>
      <c r="W10" s="4" t="n">
        <f aca="false">C10*F10*G10*H10*640*1393.66125*2/(1000*2000*3)</f>
        <v>18454.9218899835</v>
      </c>
      <c r="X10" s="4" t="n">
        <f aca="false">W10*H$28</f>
        <v>5033.16051545005</v>
      </c>
      <c r="Y10" s="4" t="n">
        <f aca="false">W10-X10</f>
        <v>13421.7613745334</v>
      </c>
      <c r="Z10" s="4" t="n">
        <f aca="false">C10*F10*G10*M10*640*1393.66125/(1000*2000*3)</f>
        <v>6904.924766208</v>
      </c>
      <c r="AA10" s="4" t="n">
        <f aca="false">C10*F10*G10*N10*640*1393.66125/(2000*1000)</f>
        <v>31719.498144768</v>
      </c>
      <c r="AB10" s="4" t="n">
        <f aca="false">C10*F10*G10*O10*640*1393.66125/(2000*1000)</f>
        <v>809.17087104</v>
      </c>
      <c r="AC10" s="4" t="n">
        <f aca="false">C10*P10*640*1393.66125/(2000*1000)</f>
        <v>7.22473992</v>
      </c>
      <c r="AD10" s="4" t="n">
        <f aca="false">C10*Q10*640*1393.66125/(2000*1000)</f>
        <v>7.22473992</v>
      </c>
      <c r="AE10" s="4" t="n">
        <f aca="false">($V10+$Z10)*2000*1000/(3*365)</f>
        <v>22070535.7824</v>
      </c>
      <c r="AF10" s="4" t="n">
        <f aca="false">($V10+$Z10)*2000*1000/(18*100)</f>
        <v>13426242.60096</v>
      </c>
      <c r="AG10" s="4" t="n">
        <f aca="false">($V10+$Z10)*2000*1000/(3*365)</f>
        <v>22070535.7824</v>
      </c>
      <c r="AH10" s="4" t="n">
        <f aca="false">C10*F10*G10*K10*640*1393.66125/(2000*1000)</f>
        <v>52201.2312325325</v>
      </c>
      <c r="AI10" s="4" t="n">
        <f aca="false">3*12*D10*Populations!$S9/(5*1000)</f>
        <v>93169.548</v>
      </c>
      <c r="AJ10" s="4" t="n">
        <f aca="false">1.5*D10*750*Populations!$S9/(1000*2000*15)</f>
        <v>485.2580625</v>
      </c>
      <c r="AK10" s="4" t="n">
        <f aca="false">66*10*D10*Populations!$S9/(1000*2000*6)</f>
        <v>711.711825</v>
      </c>
      <c r="AL10" s="4" t="n">
        <f aca="false">AE10*365/(2000*1000)</f>
        <v>4027.872780288</v>
      </c>
      <c r="AM10" s="4" t="n">
        <f aca="false">AF10*25*238/(51*2000*1000)</f>
        <v>783.197485056</v>
      </c>
      <c r="AN10" s="4" t="n">
        <f aca="false">AG10*100*238/(600*1000*2000)</f>
        <v>437.7322930176</v>
      </c>
      <c r="AO10" s="4" t="n">
        <f aca="false">AG10*120*2/(16*1000*2000)</f>
        <v>165.529018368</v>
      </c>
      <c r="AP10" s="4" t="n">
        <f aca="false">D10*4800*Populations!$S9/($AP$28*10*1000*2000)</f>
        <v>1753.722637875</v>
      </c>
      <c r="AQ10" s="4" t="n">
        <f aca="false">D10*2*4800*Populations!$S9/($AQ$28*10*1000*2000)</f>
        <v>6745.08706875</v>
      </c>
      <c r="AR10" s="4" t="n">
        <f aca="false">C10*F10*G10*L10*640*1393.66125/(2000*1000)</f>
        <v>6797.035316736</v>
      </c>
      <c r="AS10" s="4" t="n">
        <f aca="false">AF10*600*6/(90*1000*2000)</f>
        <v>268.5248520192</v>
      </c>
      <c r="AT10" s="4" t="n">
        <f aca="false">IF(B10="Taiga",236.2,IF(B10="Mts",10,IF(B10="Temp",400,IF(B10="Steppe",25,IF(B10="Jungle",400,IF(B10="Sav",103.6,IF(B10="Medi",181.6,0)))))))*D10*AT$36*Populations!$R9/1000</f>
        <v>3007.26087109824</v>
      </c>
      <c r="AU10" s="4" t="n">
        <f aca="false">INDEX(Tech!$F$3:$F$13,MATCH(E10,Tech!$E$3:$E$13,1))*D10*AT$36*Populations!$S9/(365*1000)</f>
        <v>2426.2903125</v>
      </c>
      <c r="AV10" s="4" t="n">
        <f aca="false">D10*12.5*AT$36*Populations!$S9/(10*30)</f>
        <v>1010.954296875</v>
      </c>
      <c r="AW10" s="4" t="n">
        <f aca="false">0.125*D10*AW$30*Populations!$R9/1000</f>
        <v>77.5309443330016</v>
      </c>
      <c r="AX10" s="4" t="n">
        <f aca="false">D10*AW$30*Populations!$S9/(3*1000)</f>
        <v>16.6807458984375</v>
      </c>
      <c r="AY10" s="4" t="n">
        <f aca="false">D10*Populations!$S9/(2*1000*AY$30)/1000</f>
        <v>11.6461935</v>
      </c>
      <c r="AZ10" s="4" t="n">
        <f aca="false">D10*AZ$30*Populations!$S9/(2*1000)</f>
        <v>8.087634375</v>
      </c>
      <c r="BA10" s="4" t="n">
        <f aca="false">D10*2*BA$30*Populations!$S9/1000</f>
        <v>38.820645</v>
      </c>
      <c r="BB10" s="4" t="n">
        <f aca="false">D10*3*BB$30*Populations!$S9/1000</f>
        <v>29.11548375</v>
      </c>
      <c r="BC10" s="4" t="n">
        <f aca="false">D10*11*BC$30*Populations!$S9/(15*1000)</f>
        <v>5.6936946</v>
      </c>
      <c r="BD10" s="4" t="n">
        <f aca="false">D10*11*BD$30*Populations!$S9/(8*1000)</f>
        <v>13.34459671875</v>
      </c>
      <c r="BE10" s="4" t="n">
        <f aca="false">D10*11*BE$30*Populations!$S9/(3*1000)</f>
        <v>8.64221501785714</v>
      </c>
      <c r="BF10" s="4" t="n">
        <f aca="false">D10*11*BF$30*Populations!$S9/(5*1000)</f>
        <v>6.22747846875</v>
      </c>
      <c r="BG10" s="4" t="n">
        <f aca="false">D10*11*BG$30*Populations!$S9/(9*1000)</f>
        <v>15.8158183333333</v>
      </c>
      <c r="BH10" s="4" t="n">
        <f aca="false">D10*11*BH$30*Populations!$S9/(12*1000)</f>
        <v>8.8963978125</v>
      </c>
      <c r="BI10" s="4" t="n">
        <f aca="false">D10*BI$30*Populations!$S9/(1000*125/12)</f>
        <v>24.8452128</v>
      </c>
      <c r="BJ10" s="4" t="n">
        <f aca="false">D10*BJ$30*Populations!$S9/(30*1000)</f>
        <v>11.29249429</v>
      </c>
      <c r="BK10" s="4" t="n">
        <f aca="false">D10*BK$30*Populations!$S9/(7*1000)</f>
        <v>1.55975805803571</v>
      </c>
      <c r="BL10" s="4" t="n">
        <f aca="false">D10*BL$30*Populations!$S9/(8.5*1000)</f>
        <v>2.56901327205882</v>
      </c>
      <c r="BM10" s="4" t="n">
        <f aca="false">D10*BM$30*Populations!$S9/1000</f>
        <v>5.459153203125</v>
      </c>
      <c r="BN10" s="4" t="n">
        <f aca="false">D10*BN$30*Populations!$S9/(1.5*1000)</f>
        <v>12.940215</v>
      </c>
      <c r="BO10" s="4" t="n">
        <f aca="false">D10*BO$30*Populations!$S9/(2*1000)</f>
        <v>10.5139246875</v>
      </c>
      <c r="BP10" s="4" t="n">
        <f aca="false">D10*BP$30*Populations!$S9/(4*1000)</f>
        <v>2.4262903125</v>
      </c>
      <c r="BQ10" s="4" t="n">
        <f aca="false">D10*Populations!$R9*10/(3*1000*2000)</f>
        <v>267.312077430955</v>
      </c>
      <c r="BR10" s="4" t="n">
        <f aca="false">D10*2*Populations!$R9/(30*1000*2000)</f>
        <v>5.3462415486191</v>
      </c>
      <c r="BS10" s="4" t="n">
        <f aca="false">D10*2*Populations!$S9/((37.5/12)*1000*2000)</f>
        <v>4.1408688</v>
      </c>
      <c r="BT10" s="4" t="n">
        <f aca="false">D10*2*Populations!$S9/((20/9)*1000*2000)</f>
        <v>5.82309675</v>
      </c>
      <c r="BU10" s="4" t="n">
        <f aca="false">AF10*25*4/(51*$BU$32)</f>
        <v>6.58149147105883</v>
      </c>
      <c r="BV10" s="4" t="n">
        <f aca="false">D10*Populations!$S9*12/($BV$30*3)</f>
        <v>40.76167725</v>
      </c>
      <c r="BW10" s="4" t="n">
        <f aca="false">D10*Populations!$S9*12/(2*$BW$30)</f>
        <v>34.9385805</v>
      </c>
      <c r="BX10" s="4" t="n">
        <f aca="false">D10*Populations!$S9*12/(5*$BX$30)</f>
        <v>17.46929025</v>
      </c>
      <c r="BY10" s="4" t="n">
        <f aca="false">D10*Populations!$S9/(2*$BY$30)</f>
        <v>10.1904193125</v>
      </c>
      <c r="BZ10" s="4" t="n">
        <f aca="false">D10*Populations!$R9*500/(1000*2000)</f>
        <v>40096.8116146433</v>
      </c>
      <c r="CA10" s="4" t="n">
        <f aca="false">D10*Populations!R9*15/(1000*2000)</f>
        <v>1202.9043484393</v>
      </c>
      <c r="CB10" s="4" t="n">
        <f aca="false">IF(B10="Mts",1,D10*Populations!R9*30/(1000*2000))</f>
        <v>1</v>
      </c>
      <c r="CC10" s="4" t="n">
        <f aca="false">D10*40*Populations!R9/(1000*2000)</f>
        <v>3207.74492917146</v>
      </c>
      <c r="CD10" s="4" t="n">
        <f aca="false">D10*40*Populations!R9/(1000*2000)</f>
        <v>3207.74492917146</v>
      </c>
      <c r="CE10" s="4" t="n">
        <f aca="false">D10*20*Populations!R9/(1000*2000)</f>
        <v>1603.87246458573</v>
      </c>
      <c r="CF10" s="4" t="n">
        <f aca="false">D10*8.3454*32*Populations!$S9/(1000*2000)</f>
        <v>1727.860324176</v>
      </c>
      <c r="CG10" s="4" t="n">
        <f aca="false">D10*50*2*Populations!$S9/(3*1000*2000)</f>
        <v>215.67025</v>
      </c>
      <c r="CH10" s="4" t="n">
        <f aca="false">IF(B10="Mts",20*D10*Populations!$R9/1000,0.001)</f>
        <v>3207744.92917146</v>
      </c>
      <c r="CI10" s="4" t="n">
        <f aca="false">IF(NOT(CH10=0.001),0.006*CH10/3,0.001)</f>
        <v>6415.48985834292</v>
      </c>
      <c r="CJ10" s="4" t="n">
        <f aca="false">IF(NOT(CH10=0.001),0.7*CH10/3,0.001)</f>
        <v>748473.816806674</v>
      </c>
      <c r="CK10" s="4" t="n">
        <f aca="false">IF(NOT(CH10=0.001),0.65*CH10/3,0.001)</f>
        <v>695011.401320483</v>
      </c>
      <c r="CL10" s="4" t="n">
        <f aca="false">IF(NOT(CH10=0.001),0.002*CH10/3,0.001)</f>
        <v>2138.49661944764</v>
      </c>
      <c r="CM10" s="4" t="n">
        <f aca="false">IF(NOT(CH10=0.001),0.001*CH10/3,0.001)</f>
        <v>1069.24830972382</v>
      </c>
      <c r="CN10" s="4" t="n">
        <f aca="false">D10*3*110/(24*2000)*Populations!$S9</f>
        <v>88963.978125</v>
      </c>
      <c r="CO10" s="4" t="n">
        <f aca="false">D10*3*12/(24*2000)*Populations!$S9</f>
        <v>9705.16125</v>
      </c>
      <c r="CP10" s="4" t="n">
        <f aca="false">D10*3*1.4/(24*2000)*Populations!$S9</f>
        <v>1132.2688125</v>
      </c>
      <c r="CQ10" s="4" t="n">
        <f aca="false">D10*6400*8.3454*Populations!$S9/(10*1000*2000)</f>
        <v>34557.20648352</v>
      </c>
      <c r="CR10" s="4" t="n">
        <f aca="false">D10*2*Populations!$S9/(1000*2000)</f>
        <v>12.940215</v>
      </c>
      <c r="CS10" s="4" t="n">
        <f aca="false">D10*2*30*Populations!$S9/(1000*2000)</f>
        <v>388.20645</v>
      </c>
      <c r="CT10" s="4" t="n">
        <f aca="false">27*Populations!$R9/(4*1000*2000)</f>
        <v>2.04266776150069</v>
      </c>
      <c r="CU10" s="4" t="n">
        <f aca="false">27*Populations!$R9/(16*1000*2000)</f>
        <v>0.510666940375173</v>
      </c>
      <c r="CV10" s="4" t="n">
        <f aca="false">AP10*0.9</f>
        <v>1578.3503740875</v>
      </c>
      <c r="CW10" s="4" t="n">
        <f aca="false">2.5*D10*Populations!$R9/(60*2000)</f>
        <v>3341.40096788694</v>
      </c>
      <c r="CX10" s="4" t="n">
        <f aca="false">D10*125*Populations!R9/(6*1000*2000)</f>
        <v>1670.70048394347</v>
      </c>
      <c r="CY10" s="4" t="n">
        <f aca="false">D10*1.875*2*Populations!R9/(6*1000*2000)</f>
        <v>50.1210145183041</v>
      </c>
      <c r="CZ10" s="4" t="n">
        <f aca="false">D10*2*20*Populations!$R9/(1000*2000)</f>
        <v>3207.74492917146</v>
      </c>
      <c r="DA10" s="4" t="n">
        <f aca="false">IF(NOT(CH10=0.001),CH10*0.00001,0.001)</f>
        <v>32.0774492917146</v>
      </c>
      <c r="DB10" s="4" t="n">
        <f aca="false">IF(NOT(CH10=0.001),CH10*0.00001,0.001)</f>
        <v>32.0774492917146</v>
      </c>
      <c r="DC10" s="4" t="n">
        <f aca="false">D10*0.02*12*Populations!$S9/(3*1000*2000)</f>
        <v>0.5176086</v>
      </c>
      <c r="DD10" s="4" t="n">
        <f aca="false">D10*0.5*12*Populations!$S9/(5*1000*2000)</f>
        <v>7.764129</v>
      </c>
      <c r="DE10" s="4" t="n">
        <f aca="false">D10*6*25*Populations!$S9/(1000*2000)</f>
        <v>970.516125</v>
      </c>
      <c r="DG10" s="4" t="n">
        <f aca="false">PRODUCT(AC10:AD10)</f>
        <v>52.1968669116416</v>
      </c>
      <c r="DH10" s="4" t="n">
        <f aca="false">LOG(PRODUCT(S10,V10,Y10:AB10,AE10:AH10,AL10:AO10,AR10:AT10,AW10,BQ10:BU10,BZ10,CH10:CM10,CT10:CU10,CW10:DB10),2)</f>
        <v>417.009579048946</v>
      </c>
      <c r="DI10" s="4" t="n">
        <f aca="false">LOG(PRODUCT($AI10:$AK10,$AP10:$AQ10,$AU10:$AV10,AX10:BP10,BV10:BY10,CA10:CG10,CN10:CS10,CV10,DC10:DE10),2)</f>
        <v>310.860346061088</v>
      </c>
      <c r="DK10" s="4" t="n">
        <f aca="false">SUM(DG10:DI10)</f>
        <v>780.066792021676</v>
      </c>
    </row>
    <row r="11" s="4" customFormat="true" ht="12.8" hidden="false" customHeight="false" outlineLevel="0" collapsed="false">
      <c r="A11" s="0" t="s">
        <v>143</v>
      </c>
      <c r="B11" s="0" t="s">
        <v>136</v>
      </c>
      <c r="C11" s="0" t="n">
        <v>143</v>
      </c>
      <c r="D11" s="0" t="n">
        <f aca="false">IF(B11="Taiga",265,IF(B11="Mts",265,IF(B11="Temp",230,IF(B11="Steppe",265,IF(B11="Jungle",180,IF(B11="Sav",240,IF(B11="Medi",230,0)))))))</f>
        <v>230</v>
      </c>
      <c r="E11" s="0" t="n">
        <v>1</v>
      </c>
      <c r="F11" s="4" t="n">
        <f aca="false">IF(B11="Taiga",0.43,IF(B11="Mts",0.21,IF(B11="Temp",0.64,IF(B11="Steppe",0.57,IF(B11="Jungle",0.43,IF(B11="Sav",0.57,IF(B11="Medi",0.43,0)))))))</f>
        <v>0.64</v>
      </c>
      <c r="G11" s="4" t="n">
        <f aca="false">IF(B11="Taiga",0.43,IF(B11="Mts",0.8,IF(B11="Temp",0.64,IF(B11="Steppe",0.64,IF(B11="Jungle",0.43,IF(B11="Sav",0.8,IF(B11="Medi",0.6,0)))))))</f>
        <v>0.64</v>
      </c>
      <c r="H11" s="4" t="n">
        <f aca="false">$H$31*IF(B11="Taiga",528,IF(B11="Mts",855.27,IF(B11="Temp",565.94,IF(B11="Steppe",551.72,IF(B11="Jungle",575.43,IF(B11="Sav",599.15,IF(B11="Medi",564.36,0)))))))</f>
        <v>1697.82</v>
      </c>
      <c r="I11" s="4" t="n">
        <f aca="false">$H$31*IF(B11="Taiga",2608.19,IF(B11="Mts",2100,IF(B11="Temp",2976.19,IF(B11="Steppe",2450.48,IF(B11="Jungle",2135.05,IF(B11="Sav",2310.29,IF(B11="Medi",2485.52,0)))))))</f>
        <v>8928.57</v>
      </c>
      <c r="J11" s="4" t="n">
        <f aca="false">$H$31*IF(B11="Taiga",500.54,IF(B11="Mts",360,IF(B11="Temp",570.81,IF(B11="Steppe",441.95,IF(B11="Jungle",486.49,IF(B11="Sav",518.92,IF(B11="Medi",640,0)))))))</f>
        <v>1712.43</v>
      </c>
      <c r="K11" s="4" t="n">
        <f aca="false">$H$31*IF(B11="Taiga",2003.09,IF(B11="Mts",1612.8,IF(B11="Temp",2285.71,IF(B11="Steppe",1881.97,IF(B11="Jungle",1639.72,IF(B11="Sav",1774.3,IF(B11="Medi",1908.88,0)))))))</f>
        <v>6857.13</v>
      </c>
      <c r="L11" s="4" t="n">
        <f aca="false">$H$31*IF(B11="Taiga",260.82,IF(B11="Mts",210,IF(B11="Temp",297.62,IF(B11="Steppe",245.05,IF(B11="Jungle",213.5,IF(B11="Sav",231.03,IF(B11="Medi",248.55,0)))))))</f>
        <v>892.86</v>
      </c>
      <c r="M11" s="4" t="n">
        <f aca="false">$H$31*IF(B11="Taiga",250,IF(B11="Mts",640,IF(B11="Temp",295.2174,IF(B11="Steppe",278.2609,IF(B11="Jungle",306.5217,IF(B11="Sav",334.7826,IF(B11="Medi",293.3333,0)))))))</f>
        <v>885.6522</v>
      </c>
      <c r="N11" s="4" t="n">
        <f aca="false">$H$31*IF(B11="Taiga",1491.9691,IF(B11="Mts",980,IF(B11="Temp",1747.9537,IF(B11="Steppe",1278.5174,IF(B11="Jungle",1440.7722,IF(B11="Sav",1558.9189,IF(B11="Medi",2000,0)))))))</f>
        <v>5243.8611</v>
      </c>
      <c r="O11" s="4" t="n">
        <f aca="false">$H$31*IF(B11="Taiga",68.5,IF(B11="Mts",25,IF(B11="Temp",100,IF(B11="Steppe",55,IF(B11="Jungle",28,IF(B11="Sav",43,IF(B11="Medi",58,0)))))))</f>
        <v>300</v>
      </c>
      <c r="P11" s="4" t="n">
        <f aca="false">$H$31*20*15/8000</f>
        <v>0.1125</v>
      </c>
      <c r="Q11" s="4" t="n">
        <f aca="false">$H$31*20*15/8000</f>
        <v>0.1125</v>
      </c>
      <c r="R11" s="1" t="s">
        <v>39</v>
      </c>
      <c r="S11" s="4" t="n">
        <f aca="false">C11*F11*G11*360*640*1393.66125/(2000*1000)</f>
        <v>9403.8499196928</v>
      </c>
      <c r="T11" s="4" t="n">
        <f aca="false">C11*F11*G11*J11*640*1393.66125*2/(1000*2000*3)</f>
        <v>29821.1754036658</v>
      </c>
      <c r="U11" s="4" t="n">
        <f aca="false">T11*J$28</f>
        <v>9940.39180122193</v>
      </c>
      <c r="V11" s="4" t="n">
        <f aca="false">T11-U11</f>
        <v>19880.7836024439</v>
      </c>
      <c r="W11" s="4" t="n">
        <f aca="false">C11*F11*G11*H11*640*1393.66125*2/(1000*2000*3)</f>
        <v>29566.7490197275</v>
      </c>
      <c r="X11" s="4" t="n">
        <f aca="false">W11*H$28</f>
        <v>8063.65882356205</v>
      </c>
      <c r="Y11" s="4" t="n">
        <f aca="false">W11-X11</f>
        <v>21503.0901961654</v>
      </c>
      <c r="Z11" s="4" t="n">
        <f aca="false">C11*F11*G11*M11*640*1393.66125/(1000*2000*3)</f>
        <v>7711.61145356088</v>
      </c>
      <c r="AA11" s="4" t="n">
        <f aca="false">C11*F11*G11*N11*640*1393.66125/(2000*1000)</f>
        <v>136979.118844764</v>
      </c>
      <c r="AB11" s="4" t="n">
        <f aca="false">C11*F11*G11*O11*640*1393.66125/(2000*1000)</f>
        <v>7836.541599744</v>
      </c>
      <c r="AC11" s="4" t="n">
        <f aca="false">C11*P11*640*1393.66125/(2000*1000)</f>
        <v>7.174568115</v>
      </c>
      <c r="AD11" s="4" t="n">
        <f aca="false">C11*Q11*640*1393.66125/(2000*1000)</f>
        <v>7.174568115</v>
      </c>
      <c r="AE11" s="4" t="n">
        <f aca="false">($V11+$Z11)*2000*1000/(3*365)</f>
        <v>50397068.5954425</v>
      </c>
      <c r="AF11" s="4" t="n">
        <f aca="false">($V11+$Z11)*2000*1000/(18*100)</f>
        <v>30658216.7288942</v>
      </c>
      <c r="AG11" s="4" t="n">
        <f aca="false">($V11+$Z11)*2000*1000/(3*365)</f>
        <v>50397068.5954425</v>
      </c>
      <c r="AH11" s="4" t="n">
        <f aca="false">C11*F11*G11*K11*640*1393.66125/(2000*1000)</f>
        <v>179120.614999509</v>
      </c>
      <c r="AI11" s="4" t="n">
        <f aca="false">3*12*D11*Populations!$S10/(5*1000)</f>
        <v>663666.84</v>
      </c>
      <c r="AJ11" s="4" t="n">
        <f aca="false">1.5*D11*750*Populations!$S10/(1000*2000*15)</f>
        <v>3456.598125</v>
      </c>
      <c r="AK11" s="4" t="n">
        <f aca="false">66*10*D11*Populations!$S10/(1000*2000*6)</f>
        <v>5069.67725</v>
      </c>
      <c r="AL11" s="4" t="n">
        <f aca="false">AE11*365/(2000*1000)</f>
        <v>9197.46501866826</v>
      </c>
      <c r="AM11" s="4" t="n">
        <f aca="false">AF11*25*238/(51*2000*1000)</f>
        <v>1788.39597585216</v>
      </c>
      <c r="AN11" s="4" t="n">
        <f aca="false">AG11*100*238/(600*1000*2000)</f>
        <v>999.541860476276</v>
      </c>
      <c r="AO11" s="4" t="n">
        <f aca="false">AG11*120*2/(16*1000*2000)</f>
        <v>377.978014465819</v>
      </c>
      <c r="AP11" s="4" t="n">
        <f aca="false">D11*4800*Populations!$S10/($AP$28*10*1000*2000)</f>
        <v>12492.14562375</v>
      </c>
      <c r="AQ11" s="4" t="n">
        <f aca="false">D11*2*4800*Populations!$S10/($AQ$28*10*1000*2000)</f>
        <v>48046.7139375</v>
      </c>
      <c r="AR11" s="4" t="n">
        <f aca="false">C11*F11*G11*L11*640*1393.66125/(2000*1000)</f>
        <v>23323.1151091581</v>
      </c>
      <c r="AS11" s="4" t="n">
        <f aca="false">AF11*600*6/(90*1000*2000)</f>
        <v>613.164334577884</v>
      </c>
      <c r="AT11" s="4" t="n">
        <f aca="false">IF(B11="Taiga",236.2,IF(B11="Mts",10,IF(B11="Temp",400,IF(B11="Steppe",25,IF(B11="Jungle",400,IF(B11="Sav",103.6,IF(B11="Medi",181.6,0)))))))*D11*AT$36*Populations!$R10/1000</f>
        <v>477210.564819436</v>
      </c>
      <c r="AU11" s="4" t="n">
        <f aca="false">INDEX(Tech!$F$3:$F$13,MATCH(E11,Tech!$E$3:$E$13,1))*D11*AT$36*Populations!$S10/(365*1000)</f>
        <v>17282.990625</v>
      </c>
      <c r="AV11" s="4" t="n">
        <f aca="false">D11*12.5*AT$36*Populations!$S10/(10*30)</f>
        <v>7201.24609375</v>
      </c>
      <c r="AW11" s="4" t="n">
        <f aca="false">0.125*D11*AW$30*Populations!$R10/1000</f>
        <v>307.577121856277</v>
      </c>
      <c r="AX11" s="4" t="n">
        <f aca="false">D11*AW$30*Populations!$S10/(3*1000)</f>
        <v>118.820560546875</v>
      </c>
      <c r="AY11" s="4" t="n">
        <f aca="false">D11*Populations!$S10/(2*1000*AY$30)/1000</f>
        <v>82.9583549999999</v>
      </c>
      <c r="AZ11" s="4" t="n">
        <f aca="false">D11*AZ$30*Populations!$S10/(2*1000)</f>
        <v>57.60996875</v>
      </c>
      <c r="BA11" s="4" t="n">
        <f aca="false">D11*2*BA$30*Populations!$S10/1000</f>
        <v>276.52785</v>
      </c>
      <c r="BB11" s="4" t="n">
        <f aca="false">D11*3*BB$30*Populations!$S10/1000</f>
        <v>207.3958875</v>
      </c>
      <c r="BC11" s="4" t="n">
        <f aca="false">D11*11*BC$30*Populations!$S10/(15*1000)</f>
        <v>40.557418</v>
      </c>
      <c r="BD11" s="4" t="n">
        <f aca="false">D11*11*BD$30*Populations!$S10/(8*1000)</f>
        <v>95.0564484375</v>
      </c>
      <c r="BE11" s="4" t="n">
        <f aca="false">D11*11*BE$30*Populations!$S10/(3*1000)</f>
        <v>61.5603666071428</v>
      </c>
      <c r="BF11" s="4" t="n">
        <f aca="false">D11*11*BF$30*Populations!$S10/(5*1000)</f>
        <v>44.3596759375</v>
      </c>
      <c r="BG11" s="4" t="n">
        <f aca="false">D11*11*BG$30*Populations!$S10/(9*1000)</f>
        <v>112.659494444444</v>
      </c>
      <c r="BH11" s="4" t="n">
        <f aca="false">D11*11*BH$30*Populations!$S10/(12*1000)</f>
        <v>63.370965625</v>
      </c>
      <c r="BI11" s="4" t="n">
        <f aca="false">D11*BI$30*Populations!$S10/(1000*125/12)</f>
        <v>176.977824</v>
      </c>
      <c r="BJ11" s="4" t="n">
        <f aca="false">D11*BJ$30*Populations!$S10/(30*1000)</f>
        <v>80.4388790333333</v>
      </c>
      <c r="BK11" s="4" t="n">
        <f aca="false">D11*BK$30*Populations!$S10/(7*1000)</f>
        <v>11.1104939732143</v>
      </c>
      <c r="BL11" s="4" t="n">
        <f aca="false">D11*BL$30*Populations!$S10/(8.5*1000)</f>
        <v>18.2996371323529</v>
      </c>
      <c r="BM11" s="4" t="n">
        <f aca="false">D11*BM$30*Populations!$S10/1000</f>
        <v>38.88672890625</v>
      </c>
      <c r="BN11" s="4" t="n">
        <f aca="false">D11*BN$30*Populations!$S10/(1.5*1000)</f>
        <v>92.17595</v>
      </c>
      <c r="BO11" s="4" t="n">
        <f aca="false">D11*BO$30*Populations!$S10/(2*1000)</f>
        <v>74.892959375</v>
      </c>
      <c r="BP11" s="4" t="n">
        <f aca="false">D11*BP$30*Populations!$S10/(4*1000)</f>
        <v>17.282990625</v>
      </c>
      <c r="BQ11" s="4" t="n">
        <f aca="false">D11*Populations!$R10*10/(3*1000*2000)</f>
        <v>1060.46792182097</v>
      </c>
      <c r="BR11" s="4" t="n">
        <f aca="false">D11*2*Populations!$R10/(30*1000*2000)</f>
        <v>21.2093584364194</v>
      </c>
      <c r="BS11" s="4" t="n">
        <f aca="false">D11*2*Populations!$S10/((37.5/12)*1000*2000)</f>
        <v>29.496304</v>
      </c>
      <c r="BT11" s="4" t="n">
        <f aca="false">D11*2*Populations!$S10/((20/9)*1000*2000)</f>
        <v>41.4791775</v>
      </c>
      <c r="BU11" s="4" t="n">
        <f aca="false">AF11*25*4/(51*$BU$32)</f>
        <v>15.028537612203</v>
      </c>
      <c r="BV11" s="4" t="n">
        <f aca="false">D11*Populations!$S10*12/($BV$30*3)</f>
        <v>290.3542425</v>
      </c>
      <c r="BW11" s="4" t="n">
        <f aca="false">D11*Populations!$S10*12/(2*$BW$30)</f>
        <v>248.875065</v>
      </c>
      <c r="BX11" s="4" t="n">
        <f aca="false">D11*Populations!$S10*12/(5*$BX$30)</f>
        <v>124.4375325</v>
      </c>
      <c r="BY11" s="4" t="n">
        <f aca="false">D11*Populations!$S10/(2*$BY$30)</f>
        <v>72.588560625</v>
      </c>
      <c r="BZ11" s="4" t="n">
        <f aca="false">D11*Populations!$R10*500/(1000*2000)</f>
        <v>159070.188273145</v>
      </c>
      <c r="CA11" s="4" t="n">
        <f aca="false">D11*Populations!R10*15/(1000*2000)</f>
        <v>4772.10564819436</v>
      </c>
      <c r="CB11" s="4" t="n">
        <f aca="false">IF(B11="Mts",1,D11*Populations!R10*30/(1000*2000))</f>
        <v>9544.21129638872</v>
      </c>
      <c r="CC11" s="4" t="n">
        <f aca="false">D11*40*Populations!R10/(1000*2000)</f>
        <v>12725.6150618516</v>
      </c>
      <c r="CD11" s="4" t="n">
        <f aca="false">D11*40*Populations!R10/(1000*2000)</f>
        <v>12725.6150618516</v>
      </c>
      <c r="CE11" s="4" t="n">
        <f aca="false">D11*20*Populations!R10/(1000*2000)</f>
        <v>6362.80753092581</v>
      </c>
      <c r="CF11" s="4" t="n">
        <f aca="false">D11*8.3454*32*Populations!$S10/(1000*2000)</f>
        <v>12307.92277008</v>
      </c>
      <c r="CG11" s="4" t="n">
        <f aca="false">D11*50*2*Populations!$S10/(3*1000*2000)</f>
        <v>1536.26583333333</v>
      </c>
      <c r="CH11" s="4" t="n">
        <f aca="false">IF(B11="Mts",20*D11*Populations!$R10/1000,0.001)</f>
        <v>0.001</v>
      </c>
      <c r="CI11" s="4" t="n">
        <f aca="false">IF(NOT(CH11=0.001),0.006*CH11/3,0.001)</f>
        <v>0.001</v>
      </c>
      <c r="CJ11" s="4" t="n">
        <f aca="false">IF(NOT(CH11=0.001),0.7*CH11/3,0.001)</f>
        <v>0.001</v>
      </c>
      <c r="CK11" s="4" t="n">
        <f aca="false">IF(NOT(CH11=0.001),0.65*CH11/3,0.001)</f>
        <v>0.001</v>
      </c>
      <c r="CL11" s="4" t="n">
        <f aca="false">IF(NOT(CH11=0.001),0.002*CH11/3,0.001)</f>
        <v>0.001</v>
      </c>
      <c r="CM11" s="4" t="n">
        <f aca="false">IF(NOT(CH11=0.001),0.001*CH11/3,0.001)</f>
        <v>0.001</v>
      </c>
      <c r="CN11" s="4" t="n">
        <f aca="false">D11*3*110/(24*2000)*Populations!$S10</f>
        <v>633709.65625</v>
      </c>
      <c r="CO11" s="4" t="n">
        <f aca="false">D11*3*12/(24*2000)*Populations!$S10</f>
        <v>69131.9625</v>
      </c>
      <c r="CP11" s="4" t="n">
        <f aca="false">D11*3*1.4/(24*2000)*Populations!$S10</f>
        <v>8065.395625</v>
      </c>
      <c r="CQ11" s="4" t="n">
        <f aca="false">D11*6400*8.3454*Populations!$S10/(10*1000*2000)</f>
        <v>246158.4554016</v>
      </c>
      <c r="CR11" s="4" t="n">
        <f aca="false">D11*2*Populations!$S10/(1000*2000)</f>
        <v>92.17595</v>
      </c>
      <c r="CS11" s="4" t="n">
        <f aca="false">D11*2*30*Populations!$S10/(1000*2000)</f>
        <v>2765.2785</v>
      </c>
      <c r="CT11" s="4" t="n">
        <f aca="false">27*Populations!$R10/(4*1000*2000)</f>
        <v>9.3367284421194</v>
      </c>
      <c r="CU11" s="4" t="n">
        <f aca="false">27*Populations!$R10/(16*1000*2000)</f>
        <v>2.33418211052985</v>
      </c>
      <c r="CV11" s="4" t="n">
        <f aca="false">AP11*0.9</f>
        <v>11242.931061375</v>
      </c>
      <c r="CW11" s="4" t="n">
        <f aca="false">2.5*D11*Populations!$R10/(60*2000)</f>
        <v>13255.8490227621</v>
      </c>
      <c r="CX11" s="4" t="n">
        <f aca="false">D11*125*Populations!R10/(6*1000*2000)</f>
        <v>6627.92451138106</v>
      </c>
      <c r="CY11" s="4" t="n">
        <f aca="false">D11*1.875*2*Populations!R10/(6*1000*2000)</f>
        <v>198.837735341432</v>
      </c>
      <c r="CZ11" s="4" t="n">
        <f aca="false">D11*2*20*Populations!$R10/(1000*2000)</f>
        <v>12725.6150618516</v>
      </c>
      <c r="DA11" s="4" t="n">
        <f aca="false">IF(NOT(CH11=0.001),CH11*0.00001,0.001)</f>
        <v>0.001</v>
      </c>
      <c r="DB11" s="4" t="n">
        <f aca="false">IF(NOT(CH11=0.001),CH11*0.00001,0.001)</f>
        <v>0.001</v>
      </c>
      <c r="DC11" s="4" t="n">
        <f aca="false">D11*0.02*12*Populations!$S10/(3*1000*2000)</f>
        <v>3.687038</v>
      </c>
      <c r="DD11" s="4" t="n">
        <f aca="false">D11*0.5*12*Populations!$S10/(5*1000*2000)</f>
        <v>55.30557</v>
      </c>
      <c r="DE11" s="4" t="n">
        <f aca="false">D11*6*25*Populations!$S10/(1000*2000)</f>
        <v>6913.19625</v>
      </c>
      <c r="DG11" s="4" t="n">
        <f aca="false">PRODUCT(AC11:AD11)</f>
        <v>51.4744276367747</v>
      </c>
      <c r="DH11" s="4" t="n">
        <f aca="false">LOG(PRODUCT(S11,V11,Y11:AB11,AE11:AH11,AL11:AO11,AR11:AT11,AW11,BQ11:BU11,BZ11,CH11:CM11,CT11:CU11,CW11:DB11),2)</f>
        <v>289.956202503596</v>
      </c>
      <c r="DI11" s="4" t="n">
        <f aca="false">LOG(PRODUCT($AI11:$AK11,$AP11:$AQ11,$AU11:$AV11,AX11:BP11,BV11:BY11,CA11:CG11,CN11:CS11,CV11,DC11:DE11),2)</f>
        <v>450.999381838024</v>
      </c>
      <c r="DK11" s="4" t="n">
        <f aca="false">SUM(DG11:DI11)</f>
        <v>792.430011978395</v>
      </c>
    </row>
    <row r="12" s="4" customFormat="true" ht="12.8" hidden="false" customHeight="false" outlineLevel="0" collapsed="false">
      <c r="A12" s="0" t="s">
        <v>144</v>
      </c>
      <c r="B12" s="0" t="s">
        <v>134</v>
      </c>
      <c r="C12" s="0" t="n">
        <v>155</v>
      </c>
      <c r="D12" s="0" t="n">
        <f aca="false">IF(B12="Taiga",265,IF(B12="Mts",265,IF(B12="Temp",230,IF(B12="Steppe",265,IF(B12="Jungle",180,IF(B12="Sav",240,IF(B12="Medi",230,0)))))))</f>
        <v>265</v>
      </c>
      <c r="E12" s="0" t="n">
        <v>1</v>
      </c>
      <c r="F12" s="4" t="n">
        <f aca="false">IF(B12="Taiga",0.43,IF(B12="Mts",0.21,IF(B12="Temp",0.64,IF(B12="Steppe",0.57,IF(B12="Jungle",0.43,IF(B12="Sav",0.57,IF(B12="Medi",0.43,0)))))))</f>
        <v>0.21</v>
      </c>
      <c r="G12" s="4" t="n">
        <f aca="false">IF(B12="Taiga",0.43,IF(B12="Mts",0.8,IF(B12="Temp",0.64,IF(B12="Steppe",0.64,IF(B12="Jungle",0.43,IF(B12="Sav",0.8,IF(B12="Medi",0.6,0)))))))</f>
        <v>0.8</v>
      </c>
      <c r="H12" s="4" t="n">
        <f aca="false">$H$31*IF(B12="Taiga",528,IF(B12="Mts",855.27,IF(B12="Temp",565.94,IF(B12="Steppe",551.72,IF(B12="Jungle",575.43,IF(B12="Sav",599.15,IF(B12="Medi",564.36,0)))))))</f>
        <v>2565.81</v>
      </c>
      <c r="I12" s="4" t="n">
        <f aca="false">$H$31*IF(B12="Taiga",2608.19,IF(B12="Mts",2100,IF(B12="Temp",2976.19,IF(B12="Steppe",2450.48,IF(B12="Jungle",2135.05,IF(B12="Sav",2310.29,IF(B12="Medi",2485.52,0)))))))</f>
        <v>6300</v>
      </c>
      <c r="J12" s="4" t="n">
        <f aca="false">$H$31*IF(B12="Taiga",500.54,IF(B12="Mts",360,IF(B12="Temp",570.81,IF(B12="Steppe",441.95,IF(B12="Jungle",486.49,IF(B12="Sav",518.92,IF(B12="Medi",640,0)))))))</f>
        <v>1080</v>
      </c>
      <c r="K12" s="4" t="n">
        <f aca="false">$H$31*IF(B12="Taiga",2003.09,IF(B12="Mts",1612.8,IF(B12="Temp",2285.71,IF(B12="Steppe",1881.97,IF(B12="Jungle",1639.72,IF(B12="Sav",1774.3,IF(B12="Medi",1908.88,0)))))))</f>
        <v>4838.4</v>
      </c>
      <c r="L12" s="4" t="n">
        <f aca="false">$H$31*IF(B12="Taiga",260.82,IF(B12="Mts",210,IF(B12="Temp",297.62,IF(B12="Steppe",245.05,IF(B12="Jungle",213.5,IF(B12="Sav",231.03,IF(B12="Medi",248.55,0)))))))</f>
        <v>630</v>
      </c>
      <c r="M12" s="4" t="n">
        <f aca="false">$H$31*IF(B12="Taiga",250,IF(B12="Mts",640,IF(B12="Temp",295.2174,IF(B12="Steppe",278.2609,IF(B12="Jungle",306.5217,IF(B12="Sav",334.7826,IF(B12="Medi",293.3333,0)))))))</f>
        <v>1920</v>
      </c>
      <c r="N12" s="4" t="n">
        <f aca="false">$H$31*IF(B12="Taiga",1491.9691,IF(B12="Mts",980,IF(B12="Temp",1747.9537,IF(B12="Steppe",1278.5174,IF(B12="Jungle",1440.7722,IF(B12="Sav",1558.9189,IF(B12="Medi",2000,0)))))))</f>
        <v>2940</v>
      </c>
      <c r="O12" s="4" t="n">
        <f aca="false">$H$31*IF(B12="Taiga",68.5,IF(B12="Mts",25,IF(B12="Temp",100,IF(B12="Steppe",55,IF(B12="Jungle",28,IF(B12="Sav",43,IF(B12="Medi",58,0)))))))</f>
        <v>75</v>
      </c>
      <c r="P12" s="4" t="n">
        <f aca="false">$H$31*20*15/8000</f>
        <v>0.1125</v>
      </c>
      <c r="Q12" s="4" t="n">
        <f aca="false">$H$31*20*15/8000</f>
        <v>0.1125</v>
      </c>
      <c r="R12" s="1" t="s">
        <v>39</v>
      </c>
      <c r="S12" s="4" t="n">
        <f aca="false">C12*F12*G12*360*640*1393.66125/(2000*1000)</f>
        <v>4180.71616704</v>
      </c>
      <c r="T12" s="4" t="n">
        <f aca="false">C12*F12*G12*J12*640*1393.66125*2/(1000*2000*3)</f>
        <v>8361.43233408</v>
      </c>
      <c r="U12" s="4" t="n">
        <f aca="false">T12*J$28</f>
        <v>2787.14411136</v>
      </c>
      <c r="V12" s="4" t="n">
        <f aca="false">T12-U12</f>
        <v>5574.28822272</v>
      </c>
      <c r="W12" s="4" t="n">
        <f aca="false">C12*F12*G12*H12*640*1393.66125*2/(1000*2000*3)</f>
        <v>19864.6728676906</v>
      </c>
      <c r="X12" s="4" t="n">
        <f aca="false">W12*H$28</f>
        <v>5417.63805482471</v>
      </c>
      <c r="Y12" s="4" t="n">
        <f aca="false">W12-X12</f>
        <v>14447.0348128659</v>
      </c>
      <c r="Z12" s="4" t="n">
        <f aca="false">C12*F12*G12*M12*640*1393.66125/(1000*2000*3)</f>
        <v>7432.38429696</v>
      </c>
      <c r="AA12" s="4" t="n">
        <f aca="false">C12*F12*G12*N12*640*1393.66125/(2000*1000)</f>
        <v>34142.51536416</v>
      </c>
      <c r="AB12" s="4" t="n">
        <f aca="false">C12*F12*G12*O12*640*1393.66125/(2000*1000)</f>
        <v>870.9825348</v>
      </c>
      <c r="AC12" s="4" t="n">
        <f aca="false">C12*P12*640*1393.66125/(2000*1000)</f>
        <v>7.776629775</v>
      </c>
      <c r="AD12" s="4" t="n">
        <f aca="false">C12*Q12*640*1393.66125/(2000*1000)</f>
        <v>7.776629775</v>
      </c>
      <c r="AE12" s="4" t="n">
        <f aca="false">($V12+$Z12)*2000*1000/(3*365)</f>
        <v>23756479.488</v>
      </c>
      <c r="AF12" s="4" t="n">
        <f aca="false">($V12+$Z12)*2000*1000/(18*100)</f>
        <v>14451858.3552</v>
      </c>
      <c r="AG12" s="4" t="n">
        <f aca="false">($V12+$Z12)*2000*1000/(3*365)</f>
        <v>23756479.488</v>
      </c>
      <c r="AH12" s="4" t="n">
        <f aca="false">C12*F12*G12*K12*640*1393.66125/(2000*1000)</f>
        <v>56188.8252850176</v>
      </c>
      <c r="AI12" s="4" t="n">
        <f aca="false">3*12*D12*Populations!$S11/(5*1000)</f>
        <v>114275.844</v>
      </c>
      <c r="AJ12" s="4" t="n">
        <f aca="false">1.5*D12*750*Populations!$S11/(1000*2000*15)</f>
        <v>595.1866875</v>
      </c>
      <c r="AK12" s="4" t="n">
        <f aca="false">66*10*D12*Populations!$S11/(1000*2000*6)</f>
        <v>872.940475</v>
      </c>
      <c r="AL12" s="4" t="n">
        <f aca="false">AE12*365/(2000*1000)</f>
        <v>4335.55750656</v>
      </c>
      <c r="AM12" s="4" t="n">
        <f aca="false">AF12*25*238/(51*2000*1000)</f>
        <v>843.02507072</v>
      </c>
      <c r="AN12" s="4" t="n">
        <f aca="false">AG12*100*238/(600*1000*2000)</f>
        <v>471.170176512</v>
      </c>
      <c r="AO12" s="4" t="n">
        <f aca="false">AG12*120*2/(16*1000*2000)</f>
        <v>178.17359616</v>
      </c>
      <c r="AP12" s="4" t="n">
        <f aca="false">D12*4800*Populations!$S11/($AP$28*10*1000*2000)</f>
        <v>2151.004688625</v>
      </c>
      <c r="AQ12" s="4" t="n">
        <f aca="false">D12*2*4800*Populations!$S11/($AQ$28*10*1000*2000)</f>
        <v>8273.09495625</v>
      </c>
      <c r="AR12" s="4" t="n">
        <f aca="false">C12*F12*G12*L12*640*1393.66125/(2000*1000)</f>
        <v>7316.25329232</v>
      </c>
      <c r="AS12" s="4" t="n">
        <f aca="false">AF12*600*6/(90*1000*2000)</f>
        <v>289.037167104</v>
      </c>
      <c r="AT12" s="4" t="n">
        <f aca="false">IF(B12="Taiga",236.2,IF(B12="Mts",10,IF(B12="Temp",400,IF(B12="Steppe",25,IF(B12="Jungle",400,IF(B12="Sav",103.6,IF(B12="Medi",181.6,0)))))))*D12*AT$36*Populations!$R11/1000</f>
        <v>3200.55035669584</v>
      </c>
      <c r="AU12" s="4" t="n">
        <f aca="false">INDEX(Tech!$F$3:$F$13,MATCH(E12,Tech!$E$3:$E$13,1))*D12*AT$36*Populations!$S11/(365*1000)</f>
        <v>2975.9334375</v>
      </c>
      <c r="AV12" s="4" t="n">
        <f aca="false">D12*12.5*AT$36*Populations!$S11/(10*30)</f>
        <v>1239.972265625</v>
      </c>
      <c r="AW12" s="4" t="n">
        <f aca="false">0.125*D12*AW$30*Populations!$R11/1000</f>
        <v>82.5141888835647</v>
      </c>
      <c r="AX12" s="4" t="n">
        <f aca="false">D12*AW$30*Populations!$S11/(3*1000)</f>
        <v>20.4595423828125</v>
      </c>
      <c r="AY12" s="4" t="n">
        <f aca="false">D12*Populations!$S11/(2*1000*AY$30)/1000</f>
        <v>14.2844805</v>
      </c>
      <c r="AZ12" s="4" t="n">
        <f aca="false">D12*AZ$30*Populations!$S11/(2*1000)</f>
        <v>9.919778125</v>
      </c>
      <c r="BA12" s="4" t="n">
        <f aca="false">D12*2*BA$30*Populations!$S11/1000</f>
        <v>47.614935</v>
      </c>
      <c r="BB12" s="4" t="n">
        <f aca="false">D12*3*BB$30*Populations!$S11/1000</f>
        <v>35.71120125</v>
      </c>
      <c r="BC12" s="4" t="n">
        <f aca="false">D12*11*BC$30*Populations!$S11/(15*1000)</f>
        <v>6.9835238</v>
      </c>
      <c r="BD12" s="4" t="n">
        <f aca="false">D12*11*BD$30*Populations!$S11/(8*1000)</f>
        <v>16.36763390625</v>
      </c>
      <c r="BE12" s="4" t="n">
        <f aca="false">D12*11*BE$30*Populations!$S11/(3*1000)</f>
        <v>10.5999914821429</v>
      </c>
      <c r="BF12" s="4" t="n">
        <f aca="false">D12*11*BF$30*Populations!$S11/(5*1000)</f>
        <v>7.63822915625</v>
      </c>
      <c r="BG12" s="4" t="n">
        <f aca="false">D12*11*BG$30*Populations!$S11/(9*1000)</f>
        <v>19.3986772222222</v>
      </c>
      <c r="BH12" s="4" t="n">
        <f aca="false">D12*11*BH$30*Populations!$S11/(12*1000)</f>
        <v>10.9117559375</v>
      </c>
      <c r="BI12" s="4" t="n">
        <f aca="false">D12*BI$30*Populations!$S11/(1000*125/12)</f>
        <v>30.4735584</v>
      </c>
      <c r="BJ12" s="4" t="n">
        <f aca="false">D12*BJ$30*Populations!$S11/(30*1000)</f>
        <v>13.8506555366667</v>
      </c>
      <c r="BK12" s="4" t="n">
        <f aca="false">D12*BK$30*Populations!$S11/(7*1000)</f>
        <v>1.91310006696429</v>
      </c>
      <c r="BL12" s="4" t="n">
        <f aca="false">D12*BL$30*Populations!$S11/(8.5*1000)</f>
        <v>3.15098834558824</v>
      </c>
      <c r="BM12" s="4" t="n">
        <f aca="false">D12*BM$30*Populations!$S11/1000</f>
        <v>6.695850234375</v>
      </c>
      <c r="BN12" s="4" t="n">
        <f aca="false">D12*BN$30*Populations!$S11/(1.5*1000)</f>
        <v>15.871645</v>
      </c>
      <c r="BO12" s="4" t="n">
        <f aca="false">D12*BO$30*Populations!$S11/(2*1000)</f>
        <v>12.8957115625</v>
      </c>
      <c r="BP12" s="4" t="n">
        <f aca="false">D12*BP$30*Populations!$S11/(4*1000)</f>
        <v>2.9759334375</v>
      </c>
      <c r="BQ12" s="4" t="n">
        <f aca="false">D12*Populations!$R11*10/(3*1000*2000)</f>
        <v>284.49336503963</v>
      </c>
      <c r="BR12" s="4" t="n">
        <f aca="false">D12*2*Populations!$R11/(30*1000*2000)</f>
        <v>5.68986730079261</v>
      </c>
      <c r="BS12" s="4" t="n">
        <f aca="false">D12*2*Populations!$S11/((37.5/12)*1000*2000)</f>
        <v>5.0789264</v>
      </c>
      <c r="BT12" s="4" t="n">
        <f aca="false">D12*2*Populations!$S11/((20/9)*1000*2000)</f>
        <v>7.14224025</v>
      </c>
      <c r="BU12" s="4" t="n">
        <f aca="false">AF12*25*4/(51*$BU$32)</f>
        <v>7.08424429176471</v>
      </c>
      <c r="BV12" s="4" t="n">
        <f aca="false">D12*Populations!$S11*12/($BV$30*3)</f>
        <v>49.99568175</v>
      </c>
      <c r="BW12" s="4" t="n">
        <f aca="false">D12*Populations!$S11*12/(2*$BW$30)</f>
        <v>42.8534415</v>
      </c>
      <c r="BX12" s="4" t="n">
        <f aca="false">D12*Populations!$S11*12/(5*$BX$30)</f>
        <v>21.42672075</v>
      </c>
      <c r="BY12" s="4" t="n">
        <f aca="false">D12*Populations!$S11/(2*$BY$30)</f>
        <v>12.4989204375</v>
      </c>
      <c r="BZ12" s="4" t="n">
        <f aca="false">D12*Populations!$R11*500/(1000*2000)</f>
        <v>42674.0047559446</v>
      </c>
      <c r="CA12" s="4" t="n">
        <f aca="false">D12*Populations!R11*15/(1000*2000)</f>
        <v>1280.22014267834</v>
      </c>
      <c r="CB12" s="4" t="n">
        <f aca="false">IF(B12="Mts",1,D12*Populations!R11*30/(1000*2000))</f>
        <v>1</v>
      </c>
      <c r="CC12" s="4" t="n">
        <f aca="false">D12*40*Populations!R11/(1000*2000)</f>
        <v>3413.92038047557</v>
      </c>
      <c r="CD12" s="4" t="n">
        <f aca="false">D12*40*Populations!R11/(1000*2000)</f>
        <v>3413.92038047557</v>
      </c>
      <c r="CE12" s="4" t="n">
        <f aca="false">D12*20*Populations!R11/(1000*2000)</f>
        <v>1706.96019023778</v>
      </c>
      <c r="CF12" s="4" t="n">
        <f aca="false">D12*8.3454*32*Populations!$S11/(1000*2000)</f>
        <v>2119.283618928</v>
      </c>
      <c r="CG12" s="4" t="n">
        <f aca="false">D12*50*2*Populations!$S11/(3*1000*2000)</f>
        <v>264.527416666667</v>
      </c>
      <c r="CH12" s="4" t="n">
        <f aca="false">IF(B12="Mts",20*D12*Populations!$R11/1000,0.001)</f>
        <v>3413920.38047557</v>
      </c>
      <c r="CI12" s="4" t="n">
        <f aca="false">IF(NOT(CH12=0.001),0.006*CH12/3,0.001)</f>
        <v>6827.84076095113</v>
      </c>
      <c r="CJ12" s="4" t="n">
        <f aca="false">IF(NOT(CH12=0.001),0.7*CH12/3,0.001)</f>
        <v>796581.422110966</v>
      </c>
      <c r="CK12" s="4" t="n">
        <f aca="false">IF(NOT(CH12=0.001),0.65*CH12/3,0.001)</f>
        <v>739682.749103039</v>
      </c>
      <c r="CL12" s="4" t="n">
        <f aca="false">IF(NOT(CH12=0.001),0.002*CH12/3,0.001)</f>
        <v>2275.94692031704</v>
      </c>
      <c r="CM12" s="4" t="n">
        <f aca="false">IF(NOT(CH12=0.001),0.001*CH12/3,0.001)</f>
        <v>1137.97346015852</v>
      </c>
      <c r="CN12" s="4" t="n">
        <f aca="false">D12*3*110/(24*2000)*Populations!$S11</f>
        <v>109117.559375</v>
      </c>
      <c r="CO12" s="4" t="n">
        <f aca="false">D12*3*12/(24*2000)*Populations!$S11</f>
        <v>11903.73375</v>
      </c>
      <c r="CP12" s="4" t="n">
        <f aca="false">D12*3*1.4/(24*2000)*Populations!$S11</f>
        <v>1388.7689375</v>
      </c>
      <c r="CQ12" s="4" t="n">
        <f aca="false">D12*6400*8.3454*Populations!$S11/(10*1000*2000)</f>
        <v>42385.67237856</v>
      </c>
      <c r="CR12" s="4" t="n">
        <f aca="false">D12*2*Populations!$S11/(1000*2000)</f>
        <v>15.871645</v>
      </c>
      <c r="CS12" s="4" t="n">
        <f aca="false">D12*2*30*Populations!$S11/(1000*2000)</f>
        <v>476.14935</v>
      </c>
      <c r="CT12" s="4" t="n">
        <f aca="false">27*Populations!$R11/(4*1000*2000)</f>
        <v>2.17395873285001</v>
      </c>
      <c r="CU12" s="4" t="n">
        <f aca="false">27*Populations!$R11/(16*1000*2000)</f>
        <v>0.543489683212502</v>
      </c>
      <c r="CV12" s="4" t="n">
        <f aca="false">AP12*0.9</f>
        <v>1935.9042197625</v>
      </c>
      <c r="CW12" s="4" t="n">
        <f aca="false">2.5*D12*Populations!$R11/(60*2000)</f>
        <v>3556.16706299538</v>
      </c>
      <c r="CX12" s="4" t="n">
        <f aca="false">D12*125*Populations!R11/(6*1000*2000)</f>
        <v>1778.08353149769</v>
      </c>
      <c r="CY12" s="4" t="n">
        <f aca="false">D12*1.875*2*Populations!R11/(6*1000*2000)</f>
        <v>53.3425059449307</v>
      </c>
      <c r="CZ12" s="4" t="n">
        <f aca="false">D12*2*20*Populations!$R11/(1000*2000)</f>
        <v>3413.92038047557</v>
      </c>
      <c r="DA12" s="4" t="n">
        <f aca="false">IF(NOT(CH12=0.001),CH12*0.00001,0.001)</f>
        <v>34.1392038047557</v>
      </c>
      <c r="DB12" s="4" t="n">
        <f aca="false">IF(NOT(CH12=0.001),CH12*0.00001,0.001)</f>
        <v>34.1392038047557</v>
      </c>
      <c r="DC12" s="4" t="n">
        <f aca="false">D12*0.02*12*Populations!$S11/(3*1000*2000)</f>
        <v>0.6348658</v>
      </c>
      <c r="DD12" s="4" t="n">
        <f aca="false">D12*0.5*12*Populations!$S11/(5*1000*2000)</f>
        <v>9.522987</v>
      </c>
      <c r="DE12" s="4" t="n">
        <f aca="false">D12*6*25*Populations!$S11/(1000*2000)</f>
        <v>1190.373375</v>
      </c>
      <c r="DG12" s="4" t="n">
        <f aca="false">PRODUCT(AC12:AD12)</f>
        <v>60.4759706574166</v>
      </c>
      <c r="DH12" s="4" t="n">
        <f aca="false">LOG(PRODUCT(S12,V12,Y12:AB12,AE12:AH12,AL12:AO12,AR12:AT12,AW12,BQ12:BU12,BZ12,CH12:CM12,CT12:CU12,CW12:DB12),2)</f>
        <v>421.111678776436</v>
      </c>
      <c r="DI12" s="4" t="n">
        <f aca="false">LOG(PRODUCT($AI12:$AK12,$AP12:$AQ12,$AU12:$AV12,AX12:BP12,BV12:BY12,CA12:CG12,CN12:CS12,CV12,DC12:DE12),2)</f>
        <v>323.592609142863</v>
      </c>
      <c r="DK12" s="4" t="n">
        <f aca="false">SUM(DG12:DI12)</f>
        <v>805.180258576715</v>
      </c>
    </row>
    <row r="13" s="4" customFormat="true" ht="12.8" hidden="false" customHeight="false" outlineLevel="0" collapsed="false">
      <c r="A13" s="0" t="s">
        <v>145</v>
      </c>
      <c r="B13" s="0" t="s">
        <v>146</v>
      </c>
      <c r="C13" s="0" t="n">
        <v>127</v>
      </c>
      <c r="D13" s="0" t="n">
        <f aca="false">IF(B13="Taiga",265,IF(B13="Mts",265,IF(B13="Temp",230,IF(B13="Steppe",265,IF(B13="Jungle",180,IF(B13="Sav",240,IF(B13="Medi",230,0)))))))</f>
        <v>180</v>
      </c>
      <c r="E13" s="0" t="n">
        <v>1</v>
      </c>
      <c r="F13" s="4" t="n">
        <f aca="false">IF(B13="Taiga",0.43,IF(B13="Mts",0.21,IF(B13="Temp",0.64,IF(B13="Steppe",0.57,IF(B13="Jungle",0.43,IF(B13="Sav",0.57,IF(B13="Medi",0.43,0)))))))</f>
        <v>0.43</v>
      </c>
      <c r="G13" s="4" t="n">
        <f aca="false">IF(B13="Taiga",0.43,IF(B13="Mts",0.8,IF(B13="Temp",0.64,IF(B13="Steppe",0.64,IF(B13="Jungle",0.43,IF(B13="Sav",0.8,IF(B13="Medi",0.6,0)))))))</f>
        <v>0.43</v>
      </c>
      <c r="H13" s="4" t="n">
        <f aca="false">$H$31*IF(B13="Taiga",528,IF(B13="Mts",855.27,IF(B13="Temp",565.94,IF(B13="Steppe",551.72,IF(B13="Jungle",575.43,IF(B13="Sav",599.15,IF(B13="Medi",564.36,0)))))))</f>
        <v>1726.29</v>
      </c>
      <c r="I13" s="4" t="n">
        <f aca="false">$H$31*IF(B13="Taiga",2608.19,IF(B13="Mts",2100,IF(B13="Temp",2976.19,IF(B13="Steppe",2450.48,IF(B13="Jungle",2135.05,IF(B13="Sav",2310.29,IF(B13="Medi",2485.52,0)))))))</f>
        <v>6405.15</v>
      </c>
      <c r="J13" s="4" t="n">
        <f aca="false">$H$31*IF(B13="Taiga",500.54,IF(B13="Mts",360,IF(B13="Temp",570.81,IF(B13="Steppe",441.95,IF(B13="Jungle",486.49,IF(B13="Sav",518.92,IF(B13="Medi",640,0)))))))</f>
        <v>1459.47</v>
      </c>
      <c r="K13" s="4" t="n">
        <f aca="false">$H$31*IF(B13="Taiga",2003.09,IF(B13="Mts",1612.8,IF(B13="Temp",2285.71,IF(B13="Steppe",1881.97,IF(B13="Jungle",1639.72,IF(B13="Sav",1774.3,IF(B13="Medi",1908.88,0)))))))</f>
        <v>4919.16</v>
      </c>
      <c r="L13" s="4" t="n">
        <f aca="false">$H$31*IF(B13="Taiga",260.82,IF(B13="Mts",210,IF(B13="Temp",297.62,IF(B13="Steppe",245.05,IF(B13="Jungle",213.5,IF(B13="Sav",231.03,IF(B13="Medi",248.55,0)))))))</f>
        <v>640.5</v>
      </c>
      <c r="M13" s="4" t="n">
        <f aca="false">$H$31*IF(B13="Taiga",250,IF(B13="Mts",640,IF(B13="Temp",295.2174,IF(B13="Steppe",278.2609,IF(B13="Jungle",306.5217,IF(B13="Sav",334.7826,IF(B13="Medi",293.3333,0)))))))</f>
        <v>919.5651</v>
      </c>
      <c r="N13" s="4" t="n">
        <f aca="false">$H$31*IF(B13="Taiga",1491.9691,IF(B13="Mts",980,IF(B13="Temp",1747.9537,IF(B13="Steppe",1278.5174,IF(B13="Jungle",1440.7722,IF(B13="Sav",1558.9189,IF(B13="Medi",2000,0)))))))</f>
        <v>4322.3166</v>
      </c>
      <c r="O13" s="4" t="n">
        <f aca="false">$H$31*IF(B13="Taiga",68.5,IF(B13="Mts",25,IF(B13="Temp",100,IF(B13="Steppe",55,IF(B13="Jungle",28,IF(B13="Sav",43,IF(B13="Medi",58,0)))))))</f>
        <v>84</v>
      </c>
      <c r="P13" s="4" t="n">
        <f aca="false">$H$31*20*15/8000</f>
        <v>0.1125</v>
      </c>
      <c r="Q13" s="4" t="n">
        <f aca="false">$H$31*20*15/8000</f>
        <v>0.1125</v>
      </c>
      <c r="R13" s="1" t="s">
        <v>39</v>
      </c>
      <c r="S13" s="4" t="n">
        <f aca="false">C13*F13*G13*360*640*1393.66125/(2000*1000)</f>
        <v>3770.0780049648</v>
      </c>
      <c r="T13" s="4" t="n">
        <f aca="false">C13*F13*G13*J13*640*1393.66125*2/(1000*2000*3)</f>
        <v>10189.4736035296</v>
      </c>
      <c r="U13" s="4" t="n">
        <f aca="false">T13*J$28</f>
        <v>3396.49120117653</v>
      </c>
      <c r="V13" s="4" t="n">
        <f aca="false">T13-U13</f>
        <v>6792.98240235306</v>
      </c>
      <c r="W13" s="4" t="n">
        <f aca="false">C13*F13*G13*H13*640*1393.66125*2/(1000*2000*3)</f>
        <v>12052.3110355383</v>
      </c>
      <c r="X13" s="4" t="n">
        <f aca="false">W13*H$28</f>
        <v>3286.99391878318</v>
      </c>
      <c r="Y13" s="4" t="n">
        <f aca="false">W13-X13</f>
        <v>8765.31711675513</v>
      </c>
      <c r="Z13" s="4" t="n">
        <f aca="false">C13*F13*G13*M13*640*1393.66125/(1000*2000*3)</f>
        <v>3210.02977559561</v>
      </c>
      <c r="AA13" s="4" t="n">
        <f aca="false">C13*F13*G13*N13*640*1393.66125/(2000*1000)</f>
        <v>45265.1965115396</v>
      </c>
      <c r="AB13" s="4" t="n">
        <f aca="false">C13*F13*G13*O13*640*1393.66125/(2000*1000)</f>
        <v>879.68486782512</v>
      </c>
      <c r="AC13" s="4" t="n">
        <f aca="false">C13*P13*640*1393.66125/(2000*1000)</f>
        <v>6.371819235</v>
      </c>
      <c r="AD13" s="4" t="n">
        <f aca="false">C13*Q13*640*1393.66125/(2000*1000)</f>
        <v>6.371819235</v>
      </c>
      <c r="AE13" s="4" t="n">
        <f aca="false">($V13+$Z13)*2000*1000/(3*365)</f>
        <v>18270341.8775318</v>
      </c>
      <c r="AF13" s="4" t="n">
        <f aca="false">($V13+$Z13)*2000*1000/(18*100)</f>
        <v>11114457.9754985</v>
      </c>
      <c r="AG13" s="4" t="n">
        <f aca="false">($V13+$Z13)*2000*1000/(3*365)</f>
        <v>18270341.8775318</v>
      </c>
      <c r="AH13" s="4" t="n">
        <f aca="false">C13*F13*G13*K13*640*1393.66125/(2000*1000)</f>
        <v>51515.6025525074</v>
      </c>
      <c r="AI13" s="4" t="n">
        <f aca="false">3*12*D13*Populations!$S12/(5*1000)</f>
        <v>249098.976</v>
      </c>
      <c r="AJ13" s="4" t="n">
        <f aca="false">1.5*D13*750*Populations!$S12/(1000*2000*15)</f>
        <v>1297.3905</v>
      </c>
      <c r="AK13" s="4" t="n">
        <f aca="false">66*10*D13*Populations!$S12/(1000*2000*6)</f>
        <v>1902.8394</v>
      </c>
      <c r="AL13" s="4" t="n">
        <f aca="false">AE13*365/(2000*1000)</f>
        <v>3334.33739264956</v>
      </c>
      <c r="AM13" s="4" t="n">
        <f aca="false">AF13*25*238/(51*2000*1000)</f>
        <v>648.34338190408</v>
      </c>
      <c r="AN13" s="4" t="n">
        <f aca="false">AG13*100*238/(600*1000*2000)</f>
        <v>362.361780571048</v>
      </c>
      <c r="AO13" s="4" t="n">
        <f aca="false">AG13*120*2/(16*1000*2000)</f>
        <v>137.027564081489</v>
      </c>
      <c r="AP13" s="4" t="n">
        <f aca="false">D13*4800*Populations!$S12/($AP$28*10*1000*2000)</f>
        <v>4688.76926700001</v>
      </c>
      <c r="AQ13" s="4" t="n">
        <f aca="false">D13*2*4800*Populations!$S12/($AQ$28*10*1000*2000)</f>
        <v>18033.72795</v>
      </c>
      <c r="AR13" s="4" t="n">
        <f aca="false">C13*F13*G13*L13*640*1393.66125/(2000*1000)</f>
        <v>6707.59711716654</v>
      </c>
      <c r="AS13" s="4" t="n">
        <f aca="false">AF13*600*6/(90*1000*2000)</f>
        <v>222.28915950997</v>
      </c>
      <c r="AT13" s="4" t="n">
        <f aca="false">IF(B13="Taiga",236.2,IF(B13="Mts",10,IF(B13="Temp",400,IF(B13="Steppe",25,IF(B13="Jungle",400,IF(B13="Sav",103.6,IF(B13="Medi",181.6,0)))))))*D13*AT$36*Populations!$R12/1000</f>
        <v>231177.87642504</v>
      </c>
      <c r="AU13" s="4" t="n">
        <f aca="false">INDEX(Tech!$F$3:$F$13,MATCH(E13,Tech!$E$3:$E$13,1))*D13*AT$36*Populations!$S12/(365*1000)</f>
        <v>6486.9525</v>
      </c>
      <c r="AV13" s="4" t="n">
        <f aca="false">D13*12.5*AT$36*Populations!$S12/(10*30)</f>
        <v>2702.896875</v>
      </c>
      <c r="AW13" s="4" t="n">
        <f aca="false">0.125*D13*AW$30*Populations!$R12/1000</f>
        <v>149.001365664576</v>
      </c>
      <c r="AX13" s="4" t="n">
        <f aca="false">D13*AW$30*Populations!$S12/(3*1000)</f>
        <v>44.5977984375</v>
      </c>
      <c r="AY13" s="4" t="n">
        <f aca="false">D13*Populations!$S12/(2*1000*AY$30)/1000</f>
        <v>31.137372</v>
      </c>
      <c r="AZ13" s="4" t="n">
        <f aca="false">D13*AZ$30*Populations!$S12/(2*1000)</f>
        <v>21.623175</v>
      </c>
      <c r="BA13" s="4" t="n">
        <f aca="false">D13*2*BA$30*Populations!$S12/1000</f>
        <v>103.79124</v>
      </c>
      <c r="BB13" s="4" t="n">
        <f aca="false">D13*3*BB$30*Populations!$S12/1000</f>
        <v>77.84343</v>
      </c>
      <c r="BC13" s="4" t="n">
        <f aca="false">D13*11*BC$30*Populations!$S12/(15*1000)</f>
        <v>15.2227152</v>
      </c>
      <c r="BD13" s="4" t="n">
        <f aca="false">D13*11*BD$30*Populations!$S12/(8*1000)</f>
        <v>35.67823875</v>
      </c>
      <c r="BE13" s="4" t="n">
        <f aca="false">D13*11*BE$30*Populations!$S12/(3*1000)</f>
        <v>23.105907</v>
      </c>
      <c r="BF13" s="4" t="n">
        <f aca="false">D13*11*BF$30*Populations!$S12/(5*1000)</f>
        <v>16.64984475</v>
      </c>
      <c r="BG13" s="4" t="n">
        <f aca="false">D13*11*BG$30*Populations!$S12/(9*1000)</f>
        <v>42.28532</v>
      </c>
      <c r="BH13" s="4" t="n">
        <f aca="false">D13*11*BH$30*Populations!$S12/(12*1000)</f>
        <v>23.7854925</v>
      </c>
      <c r="BI13" s="4" t="n">
        <f aca="false">D13*BI$30*Populations!$S12/(1000*125/12)</f>
        <v>66.4263936</v>
      </c>
      <c r="BJ13" s="4" t="n">
        <f aca="false">D13*BJ$30*Populations!$S12/(30*1000)</f>
        <v>30.19171848</v>
      </c>
      <c r="BK13" s="4" t="n">
        <f aca="false">D13*BK$30*Populations!$S12/(7*1000)</f>
        <v>4.17018375</v>
      </c>
      <c r="BL13" s="4" t="n">
        <f aca="false">D13*BL$30*Populations!$S12/(8.5*1000)</f>
        <v>6.86853794117647</v>
      </c>
      <c r="BM13" s="4" t="n">
        <f aca="false">D13*BM$30*Populations!$S12/1000</f>
        <v>14.595643125</v>
      </c>
      <c r="BN13" s="4" t="n">
        <f aca="false">D13*BN$30*Populations!$S12/(1.5*1000)</f>
        <v>34.59708</v>
      </c>
      <c r="BO13" s="4" t="n">
        <f aca="false">D13*BO$30*Populations!$S12/(2*1000)</f>
        <v>28.1101275</v>
      </c>
      <c r="BP13" s="4" t="n">
        <f aca="false">D13*BP$30*Populations!$S12/(4*1000)</f>
        <v>6.4869525</v>
      </c>
      <c r="BQ13" s="4" t="n">
        <f aca="false">D13*Populations!$R12*10/(3*1000*2000)</f>
        <v>513.728614277866</v>
      </c>
      <c r="BR13" s="4" t="n">
        <f aca="false">D13*2*Populations!$R12/(30*1000*2000)</f>
        <v>10.2745722855573</v>
      </c>
      <c r="BS13" s="4" t="n">
        <f aca="false">D13*2*Populations!$S12/((37.5/12)*1000*2000)</f>
        <v>11.0710656</v>
      </c>
      <c r="BT13" s="4" t="n">
        <f aca="false">D13*2*Populations!$S12/((20/9)*1000*2000)</f>
        <v>15.568686</v>
      </c>
      <c r="BU13" s="4" t="n">
        <f aca="false">AF13*25*4/(51*$BU$32)</f>
        <v>5.44826371347967</v>
      </c>
      <c r="BV13" s="4" t="n">
        <f aca="false">D13*Populations!$S12*12/($BV$30*3)</f>
        <v>108.980802</v>
      </c>
      <c r="BW13" s="4" t="n">
        <f aca="false">D13*Populations!$S12*12/(2*$BW$30)</f>
        <v>93.4121160000001</v>
      </c>
      <c r="BX13" s="4" t="n">
        <f aca="false">D13*Populations!$S12*12/(5*$BX$30)</f>
        <v>46.7060579999999</v>
      </c>
      <c r="BY13" s="4" t="n">
        <f aca="false">D13*Populations!$S12/(2*$BY$30)</f>
        <v>27.2452005</v>
      </c>
      <c r="BZ13" s="4" t="n">
        <f aca="false">D13*Populations!$R12*500/(1000*2000)</f>
        <v>77059.2921416799</v>
      </c>
      <c r="CA13" s="4" t="n">
        <f aca="false">D13*Populations!R12*15/(1000*2000)</f>
        <v>2311.7787642504</v>
      </c>
      <c r="CB13" s="4" t="n">
        <f aca="false">IF(B13="Mts",1,D13*Populations!R12*30/(1000*2000))</f>
        <v>4623.5575285008</v>
      </c>
      <c r="CC13" s="4" t="n">
        <f aca="false">D13*40*Populations!R12/(1000*2000)</f>
        <v>6164.74337133439</v>
      </c>
      <c r="CD13" s="4" t="n">
        <f aca="false">D13*40*Populations!R12/(1000*2000)</f>
        <v>6164.74337133439</v>
      </c>
      <c r="CE13" s="4" t="n">
        <f aca="false">D13*20*Populations!R12/(1000*2000)</f>
        <v>3082.3716856672</v>
      </c>
      <c r="CF13" s="4" t="n">
        <f aca="false">D13*8.3454*32*Populations!$S12/(1000*2000)</f>
        <v>4619.623542912</v>
      </c>
      <c r="CG13" s="4" t="n">
        <f aca="false">D13*50*2*Populations!$S12/(3*1000*2000)</f>
        <v>576.618</v>
      </c>
      <c r="CH13" s="4" t="n">
        <f aca="false">IF(B13="Mts",20*D13*Populations!$R12/1000,0.001)</f>
        <v>0.001</v>
      </c>
      <c r="CI13" s="4" t="n">
        <f aca="false">IF(NOT(CH13=0.001),0.006*CH13/3,0.001)</f>
        <v>0.001</v>
      </c>
      <c r="CJ13" s="4" t="n">
        <f aca="false">IF(NOT(CH13=0.001),0.7*CH13/3,0.001)</f>
        <v>0.001</v>
      </c>
      <c r="CK13" s="4" t="n">
        <f aca="false">IF(NOT(CH13=0.001),0.65*CH13/3,0.001)</f>
        <v>0.001</v>
      </c>
      <c r="CL13" s="4" t="n">
        <f aca="false">IF(NOT(CH13=0.001),0.002*CH13/3,0.001)</f>
        <v>0.001</v>
      </c>
      <c r="CM13" s="4" t="n">
        <f aca="false">IF(NOT(CH13=0.001),0.001*CH13/3,0.001)</f>
        <v>0.001</v>
      </c>
      <c r="CN13" s="4" t="n">
        <f aca="false">D13*3*110/(24*2000)*Populations!$S12</f>
        <v>237854.925</v>
      </c>
      <c r="CO13" s="4" t="n">
        <f aca="false">D13*3*12/(24*2000)*Populations!$S12</f>
        <v>25947.81</v>
      </c>
      <c r="CP13" s="4" t="n">
        <f aca="false">D13*3*1.4/(24*2000)*Populations!$S12</f>
        <v>3027.2445</v>
      </c>
      <c r="CQ13" s="4" t="n">
        <f aca="false">D13*6400*8.3454*Populations!$S12/(10*1000*2000)</f>
        <v>92392.47085824</v>
      </c>
      <c r="CR13" s="4" t="n">
        <f aca="false">D13*2*Populations!$S12/(1000*2000)</f>
        <v>34.59708</v>
      </c>
      <c r="CS13" s="4" t="n">
        <f aca="false">D13*2*30*Populations!$S12/(1000*2000)</f>
        <v>1037.9124</v>
      </c>
      <c r="CT13" s="4" t="n">
        <f aca="false">27*Populations!$R12/(4*1000*2000)</f>
        <v>5.77944691062599</v>
      </c>
      <c r="CU13" s="4" t="n">
        <f aca="false">27*Populations!$R12/(16*1000*2000)</f>
        <v>1.4448617276565</v>
      </c>
      <c r="CV13" s="4" t="n">
        <f aca="false">AP13*0.9</f>
        <v>4219.89234030001</v>
      </c>
      <c r="CW13" s="4" t="n">
        <f aca="false">2.5*D13*Populations!$R12/(60*2000)</f>
        <v>6421.60767847333</v>
      </c>
      <c r="CX13" s="4" t="n">
        <f aca="false">D13*125*Populations!R12/(6*1000*2000)</f>
        <v>3210.80383923666</v>
      </c>
      <c r="CY13" s="4" t="n">
        <f aca="false">D13*1.875*2*Populations!R12/(6*1000*2000)</f>
        <v>96.3241151770999</v>
      </c>
      <c r="CZ13" s="4" t="n">
        <f aca="false">D13*2*20*Populations!$R12/(1000*2000)</f>
        <v>6164.74337133439</v>
      </c>
      <c r="DA13" s="4" t="n">
        <f aca="false">IF(NOT(CH13=0.001),CH13*0.00001,0.001)</f>
        <v>0.001</v>
      </c>
      <c r="DB13" s="4" t="n">
        <f aca="false">IF(NOT(CH13=0.001),CH13*0.00001,0.001)</f>
        <v>0.001</v>
      </c>
      <c r="DC13" s="4" t="n">
        <f aca="false">D13*0.02*12*Populations!$S12/(3*1000*2000)</f>
        <v>1.3838832</v>
      </c>
      <c r="DD13" s="4" t="n">
        <f aca="false">D13*0.5*12*Populations!$S12/(5*1000*2000)</f>
        <v>20.758248</v>
      </c>
      <c r="DE13" s="4" t="n">
        <f aca="false">D13*6*25*Populations!$S12/(1000*2000)</f>
        <v>2594.781</v>
      </c>
      <c r="DG13" s="4" t="n">
        <f aca="false">PRODUCT(AC13:AD13)</f>
        <v>40.600080363516</v>
      </c>
      <c r="DH13" s="4" t="n">
        <f aca="false">LOG(PRODUCT(S13,V13,Y13:AB13,AE13:AH13,AL13:AO13,AR13:AT13,AW13,BQ13:BU13,BZ13,CH13:CM13,CT13:CU13,CW13:DB13),2)</f>
        <v>249.38421233457</v>
      </c>
      <c r="DI13" s="4" t="n">
        <f aca="false">LOG(PRODUCT($AI13:$AK13,$AP13:$AQ13,$AU13:$AV13,AX13:BP13,BV13:BY13,CA13:CG13,CN13:CS13,CV13,DC13:DE13),2)</f>
        <v>386.394184375911</v>
      </c>
      <c r="DK13" s="4" t="n">
        <f aca="false">SUM(DG13:DI13)</f>
        <v>676.378477073997</v>
      </c>
    </row>
    <row r="14" s="4" customFormat="true" ht="12.8" hidden="false" customHeight="false" outlineLevel="0" collapsed="false">
      <c r="A14" s="0" t="s">
        <v>147</v>
      </c>
      <c r="B14" s="0" t="s">
        <v>146</v>
      </c>
      <c r="C14" s="0" t="n">
        <v>99</v>
      </c>
      <c r="D14" s="0" t="n">
        <f aca="false">IF(B14="Taiga",265,IF(B14="Mts",265,IF(B14="Temp",230,IF(B14="Steppe",265,IF(B14="Jungle",180,IF(B14="Sav",240,IF(B14="Medi",230,0)))))))</f>
        <v>180</v>
      </c>
      <c r="E14" s="0" t="n">
        <v>1</v>
      </c>
      <c r="F14" s="4" t="n">
        <f aca="false">IF(B14="Taiga",0.43,IF(B14="Mts",0.21,IF(B14="Temp",0.64,IF(B14="Steppe",0.57,IF(B14="Jungle",0.43,IF(B14="Sav",0.57,IF(B14="Medi",0.43,0)))))))</f>
        <v>0.43</v>
      </c>
      <c r="G14" s="4" t="n">
        <f aca="false">IF(B14="Taiga",0.43,IF(B14="Mts",0.8,IF(B14="Temp",0.64,IF(B14="Steppe",0.64,IF(B14="Jungle",0.43,IF(B14="Sav",0.8,IF(B14="Medi",0.6,0)))))))</f>
        <v>0.43</v>
      </c>
      <c r="H14" s="4" t="n">
        <f aca="false">$H$31*IF(B14="Taiga",528,IF(B14="Mts",855.27,IF(B14="Temp",565.94,IF(B14="Steppe",551.72,IF(B14="Jungle",575.43,IF(B14="Sav",599.15,IF(B14="Medi",564.36,0)))))))</f>
        <v>1726.29</v>
      </c>
      <c r="I14" s="4" t="n">
        <f aca="false">$H$31*IF(B14="Taiga",2608.19,IF(B14="Mts",2100,IF(B14="Temp",2976.19,IF(B14="Steppe",2450.48,IF(B14="Jungle",2135.05,IF(B14="Sav",2310.29,IF(B14="Medi",2485.52,0)))))))</f>
        <v>6405.15</v>
      </c>
      <c r="J14" s="4" t="n">
        <f aca="false">$H$31*IF(B14="Taiga",500.54,IF(B14="Mts",360,IF(B14="Temp",570.81,IF(B14="Steppe",441.95,IF(B14="Jungle",486.49,IF(B14="Sav",518.92,IF(B14="Medi",640,0)))))))</f>
        <v>1459.47</v>
      </c>
      <c r="K14" s="4" t="n">
        <f aca="false">$H$31*IF(B14="Taiga",2003.09,IF(B14="Mts",1612.8,IF(B14="Temp",2285.71,IF(B14="Steppe",1881.97,IF(B14="Jungle",1639.72,IF(B14="Sav",1774.3,IF(B14="Medi",1908.88,0)))))))</f>
        <v>4919.16</v>
      </c>
      <c r="L14" s="4" t="n">
        <f aca="false">$H$31*IF(B14="Taiga",260.82,IF(B14="Mts",210,IF(B14="Temp",297.62,IF(B14="Steppe",245.05,IF(B14="Jungle",213.5,IF(B14="Sav",231.03,IF(B14="Medi",248.55,0)))))))</f>
        <v>640.5</v>
      </c>
      <c r="M14" s="4" t="n">
        <f aca="false">$H$31*IF(B14="Taiga",250,IF(B14="Mts",640,IF(B14="Temp",295.2174,IF(B14="Steppe",278.2609,IF(B14="Jungle",306.5217,IF(B14="Sav",334.7826,IF(B14="Medi",293.3333,0)))))))</f>
        <v>919.5651</v>
      </c>
      <c r="N14" s="4" t="n">
        <f aca="false">$H$31*IF(B14="Taiga",1491.9691,IF(B14="Mts",980,IF(B14="Temp",1747.9537,IF(B14="Steppe",1278.5174,IF(B14="Jungle",1440.7722,IF(B14="Sav",1558.9189,IF(B14="Medi",2000,0)))))))</f>
        <v>4322.3166</v>
      </c>
      <c r="O14" s="4" t="n">
        <f aca="false">$H$31*IF(B14="Taiga",68.5,IF(B14="Mts",25,IF(B14="Temp",100,IF(B14="Steppe",55,IF(B14="Jungle",28,IF(B14="Sav",43,IF(B14="Medi",58,0)))))))</f>
        <v>84</v>
      </c>
      <c r="P14" s="4" t="n">
        <f aca="false">$H$31*20*15/8000</f>
        <v>0.1125</v>
      </c>
      <c r="Q14" s="4" t="n">
        <f aca="false">$H$31*20*15/8000</f>
        <v>0.1125</v>
      </c>
      <c r="R14" s="1" t="s">
        <v>39</v>
      </c>
      <c r="S14" s="4" t="n">
        <f aca="false">C14*F14*G14*360*640*1393.66125/(2000*1000)</f>
        <v>2938.8797046576</v>
      </c>
      <c r="T14" s="4" t="n">
        <f aca="false">C14*F14*G14*J14*640*1393.66125*2/(1000*2000*3)</f>
        <v>7942.97548621598</v>
      </c>
      <c r="U14" s="4" t="n">
        <f aca="false">T14*J$28</f>
        <v>2647.65849540532</v>
      </c>
      <c r="V14" s="4" t="n">
        <f aca="false">T14-U14</f>
        <v>5295.31699081065</v>
      </c>
      <c r="W14" s="4" t="n">
        <f aca="false">C14*F14*G14*H14*640*1393.66125*2/(1000*2000*3)</f>
        <v>9395.10860250624</v>
      </c>
      <c r="X14" s="4" t="n">
        <f aca="false">W14*H$28</f>
        <v>2562.30234613807</v>
      </c>
      <c r="Y14" s="4" t="n">
        <f aca="false">W14-X14</f>
        <v>6832.80625636817</v>
      </c>
      <c r="Z14" s="4" t="n">
        <f aca="false">C14*F14*G14*M14*640*1393.66125/(1000*2000*3)</f>
        <v>2502.30667546429</v>
      </c>
      <c r="AA14" s="4" t="n">
        <f aca="false">C14*F14*G14*N14*640*1393.66125/(2000*1000)</f>
        <v>35285.4681467907</v>
      </c>
      <c r="AB14" s="4" t="n">
        <f aca="false">C14*F14*G14*O14*640*1393.66125/(2000*1000)</f>
        <v>685.73859775344</v>
      </c>
      <c r="AC14" s="4" t="n">
        <f aca="false">C14*P14*640*1393.66125/(2000*1000)</f>
        <v>4.967008695</v>
      </c>
      <c r="AD14" s="4" t="n">
        <f aca="false">C14*Q14*640*1393.66125/(2000*1000)</f>
        <v>4.967008695</v>
      </c>
      <c r="AE14" s="4" t="n">
        <f aca="false">($V14+$Z14)*2000*1000/(3*365)</f>
        <v>14242235.0068949</v>
      </c>
      <c r="AF14" s="4" t="n">
        <f aca="false">($V14+$Z14)*2000*1000/(18*100)</f>
        <v>8664026.29586105</v>
      </c>
      <c r="AG14" s="4" t="n">
        <f aca="false">($V14+$Z14)*2000*1000/(3*365)</f>
        <v>14242235.0068949</v>
      </c>
      <c r="AH14" s="4" t="n">
        <f aca="false">C14*F14*G14*K14*640*1393.66125/(2000*1000)</f>
        <v>40157.8319110097</v>
      </c>
      <c r="AI14" s="4" t="n">
        <f aca="false">3*12*D14*Populations!$S13/(5*1000)</f>
        <v>161900.208</v>
      </c>
      <c r="AJ14" s="4" t="n">
        <f aca="false">1.5*D14*750*Populations!$S13/(1000*2000*15)</f>
        <v>843.23025</v>
      </c>
      <c r="AK14" s="4" t="n">
        <f aca="false">66*10*D14*Populations!$S13/(1000*2000*6)</f>
        <v>1236.7377</v>
      </c>
      <c r="AL14" s="4" t="n">
        <f aca="false">AE14*365/(2000*1000)</f>
        <v>2599.20788875832</v>
      </c>
      <c r="AM14" s="4" t="n">
        <f aca="false">AF14*25*238/(51*2000*1000)</f>
        <v>505.401533925228</v>
      </c>
      <c r="AN14" s="4" t="n">
        <f aca="false">AG14*100*238/(600*1000*2000)</f>
        <v>282.470994303415</v>
      </c>
      <c r="AO14" s="4" t="n">
        <f aca="false">AG14*120*2/(16*1000*2000)</f>
        <v>106.816762551712</v>
      </c>
      <c r="AP14" s="4" t="n">
        <f aca="false">D14*4800*Populations!$S13/($AP$28*10*1000*2000)</f>
        <v>3047.43412350001</v>
      </c>
      <c r="AQ14" s="4" t="n">
        <f aca="false">D14*2*4800*Populations!$S13/($AQ$28*10*1000*2000)</f>
        <v>11720.900475</v>
      </c>
      <c r="AR14" s="4" t="n">
        <f aca="false">C14*F14*G14*L14*640*1393.66125/(2000*1000)</f>
        <v>5228.75680786998</v>
      </c>
      <c r="AS14" s="4" t="n">
        <f aca="false">AF14*600*6/(90*1000*2000)</f>
        <v>173.280525917221</v>
      </c>
      <c r="AT14" s="4" t="n">
        <f aca="false">IF(B14="Taiga",236.2,IF(B14="Mts",10,IF(B14="Temp",400,IF(B14="Steppe",25,IF(B14="Jungle",400,IF(B14="Sav",103.6,IF(B14="Medi",181.6,0)))))))*D14*AT$36*Populations!$R13/1000</f>
        <v>183571.865429123</v>
      </c>
      <c r="AU14" s="4" t="n">
        <f aca="false">INDEX(Tech!$F$3:$F$13,MATCH(E14,Tech!$E$3:$E$13,1))*D14*AT$36*Populations!$S13/(365*1000)</f>
        <v>4216.15125</v>
      </c>
      <c r="AV14" s="4" t="n">
        <f aca="false">D14*12.5*AT$36*Populations!$S13/(10*30)</f>
        <v>1756.7296875</v>
      </c>
      <c r="AW14" s="4" t="n">
        <f aca="false">0.125*D14*AW$30*Populations!$R13/1000</f>
        <v>118.317803889864</v>
      </c>
      <c r="AX14" s="4" t="n">
        <f aca="false">D14*AW$30*Populations!$S13/(3*1000)</f>
        <v>28.98603984375</v>
      </c>
      <c r="AY14" s="4" t="n">
        <f aca="false">D14*Populations!$S13/(2*1000*AY$30)/1000</f>
        <v>20.237526</v>
      </c>
      <c r="AZ14" s="4" t="n">
        <f aca="false">D14*AZ$30*Populations!$S13/(2*1000)</f>
        <v>14.0538375</v>
      </c>
      <c r="BA14" s="4" t="n">
        <f aca="false">D14*2*BA$30*Populations!$S13/1000</f>
        <v>67.45842</v>
      </c>
      <c r="BB14" s="4" t="n">
        <f aca="false">D14*3*BB$30*Populations!$S13/1000</f>
        <v>50.593815</v>
      </c>
      <c r="BC14" s="4" t="n">
        <f aca="false">D14*11*BC$30*Populations!$S13/(15*1000)</f>
        <v>9.8939016</v>
      </c>
      <c r="BD14" s="4" t="n">
        <f aca="false">D14*11*BD$30*Populations!$S13/(8*1000)</f>
        <v>23.188831875</v>
      </c>
      <c r="BE14" s="4" t="n">
        <f aca="false">D14*11*BE$30*Populations!$S13/(3*1000)</f>
        <v>15.0175292142857</v>
      </c>
      <c r="BF14" s="4" t="n">
        <f aca="false">D14*11*BF$30*Populations!$S13/(5*1000)</f>
        <v>10.821454875</v>
      </c>
      <c r="BG14" s="4" t="n">
        <f aca="false">D14*11*BG$30*Populations!$S13/(9*1000)</f>
        <v>27.48306</v>
      </c>
      <c r="BH14" s="4" t="n">
        <f aca="false">D14*11*BH$30*Populations!$S13/(12*1000)</f>
        <v>15.45922125</v>
      </c>
      <c r="BI14" s="4" t="n">
        <f aca="false">D14*BI$30*Populations!$S13/(1000*125/12)</f>
        <v>43.1733888</v>
      </c>
      <c r="BJ14" s="4" t="n">
        <f aca="false">D14*BJ$30*Populations!$S13/(30*1000)</f>
        <v>19.62290484</v>
      </c>
      <c r="BK14" s="4" t="n">
        <f aca="false">D14*BK$30*Populations!$S13/(7*1000)</f>
        <v>2.71038294642857</v>
      </c>
      <c r="BL14" s="4" t="n">
        <f aca="false">D14*BL$30*Populations!$S13/(8.5*1000)</f>
        <v>4.46416014705882</v>
      </c>
      <c r="BM14" s="4" t="n">
        <f aca="false">D14*BM$30*Populations!$S13/1000</f>
        <v>9.4863403125</v>
      </c>
      <c r="BN14" s="4" t="n">
        <f aca="false">D14*BN$30*Populations!$S13/(1.5*1000)</f>
        <v>22.48614</v>
      </c>
      <c r="BO14" s="4" t="n">
        <f aca="false">D14*BO$30*Populations!$S13/(2*1000)</f>
        <v>18.26998875</v>
      </c>
      <c r="BP14" s="4" t="n">
        <f aca="false">D14*BP$30*Populations!$S13/(4*1000)</f>
        <v>4.21615125</v>
      </c>
      <c r="BQ14" s="4" t="n">
        <f aca="false">D14*Populations!$R13*10/(3*1000*2000)</f>
        <v>407.937478731384</v>
      </c>
      <c r="BR14" s="4" t="n">
        <f aca="false">D14*2*Populations!$R13/(30*1000*2000)</f>
        <v>8.15874957462768</v>
      </c>
      <c r="BS14" s="4" t="n">
        <f aca="false">D14*2*Populations!$S13/((37.5/12)*1000*2000)</f>
        <v>7.1955648</v>
      </c>
      <c r="BT14" s="4" t="n">
        <f aca="false">D14*2*Populations!$S13/((20/9)*1000*2000)</f>
        <v>10.118763</v>
      </c>
      <c r="BU14" s="4" t="n">
        <f aca="false">AF14*25*4/(51*$BU$32)</f>
        <v>4.24707171365738</v>
      </c>
      <c r="BV14" s="4" t="n">
        <f aca="false">D14*Populations!$S13*12/($BV$30*3)</f>
        <v>70.831341</v>
      </c>
      <c r="BW14" s="4" t="n">
        <f aca="false">D14*Populations!$S13*12/(2*$BW$30)</f>
        <v>60.7125780000001</v>
      </c>
      <c r="BX14" s="4" t="n">
        <f aca="false">D14*Populations!$S13*12/(5*$BX$30)</f>
        <v>30.356289</v>
      </c>
      <c r="BY14" s="4" t="n">
        <f aca="false">D14*Populations!$S13/(2*$BY$30)</f>
        <v>17.70783525</v>
      </c>
      <c r="BZ14" s="4" t="n">
        <f aca="false">D14*Populations!$R13*500/(1000*2000)</f>
        <v>61190.6218097076</v>
      </c>
      <c r="CA14" s="4" t="n">
        <f aca="false">D14*Populations!R13*15/(1000*2000)</f>
        <v>1835.71865429123</v>
      </c>
      <c r="CB14" s="4" t="n">
        <f aca="false">IF(B14="Mts",1,D14*Populations!R13*30/(1000*2000))</f>
        <v>3671.43730858246</v>
      </c>
      <c r="CC14" s="4" t="n">
        <f aca="false">D14*40*Populations!R13/(1000*2000)</f>
        <v>4895.24974477661</v>
      </c>
      <c r="CD14" s="4" t="n">
        <f aca="false">D14*40*Populations!R13/(1000*2000)</f>
        <v>4895.24974477661</v>
      </c>
      <c r="CE14" s="4" t="n">
        <f aca="false">D14*20*Populations!R13/(1000*2000)</f>
        <v>2447.6248723883</v>
      </c>
      <c r="CF14" s="4" t="n">
        <f aca="false">D14*8.3454*32*Populations!$S13/(1000*2000)</f>
        <v>3002.493324096</v>
      </c>
      <c r="CG14" s="4" t="n">
        <f aca="false">D14*50*2*Populations!$S13/(3*1000*2000)</f>
        <v>374.769</v>
      </c>
      <c r="CH14" s="4" t="n">
        <f aca="false">IF(B14="Mts",20*D14*Populations!$R13/1000,0.001)</f>
        <v>0.001</v>
      </c>
      <c r="CI14" s="4" t="n">
        <f aca="false">IF(NOT(CH14=0.001),0.006*CH14/3,0.001)</f>
        <v>0.001</v>
      </c>
      <c r="CJ14" s="4" t="n">
        <f aca="false">IF(NOT(CH14=0.001),0.7*CH14/3,0.001)</f>
        <v>0.001</v>
      </c>
      <c r="CK14" s="4" t="n">
        <f aca="false">IF(NOT(CH14=0.001),0.65*CH14/3,0.001)</f>
        <v>0.001</v>
      </c>
      <c r="CL14" s="4" t="n">
        <f aca="false">IF(NOT(CH14=0.001),0.002*CH14/3,0.001)</f>
        <v>0.001</v>
      </c>
      <c r="CM14" s="4" t="n">
        <f aca="false">IF(NOT(CH14=0.001),0.001*CH14/3,0.001)</f>
        <v>0.001</v>
      </c>
      <c r="CN14" s="4" t="n">
        <f aca="false">D14*3*110/(24*2000)*Populations!$S13</f>
        <v>154592.2125</v>
      </c>
      <c r="CO14" s="4" t="n">
        <f aca="false">D14*3*12/(24*2000)*Populations!$S13</f>
        <v>16864.605</v>
      </c>
      <c r="CP14" s="4" t="n">
        <f aca="false">D14*3*1.4/(24*2000)*Populations!$S13</f>
        <v>1967.53725</v>
      </c>
      <c r="CQ14" s="4" t="n">
        <f aca="false">D14*6400*8.3454*Populations!$S13/(10*1000*2000)</f>
        <v>60049.86648192</v>
      </c>
      <c r="CR14" s="4" t="n">
        <f aca="false">D14*2*Populations!$S13/(1000*2000)</f>
        <v>22.48614</v>
      </c>
      <c r="CS14" s="4" t="n">
        <f aca="false">D14*2*30*Populations!$S13/(1000*2000)</f>
        <v>674.5842</v>
      </c>
      <c r="CT14" s="4" t="n">
        <f aca="false">27*Populations!$R13/(4*1000*2000)</f>
        <v>4.58929663572807</v>
      </c>
      <c r="CU14" s="4" t="n">
        <f aca="false">27*Populations!$R13/(16*1000*2000)</f>
        <v>1.14732415893202</v>
      </c>
      <c r="CV14" s="4" t="n">
        <f aca="false">AP14*0.9</f>
        <v>2742.69071115</v>
      </c>
      <c r="CW14" s="4" t="n">
        <f aca="false">2.5*D14*Populations!$R13/(60*2000)</f>
        <v>5099.2184841423</v>
      </c>
      <c r="CX14" s="4" t="n">
        <f aca="false">D14*125*Populations!R13/(6*1000*2000)</f>
        <v>2549.60924207115</v>
      </c>
      <c r="CY14" s="4" t="n">
        <f aca="false">D14*1.875*2*Populations!R13/(6*1000*2000)</f>
        <v>76.4882772621345</v>
      </c>
      <c r="CZ14" s="4" t="n">
        <f aca="false">D14*2*20*Populations!$R13/(1000*2000)</f>
        <v>4895.24974477661</v>
      </c>
      <c r="DA14" s="4" t="n">
        <f aca="false">IF(NOT(CH14=0.001),CH14*0.00001,0.001)</f>
        <v>0.001</v>
      </c>
      <c r="DB14" s="4" t="n">
        <f aca="false">IF(NOT(CH14=0.001),CH14*0.00001,0.001)</f>
        <v>0.001</v>
      </c>
      <c r="DC14" s="4" t="n">
        <f aca="false">D14*0.02*12*Populations!$S13/(3*1000*2000)</f>
        <v>0.8994456</v>
      </c>
      <c r="DD14" s="4" t="n">
        <f aca="false">D14*0.5*12*Populations!$S13/(5*1000*2000)</f>
        <v>13.491684</v>
      </c>
      <c r="DE14" s="4" t="n">
        <f aca="false">D14*6*25*Populations!$S13/(1000*2000)</f>
        <v>1686.4605</v>
      </c>
      <c r="DG14" s="4" t="n">
        <f aca="false">PRODUCT(AC14:AD14)</f>
        <v>24.6711753762056</v>
      </c>
      <c r="DH14" s="4" t="n">
        <f aca="false">LOG(PRODUCT(S14,V14,Y14:AB14,AE14:AH14,AL14:AO14,AR14:AT14,AW14,BQ14:BU14,BZ14,CH14:CM14,CT14:CU14,CW14:DB14),2)</f>
        <v>238.373164584012</v>
      </c>
      <c r="DI14" s="4" t="n">
        <f aca="false">LOG(PRODUCT($AI14:$AK14,$AP14:$AQ14,$AU14:$AV14,AX14:BP14,BV14:BY14,CA14:CG14,CN14:CS14,CV14,DC14:DE14),2)</f>
        <v>358.623093930484</v>
      </c>
      <c r="DK14" s="4" t="n">
        <f aca="false">SUM(DG14:DI14)</f>
        <v>621.667433890702</v>
      </c>
    </row>
    <row r="15" s="4" customFormat="true" ht="12.8" hidden="false" customHeight="false" outlineLevel="0" collapsed="false">
      <c r="A15" s="0" t="s">
        <v>148</v>
      </c>
      <c r="B15" s="0" t="s">
        <v>149</v>
      </c>
      <c r="C15" s="0" t="n">
        <v>80</v>
      </c>
      <c r="D15" s="0" t="n">
        <f aca="false">IF(B15="Taiga",265,IF(B15="Mts",265,IF(B15="Temp",230,IF(B15="Steppe",265,IF(B15="Jungle",180,IF(B15="Sav",240,IF(B15="Medi",230,0)))))))</f>
        <v>240</v>
      </c>
      <c r="E15" s="0" t="n">
        <v>1</v>
      </c>
      <c r="F15" s="4" t="n">
        <f aca="false">IF(B15="Taiga",0.43,IF(B15="Mts",0.21,IF(B15="Temp",0.64,IF(B15="Steppe",0.57,IF(B15="Jungle",0.43,IF(B15="Sav",0.57,IF(B15="Medi",0.43,0)))))))</f>
        <v>0.57</v>
      </c>
      <c r="G15" s="4" t="n">
        <f aca="false">IF(B15="Taiga",0.43,IF(B15="Mts",0.8,IF(B15="Temp",0.64,IF(B15="Steppe",0.64,IF(B15="Jungle",0.43,IF(B15="Sav",0.8,IF(B15="Medi",0.6,0)))))))</f>
        <v>0.8</v>
      </c>
      <c r="H15" s="4" t="n">
        <f aca="false">$H$31*IF(B15="Taiga",528,IF(B15="Mts",855.27,IF(B15="Temp",565.94,IF(B15="Steppe",551.72,IF(B15="Jungle",575.43,IF(B15="Sav",599.15,IF(B15="Medi",564.36,0)))))))</f>
        <v>1797.45</v>
      </c>
      <c r="I15" s="4" t="n">
        <f aca="false">$H$31*IF(B15="Taiga",2608.19,IF(B15="Mts",2100,IF(B15="Temp",2976.19,IF(B15="Steppe",2450.48,IF(B15="Jungle",2135.05,IF(B15="Sav",2310.29,IF(B15="Medi",2485.52,0)))))))</f>
        <v>6930.87</v>
      </c>
      <c r="J15" s="4" t="n">
        <f aca="false">$H$31*IF(B15="Taiga",500.54,IF(B15="Mts",360,IF(B15="Temp",570.81,IF(B15="Steppe",441.95,IF(B15="Jungle",486.49,IF(B15="Sav",518.92,IF(B15="Medi",640,0)))))))</f>
        <v>1556.76</v>
      </c>
      <c r="K15" s="4" t="n">
        <f aca="false">$H$31*IF(B15="Taiga",2003.09,IF(B15="Mts",1612.8,IF(B15="Temp",2285.71,IF(B15="Steppe",1881.97,IF(B15="Jungle",1639.72,IF(B15="Sav",1774.3,IF(B15="Medi",1908.88,0)))))))</f>
        <v>5322.9</v>
      </c>
      <c r="L15" s="4" t="n">
        <f aca="false">$H$31*IF(B15="Taiga",260.82,IF(B15="Mts",210,IF(B15="Temp",297.62,IF(B15="Steppe",245.05,IF(B15="Jungle",213.5,IF(B15="Sav",231.03,IF(B15="Medi",248.55,0)))))))</f>
        <v>693.09</v>
      </c>
      <c r="M15" s="4" t="n">
        <f aca="false">$H$31*IF(B15="Taiga",250,IF(B15="Mts",640,IF(B15="Temp",295.2174,IF(B15="Steppe",278.2609,IF(B15="Jungle",306.5217,IF(B15="Sav",334.7826,IF(B15="Medi",293.3333,0)))))))</f>
        <v>1004.3478</v>
      </c>
      <c r="N15" s="4" t="n">
        <f aca="false">$H$31*IF(B15="Taiga",1491.9691,IF(B15="Mts",980,IF(B15="Temp",1747.9537,IF(B15="Steppe",1278.5174,IF(B15="Jungle",1440.7722,IF(B15="Sav",1558.9189,IF(B15="Medi",2000,0)))))))</f>
        <v>4676.7567</v>
      </c>
      <c r="O15" s="4" t="n">
        <f aca="false">$H$31*IF(B15="Taiga",68.5,IF(B15="Mts",25,IF(B15="Temp",100,IF(B15="Steppe",55,IF(B15="Jungle",28,IF(B15="Sav",43,IF(B15="Medi",58,0)))))))</f>
        <v>129</v>
      </c>
      <c r="P15" s="4" t="n">
        <f aca="false">$H$31*20*15/8000</f>
        <v>0.1125</v>
      </c>
      <c r="Q15" s="4" t="n">
        <f aca="false">$H$31*20*15/8000</f>
        <v>0.1125</v>
      </c>
      <c r="R15" s="1" t="s">
        <v>39</v>
      </c>
      <c r="S15" s="4" t="n">
        <f aca="false">C15*F15*G15*360*640*1393.66125/(2000*1000)</f>
        <v>5856.85582848</v>
      </c>
      <c r="T15" s="4" t="n">
        <f aca="false">C15*F15*G15*J15*640*1393.66125*2/(1000*2000*3)</f>
        <v>16884.6645917491</v>
      </c>
      <c r="U15" s="4" t="n">
        <f aca="false">T15*J$28</f>
        <v>5628.22153058304</v>
      </c>
      <c r="V15" s="4" t="n">
        <f aca="false">T15-U15</f>
        <v>11256.4430611661</v>
      </c>
      <c r="W15" s="4" t="n">
        <f aca="false">C15*F15*G15*H15*640*1393.66125*2/(1000*2000*3)</f>
        <v>19495.1953868544</v>
      </c>
      <c r="X15" s="4" t="n">
        <f aca="false">W15*H$28</f>
        <v>5316.87146914212</v>
      </c>
      <c r="Y15" s="4" t="n">
        <f aca="false">W15-X15</f>
        <v>14178.3239177123</v>
      </c>
      <c r="Z15" s="4" t="n">
        <f aca="false">C15*F15*G15*M15*640*1393.66125/(1000*2000*3)</f>
        <v>5446.59283912136</v>
      </c>
      <c r="AA15" s="4" t="n">
        <f aca="false">C15*F15*G15*N15*640*1393.66125/(2000*1000)</f>
        <v>76086.3603799386</v>
      </c>
      <c r="AB15" s="4" t="n">
        <f aca="false">C15*F15*G15*O15*640*1393.66125/(2000*1000)</f>
        <v>2098.706671872</v>
      </c>
      <c r="AC15" s="4" t="n">
        <f aca="false">C15*P15*640*1393.66125/(2000*1000)</f>
        <v>4.0137444</v>
      </c>
      <c r="AD15" s="4" t="n">
        <f aca="false">C15*Q15*640*1393.66125/(2000*1000)</f>
        <v>4.0137444</v>
      </c>
      <c r="AE15" s="4" t="n">
        <f aca="false">($V15+$Z15)*2000*1000/(3*365)</f>
        <v>30507828.1283789</v>
      </c>
      <c r="AF15" s="4" t="n">
        <f aca="false">($V15+$Z15)*2000*1000/(18*100)</f>
        <v>18558928.7780972</v>
      </c>
      <c r="AG15" s="4" t="n">
        <f aca="false">($V15+$Z15)*2000*1000/(3*365)</f>
        <v>30507828.1283789</v>
      </c>
      <c r="AH15" s="4" t="n">
        <f aca="false">C15*F15*G15*K15*640*1393.66125/(2000*1000)</f>
        <v>86598.4941372672</v>
      </c>
      <c r="AI15" s="4" t="n">
        <f aca="false">3*12*D15*Populations!$S14/(5*1000)</f>
        <v>250108.992</v>
      </c>
      <c r="AJ15" s="4" t="n">
        <f aca="false">1.5*D15*750*Populations!$S14/(1000*2000*15)</f>
        <v>1302.651</v>
      </c>
      <c r="AK15" s="4" t="n">
        <f aca="false">66*10*D15*Populations!$S14/(1000*2000*6)</f>
        <v>1910.5548</v>
      </c>
      <c r="AL15" s="4" t="n">
        <f aca="false">AE15*365/(2000*1000)</f>
        <v>5567.67863342915</v>
      </c>
      <c r="AM15" s="4" t="n">
        <f aca="false">AF15*25*238/(51*2000*1000)</f>
        <v>1082.60417872233</v>
      </c>
      <c r="AN15" s="4" t="n">
        <f aca="false">AG15*100*238/(600*1000*2000)</f>
        <v>605.071924546181</v>
      </c>
      <c r="AO15" s="4" t="n">
        <f aca="false">AG15*120*2/(16*1000*2000)</f>
        <v>228.808710962842</v>
      </c>
      <c r="AP15" s="4" t="n">
        <f aca="false">D15*4800*Populations!$S14/($AP$28*10*1000*2000)</f>
        <v>4707.78071400001</v>
      </c>
      <c r="AQ15" s="4" t="n">
        <f aca="false">D15*2*4800*Populations!$S14/($AQ$28*10*1000*2000)</f>
        <v>18106.8489</v>
      </c>
      <c r="AR15" s="4" t="n">
        <f aca="false">C15*F15*G15*L15*640*1393.66125/(2000*1000)</f>
        <v>11275.9116837811</v>
      </c>
      <c r="AS15" s="4" t="n">
        <f aca="false">AF15*600*6/(90*1000*2000)</f>
        <v>371.178575561943</v>
      </c>
      <c r="AT15" s="4" t="n">
        <f aca="false">IF(B15="Taiga",236.2,IF(B15="Mts",10,IF(B15="Temp",400,IF(B15="Steppe",25,IF(B15="Jungle",400,IF(B15="Sav",103.6,IF(B15="Medi",181.6,0)))))))*D15*AT$36*Populations!$R14/1000</f>
        <v>85213.9519273224</v>
      </c>
      <c r="AU15" s="4" t="n">
        <f aca="false">INDEX(Tech!$F$3:$F$13,MATCH(E15,Tech!$E$3:$E$13,1))*D15*AT$36*Populations!$S14/(365*1000)</f>
        <v>6513.255</v>
      </c>
      <c r="AV15" s="4" t="n">
        <f aca="false">D15*12.5*AT$36*Populations!$S14/(10*30)</f>
        <v>2713.85625</v>
      </c>
      <c r="AW15" s="4" t="n">
        <f aca="false">0.125*D15*AW$30*Populations!$R14/1000</f>
        <v>212.058127232266</v>
      </c>
      <c r="AX15" s="4" t="n">
        <f aca="false">D15*AW$30*Populations!$S14/(3*1000)</f>
        <v>44.778628125</v>
      </c>
      <c r="AY15" s="4" t="n">
        <f aca="false">D15*Populations!$S14/(2*1000*AY$30)/1000</f>
        <v>31.263624</v>
      </c>
      <c r="AZ15" s="4" t="n">
        <f aca="false">D15*AZ$30*Populations!$S14/(2*1000)</f>
        <v>21.71085</v>
      </c>
      <c r="BA15" s="4" t="n">
        <f aca="false">D15*2*BA$30*Populations!$S14/1000</f>
        <v>104.21208</v>
      </c>
      <c r="BB15" s="4" t="n">
        <f aca="false">D15*3*BB$30*Populations!$S14/1000</f>
        <v>78.15906</v>
      </c>
      <c r="BC15" s="4" t="n">
        <f aca="false">D15*11*BC$30*Populations!$S14/(15*1000)</f>
        <v>15.2844384</v>
      </c>
      <c r="BD15" s="4" t="n">
        <f aca="false">D15*11*BD$30*Populations!$S14/(8*1000)</f>
        <v>35.8229025</v>
      </c>
      <c r="BE15" s="4" t="n">
        <f aca="false">D15*11*BE$30*Populations!$S14/(3*1000)</f>
        <v>23.199594</v>
      </c>
      <c r="BF15" s="4" t="n">
        <f aca="false">D15*11*BF$30*Populations!$S14/(5*1000)</f>
        <v>16.7173545</v>
      </c>
      <c r="BG15" s="4" t="n">
        <f aca="false">D15*11*BG$30*Populations!$S14/(9*1000)</f>
        <v>42.4567733333333</v>
      </c>
      <c r="BH15" s="4" t="n">
        <f aca="false">D15*11*BH$30*Populations!$S14/(12*1000)</f>
        <v>23.881935</v>
      </c>
      <c r="BI15" s="4" t="n">
        <f aca="false">D15*BI$30*Populations!$S14/(1000*125/12)</f>
        <v>66.6957312</v>
      </c>
      <c r="BJ15" s="4" t="n">
        <f aca="false">D15*BJ$30*Populations!$S14/(30*1000)</f>
        <v>30.31413616</v>
      </c>
      <c r="BK15" s="4" t="n">
        <f aca="false">D15*BK$30*Populations!$S14/(7*1000)</f>
        <v>4.1870925</v>
      </c>
      <c r="BL15" s="4" t="n">
        <f aca="false">D15*BL$30*Populations!$S14/(8.5*1000)</f>
        <v>6.89638764705882</v>
      </c>
      <c r="BM15" s="4" t="n">
        <f aca="false">D15*BM$30*Populations!$S14/1000</f>
        <v>14.65482375</v>
      </c>
      <c r="BN15" s="4" t="n">
        <f aca="false">D15*BN$30*Populations!$S14/(1.5*1000)</f>
        <v>34.73736</v>
      </c>
      <c r="BO15" s="4" t="n">
        <f aca="false">D15*BO$30*Populations!$S14/(2*1000)</f>
        <v>28.224105</v>
      </c>
      <c r="BP15" s="4" t="n">
        <f aca="false">D15*BP$30*Populations!$S14/(4*1000)</f>
        <v>6.513255</v>
      </c>
      <c r="BQ15" s="4" t="n">
        <f aca="false">D15*Populations!$R14*10/(3*1000*2000)</f>
        <v>731.136438672865</v>
      </c>
      <c r="BR15" s="4" t="n">
        <f aca="false">D15*2*Populations!$R14/(30*1000*2000)</f>
        <v>14.6227287734573</v>
      </c>
      <c r="BS15" s="4" t="n">
        <f aca="false">D15*2*Populations!$S14/((37.5/12)*1000*2000)</f>
        <v>11.1159552</v>
      </c>
      <c r="BT15" s="4" t="n">
        <f aca="false">D15*2*Populations!$S14/((20/9)*1000*2000)</f>
        <v>15.631812</v>
      </c>
      <c r="BU15" s="4" t="n">
        <f aca="false">AF15*25*4/(51*$BU$32)</f>
        <v>9.09751410691037</v>
      </c>
      <c r="BV15" s="4" t="n">
        <f aca="false">D15*Populations!$S14*12/($BV$30*3)</f>
        <v>109.422684</v>
      </c>
      <c r="BW15" s="4" t="n">
        <f aca="false">D15*Populations!$S14*12/(2*$BW$30)</f>
        <v>93.7908720000001</v>
      </c>
      <c r="BX15" s="4" t="n">
        <f aca="false">D15*Populations!$S14*12/(5*$BX$30)</f>
        <v>46.8954359999999</v>
      </c>
      <c r="BY15" s="4" t="n">
        <f aca="false">D15*Populations!$S14/(2*$BY$30)</f>
        <v>27.355671</v>
      </c>
      <c r="BZ15" s="4" t="n">
        <f aca="false">D15*Populations!$R14*500/(1000*2000)</f>
        <v>109670.46580093</v>
      </c>
      <c r="CA15" s="4" t="n">
        <f aca="false">D15*Populations!R14*15/(1000*2000)</f>
        <v>3290.11397402789</v>
      </c>
      <c r="CB15" s="4" t="n">
        <v>1</v>
      </c>
      <c r="CC15" s="4" t="n">
        <f aca="false">D15*40*Populations!R14/(1000*2000)</f>
        <v>8773.63726407438</v>
      </c>
      <c r="CD15" s="4" t="n">
        <f aca="false">D15*40*Populations!R14/(1000*2000)</f>
        <v>8773.63726407438</v>
      </c>
      <c r="CE15" s="4" t="n">
        <f aca="false">D15*20*Populations!R14/(1000*2000)</f>
        <v>4386.81863203719</v>
      </c>
      <c r="CF15" s="4" t="n">
        <f aca="false">D15*8.3454*32*Populations!$S14/(1000*2000)</f>
        <v>4638.354626304</v>
      </c>
      <c r="CG15" s="4" t="n">
        <f aca="false">D15*50*2*Populations!$S14/(3*1000*2000)</f>
        <v>578.956</v>
      </c>
      <c r="CH15" s="4" t="n">
        <f aca="false">IF(B15="Mts",20*D15*Populations!$R14/1000,0.001)</f>
        <v>0.001</v>
      </c>
      <c r="CI15" s="4" t="n">
        <f aca="false">IF(NOT(CH15=0.001),0.006*CH15/3,0.001)</f>
        <v>0.001</v>
      </c>
      <c r="CJ15" s="4" t="n">
        <f aca="false">IF(NOT(CH15=0.001),0.7*CH15/3,0.001)</f>
        <v>0.001</v>
      </c>
      <c r="CK15" s="4" t="n">
        <f aca="false">IF(NOT(CH15=0.001),0.65*CH15/3,0.001)</f>
        <v>0.001</v>
      </c>
      <c r="CL15" s="4" t="n">
        <f aca="false">IF(NOT(CH15=0.001),0.002*CH15/3,0.001)</f>
        <v>0.001</v>
      </c>
      <c r="CM15" s="4" t="n">
        <f aca="false">IF(NOT(CH15=0.001),0.001*CH15/3,0.001)</f>
        <v>0.001</v>
      </c>
      <c r="CN15" s="4" t="n">
        <f aca="false">D15*3*110/(24*2000)*Populations!$S14</f>
        <v>238819.35</v>
      </c>
      <c r="CO15" s="4" t="n">
        <f aca="false">D15*3*12/(24*2000)*Populations!$S14</f>
        <v>26053.02</v>
      </c>
      <c r="CP15" s="4" t="n">
        <f aca="false">D15*3*1.4/(24*2000)*Populations!$S14</f>
        <v>3039.519</v>
      </c>
      <c r="CQ15" s="4" t="n">
        <f aca="false">D15*6400*8.3454*Populations!$S14/(10*1000*2000)</f>
        <v>92767.09252608</v>
      </c>
      <c r="CR15" s="4" t="n">
        <f aca="false">D15*2*Populations!$S14/(1000*2000)</f>
        <v>34.73736</v>
      </c>
      <c r="CS15" s="4" t="n">
        <f aca="false">D15*2*30*Populations!$S14/(1000*2000)</f>
        <v>1042.1208</v>
      </c>
      <c r="CT15" s="4" t="n">
        <f aca="false">27*Populations!$R14/(4*1000*2000)</f>
        <v>6.1689637013023</v>
      </c>
      <c r="CU15" s="4" t="n">
        <f aca="false">27*Populations!$R14/(16*1000*2000)</f>
        <v>1.54224092532557</v>
      </c>
      <c r="CV15" s="4" t="n">
        <f aca="false">AP15*0.9</f>
        <v>4237.00264260001</v>
      </c>
      <c r="CW15" s="4" t="n">
        <f aca="false">2.5*D15*Populations!$R14/(60*2000)</f>
        <v>9139.20548341081</v>
      </c>
      <c r="CX15" s="4" t="n">
        <f aca="false">D15*125*Populations!R14/(6*1000*2000)</f>
        <v>4569.60274170541</v>
      </c>
      <c r="CY15" s="4" t="n">
        <f aca="false">D15*1.875*2*Populations!R14/(6*1000*2000)</f>
        <v>137.088082251162</v>
      </c>
      <c r="CZ15" s="4" t="n">
        <f aca="false">D15*2*20*Populations!$R14/(1000*2000)</f>
        <v>8773.63726407438</v>
      </c>
      <c r="DA15" s="4" t="n">
        <f aca="false">IF(NOT(CH15=0.001),CH15*0.00001,0.001)</f>
        <v>0.001</v>
      </c>
      <c r="DB15" s="4" t="n">
        <f aca="false">IF(NOT(CH15=0.001),CH15*0.00001,0.001)</f>
        <v>0.001</v>
      </c>
      <c r="DC15" s="4" t="n">
        <f aca="false">D15*0.02*12*Populations!$S14/(3*1000*2000)</f>
        <v>1.3894944</v>
      </c>
      <c r="DD15" s="4" t="n">
        <f aca="false">D15*0.5*12*Populations!$S14/(5*1000*2000)</f>
        <v>20.842416</v>
      </c>
      <c r="DE15" s="4" t="n">
        <f aca="false">D15*6*25*Populations!$S14/(1000*2000)</f>
        <v>2605.302</v>
      </c>
      <c r="DG15" s="4" t="n">
        <f aca="false">PRODUCT(AC15:AD15)</f>
        <v>16.1101441085314</v>
      </c>
      <c r="DH15" s="4" t="n">
        <f aca="false">LOG(PRODUCT(S15,V15,Y15:AB15,AE15:AH15,AL15:AO15,AR15:AT15,AW15,BQ15:BU15,BZ15,CH15:CM15,CT15:CU15,CW15:DB15),2)</f>
        <v>265.197524336977</v>
      </c>
      <c r="DI15" s="4" t="n">
        <f aca="false">LOG(PRODUCT($AI15:$AK15,$AP15:$AQ15,$AU15:$AV15,AX15:BP15,BV15:BY15,CA15:CG15,CN15:CS15,CV15,DC15:DE15),2)</f>
        <v>376.501122742739</v>
      </c>
      <c r="DK15" s="4" t="n">
        <f aca="false">SUM(DG15:DI15)</f>
        <v>657.808791188248</v>
      </c>
    </row>
    <row r="16" s="4" customFormat="true" ht="12.8" hidden="false" customHeight="false" outlineLevel="0" collapsed="false">
      <c r="A16" s="0" t="s">
        <v>150</v>
      </c>
      <c r="B16" s="0" t="s">
        <v>146</v>
      </c>
      <c r="C16" s="0" t="n">
        <v>115</v>
      </c>
      <c r="D16" s="0" t="n">
        <f aca="false">IF(B16="Taiga",265,IF(B16="Mts",265,IF(B16="Temp",230,IF(B16="Steppe",265,IF(B16="Jungle",180,IF(B16="Sav",240,IF(B16="Medi",230,0)))))))</f>
        <v>180</v>
      </c>
      <c r="E16" s="0" t="n">
        <v>1</v>
      </c>
      <c r="F16" s="4" t="n">
        <f aca="false">IF(B16="Taiga",0.43,IF(B16="Mts",0.21,IF(B16="Temp",0.64,IF(B16="Steppe",0.57,IF(B16="Jungle",0.43,IF(B16="Sav",0.57,IF(B16="Medi",0.43,0)))))))</f>
        <v>0.43</v>
      </c>
      <c r="G16" s="4" t="n">
        <f aca="false">IF(B16="Taiga",0.43,IF(B16="Mts",0.8,IF(B16="Temp",0.64,IF(B16="Steppe",0.64,IF(B16="Jungle",0.43,IF(B16="Sav",0.8,IF(B16="Medi",0.6,0)))))))</f>
        <v>0.43</v>
      </c>
      <c r="H16" s="4" t="n">
        <f aca="false">$H$31*IF(B16="Taiga",528,IF(B16="Mts",855.27,IF(B16="Temp",565.94,IF(B16="Steppe",551.72,IF(B16="Jungle",575.43,IF(B16="Sav",599.15,IF(B16="Medi",564.36,0)))))))</f>
        <v>1726.29</v>
      </c>
      <c r="I16" s="4" t="n">
        <f aca="false">$H$31*IF(B16="Taiga",2608.19,IF(B16="Mts",2100,IF(B16="Temp",2976.19,IF(B16="Steppe",2450.48,IF(B16="Jungle",2135.05,IF(B16="Sav",2310.29,IF(B16="Medi",2485.52,0)))))))</f>
        <v>6405.15</v>
      </c>
      <c r="J16" s="4" t="n">
        <f aca="false">$H$31*IF(B16="Taiga",500.54,IF(B16="Mts",360,IF(B16="Temp",570.81,IF(B16="Steppe",441.95,IF(B16="Jungle",486.49,IF(B16="Sav",518.92,IF(B16="Medi",640,0)))))))</f>
        <v>1459.47</v>
      </c>
      <c r="K16" s="4" t="n">
        <f aca="false">$H$31*IF(B16="Taiga",2003.09,IF(B16="Mts",1612.8,IF(B16="Temp",2285.71,IF(B16="Steppe",1881.97,IF(B16="Jungle",1639.72,IF(B16="Sav",1774.3,IF(B16="Medi",1908.88,0)))))))</f>
        <v>4919.16</v>
      </c>
      <c r="L16" s="4" t="n">
        <f aca="false">$H$31*IF(B16="Taiga",260.82,IF(B16="Mts",210,IF(B16="Temp",297.62,IF(B16="Steppe",245.05,IF(B16="Jungle",213.5,IF(B16="Sav",231.03,IF(B16="Medi",248.55,0)))))))</f>
        <v>640.5</v>
      </c>
      <c r="M16" s="4" t="n">
        <f aca="false">$H$31*IF(B16="Taiga",250,IF(B16="Mts",640,IF(B16="Temp",295.2174,IF(B16="Steppe",278.2609,IF(B16="Jungle",306.5217,IF(B16="Sav",334.7826,IF(B16="Medi",293.3333,0)))))))</f>
        <v>919.5651</v>
      </c>
      <c r="N16" s="4" t="n">
        <f aca="false">$H$31*IF(B16="Taiga",1491.9691,IF(B16="Mts",980,IF(B16="Temp",1747.9537,IF(B16="Steppe",1278.5174,IF(B16="Jungle",1440.7722,IF(B16="Sav",1558.9189,IF(B16="Medi",2000,0)))))))</f>
        <v>4322.3166</v>
      </c>
      <c r="O16" s="4" t="n">
        <f aca="false">$H$31*IF(B16="Taiga",68.5,IF(B16="Mts",25,IF(B16="Temp",100,IF(B16="Steppe",55,IF(B16="Jungle",28,IF(B16="Sav",43,IF(B16="Medi",58,0)))))))</f>
        <v>84</v>
      </c>
      <c r="P16" s="4" t="n">
        <f aca="false">$H$31*20*15/8000</f>
        <v>0.1125</v>
      </c>
      <c r="Q16" s="4" t="n">
        <f aca="false">$H$31*20*15/8000</f>
        <v>0.1125</v>
      </c>
      <c r="R16" s="1" t="s">
        <v>39</v>
      </c>
      <c r="S16" s="4" t="n">
        <f aca="false">C16*F16*G16*360*640*1393.66125/(2000*1000)</f>
        <v>3413.850161976</v>
      </c>
      <c r="T16" s="4" t="n">
        <f aca="false">C16*F16*G16*J16*640*1393.66125*2/(1000*2000*3)</f>
        <v>9226.68869610947</v>
      </c>
      <c r="U16" s="4" t="n">
        <f aca="false">T16*J$28</f>
        <v>3075.56289870315</v>
      </c>
      <c r="V16" s="4" t="n">
        <f aca="false">T16-U16</f>
        <v>6151.12579740632</v>
      </c>
      <c r="W16" s="4" t="n">
        <f aca="false">C16*F16*G16*H16*640*1393.66125*2/(1000*2000*3)</f>
        <v>10913.5099928103</v>
      </c>
      <c r="X16" s="4" t="n">
        <f aca="false">W16*H$28</f>
        <v>2976.41181622099</v>
      </c>
      <c r="Y16" s="4" t="n">
        <f aca="false">W16-X16</f>
        <v>7937.09817658929</v>
      </c>
      <c r="Z16" s="4" t="n">
        <f aca="false">C16*F16*G16*M16*640*1393.66125/(1000*2000*3)</f>
        <v>2906.71987553933</v>
      </c>
      <c r="AA16" s="4" t="n">
        <f aca="false">C16*F16*G16*N16*640*1393.66125/(2000*1000)</f>
        <v>40988.1700695043</v>
      </c>
      <c r="AB16" s="4" t="n">
        <f aca="false">C16*F16*G16*O16*640*1393.66125/(2000*1000)</f>
        <v>796.5650377944</v>
      </c>
      <c r="AC16" s="4" t="n">
        <f aca="false">C16*P16*640*1393.66125/(2000*1000)</f>
        <v>5.769757575</v>
      </c>
      <c r="AD16" s="4" t="n">
        <f aca="false">C16*Q16*640*1393.66125/(2000*1000)</f>
        <v>5.769757575</v>
      </c>
      <c r="AE16" s="4" t="n">
        <f aca="false">($V16+$Z16)*2000*1000/(3*365)</f>
        <v>16544010.3615446</v>
      </c>
      <c r="AF16" s="4" t="n">
        <f aca="false">($V16+$Z16)*2000*1000/(18*100)</f>
        <v>10064272.9699396</v>
      </c>
      <c r="AG16" s="4" t="n">
        <f aca="false">($V16+$Z16)*2000*1000/(3*365)</f>
        <v>16544010.3615446</v>
      </c>
      <c r="AH16" s="4" t="n">
        <f aca="false">C16*F16*G16*K16*640*1393.66125/(2000*1000)</f>
        <v>46647.9865632941</v>
      </c>
      <c r="AI16" s="4" t="n">
        <f aca="false">3*12*D16*Populations!$S15/(5*1000)</f>
        <v>264491.568</v>
      </c>
      <c r="AJ16" s="4" t="n">
        <f aca="false">1.5*D16*750*Populations!$S15/(1000*2000*15)</f>
        <v>1377.56025</v>
      </c>
      <c r="AK16" s="4" t="n">
        <f aca="false">66*10*D16*Populations!$S15/(1000*2000*6)</f>
        <v>2020.4217</v>
      </c>
      <c r="AL16" s="4" t="n">
        <f aca="false">AE16*365/(2000*1000)</f>
        <v>3019.28189098188</v>
      </c>
      <c r="AM16" s="4" t="n">
        <f aca="false">AF16*25*238/(51*2000*1000)</f>
        <v>587.082589913144</v>
      </c>
      <c r="AN16" s="4" t="n">
        <f aca="false">AG16*100*238/(600*1000*2000)</f>
        <v>328.122872170634</v>
      </c>
      <c r="AO16" s="4" t="n">
        <f aca="false">AG16*120*2/(16*1000*2000)</f>
        <v>124.080077711584</v>
      </c>
      <c r="AP16" s="4" t="n">
        <f aca="false">D16*4800*Populations!$S15/($AP$28*10*1000*2000)</f>
        <v>4978.50274350001</v>
      </c>
      <c r="AQ16" s="4" t="n">
        <f aca="false">D16*2*4800*Populations!$S15/($AQ$28*10*1000*2000)</f>
        <v>19148.087475</v>
      </c>
      <c r="AR16" s="4" t="n">
        <f aca="false">C16*F16*G16*L16*640*1393.66125/(2000*1000)</f>
        <v>6073.8084131823</v>
      </c>
      <c r="AS16" s="4" t="n">
        <f aca="false">AF16*600*6/(90*1000*2000)</f>
        <v>201.285459398792</v>
      </c>
      <c r="AT16" s="4" t="n">
        <f aca="false">IF(B16="Taiga",236.2,IF(B16="Mts",10,IF(B16="Temp",400,IF(B16="Steppe",25,IF(B16="Jungle",400,IF(B16="Sav",103.6,IF(B16="Medi",181.6,0)))))))*D16*AT$36*Populations!$R15/1000</f>
        <v>205279.151929054</v>
      </c>
      <c r="AU16" s="4" t="n">
        <f aca="false">INDEX(Tech!$F$3:$F$13,MATCH(E16,Tech!$E$3:$E$13,1))*D16*AT$36*Populations!$S15/(365*1000)</f>
        <v>6887.80125</v>
      </c>
      <c r="AV16" s="4" t="n">
        <f aca="false">D16*12.5*AT$36*Populations!$S15/(10*30)</f>
        <v>2869.9171875</v>
      </c>
      <c r="AW16" s="4" t="n">
        <f aca="false">0.125*D16*AW$30*Populations!$R15/1000</f>
        <v>132.308828391773</v>
      </c>
      <c r="AX16" s="4" t="n">
        <f aca="false">D16*AW$30*Populations!$S15/(3*1000)</f>
        <v>47.35363359375</v>
      </c>
      <c r="AY16" s="4" t="n">
        <f aca="false">D16*Populations!$S15/(2*1000*AY$30)/1000</f>
        <v>33.061446</v>
      </c>
      <c r="AZ16" s="4" t="n">
        <f aca="false">D16*AZ$30*Populations!$S15/(2*1000)</f>
        <v>22.9593375</v>
      </c>
      <c r="BA16" s="4" t="n">
        <f aca="false">D16*2*BA$30*Populations!$S15/1000</f>
        <v>110.20482</v>
      </c>
      <c r="BB16" s="4" t="n">
        <f aca="false">D16*3*BB$30*Populations!$S15/1000</f>
        <v>82.653615</v>
      </c>
      <c r="BC16" s="4" t="n">
        <f aca="false">D16*11*BC$30*Populations!$S15/(15*1000)</f>
        <v>16.1633736</v>
      </c>
      <c r="BD16" s="4" t="n">
        <f aca="false">D16*11*BD$30*Populations!$S15/(8*1000)</f>
        <v>37.882906875</v>
      </c>
      <c r="BE16" s="4" t="n">
        <f aca="false">D16*11*BE$30*Populations!$S15/(3*1000)</f>
        <v>24.5336920714286</v>
      </c>
      <c r="BF16" s="4" t="n">
        <f aca="false">D16*11*BF$30*Populations!$S15/(5*1000)</f>
        <v>17.678689875</v>
      </c>
      <c r="BG16" s="4" t="n">
        <f aca="false">D16*11*BG$30*Populations!$S15/(9*1000)</f>
        <v>44.89826</v>
      </c>
      <c r="BH16" s="4" t="n">
        <f aca="false">D16*11*BH$30*Populations!$S15/(12*1000)</f>
        <v>25.25527125</v>
      </c>
      <c r="BI16" s="4" t="n">
        <f aca="false">D16*BI$30*Populations!$S15/(1000*125/12)</f>
        <v>70.5310848</v>
      </c>
      <c r="BJ16" s="4" t="n">
        <f aca="false">D16*BJ$30*Populations!$S15/(30*1000)</f>
        <v>32.05735764</v>
      </c>
      <c r="BK16" s="4" t="n">
        <f aca="false">D16*BK$30*Populations!$S15/(7*1000)</f>
        <v>4.42787223214286</v>
      </c>
      <c r="BL16" s="4" t="n">
        <f aca="false">D16*BL$30*Populations!$S15/(8.5*1000)</f>
        <v>7.29296602941177</v>
      </c>
      <c r="BM16" s="4" t="n">
        <f aca="false">D16*BM$30*Populations!$S15/1000</f>
        <v>15.4975528125</v>
      </c>
      <c r="BN16" s="4" t="n">
        <f aca="false">D16*BN$30*Populations!$S15/(1.5*1000)</f>
        <v>36.73494</v>
      </c>
      <c r="BO16" s="4" t="n">
        <f aca="false">D16*BO$30*Populations!$S15/(2*1000)</f>
        <v>29.84713875</v>
      </c>
      <c r="BP16" s="4" t="n">
        <f aca="false">D16*BP$30*Populations!$S15/(4*1000)</f>
        <v>6.88780125</v>
      </c>
      <c r="BQ16" s="4" t="n">
        <f aca="false">D16*Populations!$R15*10/(3*1000*2000)</f>
        <v>456.175893175676</v>
      </c>
      <c r="BR16" s="4" t="n">
        <f aca="false">D16*2*Populations!$R15/(30*1000*2000)</f>
        <v>9.12351786351351</v>
      </c>
      <c r="BS16" s="4" t="n">
        <f aca="false">D16*2*Populations!$S15/((37.5/12)*1000*2000)</f>
        <v>11.7551808</v>
      </c>
      <c r="BT16" s="4" t="n">
        <f aca="false">D16*2*Populations!$S15/((20/9)*1000*2000)</f>
        <v>16.530723</v>
      </c>
      <c r="BU16" s="4" t="n">
        <f aca="false">AF16*25*4/(51*$BU$32)</f>
        <v>4.93346714212726</v>
      </c>
      <c r="BV16" s="4" t="n">
        <f aca="false">D16*Populations!$S15*12/($BV$30*3)</f>
        <v>115.715061</v>
      </c>
      <c r="BW16" s="4" t="n">
        <f aca="false">D16*Populations!$S15*12/(2*$BW$30)</f>
        <v>99.1843380000001</v>
      </c>
      <c r="BX16" s="4" t="n">
        <f aca="false">D16*Populations!$S15*12/(5*$BX$30)</f>
        <v>49.5921689999999</v>
      </c>
      <c r="BY16" s="4" t="n">
        <f aca="false">D16*Populations!$S15/(2*$BY$30)</f>
        <v>28.92876525</v>
      </c>
      <c r="BZ16" s="4" t="n">
        <f aca="false">D16*Populations!$R15*500/(1000*2000)</f>
        <v>68426.3839763514</v>
      </c>
      <c r="CA16" s="4" t="n">
        <f aca="false">D16*Populations!R15*15/(1000*2000)</f>
        <v>2052.79151929054</v>
      </c>
      <c r="CB16" s="4" t="n">
        <f aca="false">IF(B16="Mts",1,D16*Populations!R15*30/(1000*2000))</f>
        <v>4105.58303858108</v>
      </c>
      <c r="CC16" s="4" t="n">
        <f aca="false">D16*40*Populations!R15/(1000*2000)</f>
        <v>5474.11071810811</v>
      </c>
      <c r="CD16" s="4" t="n">
        <f aca="false">D16*40*Populations!R15/(1000*2000)</f>
        <v>5474.11071810811</v>
      </c>
      <c r="CE16" s="4" t="n">
        <f aca="false">D16*20*Populations!R15/(1000*2000)</f>
        <v>2737.05535905405</v>
      </c>
      <c r="CF16" s="4" t="n">
        <f aca="false">D16*8.3454*32*Populations!$S15/(1000*2000)</f>
        <v>4905.084292416</v>
      </c>
      <c r="CG16" s="4" t="n">
        <f aca="false">D16*50*2*Populations!$S15/(3*1000*2000)</f>
        <v>612.249</v>
      </c>
      <c r="CH16" s="4" t="n">
        <f aca="false">IF(B16="Mts",20*D16*Populations!$R15/1000,0.001)</f>
        <v>0.001</v>
      </c>
      <c r="CI16" s="4" t="n">
        <f aca="false">IF(NOT(CH16=0.001),0.006*CH16/3,0.001)</f>
        <v>0.001</v>
      </c>
      <c r="CJ16" s="4" t="n">
        <f aca="false">IF(NOT(CH16=0.001),0.7*CH16/3,0.001)</f>
        <v>0.001</v>
      </c>
      <c r="CK16" s="4" t="n">
        <f aca="false">IF(NOT(CH16=0.001),0.65*CH16/3,0.001)</f>
        <v>0.001</v>
      </c>
      <c r="CL16" s="4" t="n">
        <f aca="false">IF(NOT(CH16=0.001),0.002*CH16/3,0.001)</f>
        <v>0.001</v>
      </c>
      <c r="CM16" s="4" t="n">
        <f aca="false">IF(NOT(CH16=0.001),0.001*CH16/3,0.001)</f>
        <v>0.001</v>
      </c>
      <c r="CN16" s="4" t="n">
        <f aca="false">D16*3*110/(24*2000)*Populations!$S15</f>
        <v>252552.7125</v>
      </c>
      <c r="CO16" s="4" t="n">
        <f aca="false">D16*3*12/(24*2000)*Populations!$S15</f>
        <v>27551.205</v>
      </c>
      <c r="CP16" s="4" t="n">
        <f aca="false">D16*3*1.4/(24*2000)*Populations!$S15</f>
        <v>3214.30725</v>
      </c>
      <c r="CQ16" s="4" t="n">
        <f aca="false">D16*6400*8.3454*Populations!$S15/(10*1000*2000)</f>
        <v>98101.68584832</v>
      </c>
      <c r="CR16" s="4" t="n">
        <f aca="false">D16*2*Populations!$S15/(1000*2000)</f>
        <v>36.73494</v>
      </c>
      <c r="CS16" s="4" t="n">
        <f aca="false">D16*2*30*Populations!$S15/(1000*2000)</f>
        <v>1102.0482</v>
      </c>
      <c r="CT16" s="4" t="n">
        <f aca="false">27*Populations!$R15/(4*1000*2000)</f>
        <v>5.13197879822635</v>
      </c>
      <c r="CU16" s="4" t="n">
        <f aca="false">27*Populations!$R15/(16*1000*2000)</f>
        <v>1.28299469955659</v>
      </c>
      <c r="CV16" s="4" t="n">
        <f aca="false">AP16*0.9</f>
        <v>4480.65246915001</v>
      </c>
      <c r="CW16" s="4" t="n">
        <f aca="false">2.5*D16*Populations!$R15/(60*2000)</f>
        <v>5702.19866469595</v>
      </c>
      <c r="CX16" s="4" t="n">
        <f aca="false">D16*125*Populations!R15/(6*1000*2000)</f>
        <v>2851.09933234797</v>
      </c>
      <c r="CY16" s="4" t="n">
        <f aca="false">D16*1.875*2*Populations!R15/(6*1000*2000)</f>
        <v>85.5329799704392</v>
      </c>
      <c r="CZ16" s="4" t="n">
        <f aca="false">D16*2*20*Populations!$R15/(1000*2000)</f>
        <v>5474.11071810811</v>
      </c>
      <c r="DA16" s="4" t="n">
        <f aca="false">IF(NOT(CH16=0.001),CH16*0.00001,0.001)</f>
        <v>0.001</v>
      </c>
      <c r="DB16" s="4" t="n">
        <f aca="false">IF(NOT(CH16=0.001),CH16*0.00001,0.001)</f>
        <v>0.001</v>
      </c>
      <c r="DC16" s="4" t="n">
        <f aca="false">D16*0.02*12*Populations!$S15/(3*1000*2000)</f>
        <v>1.4693976</v>
      </c>
      <c r="DD16" s="4" t="n">
        <f aca="false">D16*0.5*12*Populations!$S15/(5*1000*2000)</f>
        <v>22.040964</v>
      </c>
      <c r="DE16" s="4" t="n">
        <f aca="false">D16*6*25*Populations!$S15/(1000*2000)</f>
        <v>2755.1205</v>
      </c>
      <c r="DG16" s="4" t="n">
        <f aca="false">PRODUCT(AC16:AD16)</f>
        <v>33.2901024742699</v>
      </c>
      <c r="DH16" s="4" t="n">
        <f aca="false">LOG(PRODUCT(S16,V16,Y16:AB16,AE16:AH16,AL16:AO16,AR16:AT16,AW16,BQ16:BU16,BZ16,CH16:CM16,CT16:CU16,CW16:DB16),2)</f>
        <v>245.237330338189</v>
      </c>
      <c r="DI16" s="4" t="n">
        <f aca="false">LOG(PRODUCT($AI16:$AK16,$AP16:$AQ16,$AU16:$AV16,AX16:BP16,BV16:BY16,CA16:CG16,CN16:CS16,CV16,DC16:DE16),2)</f>
        <v>389.170214092044</v>
      </c>
      <c r="DK16" s="4" t="n">
        <f aca="false">SUM(DG16:DI16)</f>
        <v>667.697646904502</v>
      </c>
    </row>
    <row r="17" s="4" customFormat="true" ht="12.8" hidden="false" customHeight="false" outlineLevel="0" collapsed="false">
      <c r="A17" s="0" t="s">
        <v>151</v>
      </c>
      <c r="B17" s="0" t="s">
        <v>136</v>
      </c>
      <c r="C17" s="0" t="n">
        <v>155</v>
      </c>
      <c r="D17" s="0" t="n">
        <f aca="false">IF(B17="Taiga",265,IF(B17="Mts",265,IF(B17="Temp",230,IF(B17="Steppe",265,IF(B17="Jungle",180,IF(B17="Sav",240,IF(B17="Medi",230,0)))))))</f>
        <v>230</v>
      </c>
      <c r="E17" s="0" t="n">
        <v>1</v>
      </c>
      <c r="F17" s="4" t="n">
        <f aca="false">IF(B17="Taiga",0.43,IF(B17="Mts",0.21,IF(B17="Temp",0.64,IF(B17="Steppe",0.57,IF(B17="Jungle",0.43,IF(B17="Sav",0.57,IF(B17="Medi",0.43,0)))))))</f>
        <v>0.64</v>
      </c>
      <c r="G17" s="4" t="n">
        <f aca="false">IF(B17="Taiga",0.43,IF(B17="Mts",0.8,IF(B17="Temp",0.64,IF(B17="Steppe",0.64,IF(B17="Jungle",0.43,IF(B17="Sav",0.8,IF(B17="Medi",0.6,0)))))))</f>
        <v>0.64</v>
      </c>
      <c r="H17" s="4" t="n">
        <f aca="false">$H$31*IF(B17="Taiga",528,IF(B17="Mts",855.27,IF(B17="Temp",565.94,IF(B17="Steppe",551.72,IF(B17="Jungle",575.43,IF(B17="Sav",599.15,IF(B17="Medi",564.36,0)))))))</f>
        <v>1697.82</v>
      </c>
      <c r="I17" s="4" t="n">
        <f aca="false">$H$31*IF(B17="Taiga",2608.19,IF(B17="Mts",2100,IF(B17="Temp",2976.19,IF(B17="Steppe",2450.48,IF(B17="Jungle",2135.05,IF(B17="Sav",2310.29,IF(B17="Medi",2485.52,0)))))))</f>
        <v>8928.57</v>
      </c>
      <c r="J17" s="4" t="n">
        <f aca="false">$H$31*IF(B17="Taiga",500.54,IF(B17="Mts",360,IF(B17="Temp",570.81,IF(B17="Steppe",441.95,IF(B17="Jungle",486.49,IF(B17="Sav",518.92,IF(B17="Medi",640,0)))))))</f>
        <v>1712.43</v>
      </c>
      <c r="K17" s="4" t="n">
        <f aca="false">$H$31*IF(B17="Taiga",2003.09,IF(B17="Mts",1612.8,IF(B17="Temp",2285.71,IF(B17="Steppe",1881.97,IF(B17="Jungle",1639.72,IF(B17="Sav",1774.3,IF(B17="Medi",1908.88,0)))))))</f>
        <v>6857.13</v>
      </c>
      <c r="L17" s="4" t="n">
        <f aca="false">$H$31*IF(B17="Taiga",260.82,IF(B17="Mts",210,IF(B17="Temp",297.62,IF(B17="Steppe",245.05,IF(B17="Jungle",213.5,IF(B17="Sav",231.03,IF(B17="Medi",248.55,0)))))))</f>
        <v>892.86</v>
      </c>
      <c r="M17" s="4" t="n">
        <f aca="false">$H$31*IF(B17="Taiga",250,IF(B17="Mts",640,IF(B17="Temp",295.2174,IF(B17="Steppe",278.2609,IF(B17="Jungle",306.5217,IF(B17="Sav",334.7826,IF(B17="Medi",293.3333,0)))))))</f>
        <v>885.6522</v>
      </c>
      <c r="N17" s="4" t="n">
        <f aca="false">$H$31*IF(B17="Taiga",1491.9691,IF(B17="Mts",980,IF(B17="Temp",1747.9537,IF(B17="Steppe",1278.5174,IF(B17="Jungle",1440.7722,IF(B17="Sav",1558.9189,IF(B17="Medi",2000,0)))))))</f>
        <v>5243.8611</v>
      </c>
      <c r="O17" s="4" t="n">
        <f aca="false">$H$31*IF(B17="Taiga",68.5,IF(B17="Mts",25,IF(B17="Temp",100,IF(B17="Steppe",55,IF(B17="Jungle",28,IF(B17="Sav",43,IF(B17="Medi",58,0)))))))</f>
        <v>300</v>
      </c>
      <c r="P17" s="4" t="n">
        <f aca="false">$H$31*20*15/8000</f>
        <v>0.1125</v>
      </c>
      <c r="Q17" s="4" t="n">
        <f aca="false">$H$31*20*15/8000</f>
        <v>0.1125</v>
      </c>
      <c r="R17" s="1" t="s">
        <v>39</v>
      </c>
      <c r="S17" s="4" t="n">
        <f aca="false">C17*F17*G17*360*640*1393.66125/(2000*1000)</f>
        <v>10192.984178688</v>
      </c>
      <c r="T17" s="4" t="n">
        <f aca="false">C17*F17*G17*J17*640*1393.66125*2/(1000*2000*3)</f>
        <v>32323.6516613161</v>
      </c>
      <c r="U17" s="4" t="n">
        <f aca="false">T17*J$28</f>
        <v>10774.550553772</v>
      </c>
      <c r="V17" s="4" t="n">
        <f aca="false">T17-U17</f>
        <v>21549.1011075441</v>
      </c>
      <c r="W17" s="4" t="n">
        <f aca="false">C17*F17*G17*H17*640*1393.66125*2/(1000*2000*3)</f>
        <v>32047.8748115927</v>
      </c>
      <c r="X17" s="4" t="n">
        <f aca="false">W17*H$28</f>
        <v>8740.32949407075</v>
      </c>
      <c r="Y17" s="4" t="n">
        <f aca="false">W17-X17</f>
        <v>23307.545317522</v>
      </c>
      <c r="Z17" s="4" t="n">
        <f aca="false">C17*F17*G17*M17*640*1393.66125/(1000*2000*3)</f>
        <v>8358.73968742613</v>
      </c>
      <c r="AA17" s="4" t="n">
        <f aca="false">C17*F17*G17*N17*640*1393.66125/(2000*1000)</f>
        <v>148473.870076493</v>
      </c>
      <c r="AB17" s="4" t="n">
        <f aca="false">C17*F17*G17*O17*640*1393.66125/(2000*1000)</f>
        <v>8494.15348224</v>
      </c>
      <c r="AC17" s="4" t="n">
        <f aca="false">C17*P17*640*1393.66125/(2000*1000)</f>
        <v>7.776629775</v>
      </c>
      <c r="AD17" s="4" t="n">
        <f aca="false">C17*Q17*640*1393.66125/(2000*1000)</f>
        <v>7.776629775</v>
      </c>
      <c r="AE17" s="4" t="n">
        <f aca="false">($V17+$Z17)*2000*1000/(3*365)</f>
        <v>54626193.2328223</v>
      </c>
      <c r="AF17" s="4" t="n">
        <f aca="false">($V17+$Z17)*2000*1000/(18*100)</f>
        <v>33230934.2166336</v>
      </c>
      <c r="AG17" s="4" t="n">
        <f aca="false">($V17+$Z17)*2000*1000/(3*365)</f>
        <v>54626193.2328223</v>
      </c>
      <c r="AH17" s="4" t="n">
        <f aca="false">C17*F17*G17*K17*640*1393.66125/(2000*1000)</f>
        <v>194151.715558908</v>
      </c>
      <c r="AI17" s="4" t="n">
        <f aca="false">3*12*D17*Populations!$S16/(5*1000)</f>
        <v>665228.448</v>
      </c>
      <c r="AJ17" s="4" t="n">
        <f aca="false">1.5*D17*750*Populations!$S16/(1000*2000*15)</f>
        <v>3464.7315</v>
      </c>
      <c r="AK17" s="4" t="n">
        <f aca="false">66*10*D17*Populations!$S16/(1000*2000*6)</f>
        <v>5081.6062</v>
      </c>
      <c r="AL17" s="4" t="n">
        <f aca="false">AE17*365/(2000*1000)</f>
        <v>9969.28026499007</v>
      </c>
      <c r="AM17" s="4" t="n">
        <f aca="false">AF17*25*238/(51*2000*1000)</f>
        <v>1938.47116263696</v>
      </c>
      <c r="AN17" s="4" t="n">
        <f aca="false">AG17*100*238/(600*1000*2000)</f>
        <v>1083.41949911764</v>
      </c>
      <c r="AO17" s="4" t="n">
        <f aca="false">AG17*120*2/(16*1000*2000)</f>
        <v>409.696449246167</v>
      </c>
      <c r="AP17" s="4" t="n">
        <f aca="false">D17*4800*Populations!$S16/($AP$28*10*1000*2000)</f>
        <v>12521.539641</v>
      </c>
      <c r="AQ17" s="4" t="n">
        <f aca="false">D17*2*4800*Populations!$S16/($AQ$28*10*1000*2000)</f>
        <v>48159.76785</v>
      </c>
      <c r="AR17" s="4" t="n">
        <f aca="false">C17*F17*G17*L17*640*1393.66125/(2000*1000)</f>
        <v>25280.2995938427</v>
      </c>
      <c r="AS17" s="4" t="n">
        <f aca="false">AF17*600*6/(90*1000*2000)</f>
        <v>664.618684332671</v>
      </c>
      <c r="AT17" s="4" t="n">
        <f aca="false">IF(B17="Taiga",236.2,IF(B17="Mts",10,IF(B17="Temp",400,IF(B17="Steppe",25,IF(B17="Jungle",400,IF(B17="Sav",103.6,IF(B17="Medi",181.6,0)))))))*D17*AT$36*Populations!$R16/1000</f>
        <v>522894.796362309</v>
      </c>
      <c r="AU17" s="4" t="n">
        <f aca="false">INDEX(Tech!$F$3:$F$13,MATCH(E17,Tech!$E$3:$E$13,1))*D17*AT$36*Populations!$S16/(365*1000)</f>
        <v>17323.6575</v>
      </c>
      <c r="AV17" s="4" t="n">
        <f aca="false">D17*12.5*AT$36*Populations!$S16/(10*30)</f>
        <v>7218.190625</v>
      </c>
      <c r="AW17" s="4" t="n">
        <f aca="false">0.125*D17*AW$30*Populations!$R16/1000</f>
        <v>337.022036717894</v>
      </c>
      <c r="AX17" s="4" t="n">
        <f aca="false">D17*AW$30*Populations!$S16/(3*1000)</f>
        <v>119.1001453125</v>
      </c>
      <c r="AY17" s="4" t="n">
        <f aca="false">D17*Populations!$S16/(2*1000*AY$30)/1000</f>
        <v>83.1535559999999</v>
      </c>
      <c r="AZ17" s="4" t="n">
        <f aca="false">D17*AZ$30*Populations!$S16/(2*1000)</f>
        <v>57.745525</v>
      </c>
      <c r="BA17" s="4" t="n">
        <f aca="false">D17*2*BA$30*Populations!$S16/1000</f>
        <v>277.17852</v>
      </c>
      <c r="BB17" s="4" t="n">
        <f aca="false">D17*3*BB$30*Populations!$S16/1000</f>
        <v>207.88389</v>
      </c>
      <c r="BC17" s="4" t="n">
        <f aca="false">D17*11*BC$30*Populations!$S16/(15*1000)</f>
        <v>40.6528496</v>
      </c>
      <c r="BD17" s="4" t="n">
        <f aca="false">D17*11*BD$30*Populations!$S16/(8*1000)</f>
        <v>95.28011625</v>
      </c>
      <c r="BE17" s="4" t="n">
        <f aca="false">D17*11*BE$30*Populations!$S16/(3*1000)</f>
        <v>61.7052181428571</v>
      </c>
      <c r="BF17" s="4" t="n">
        <f aca="false">D17*11*BF$30*Populations!$S16/(5*1000)</f>
        <v>44.46405425</v>
      </c>
      <c r="BG17" s="4" t="n">
        <f aca="false">D17*11*BG$30*Populations!$S16/(9*1000)</f>
        <v>112.924582222222</v>
      </c>
      <c r="BH17" s="4" t="n">
        <f aca="false">D17*11*BH$30*Populations!$S16/(12*1000)</f>
        <v>63.5200775</v>
      </c>
      <c r="BI17" s="4" t="n">
        <f aca="false">D17*BI$30*Populations!$S16/(1000*125/12)</f>
        <v>177.3942528</v>
      </c>
      <c r="BJ17" s="4" t="n">
        <f aca="false">D17*BJ$30*Populations!$S16/(30*1000)</f>
        <v>80.6281517066667</v>
      </c>
      <c r="BK17" s="4" t="n">
        <f aca="false">D17*BK$30*Populations!$S16/(7*1000)</f>
        <v>11.1366369642857</v>
      </c>
      <c r="BL17" s="4" t="n">
        <f aca="false">D17*BL$30*Populations!$S16/(8.5*1000)</f>
        <v>18.3426961764706</v>
      </c>
      <c r="BM17" s="4" t="n">
        <f aca="false">D17*BM$30*Populations!$S16/1000</f>
        <v>38.978229375</v>
      </c>
      <c r="BN17" s="4" t="n">
        <f aca="false">D17*BN$30*Populations!$S16/(1.5*1000)</f>
        <v>92.39284</v>
      </c>
      <c r="BO17" s="4" t="n">
        <f aca="false">D17*BO$30*Populations!$S16/(2*1000)</f>
        <v>75.0691825</v>
      </c>
      <c r="BP17" s="4" t="n">
        <f aca="false">D17*BP$30*Populations!$S16/(4*1000)</f>
        <v>17.3236575</v>
      </c>
      <c r="BQ17" s="4" t="n">
        <f aca="false">D17*Populations!$R16*10/(3*1000*2000)</f>
        <v>1161.98843636069</v>
      </c>
      <c r="BR17" s="4" t="n">
        <f aca="false">D17*2*Populations!$R16/(30*1000*2000)</f>
        <v>23.2397687272137</v>
      </c>
      <c r="BS17" s="4" t="n">
        <f aca="false">D17*2*Populations!$S16/((37.5/12)*1000*2000)</f>
        <v>29.5657088</v>
      </c>
      <c r="BT17" s="4" t="n">
        <f aca="false">D17*2*Populations!$S16/((20/9)*1000*2000)</f>
        <v>41.576778</v>
      </c>
      <c r="BU17" s="4" t="n">
        <f aca="false">AF17*25*4/(51*$BU$32)</f>
        <v>16.2896736356047</v>
      </c>
      <c r="BV17" s="4" t="n">
        <f aca="false">D17*Populations!$S16*12/($BV$30*3)</f>
        <v>291.037446</v>
      </c>
      <c r="BW17" s="4" t="n">
        <f aca="false">D17*Populations!$S16*12/(2*$BW$30)</f>
        <v>249.460668</v>
      </c>
      <c r="BX17" s="4" t="n">
        <f aca="false">D17*Populations!$S16*12/(5*$BX$30)</f>
        <v>124.730334</v>
      </c>
      <c r="BY17" s="4" t="n">
        <f aca="false">D17*Populations!$S16/(2*$BY$30)</f>
        <v>72.7593615</v>
      </c>
      <c r="BZ17" s="4" t="n">
        <f aca="false">D17*Populations!$R16*500/(1000*2000)</f>
        <v>174298.265454103</v>
      </c>
      <c r="CA17" s="4" t="n">
        <f aca="false">D17*Populations!R16*15/(1000*2000)</f>
        <v>5228.94796362309</v>
      </c>
      <c r="CB17" s="4" t="n">
        <f aca="false">IF(B17="Mts",1,D17*Populations!R16*30/(1000*2000))</f>
        <v>10457.8959272462</v>
      </c>
      <c r="CC17" s="4" t="n">
        <f aca="false">D17*40*Populations!R16/(1000*2000)</f>
        <v>13943.8612363282</v>
      </c>
      <c r="CD17" s="4" t="n">
        <f aca="false">D17*40*Populations!R16/(1000*2000)</f>
        <v>13943.8612363282</v>
      </c>
      <c r="CE17" s="4" t="n">
        <f aca="false">D17*20*Populations!R16/(1000*2000)</f>
        <v>6971.93061816412</v>
      </c>
      <c r="CF17" s="4" t="n">
        <f aca="false">D17*8.3454*32*Populations!$S16/(1000*2000)</f>
        <v>12336.883310976</v>
      </c>
      <c r="CG17" s="4" t="n">
        <f aca="false">D17*50*2*Populations!$S16/(3*1000*2000)</f>
        <v>1539.88066666667</v>
      </c>
      <c r="CH17" s="4" t="n">
        <f aca="false">IF(B17="Mts",20*D17*Populations!$R16/1000,0.001)</f>
        <v>0.001</v>
      </c>
      <c r="CI17" s="4" t="n">
        <f aca="false">IF(NOT(CH17=0.001),0.006*CH17/3,0.001)</f>
        <v>0.001</v>
      </c>
      <c r="CJ17" s="4" t="n">
        <f aca="false">IF(NOT(CH17=0.001),0.7*CH17/3,0.001)</f>
        <v>0.001</v>
      </c>
      <c r="CK17" s="4" t="n">
        <f aca="false">IF(NOT(CH17=0.001),0.65*CH17/3,0.001)</f>
        <v>0.001</v>
      </c>
      <c r="CL17" s="4" t="n">
        <f aca="false">IF(NOT(CH17=0.001),0.002*CH17/3,0.001)</f>
        <v>0.001</v>
      </c>
      <c r="CM17" s="4" t="n">
        <f aca="false">IF(NOT(CH17=0.001),0.001*CH17/3,0.001)</f>
        <v>0.001</v>
      </c>
      <c r="CN17" s="4" t="n">
        <f aca="false">D17*3*110/(24*2000)*Populations!$S16</f>
        <v>635200.775</v>
      </c>
      <c r="CO17" s="4" t="n">
        <f aca="false">D17*3*12/(24*2000)*Populations!$S16</f>
        <v>69294.63</v>
      </c>
      <c r="CP17" s="4" t="n">
        <f aca="false">D17*3*1.4/(24*2000)*Populations!$S16</f>
        <v>8084.3735</v>
      </c>
      <c r="CQ17" s="4" t="n">
        <f aca="false">D17*6400*8.3454*Populations!$S16/(10*1000*2000)</f>
        <v>246737.66621952</v>
      </c>
      <c r="CR17" s="4" t="n">
        <f aca="false">D17*2*Populations!$S16/(1000*2000)</f>
        <v>92.39284</v>
      </c>
      <c r="CS17" s="4" t="n">
        <f aca="false">D17*2*30*Populations!$S16/(1000*2000)</f>
        <v>2771.7852</v>
      </c>
      <c r="CT17" s="4" t="n">
        <f aca="false">27*Populations!$R16/(4*1000*2000)</f>
        <v>10.2305503636104</v>
      </c>
      <c r="CU17" s="4" t="n">
        <f aca="false">27*Populations!$R16/(16*1000*2000)</f>
        <v>2.5576375909026</v>
      </c>
      <c r="CV17" s="4" t="n">
        <f aca="false">AP17*0.9</f>
        <v>11269.3856769</v>
      </c>
      <c r="CW17" s="4" t="n">
        <f aca="false">2.5*D17*Populations!$R16/(60*2000)</f>
        <v>14524.8554545086</v>
      </c>
      <c r="CX17" s="4" t="n">
        <f aca="false">D17*125*Populations!R16/(6*1000*2000)</f>
        <v>7262.42772725429</v>
      </c>
      <c r="CY17" s="4" t="n">
        <f aca="false">D17*1.875*2*Populations!R16/(6*1000*2000)</f>
        <v>217.872831817629</v>
      </c>
      <c r="CZ17" s="4" t="n">
        <f aca="false">D17*2*20*Populations!$R16/(1000*2000)</f>
        <v>13943.8612363282</v>
      </c>
      <c r="DA17" s="4" t="n">
        <f aca="false">IF(NOT(CH17=0.001),CH17*0.00001,0.001)</f>
        <v>0.001</v>
      </c>
      <c r="DB17" s="4" t="n">
        <f aca="false">IF(NOT(CH17=0.001),CH17*0.00001,0.001)</f>
        <v>0.001</v>
      </c>
      <c r="DC17" s="4" t="n">
        <f aca="false">D17*0.02*12*Populations!$S16/(3*1000*2000)</f>
        <v>3.6957136</v>
      </c>
      <c r="DD17" s="4" t="n">
        <f aca="false">D17*0.5*12*Populations!$S16/(5*1000*2000)</f>
        <v>55.435704</v>
      </c>
      <c r="DE17" s="4" t="n">
        <f aca="false">D17*6*25*Populations!$S16/(1000*2000)</f>
        <v>6929.463</v>
      </c>
      <c r="DG17" s="4" t="n">
        <f aca="false">PRODUCT(AC17:AD17)</f>
        <v>60.4759706574166</v>
      </c>
      <c r="DH17" s="4" t="n">
        <f aca="false">LOG(PRODUCT(S17,V17,Y17:AB17,AE17:AH17,AL17:AO17,AR17:AT17,AW17,BQ17:BU17,BZ17,CH17:CM17,CT17:CU17,CW17:DB17),2)</f>
        <v>293.390128049451</v>
      </c>
      <c r="DI17" s="4" t="n">
        <f aca="false">LOG(PRODUCT($AI17:$AK17,$AP17:$AQ17,$AU17:$AV17,AX17:BP17,BV17:BY17,CA17:CG17,CN17:CS17,CV17,DC17:DE17),2)</f>
        <v>451.801263785432</v>
      </c>
      <c r="DK17" s="4" t="n">
        <f aca="false">SUM(DG17:DI17)</f>
        <v>805.6673624923</v>
      </c>
    </row>
    <row r="18" s="4" customFormat="true" ht="12.8" hidden="false" customHeight="false" outlineLevel="0" collapsed="false">
      <c r="A18" s="0" t="s">
        <v>152</v>
      </c>
      <c r="B18" s="0" t="s">
        <v>136</v>
      </c>
      <c r="C18" s="0" t="n">
        <v>143</v>
      </c>
      <c r="D18" s="0" t="n">
        <f aca="false">IF(B18="Taiga",265,IF(B18="Mts",265,IF(B18="Temp",230,IF(B18="Steppe",265,IF(B18="Jungle",180,IF(B18="Sav",240,IF(B18="Medi",230,0)))))))</f>
        <v>230</v>
      </c>
      <c r="E18" s="0" t="n">
        <v>1</v>
      </c>
      <c r="F18" s="4" t="n">
        <f aca="false">IF(B18="Taiga",0.43,IF(B18="Mts",0.21,IF(B18="Temp",0.64,IF(B18="Steppe",0.57,IF(B18="Jungle",0.43,IF(B18="Sav",0.57,IF(B18="Medi",0.43,0)))))))</f>
        <v>0.64</v>
      </c>
      <c r="G18" s="4" t="n">
        <f aca="false">IF(B18="Taiga",0.43,IF(B18="Mts",0.8,IF(B18="Temp",0.64,IF(B18="Steppe",0.64,IF(B18="Jungle",0.43,IF(B18="Sav",0.8,IF(B18="Medi",0.6,0)))))))</f>
        <v>0.64</v>
      </c>
      <c r="H18" s="4" t="n">
        <f aca="false">$H$31*IF(B18="Taiga",528,IF(B18="Mts",855.27,IF(B18="Temp",565.94,IF(B18="Steppe",551.72,IF(B18="Jungle",575.43,IF(B18="Sav",599.15,IF(B18="Medi",564.36,0)))))))</f>
        <v>1697.82</v>
      </c>
      <c r="I18" s="4" t="n">
        <f aca="false">$H$31*IF(B18="Taiga",2608.19,IF(B18="Mts",2100,IF(B18="Temp",2976.19,IF(B18="Steppe",2450.48,IF(B18="Jungle",2135.05,IF(B18="Sav",2310.29,IF(B18="Medi",2485.52,0)))))))</f>
        <v>8928.57</v>
      </c>
      <c r="J18" s="4" t="n">
        <f aca="false">$H$31*IF(B18="Taiga",500.54,IF(B18="Mts",360,IF(B18="Temp",570.81,IF(B18="Steppe",441.95,IF(B18="Jungle",486.49,IF(B18="Sav",518.92,IF(B18="Medi",640,0)))))))</f>
        <v>1712.43</v>
      </c>
      <c r="K18" s="4" t="n">
        <f aca="false">$H$31*IF(B18="Taiga",2003.09,IF(B18="Mts",1612.8,IF(B18="Temp",2285.71,IF(B18="Steppe",1881.97,IF(B18="Jungle",1639.72,IF(B18="Sav",1774.3,IF(B18="Medi",1908.88,0)))))))</f>
        <v>6857.13</v>
      </c>
      <c r="L18" s="4" t="n">
        <f aca="false">$H$31*IF(B18="Taiga",260.82,IF(B18="Mts",210,IF(B18="Temp",297.62,IF(B18="Steppe",245.05,IF(B18="Jungle",213.5,IF(B18="Sav",231.03,IF(B18="Medi",248.55,0)))))))</f>
        <v>892.86</v>
      </c>
      <c r="M18" s="4" t="n">
        <f aca="false">$H$31*IF(B18="Taiga",250,IF(B18="Mts",640,IF(B18="Temp",295.2174,IF(B18="Steppe",278.2609,IF(B18="Jungle",306.5217,IF(B18="Sav",334.7826,IF(B18="Medi",293.3333,0)))))))</f>
        <v>885.6522</v>
      </c>
      <c r="N18" s="4" t="n">
        <f aca="false">$H$31*IF(B18="Taiga",1491.9691,IF(B18="Mts",980,IF(B18="Temp",1747.9537,IF(B18="Steppe",1278.5174,IF(B18="Jungle",1440.7722,IF(B18="Sav",1558.9189,IF(B18="Medi",2000,0)))))))</f>
        <v>5243.8611</v>
      </c>
      <c r="O18" s="4" t="n">
        <f aca="false">$H$31*IF(B18="Taiga",68.5,IF(B18="Mts",25,IF(B18="Temp",100,IF(B18="Steppe",55,IF(B18="Jungle",28,IF(B18="Sav",43,IF(B18="Medi",58,0)))))))</f>
        <v>300</v>
      </c>
      <c r="P18" s="4" t="n">
        <f aca="false">$H$31*20*15/8000</f>
        <v>0.1125</v>
      </c>
      <c r="Q18" s="4" t="n">
        <f aca="false">$H$31*20*15/8000</f>
        <v>0.1125</v>
      </c>
      <c r="R18" s="1" t="s">
        <v>39</v>
      </c>
      <c r="S18" s="4" t="n">
        <f aca="false">C18*F18*G18*360*640*1393.66125/(2000*1000)</f>
        <v>9403.8499196928</v>
      </c>
      <c r="T18" s="4" t="n">
        <f aca="false">C18*F18*G18*J18*640*1393.66125*2/(1000*2000*3)</f>
        <v>29821.1754036658</v>
      </c>
      <c r="U18" s="4" t="n">
        <f aca="false">T18*J$28</f>
        <v>9940.39180122193</v>
      </c>
      <c r="V18" s="4" t="n">
        <f aca="false">T18-U18</f>
        <v>19880.7836024439</v>
      </c>
      <c r="W18" s="4" t="n">
        <f aca="false">C18*F18*G18*H18*640*1393.66125*2/(1000*2000*3)</f>
        <v>29566.7490197275</v>
      </c>
      <c r="X18" s="4" t="n">
        <f aca="false">W18*H$28</f>
        <v>8063.65882356205</v>
      </c>
      <c r="Y18" s="4" t="n">
        <f aca="false">W18-X18</f>
        <v>21503.0901961654</v>
      </c>
      <c r="Z18" s="4" t="n">
        <f aca="false">C18*F18*G18*M18*640*1393.66125/(1000*2000*3)</f>
        <v>7711.61145356088</v>
      </c>
      <c r="AA18" s="4" t="n">
        <f aca="false">C18*F18*G18*N18*640*1393.66125/(2000*1000)</f>
        <v>136979.118844764</v>
      </c>
      <c r="AB18" s="4" t="n">
        <f aca="false">C18*F18*G18*O18*640*1393.66125/(2000*1000)</f>
        <v>7836.541599744</v>
      </c>
      <c r="AC18" s="4" t="n">
        <f aca="false">C18*P18*640*1393.66125/(2000*1000)</f>
        <v>7.174568115</v>
      </c>
      <c r="AD18" s="4" t="n">
        <f aca="false">C18*Q18*640*1393.66125/(2000*1000)</f>
        <v>7.174568115</v>
      </c>
      <c r="AE18" s="4" t="n">
        <f aca="false">($V18+$Z18)*2000*1000/(3*365)</f>
        <v>50397068.5954425</v>
      </c>
      <c r="AF18" s="4" t="n">
        <f aca="false">($V18+$Z18)*2000*1000/(18*100)</f>
        <v>30658216.7288942</v>
      </c>
      <c r="AG18" s="4" t="n">
        <f aca="false">($V18+$Z18)*2000*1000/(3*365)</f>
        <v>50397068.5954425</v>
      </c>
      <c r="AH18" s="4" t="n">
        <f aca="false">C18*F18*G18*K18*640*1393.66125/(2000*1000)</f>
        <v>179120.614999509</v>
      </c>
      <c r="AI18" s="4" t="n">
        <f aca="false">3*12*D18*Populations!$S17/(5*1000)</f>
        <v>735588.576</v>
      </c>
      <c r="AJ18" s="4" t="n">
        <f aca="false">1.5*D18*750*Populations!$S17/(1000*2000*15)</f>
        <v>3831.1905</v>
      </c>
      <c r="AK18" s="4" t="n">
        <f aca="false">66*10*D18*Populations!$S17/(1000*2000*6)</f>
        <v>5619.0794</v>
      </c>
      <c r="AL18" s="4" t="n">
        <f aca="false">AE18*365/(2000*1000)</f>
        <v>9197.46501866826</v>
      </c>
      <c r="AM18" s="4" t="n">
        <f aca="false">AF18*25*238/(51*2000*1000)</f>
        <v>1788.39597585216</v>
      </c>
      <c r="AN18" s="4" t="n">
        <f aca="false">AG18*100*238/(600*1000*2000)</f>
        <v>999.541860476276</v>
      </c>
      <c r="AO18" s="4" t="n">
        <f aca="false">AG18*120*2/(16*1000*2000)</f>
        <v>377.978014465819</v>
      </c>
      <c r="AP18" s="4" t="n">
        <f aca="false">D18*4800*Populations!$S17/($AP$28*10*1000*2000)</f>
        <v>13845.922467</v>
      </c>
      <c r="AQ18" s="4" t="n">
        <f aca="false">D18*2*4800*Populations!$S17/($AQ$28*10*1000*2000)</f>
        <v>53253.54795</v>
      </c>
      <c r="AR18" s="4" t="n">
        <f aca="false">C18*F18*G18*L18*640*1393.66125/(2000*1000)</f>
        <v>23323.1151091581</v>
      </c>
      <c r="AS18" s="4" t="n">
        <f aca="false">AF18*600*6/(90*1000*2000)</f>
        <v>613.164334577884</v>
      </c>
      <c r="AT18" s="4" t="n">
        <f aca="false">IF(B18="Taiga",236.2,IF(B18="Mts",10,IF(B18="Temp",400,IF(B18="Steppe",25,IF(B18="Jungle",400,IF(B18="Sav",103.6,IF(B18="Medi",181.6,0)))))))*D18*AT$36*Populations!$R17/1000</f>
        <v>469718.738226735</v>
      </c>
      <c r="AU18" s="4" t="n">
        <f aca="false">INDEX(Tech!$F$3:$F$13,MATCH(E18,Tech!$E$3:$E$13,1))*D18*AT$36*Populations!$S17/(365*1000)</f>
        <v>19155.9525</v>
      </c>
      <c r="AV18" s="4" t="n">
        <f aca="false">D18*12.5*AT$36*Populations!$S17/(10*30)</f>
        <v>7981.646875</v>
      </c>
      <c r="AW18" s="4" t="n">
        <f aca="false">0.125*D18*AW$30*Populations!$R17/1000</f>
        <v>302.7484054977</v>
      </c>
      <c r="AX18" s="4" t="n">
        <f aca="false">D18*AW$30*Populations!$S17/(3*1000)</f>
        <v>131.6971734375</v>
      </c>
      <c r="AY18" s="4" t="n">
        <f aca="false">D18*Populations!$S17/(2*1000*AY$30)/1000</f>
        <v>91.9485719999999</v>
      </c>
      <c r="AZ18" s="4" t="n">
        <f aca="false">D18*AZ$30*Populations!$S17/(2*1000)</f>
        <v>63.853175</v>
      </c>
      <c r="BA18" s="4" t="n">
        <f aca="false">D18*2*BA$30*Populations!$S17/1000</f>
        <v>306.49524</v>
      </c>
      <c r="BB18" s="4" t="n">
        <f aca="false">D18*3*BB$30*Populations!$S17/1000</f>
        <v>229.87143</v>
      </c>
      <c r="BC18" s="4" t="n">
        <f aca="false">D18*11*BC$30*Populations!$S17/(15*1000)</f>
        <v>44.9526352</v>
      </c>
      <c r="BD18" s="4" t="n">
        <f aca="false">D18*11*BD$30*Populations!$S17/(8*1000)</f>
        <v>105.35773875</v>
      </c>
      <c r="BE18" s="4" t="n">
        <f aca="false">D18*11*BE$30*Populations!$S17/(3*1000)</f>
        <v>68.2316784285714</v>
      </c>
      <c r="BF18" s="4" t="n">
        <f aca="false">D18*11*BF$30*Populations!$S17/(5*1000)</f>
        <v>49.16694475</v>
      </c>
      <c r="BG18" s="4" t="n">
        <f aca="false">D18*11*BG$30*Populations!$S17/(9*1000)</f>
        <v>124.868431111111</v>
      </c>
      <c r="BH18" s="4" t="n">
        <f aca="false">D18*11*BH$30*Populations!$S17/(12*1000)</f>
        <v>70.2384925</v>
      </c>
      <c r="BI18" s="4" t="n">
        <f aca="false">D18*BI$30*Populations!$S17/(1000*125/12)</f>
        <v>196.1569536</v>
      </c>
      <c r="BJ18" s="4" t="n">
        <f aca="false">D18*BJ$30*Populations!$S17/(30*1000)</f>
        <v>89.1560598133333</v>
      </c>
      <c r="BK18" s="4" t="n">
        <f aca="false">D18*BK$30*Populations!$S17/(7*1000)</f>
        <v>12.3145408928571</v>
      </c>
      <c r="BL18" s="4" t="n">
        <f aca="false">D18*BL$30*Populations!$S17/(8.5*1000)</f>
        <v>20.2827732352941</v>
      </c>
      <c r="BM18" s="4" t="n">
        <f aca="false">D18*BM$30*Populations!$S17/1000</f>
        <v>43.100893125</v>
      </c>
      <c r="BN18" s="4" t="n">
        <f aca="false">D18*BN$30*Populations!$S17/(1.5*1000)</f>
        <v>102.16508</v>
      </c>
      <c r="BO18" s="4" t="n">
        <f aca="false">D18*BO$30*Populations!$S17/(2*1000)</f>
        <v>83.0091275</v>
      </c>
      <c r="BP18" s="4" t="n">
        <f aca="false">D18*BP$30*Populations!$S17/(4*1000)</f>
        <v>19.1559525</v>
      </c>
      <c r="BQ18" s="4" t="n">
        <f aca="false">D18*Populations!$R17*10/(3*1000*2000)</f>
        <v>1043.81941828163</v>
      </c>
      <c r="BR18" s="4" t="n">
        <f aca="false">D18*2*Populations!$R17/(30*1000*2000)</f>
        <v>20.8763883656327</v>
      </c>
      <c r="BS18" s="4" t="n">
        <f aca="false">D18*2*Populations!$S17/((37.5/12)*1000*2000)</f>
        <v>32.6928256</v>
      </c>
      <c r="BT18" s="4" t="n">
        <f aca="false">D18*2*Populations!$S17/((20/9)*1000*2000)</f>
        <v>45.974286</v>
      </c>
      <c r="BU18" s="4" t="n">
        <f aca="false">AF18*25*4/(51*$BU$32)</f>
        <v>15.028537612203</v>
      </c>
      <c r="BV18" s="4" t="n">
        <f aca="false">D18*Populations!$S17*12/($BV$30*3)</f>
        <v>321.820002</v>
      </c>
      <c r="BW18" s="4" t="n">
        <f aca="false">D18*Populations!$S17*12/(2*$BW$30)</f>
        <v>275.845716</v>
      </c>
      <c r="BX18" s="4" t="n">
        <f aca="false">D18*Populations!$S17*12/(5*$BX$30)</f>
        <v>137.922858</v>
      </c>
      <c r="BY18" s="4" t="n">
        <f aca="false">D18*Populations!$S17/(2*$BY$30)</f>
        <v>80.4550005</v>
      </c>
      <c r="BZ18" s="4" t="n">
        <f aca="false">D18*Populations!$R17*500/(1000*2000)</f>
        <v>156572.912742245</v>
      </c>
      <c r="CA18" s="4" t="n">
        <f aca="false">D18*Populations!R17*15/(1000*2000)</f>
        <v>4697.18738226735</v>
      </c>
      <c r="CB18" s="4" t="n">
        <f aca="false">IF(B18="Mts",1,D18*Populations!R17*30/(1000*2000))</f>
        <v>9394.3747645347</v>
      </c>
      <c r="CC18" s="4" t="n">
        <f aca="false">D18*40*Populations!R17/(1000*2000)</f>
        <v>12525.8330193796</v>
      </c>
      <c r="CD18" s="4" t="n">
        <f aca="false">D18*40*Populations!R17/(1000*2000)</f>
        <v>12525.8330193796</v>
      </c>
      <c r="CE18" s="4" t="n">
        <f aca="false">D18*20*Populations!R17/(1000*2000)</f>
        <v>6262.9165096898</v>
      </c>
      <c r="CF18" s="4" t="n">
        <f aca="false">D18*8.3454*32*Populations!$S17/(1000*2000)</f>
        <v>13641.735338112</v>
      </c>
      <c r="CG18" s="4" t="n">
        <f aca="false">D18*50*2*Populations!$S17/(3*1000*2000)</f>
        <v>1702.75133333333</v>
      </c>
      <c r="CH18" s="4" t="n">
        <f aca="false">20*D18*Populations!$R17/1000</f>
        <v>12525833.0193796</v>
      </c>
      <c r="CI18" s="4" t="n">
        <f aca="false">IF(NOT(CH18=0.001),0.006*CH18/3,0.001)</f>
        <v>25051.6660387592</v>
      </c>
      <c r="CJ18" s="4" t="n">
        <f aca="false">IF(NOT(CH18=0.001),0.7*CH18/3,0.001)</f>
        <v>2922694.37118857</v>
      </c>
      <c r="CK18" s="4" t="n">
        <f aca="false">IF(NOT(CH18=0.001),0.65*CH18/3,0.001)</f>
        <v>2713930.48753225</v>
      </c>
      <c r="CL18" s="4" t="n">
        <f aca="false">IF(NOT(CH18=0.001),0.002*CH18/3,0.001)</f>
        <v>8350.55534625306</v>
      </c>
      <c r="CM18" s="4" t="n">
        <f aca="false">IF(NOT(CH18=0.001),0.001*CH18/3,0.001)</f>
        <v>4175.27767312653</v>
      </c>
      <c r="CN18" s="4" t="n">
        <f aca="false">D18*3*110/(24*2000)*Populations!$S17</f>
        <v>702384.925</v>
      </c>
      <c r="CO18" s="4" t="n">
        <f aca="false">D18*3*12/(24*2000)*Populations!$S17</f>
        <v>76623.81</v>
      </c>
      <c r="CP18" s="4" t="n">
        <f aca="false">D18*3*1.4/(24*2000)*Populations!$S17</f>
        <v>8939.4445</v>
      </c>
      <c r="CQ18" s="4" t="n">
        <f aca="false">D18*6400*8.3454*Populations!$S17/(10*1000*2000)</f>
        <v>272834.70676224</v>
      </c>
      <c r="CR18" s="4" t="n">
        <f aca="false">D18*2*Populations!$S17/(1000*2000)</f>
        <v>102.16508</v>
      </c>
      <c r="CS18" s="4" t="n">
        <f aca="false">D18*2*30*Populations!$S17/(1000*2000)</f>
        <v>3064.9524</v>
      </c>
      <c r="CT18" s="4" t="n">
        <f aca="false">27*Populations!$R17/(4*1000*2000)</f>
        <v>9.19014922617525</v>
      </c>
      <c r="CU18" s="4" t="n">
        <f aca="false">27*Populations!$R17/(16*1000*2000)</f>
        <v>2.29753730654381</v>
      </c>
      <c r="CV18" s="4" t="n">
        <f aca="false">AP18*0.9</f>
        <v>12461.3302203</v>
      </c>
      <c r="CW18" s="4" t="n">
        <f aca="false">2.5*D18*Populations!$R17/(60*2000)</f>
        <v>13047.7427285204</v>
      </c>
      <c r="CX18" s="4" t="n">
        <f aca="false">D18*125*Populations!R17/(6*1000*2000)</f>
        <v>6523.87136426021</v>
      </c>
      <c r="CY18" s="4" t="n">
        <f aca="false">D18*1.875*2*Populations!R17/(6*1000*2000)</f>
        <v>195.716140927806</v>
      </c>
      <c r="CZ18" s="4" t="n">
        <f aca="false">D18*2*20*Populations!$R17/(1000*2000)</f>
        <v>12525.8330193796</v>
      </c>
      <c r="DA18" s="4" t="n">
        <f aca="false">IF(NOT(CH18=0.001),CH18*0.00001,0.001)</f>
        <v>125.258330193796</v>
      </c>
      <c r="DB18" s="4" t="n">
        <f aca="false">IF(NOT(CH18=0.001),CH18*0.00001,0.001)</f>
        <v>125.258330193796</v>
      </c>
      <c r="DC18" s="4" t="n">
        <f aca="false">D18*0.02*12*Populations!$S17/(3*1000*2000)</f>
        <v>4.0866032</v>
      </c>
      <c r="DD18" s="4" t="n">
        <f aca="false">D18*0.5*12*Populations!$S17/(5*1000*2000)</f>
        <v>61.299048</v>
      </c>
      <c r="DE18" s="4" t="n">
        <f aca="false">D18*6*25*Populations!$S17/(1000*2000)</f>
        <v>7662.381</v>
      </c>
      <c r="DG18" s="4" t="n">
        <f aca="false">PRODUCT(AC18:AD18)</f>
        <v>51.4744276367747</v>
      </c>
      <c r="DH18" s="4" t="n">
        <f aca="false">LOG(PRODUCT(S18,V18,Y18:AB18,AE18:AH18,AL18:AO18,AR18:AT18,AW18,BQ18:BU18,BZ18,CH18:CM18,CT18:CU18,CW18:DB18),2)</f>
        <v>489.762919728398</v>
      </c>
      <c r="DI18" s="4" t="n">
        <f aca="false">LOG(PRODUCT($AI18:$AK18,$AP18:$AQ18,$AU18:$AV18,AX18:BP18,BV18:BY18,CA18:CG18,CN18:CS18,CV18,DC18:DE18),2)</f>
        <v>457.119712715175</v>
      </c>
      <c r="DK18" s="4" t="n">
        <f aca="false">SUM(DG18:DI18)</f>
        <v>998.357060080348</v>
      </c>
    </row>
    <row r="19" s="4" customFormat="true" ht="12.8" hidden="false" customHeight="false" outlineLevel="0" collapsed="false">
      <c r="A19" s="0" t="s">
        <v>153</v>
      </c>
      <c r="B19" s="0" t="s">
        <v>154</v>
      </c>
      <c r="C19" s="0" t="n">
        <v>84</v>
      </c>
      <c r="D19" s="0" t="n">
        <f aca="false">IF(B19="Taiga",265,IF(B19="Mts",265,IF(B19="Temp",230,IF(B19="Steppe",265,IF(B19="Jungle",180,IF(B19="Sav",240,IF(B19="Medi",230,0)))))))</f>
        <v>230</v>
      </c>
      <c r="E19" s="0" t="n">
        <v>1</v>
      </c>
      <c r="F19" s="4" t="n">
        <f aca="false">IF(B19="Taiga",0.43,IF(B19="Mts",0.21,IF(B19="Temp",0.64,IF(B19="Steppe",0.57,IF(B19="Jungle",0.43,IF(B19="Sav",0.57,IF(B19="Medi",0.43,0)))))))</f>
        <v>0.43</v>
      </c>
      <c r="G19" s="4" t="n">
        <f aca="false">IF(B19="Taiga",0.43,IF(B19="Mts",0.8,IF(B19="Temp",0.64,IF(B19="Steppe",0.64,IF(B19="Jungle",0.43,IF(B19="Sav",0.8,IF(B19="Medi",0.6,0)))))))</f>
        <v>0.6</v>
      </c>
      <c r="H19" s="4" t="n">
        <f aca="false">$H$31*IF(B19="Taiga",528,IF(B19="Mts",855.27,IF(B19="Temp",565.94,IF(B19="Steppe",551.72,IF(B19="Jungle",575.43,IF(B19="Sav",599.15,IF(B19="Medi",564.36,0)))))))</f>
        <v>1693.08</v>
      </c>
      <c r="I19" s="4" t="n">
        <f aca="false">$H$31*IF(B19="Taiga",2608.19,IF(B19="Mts",2100,IF(B19="Temp",2976.19,IF(B19="Steppe",2450.48,IF(B19="Jungle",2135.05,IF(B19="Sav",2310.29,IF(B19="Medi",2485.52,0)))))))</f>
        <v>7456.56</v>
      </c>
      <c r="J19" s="4" t="n">
        <f aca="false">$H$31*IF(B19="Taiga",500.54,IF(B19="Mts",360,IF(B19="Temp",570.81,IF(B19="Steppe",441.95,IF(B19="Jungle",486.49,IF(B19="Sav",518.92,IF(B19="Medi",640,0)))))))</f>
        <v>1920</v>
      </c>
      <c r="K19" s="4" t="n">
        <f aca="false">$H$31*IF(B19="Taiga",2003.09,IF(B19="Mts",1612.8,IF(B19="Temp",2285.71,IF(B19="Steppe",1881.97,IF(B19="Jungle",1639.72,IF(B19="Sav",1774.3,IF(B19="Medi",1908.88,0)))))))</f>
        <v>5726.64</v>
      </c>
      <c r="L19" s="4" t="n">
        <f aca="false">$H$31*IF(B19="Taiga",260.82,IF(B19="Mts",210,IF(B19="Temp",297.62,IF(B19="Steppe",245.05,IF(B19="Jungle",213.5,IF(B19="Sav",231.03,IF(B19="Medi",248.55,0)))))))</f>
        <v>745.65</v>
      </c>
      <c r="M19" s="4" t="n">
        <f aca="false">$H$31*IF(B19="Taiga",250,IF(B19="Mts",640,IF(B19="Temp",295.2174,IF(B19="Steppe",278.2609,IF(B19="Jungle",306.5217,IF(B19="Sav",334.7826,IF(B19="Medi",293.3333,0)))))))</f>
        <v>879.9999</v>
      </c>
      <c r="N19" s="4" t="n">
        <f aca="false">$H$31*IF(B19="Taiga",1491.9691,IF(B19="Mts",980,IF(B19="Temp",1747.9537,IF(B19="Steppe",1278.5174,IF(B19="Jungle",1440.7722,IF(B19="Sav",1558.9189,IF(B19="Medi",2000,0)))))))</f>
        <v>6000</v>
      </c>
      <c r="O19" s="4" t="n">
        <f aca="false">$H$31*IF(B19="Taiga",68.5,IF(B19="Mts",25,IF(B19="Temp",100,IF(B19="Steppe",55,IF(B19="Jungle",28,IF(B19="Sav",43,IF(B19="Medi",58,0)))))))</f>
        <v>174</v>
      </c>
      <c r="P19" s="4" t="n">
        <f aca="false">$H$31*20*15/8000</f>
        <v>0.1125</v>
      </c>
      <c r="Q19" s="4" t="n">
        <f aca="false">$H$31*20*15/8000</f>
        <v>0.1125</v>
      </c>
      <c r="R19" s="1" t="s">
        <v>39</v>
      </c>
      <c r="S19" s="4" t="n">
        <f aca="false">C19*F19*G19*360*640*1393.66125/(2000*1000)</f>
        <v>3479.434745472</v>
      </c>
      <c r="T19" s="4" t="n">
        <f aca="false">C19*F19*G19*J19*640*1393.66125*2/(1000*2000*3)</f>
        <v>12371.323539456</v>
      </c>
      <c r="U19" s="4" t="n">
        <f aca="false">T19*J$28</f>
        <v>4123.774513152</v>
      </c>
      <c r="V19" s="4" t="n">
        <f aca="false">T19-U19</f>
        <v>8247.549026304</v>
      </c>
      <c r="W19" s="4" t="n">
        <f aca="false">C19*F19*G19*H19*640*1393.66125*2/(1000*2000*3)</f>
        <v>10909.1877386365</v>
      </c>
      <c r="X19" s="4" t="n">
        <f aca="false">W19*H$28</f>
        <v>2975.23301962815</v>
      </c>
      <c r="Y19" s="4" t="n">
        <f aca="false">W19-X19</f>
        <v>7933.95471900839</v>
      </c>
      <c r="Z19" s="4" t="n">
        <f aca="false">C19*F19*G19*M19*640*1393.66125/(1000*2000*3)</f>
        <v>2835.09465562212</v>
      </c>
      <c r="AA19" s="4" t="n">
        <f aca="false">C19*F19*G19*N19*640*1393.66125/(2000*1000)</f>
        <v>57990.5790912</v>
      </c>
      <c r="AB19" s="4" t="n">
        <f aca="false">C19*F19*G19*O19*640*1393.66125/(2000*1000)</f>
        <v>1681.7267936448</v>
      </c>
      <c r="AC19" s="4" t="n">
        <f aca="false">C19*P19*640*1393.66125/(2000*1000)</f>
        <v>4.21443162</v>
      </c>
      <c r="AD19" s="4" t="n">
        <f aca="false">C19*Q19*640*1393.66125/(2000*1000)</f>
        <v>4.21443162</v>
      </c>
      <c r="AE19" s="4" t="n">
        <f aca="false">($V19+$Z19)*2000*1000/(3*365)</f>
        <v>20242271.5651619</v>
      </c>
      <c r="AF19" s="4" t="n">
        <f aca="false">($V19+$Z19)*2000*1000/(18*100)</f>
        <v>12314048.5354735</v>
      </c>
      <c r="AG19" s="4" t="n">
        <f aca="false">($V19+$Z19)*2000*1000/(3*365)</f>
        <v>20242271.5651619</v>
      </c>
      <c r="AH19" s="4" t="n">
        <f aca="false">C19*F19*G19*K19*640*1393.66125/(2000*1000)</f>
        <v>55348.5283078049</v>
      </c>
      <c r="AI19" s="4" t="n">
        <f aca="false">3*12*D19*Populations!$S18/(5*1000)</f>
        <v>413953.632</v>
      </c>
      <c r="AJ19" s="4" t="n">
        <f aca="false">1.5*D19*750*Populations!$S18/(1000*2000*15)</f>
        <v>2156.0085</v>
      </c>
      <c r="AK19" s="4" t="n">
        <f aca="false">66*10*D19*Populations!$S18/(1000*2000*6)</f>
        <v>3162.1458</v>
      </c>
      <c r="AL19" s="4" t="n">
        <f aca="false">AE19*365/(2000*1000)</f>
        <v>3694.21456064204</v>
      </c>
      <c r="AM19" s="4" t="n">
        <f aca="false">AF19*25*238/(51*2000*1000)</f>
        <v>718.319497902619</v>
      </c>
      <c r="AN19" s="4" t="n">
        <f aca="false">AG19*100*238/(600*1000*2000)</f>
        <v>401.47171937571</v>
      </c>
      <c r="AO19" s="4" t="n">
        <f aca="false">AG19*120*2/(16*1000*2000)</f>
        <v>151.817036738714</v>
      </c>
      <c r="AP19" s="4" t="n">
        <f aca="false">D19*4800*Populations!$S18/($AP$28*10*1000*2000)</f>
        <v>7791.81471900001</v>
      </c>
      <c r="AQ19" s="4" t="n">
        <f aca="false">D19*2*4800*Populations!$S18/($AQ$28*10*1000*2000)</f>
        <v>29968.51815</v>
      </c>
      <c r="AR19" s="4" t="n">
        <f aca="false">C19*F19*G19*L19*640*1393.66125/(2000*1000)</f>
        <v>7206.77921655888</v>
      </c>
      <c r="AS19" s="4" t="n">
        <f aca="false">AF19*600*6/(90*1000*2000)</f>
        <v>246.280970709469</v>
      </c>
      <c r="AT19" s="4" t="n">
        <f aca="false">IF(B19="Taiga",236.2,IF(B19="Mts",10,IF(B19="Temp",400,IF(B19="Steppe",25,IF(B19="Jungle",400,IF(B19="Sav",103.6,IF(B19="Medi",181.6,0)))))))*D19*AT$36*Populations!$R18/1000</f>
        <v>118085.776434878</v>
      </c>
      <c r="AU19" s="4" t="n">
        <f aca="false">INDEX(Tech!$F$3:$F$13,MATCH(E19,Tech!$E$3:$E$13,1))*D19*AT$36*Populations!$S18/(365*1000)</f>
        <v>10780.0425</v>
      </c>
      <c r="AV19" s="4" t="n">
        <f aca="false">D19*12.5*AT$36*Populations!$S18/(10*30)</f>
        <v>4491.684375</v>
      </c>
      <c r="AW19" s="4" t="n">
        <f aca="false">0.125*D19*AW$30*Populations!$R18/1000</f>
        <v>167.643112539191</v>
      </c>
      <c r="AX19" s="4" t="n">
        <f aca="false">D19*AW$30*Populations!$S18/(3*1000)</f>
        <v>74.1127921875</v>
      </c>
      <c r="AY19" s="4" t="n">
        <f aca="false">D19*Populations!$S18/(2*1000*AY$30)/1000</f>
        <v>51.744204</v>
      </c>
      <c r="AZ19" s="4" t="n">
        <f aca="false">D19*AZ$30*Populations!$S18/(2*1000)</f>
        <v>35.933475</v>
      </c>
      <c r="BA19" s="4" t="n">
        <f aca="false">D19*2*BA$30*Populations!$S18/1000</f>
        <v>172.48068</v>
      </c>
      <c r="BB19" s="4" t="n">
        <f aca="false">D19*3*BB$30*Populations!$S18/1000</f>
        <v>129.36051</v>
      </c>
      <c r="BC19" s="4" t="n">
        <f aca="false">D19*11*BC$30*Populations!$S18/(15*1000)</f>
        <v>25.2971664</v>
      </c>
      <c r="BD19" s="4" t="n">
        <f aca="false">D19*11*BD$30*Populations!$S18/(8*1000)</f>
        <v>59.29023375</v>
      </c>
      <c r="BE19" s="4" t="n">
        <f aca="false">D19*11*BE$30*Populations!$S18/(3*1000)</f>
        <v>38.3974847142857</v>
      </c>
      <c r="BF19" s="4" t="n">
        <f aca="false">D19*11*BF$30*Populations!$S18/(5*1000)</f>
        <v>27.66877575</v>
      </c>
      <c r="BG19" s="4" t="n">
        <f aca="false">D19*11*BG$30*Populations!$S18/(9*1000)</f>
        <v>70.2699066666667</v>
      </c>
      <c r="BH19" s="4" t="n">
        <f aca="false">D19*11*BH$30*Populations!$S18/(12*1000)</f>
        <v>39.5268225</v>
      </c>
      <c r="BI19" s="4" t="n">
        <f aca="false">D19*BI$30*Populations!$S18/(1000*125/12)</f>
        <v>110.3876352</v>
      </c>
      <c r="BJ19" s="4" t="n">
        <f aca="false">D19*BJ$30*Populations!$S18/(30*1000)</f>
        <v>50.17271336</v>
      </c>
      <c r="BK19" s="4" t="n">
        <f aca="false">D19*BK$30*Populations!$S18/(7*1000)</f>
        <v>6.93002732142857</v>
      </c>
      <c r="BL19" s="4" t="n">
        <f aca="false">D19*BL$30*Populations!$S18/(8.5*1000)</f>
        <v>11.4141626470588</v>
      </c>
      <c r="BM19" s="4" t="n">
        <f aca="false">D19*BM$30*Populations!$S18/1000</f>
        <v>24.255095625</v>
      </c>
      <c r="BN19" s="4" t="n">
        <f aca="false">D19*BN$30*Populations!$S18/(1.5*1000)</f>
        <v>57.49356</v>
      </c>
      <c r="BO19" s="4" t="n">
        <f aca="false">D19*BO$30*Populations!$S18/(2*1000)</f>
        <v>46.7135175</v>
      </c>
      <c r="BP19" s="4" t="n">
        <f aca="false">D19*BP$30*Populations!$S18/(4*1000)</f>
        <v>10.7800425</v>
      </c>
      <c r="BQ19" s="4" t="n">
        <f aca="false">D19*Populations!$R18*10/(3*1000*2000)</f>
        <v>578.001842559364</v>
      </c>
      <c r="BR19" s="4" t="n">
        <f aca="false">D19*2*Populations!$R18/(30*1000*2000)</f>
        <v>11.5600368511873</v>
      </c>
      <c r="BS19" s="4" t="n">
        <f aca="false">D19*2*Populations!$S18/((37.5/12)*1000*2000)</f>
        <v>18.3979392</v>
      </c>
      <c r="BT19" s="4" t="n">
        <f aca="false">D19*2*Populations!$S18/((20/9)*1000*2000)</f>
        <v>25.872102</v>
      </c>
      <c r="BU19" s="4" t="n">
        <f aca="false">AF19*25*4/(51*$BU$32)</f>
        <v>6.03629830170268</v>
      </c>
      <c r="BV19" s="4" t="n">
        <f aca="false">D19*Populations!$S18*12/($BV$30*3)</f>
        <v>181.104714</v>
      </c>
      <c r="BW19" s="4" t="n">
        <f aca="false">D19*Populations!$S18*12/(2*$BW$30)</f>
        <v>155.232612</v>
      </c>
      <c r="BX19" s="4" t="n">
        <f aca="false">D19*Populations!$S18*12/(5*$BX$30)</f>
        <v>77.6163059999999</v>
      </c>
      <c r="BY19" s="4" t="n">
        <f aca="false">D19*Populations!$S18/(2*$BY$30)</f>
        <v>45.2761785</v>
      </c>
      <c r="BZ19" s="4" t="n">
        <f aca="false">D19*Populations!$R18*500/(1000*2000)</f>
        <v>86700.2763839046</v>
      </c>
      <c r="CA19" s="4" t="n">
        <f aca="false">D19*Populations!R18*15/(1000*2000)</f>
        <v>2601.00829151714</v>
      </c>
      <c r="CB19" s="4" t="n">
        <f aca="false">IF(B19="Mts",1,D19*Populations!R18*30/(1000*2000))</f>
        <v>5202.01658303428</v>
      </c>
      <c r="CC19" s="4" t="n">
        <f aca="false">D19*40*Populations!R18/(1000*2000)</f>
        <v>6936.02211071237</v>
      </c>
      <c r="CD19" s="4" t="n">
        <f aca="false">D19*40*Populations!R18/(1000*2000)</f>
        <v>6936.02211071237</v>
      </c>
      <c r="CE19" s="4" t="n">
        <f aca="false">D19*20*Populations!R18/(1000*2000)</f>
        <v>3468.01105535618</v>
      </c>
      <c r="CF19" s="4" t="n">
        <f aca="false">D19*8.3454*32*Populations!$S18/(1000*2000)</f>
        <v>7676.908089984</v>
      </c>
      <c r="CG19" s="4" t="n">
        <f aca="false">D19*50*2*Populations!$S18/(3*1000*2000)</f>
        <v>958.226</v>
      </c>
      <c r="CH19" s="4" t="n">
        <f aca="false">IF(B19="Mts",20*D19*Populations!$R18/1000,0.001)</f>
        <v>0.001</v>
      </c>
      <c r="CI19" s="4" t="n">
        <f aca="false">IF(NOT(CH19=0.001),0.006*CH19/3,0.001)</f>
        <v>0.001</v>
      </c>
      <c r="CJ19" s="4" t="n">
        <f aca="false">IF(NOT(CH19=0.001),0.7*CH19/3,0.001)</f>
        <v>0.001</v>
      </c>
      <c r="CK19" s="4" t="n">
        <f aca="false">IF(NOT(CH19=0.001),0.65*CH19/3,0.001)</f>
        <v>0.001</v>
      </c>
      <c r="CL19" s="4" t="n">
        <f aca="false">IF(NOT(CH19=0.001),0.002*CH19/3,0.001)</f>
        <v>0.001</v>
      </c>
      <c r="CM19" s="4" t="n">
        <f aca="false">IF(NOT(CH19=0.001),0.001*CH19/3,0.001)</f>
        <v>0.001</v>
      </c>
      <c r="CN19" s="4" t="n">
        <f aca="false">D19*3*110/(24*2000)*Populations!$S18</f>
        <v>395268.225</v>
      </c>
      <c r="CO19" s="4" t="n">
        <f aca="false">D19*3*12/(24*2000)*Populations!$S18</f>
        <v>43120.17</v>
      </c>
      <c r="CP19" s="4" t="n">
        <f aca="false">D19*3*1.4/(24*2000)*Populations!$S18</f>
        <v>5030.6865</v>
      </c>
      <c r="CQ19" s="4" t="n">
        <f aca="false">D19*6400*8.3454*Populations!$S18/(10*1000*2000)</f>
        <v>153538.16179968</v>
      </c>
      <c r="CR19" s="4" t="n">
        <f aca="false">D19*2*Populations!$S18/(1000*2000)</f>
        <v>57.49356</v>
      </c>
      <c r="CS19" s="4" t="n">
        <f aca="false">D19*2*30*Populations!$S18/(1000*2000)</f>
        <v>1724.8068</v>
      </c>
      <c r="CT19" s="4" t="n">
        <f aca="false">27*Populations!$R18/(4*1000*2000)</f>
        <v>5.08892926601179</v>
      </c>
      <c r="CU19" s="4" t="n">
        <f aca="false">27*Populations!$R18/(16*1000*2000)</f>
        <v>1.27223231650295</v>
      </c>
      <c r="CV19" s="4" t="n">
        <f aca="false">AP19*0.9</f>
        <v>7012.63324710001</v>
      </c>
      <c r="CW19" s="4" t="n">
        <f aca="false">2.5*D19*Populations!$R18/(60*2000)</f>
        <v>7225.02303199205</v>
      </c>
      <c r="CX19" s="4" t="n">
        <f aca="false">D19*125*Populations!R18/(6*1000*2000)</f>
        <v>3612.51151599603</v>
      </c>
      <c r="CY19" s="4" t="n">
        <f aca="false">D19*1.875*2*Populations!R18/(6*1000*2000)</f>
        <v>108.375345479881</v>
      </c>
      <c r="CZ19" s="4" t="n">
        <f aca="false">D19*2*20*Populations!$R18/(1000*2000)</f>
        <v>6936.02211071237</v>
      </c>
      <c r="DA19" s="4" t="n">
        <f aca="false">IF(NOT(CH19=0.001),CH19*0.00001,0.001)</f>
        <v>0.001</v>
      </c>
      <c r="DB19" s="4" t="n">
        <f aca="false">IF(NOT(CH19=0.001),CH19*0.00001,0.001)</f>
        <v>0.001</v>
      </c>
      <c r="DC19" s="4" t="n">
        <f aca="false">D19*0.02*12*Populations!$S18/(3*1000*2000)</f>
        <v>2.2997424</v>
      </c>
      <c r="DD19" s="4" t="n">
        <f aca="false">D19*0.5*12*Populations!$S18/(5*1000*2000)</f>
        <v>34.496136</v>
      </c>
      <c r="DE19" s="4" t="n">
        <f aca="false">D19*6*25*Populations!$S18/(1000*2000)</f>
        <v>4312.017</v>
      </c>
      <c r="DG19" s="4" t="n">
        <f aca="false">PRODUCT(AC19:AD19)</f>
        <v>17.7614338796558</v>
      </c>
      <c r="DH19" s="4" t="n">
        <f aca="false">LOG(PRODUCT(S19,V19,Y19:AB19,AE19:AH19,AL19:AO19,AR19:AT19,AW19,BQ19:BU19,BZ19,CH19:CM19,CT19:CU19,CW19:DB19),2)</f>
        <v>253.545373252913</v>
      </c>
      <c r="DI19" s="4" t="n">
        <f aca="false">LOG(PRODUCT($AI19:$AK19,$AP19:$AQ19,$AU19:$AV19,AX19:BP19,BV19:BY19,CA19:CG19,CN19:CS19,CV19,DC19:DE19),2)</f>
        <v>418.020026277795</v>
      </c>
      <c r="DK19" s="4" t="n">
        <f aca="false">SUM(DG19:DI19)</f>
        <v>689.326833410363</v>
      </c>
    </row>
    <row r="20" s="4" customFormat="true" ht="12.8" hidden="false" customHeight="false" outlineLevel="0" collapsed="false">
      <c r="A20" s="0" t="s">
        <v>155</v>
      </c>
      <c r="B20" s="0" t="s">
        <v>134</v>
      </c>
      <c r="C20" s="0" t="n">
        <v>44</v>
      </c>
      <c r="D20" s="0" t="n">
        <f aca="false">IF(B20="Taiga",265,IF(B20="Mts",265,IF(B20="Temp",230,IF(B20="Steppe",265,IF(B20="Jungle",180,IF(B20="Sav",240,IF(B20="Medi",230,0)))))))</f>
        <v>265</v>
      </c>
      <c r="E20" s="0" t="n">
        <v>1</v>
      </c>
      <c r="F20" s="4" t="n">
        <f aca="false">IF(B20="Taiga",0.43,IF(B20="Mts",0.21,IF(B20="Temp",0.64,IF(B20="Steppe",0.57,IF(B20="Jungle",0.43,IF(B20="Sav",0.57,IF(B20="Medi",0.43,0)))))))</f>
        <v>0.21</v>
      </c>
      <c r="G20" s="4" t="n">
        <f aca="false">IF(B20="Taiga",0.43,IF(B20="Mts",0.8,IF(B20="Temp",0.64,IF(B20="Steppe",0.64,IF(B20="Jungle",0.43,IF(B20="Sav",0.8,IF(B20="Medi",0.6,0)))))))</f>
        <v>0.8</v>
      </c>
      <c r="H20" s="4" t="n">
        <f aca="false">$H$31*IF(B20="Taiga",528,IF(B20="Mts",855.27,IF(B20="Temp",565.94,IF(B20="Steppe",551.72,IF(B20="Jungle",575.43,IF(B20="Sav",599.15,IF(B20="Medi",564.36,0)))))))</f>
        <v>2565.81</v>
      </c>
      <c r="I20" s="4" t="n">
        <f aca="false">$H$31*IF(B20="Taiga",2608.19,IF(B20="Mts",2100,IF(B20="Temp",2976.19,IF(B20="Steppe",2450.48,IF(B20="Jungle",2135.05,IF(B20="Sav",2310.29,IF(B20="Medi",2485.52,0)))))))</f>
        <v>6300</v>
      </c>
      <c r="J20" s="4" t="n">
        <f aca="false">$H$31*IF(B20="Taiga",500.54,IF(B20="Mts",360,IF(B20="Temp",570.81,IF(B20="Steppe",441.95,IF(B20="Jungle",486.49,IF(B20="Sav",518.92,IF(B20="Medi",640,0)))))))</f>
        <v>1080</v>
      </c>
      <c r="K20" s="4" t="n">
        <f aca="false">$H$31*IF(B20="Taiga",2003.09,IF(B20="Mts",1612.8,IF(B20="Temp",2285.71,IF(B20="Steppe",1881.97,IF(B20="Jungle",1639.72,IF(B20="Sav",1774.3,IF(B20="Medi",1908.88,0)))))))</f>
        <v>4838.4</v>
      </c>
      <c r="L20" s="4" t="n">
        <f aca="false">$H$31*IF(B20="Taiga",260.82,IF(B20="Mts",210,IF(B20="Temp",297.62,IF(B20="Steppe",245.05,IF(B20="Jungle",213.5,IF(B20="Sav",231.03,IF(B20="Medi",248.55,0)))))))</f>
        <v>630</v>
      </c>
      <c r="M20" s="4" t="n">
        <f aca="false">$H$31*IF(B20="Taiga",250,IF(B20="Mts",640,IF(B20="Temp",295.2174,IF(B20="Steppe",278.2609,IF(B20="Jungle",306.5217,IF(B20="Sav",334.7826,IF(B20="Medi",293.3333,0)))))))</f>
        <v>1920</v>
      </c>
      <c r="N20" s="4" t="n">
        <f aca="false">$H$31*IF(B20="Taiga",1491.9691,IF(B20="Mts",980,IF(B20="Temp",1747.9537,IF(B20="Steppe",1278.5174,IF(B20="Jungle",1440.7722,IF(B20="Sav",1558.9189,IF(B20="Medi",2000,0)))))))</f>
        <v>2940</v>
      </c>
      <c r="O20" s="4" t="n">
        <f aca="false">$H$31*IF(B20="Taiga",68.5,IF(B20="Mts",25,IF(B20="Temp",100,IF(B20="Steppe",55,IF(B20="Jungle",28,IF(B20="Sav",43,IF(B20="Medi",58,0)))))))</f>
        <v>75</v>
      </c>
      <c r="P20" s="4" t="n">
        <f aca="false">$H$31*20*15/8000</f>
        <v>0.1125</v>
      </c>
      <c r="Q20" s="4" t="n">
        <f aca="false">$H$31*20*15/8000</f>
        <v>0.1125</v>
      </c>
      <c r="R20" s="1" t="s">
        <v>39</v>
      </c>
      <c r="S20" s="4" t="n">
        <f aca="false">C20*F20*G20*360*640*1393.66125/(2000*1000)</f>
        <v>1186.783944192</v>
      </c>
      <c r="T20" s="4" t="n">
        <f aca="false">C20*F20*G20*J20*640*1393.66125*2/(1000*2000*3)</f>
        <v>2373.567888384</v>
      </c>
      <c r="U20" s="4" t="n">
        <f aca="false">T20*J$28</f>
        <v>791.189296127999</v>
      </c>
      <c r="V20" s="4" t="n">
        <f aca="false">T20-U20</f>
        <v>1582.378592256</v>
      </c>
      <c r="W20" s="4" t="n">
        <f aca="false">C20*F20*G20*H20*640*1393.66125*2/(1000*2000*3)</f>
        <v>5639.00391082829</v>
      </c>
      <c r="X20" s="4" t="n">
        <f aca="false">W20*H$28</f>
        <v>1537.91015749863</v>
      </c>
      <c r="Y20" s="4" t="n">
        <f aca="false">W20-X20</f>
        <v>4101.09375332966</v>
      </c>
      <c r="Z20" s="4" t="n">
        <f aca="false">C20*F20*G20*M20*640*1393.66125/(1000*2000*3)</f>
        <v>2109.838123008</v>
      </c>
      <c r="AA20" s="4" t="n">
        <f aca="false">C20*F20*G20*N20*640*1393.66125/(2000*1000)</f>
        <v>9692.068877568</v>
      </c>
      <c r="AB20" s="4" t="n">
        <f aca="false">C20*F20*G20*O20*640*1393.66125/(2000*1000)</f>
        <v>247.24665504</v>
      </c>
      <c r="AC20" s="4" t="n">
        <f aca="false">C20*P20*640*1393.66125/(2000*1000)</f>
        <v>2.20755942</v>
      </c>
      <c r="AD20" s="4" t="n">
        <f aca="false">C20*Q20*640*1393.66125/(2000*1000)</f>
        <v>2.20755942</v>
      </c>
      <c r="AE20" s="4" t="n">
        <f aca="false">($V20+$Z20)*2000*1000/(3*365)</f>
        <v>6743774.8224</v>
      </c>
      <c r="AF20" s="4" t="n">
        <f aca="false">($V20+$Z20)*2000*1000/(18*100)</f>
        <v>4102463.01696</v>
      </c>
      <c r="AG20" s="4" t="n">
        <f aca="false">($V20+$Z20)*2000*1000/(3*365)</f>
        <v>6743774.8224</v>
      </c>
      <c r="AH20" s="4" t="n">
        <f aca="false">C20*F20*G20*K20*640*1393.66125/(2000*1000)</f>
        <v>15950.3762099405</v>
      </c>
      <c r="AI20" s="4" t="n">
        <f aca="false">3*12*D20*Populations!$S19/(5*1000)</f>
        <v>19310.868</v>
      </c>
      <c r="AJ20" s="4" t="n">
        <f aca="false">1.5*D20*750*Populations!$S19/(1000*2000*15)</f>
        <v>100.5774375</v>
      </c>
      <c r="AK20" s="4" t="n">
        <f aca="false">66*10*D20*Populations!$S19/(1000*2000*6)</f>
        <v>147.513575</v>
      </c>
      <c r="AL20" s="4" t="n">
        <f aca="false">AE20*365/(2000*1000)</f>
        <v>1230.738905088</v>
      </c>
      <c r="AM20" s="4" t="n">
        <f aca="false">AF20*25*238/(51*2000*1000)</f>
        <v>239.310342656</v>
      </c>
      <c r="AN20" s="4" t="n">
        <f aca="false">AG20*100*238/(600*1000*2000)</f>
        <v>133.7515339776</v>
      </c>
      <c r="AO20" s="4" t="n">
        <f aca="false">AG20*120*2/(16*1000*2000)</f>
        <v>50.578311168</v>
      </c>
      <c r="AP20" s="4" t="n">
        <f aca="false">D20*4800*Populations!$S19/($AP$28*10*1000*2000)</f>
        <v>363.486859125001</v>
      </c>
      <c r="AQ20" s="4" t="n">
        <f aca="false">D20*2*4800*Populations!$S19/($AQ$28*10*1000*2000)</f>
        <v>1398.02638125</v>
      </c>
      <c r="AR20" s="4" t="n">
        <f aca="false">C20*F20*G20*L20*640*1393.66125/(2000*1000)</f>
        <v>2076.871902336</v>
      </c>
      <c r="AS20" s="4" t="n">
        <f aca="false">AF20*600*6/(90*1000*2000)</f>
        <v>82.0492603392001</v>
      </c>
      <c r="AT20" s="4" t="n">
        <f aca="false">IF(B20="Taiga",236.2,IF(B20="Mts",10,IF(B20="Temp",400,IF(B20="Steppe",25,IF(B20="Jungle",400,IF(B20="Sav",103.6,IF(B20="Medi",181.6,0)))))))*D20*AT$36*Populations!$R19/1000</f>
        <v>942.736694614386</v>
      </c>
      <c r="AU20" s="4" t="n">
        <f aca="false">INDEX(Tech!$F$3:$F$13,MATCH(E20,Tech!$E$3:$E$13,1))*D20*AT$36*Populations!$S19/(365*1000)</f>
        <v>502.8871875</v>
      </c>
      <c r="AV20" s="4" t="n">
        <f aca="false">D20*12.5*AT$36*Populations!$S19/(10*30)</f>
        <v>209.536328125</v>
      </c>
      <c r="AW20" s="4" t="n">
        <f aca="false">0.125*D20*AW$30*Populations!$R19/1000</f>
        <v>24.3049304080271</v>
      </c>
      <c r="AX20" s="4" t="n">
        <f aca="false">D20*AW$30*Populations!$S19/(3*1000)</f>
        <v>3.4573494140625</v>
      </c>
      <c r="AY20" s="4" t="n">
        <f aca="false">D20*Populations!$S19/(2*1000*AY$30)/1000</f>
        <v>2.4138585</v>
      </c>
      <c r="AZ20" s="4" t="n">
        <f aca="false">D20*AZ$30*Populations!$S19/(2*1000)</f>
        <v>1.676290625</v>
      </c>
      <c r="BA20" s="4" t="n">
        <f aca="false">D20*2*BA$30*Populations!$S19/1000</f>
        <v>8.046195</v>
      </c>
      <c r="BB20" s="4" t="n">
        <f aca="false">D20*3*BB$30*Populations!$S19/1000</f>
        <v>6.03464625</v>
      </c>
      <c r="BC20" s="4" t="n">
        <f aca="false">D20*11*BC$30*Populations!$S19/(15*1000)</f>
        <v>1.1801086</v>
      </c>
      <c r="BD20" s="4" t="n">
        <f aca="false">D20*11*BD$30*Populations!$S19/(8*1000)</f>
        <v>2.76587953125</v>
      </c>
      <c r="BE20" s="4" t="n">
        <f aca="false">D20*11*BE$30*Populations!$S19/(3*1000)</f>
        <v>1.79123626785714</v>
      </c>
      <c r="BF20" s="4" t="n">
        <f aca="false">D20*11*BF$30*Populations!$S19/(5*1000)</f>
        <v>1.29074378125</v>
      </c>
      <c r="BG20" s="4" t="n">
        <f aca="false">D20*11*BG$30*Populations!$S19/(9*1000)</f>
        <v>3.27807944444444</v>
      </c>
      <c r="BH20" s="4" t="n">
        <f aca="false">D20*11*BH$30*Populations!$S19/(12*1000)</f>
        <v>1.8439196875</v>
      </c>
      <c r="BI20" s="4" t="n">
        <f aca="false">D20*BI$30*Populations!$S19/(1000*125/12)</f>
        <v>5.1495648</v>
      </c>
      <c r="BJ20" s="4" t="n">
        <f aca="false">D20*BJ$30*Populations!$S19/(30*1000)</f>
        <v>2.34054872333333</v>
      </c>
      <c r="BK20" s="4" t="n">
        <f aca="false">D20*BK$30*Populations!$S19/(7*1000)</f>
        <v>0.323284620535714</v>
      </c>
      <c r="BL20" s="4" t="n">
        <f aca="false">D20*BL$30*Populations!$S19/(8.5*1000)</f>
        <v>0.532468786764706</v>
      </c>
      <c r="BM20" s="4" t="n">
        <f aca="false">D20*BM$30*Populations!$S19/1000</f>
        <v>1.131496171875</v>
      </c>
      <c r="BN20" s="4" t="n">
        <f aca="false">D20*BN$30*Populations!$S19/(1.5*1000)</f>
        <v>2.682065</v>
      </c>
      <c r="BO20" s="4" t="n">
        <f aca="false">D20*BO$30*Populations!$S19/(2*1000)</f>
        <v>2.1791778125</v>
      </c>
      <c r="BP20" s="4" t="n">
        <f aca="false">D20*BP$30*Populations!$S19/(4*1000)</f>
        <v>0.5028871875</v>
      </c>
      <c r="BQ20" s="4" t="n">
        <f aca="false">D20*Populations!$R19*10/(3*1000*2000)</f>
        <v>83.7988172990565</v>
      </c>
      <c r="BR20" s="4" t="n">
        <f aca="false">D20*2*Populations!$R19/(30*1000*2000)</f>
        <v>1.67597634598113</v>
      </c>
      <c r="BS20" s="4" t="n">
        <f aca="false">D20*2*Populations!$S19/((37.5/12)*1000*2000)</f>
        <v>0.8582608</v>
      </c>
      <c r="BT20" s="4" t="n">
        <f aca="false">D20*2*Populations!$S19/((20/9)*1000*2000)</f>
        <v>1.20692925</v>
      </c>
      <c r="BU20" s="4" t="n">
        <f aca="false">AF20*25*4/(51*$BU$32)</f>
        <v>2.01101128282353</v>
      </c>
      <c r="BV20" s="4" t="n">
        <f aca="false">D20*Populations!$S19*12/($BV$30*3)</f>
        <v>8.44850475</v>
      </c>
      <c r="BW20" s="4" t="n">
        <f aca="false">D20*Populations!$S19*12/(2*$BW$30)</f>
        <v>7.24157550000001</v>
      </c>
      <c r="BX20" s="4" t="n">
        <f aca="false">D20*Populations!$S19*12/(5*$BX$30)</f>
        <v>3.62078774999999</v>
      </c>
      <c r="BY20" s="4" t="n">
        <f aca="false">D20*Populations!$S19/(2*$BY$30)</f>
        <v>2.1121261875</v>
      </c>
      <c r="BZ20" s="4" t="n">
        <f aca="false">D20*Populations!$R19*500/(1000*2000)</f>
        <v>12569.8225948585</v>
      </c>
      <c r="CA20" s="4" t="n">
        <f aca="false">D20*Populations!R19*15/(1000*2000)</f>
        <v>377.094677845754</v>
      </c>
      <c r="CB20" s="4" t="n">
        <f aca="false">IF(B20="Mts",1,D20*Populations!R19*30/(1000*2000))</f>
        <v>1</v>
      </c>
      <c r="CC20" s="4" t="n">
        <f aca="false">D20*40*Populations!R19/(1000*2000)</f>
        <v>1005.58580758868</v>
      </c>
      <c r="CD20" s="4" t="n">
        <f aca="false">D20*40*Populations!R19/(1000*2000)</f>
        <v>1005.58580758868</v>
      </c>
      <c r="CE20" s="4" t="n">
        <f aca="false">D20*20*Populations!R19/(1000*2000)</f>
        <v>502.792903794339</v>
      </c>
      <c r="CF20" s="4" t="n">
        <f aca="false">D20*8.3454*32*Populations!$S19/(1000*2000)</f>
        <v>358.126484016</v>
      </c>
      <c r="CG20" s="4" t="n">
        <f aca="false">D20*50*2*Populations!$S19/(3*1000*2000)</f>
        <v>44.7010833333333</v>
      </c>
      <c r="CH20" s="4" t="n">
        <f aca="false">IF(B20="Mts",20*D20*Populations!$R19/1000,0.001)</f>
        <v>1005585.80758868</v>
      </c>
      <c r="CI20" s="4" t="n">
        <f aca="false">IF(NOT(CH20=0.001),0.006*CH20/3,0.001)</f>
        <v>2011.17161517736</v>
      </c>
      <c r="CJ20" s="4" t="n">
        <f aca="false">IF(NOT(CH20=0.001),0.7*CH20/3,0.001)</f>
        <v>234636.688437358</v>
      </c>
      <c r="CK20" s="4" t="n">
        <f aca="false">IF(NOT(CH20=0.001),0.65*CH20/3,0.001)</f>
        <v>217876.924977547</v>
      </c>
      <c r="CL20" s="4" t="n">
        <f aca="false">IF(NOT(CH20=0.001),0.002*CH20/3,0.001)</f>
        <v>670.390538392452</v>
      </c>
      <c r="CM20" s="4" t="n">
        <f aca="false">IF(NOT(CH20=0.001),0.001*CH20/3,0.001)</f>
        <v>335.195269196226</v>
      </c>
      <c r="CN20" s="4" t="n">
        <f aca="false">D20*3*110/(24*2000)*Populations!$S19</f>
        <v>18439.196875</v>
      </c>
      <c r="CO20" s="4" t="n">
        <f aca="false">D20*3*12/(24*2000)*Populations!$S19</f>
        <v>2011.54875</v>
      </c>
      <c r="CP20" s="4" t="n">
        <f aca="false">D20*3*1.4/(24*2000)*Populations!$S19</f>
        <v>234.6806875</v>
      </c>
      <c r="CQ20" s="4" t="n">
        <f aca="false">D20*6400*8.3454*Populations!$S19/(10*1000*2000)</f>
        <v>7162.52968032</v>
      </c>
      <c r="CR20" s="4" t="n">
        <f aca="false">D20*2*Populations!$S19/(1000*2000)</f>
        <v>2.682065</v>
      </c>
      <c r="CS20" s="4" t="n">
        <f aca="false">D20*2*30*Populations!$S19/(1000*2000)</f>
        <v>80.46195</v>
      </c>
      <c r="CT20" s="4" t="n">
        <f aca="false">27*Populations!$R19/(4*1000*2000)</f>
        <v>0.640349452945621</v>
      </c>
      <c r="CU20" s="4" t="n">
        <f aca="false">27*Populations!$R19/(16*1000*2000)</f>
        <v>0.160087363236405</v>
      </c>
      <c r="CV20" s="4" t="n">
        <f aca="false">AP20*0.9</f>
        <v>327.138173212501</v>
      </c>
      <c r="CW20" s="4" t="n">
        <f aca="false">2.5*D20*Populations!$R19/(60*2000)</f>
        <v>1047.48521623821</v>
      </c>
      <c r="CX20" s="4" t="n">
        <f aca="false">D20*125*Populations!R19/(6*1000*2000)</f>
        <v>523.742608119103</v>
      </c>
      <c r="CY20" s="4" t="n">
        <f aca="false">D20*1.875*2*Populations!R19/(6*1000*2000)</f>
        <v>15.7122782435731</v>
      </c>
      <c r="CZ20" s="4" t="n">
        <f aca="false">D20*2*20*Populations!$R19/(1000*2000)</f>
        <v>1005.58580758868</v>
      </c>
      <c r="DA20" s="4" t="n">
        <f aca="false">IF(NOT(CH20=0.001),CH20*0.00001,0.001)</f>
        <v>10.0558580758868</v>
      </c>
      <c r="DB20" s="4" t="n">
        <f aca="false">IF(NOT(CH20=0.001),CH20*0.00001,0.001)</f>
        <v>10.0558580758868</v>
      </c>
      <c r="DC20" s="4" t="n">
        <f aca="false">D20*0.02*12*Populations!$S19/(3*1000*2000)</f>
        <v>0.1072826</v>
      </c>
      <c r="DD20" s="4" t="n">
        <f aca="false">D20*0.5*12*Populations!$S19/(5*1000*2000)</f>
        <v>1.609239</v>
      </c>
      <c r="DE20" s="4" t="n">
        <f aca="false">D20*6*25*Populations!$S19/(1000*2000)</f>
        <v>201.154875</v>
      </c>
      <c r="DG20" s="4" t="n">
        <f aca="false">PRODUCT(AC20:AD20)</f>
        <v>4.87331859283074</v>
      </c>
      <c r="DH20" s="4" t="n">
        <f aca="false">LOG(PRODUCT(S20,V20,Y20:AB20,AE20:AH20,AL20:AO20,AR20:AT20,AW20,BQ20:BU20,BZ20,CH20:CM20,CT20:CU20,CW20:DB20),2)</f>
        <v>351.593359135169</v>
      </c>
      <c r="DI20" s="4" t="n">
        <f aca="false">LOG(PRODUCT($AI20:$AK20,$AP20:$AQ20,$AU20:$AV20,AX20:BP20,BV20:BY20,CA20:CG20,CN20:CS20,CV20,DC20:DE20),2)</f>
        <v>208.807542917462</v>
      </c>
      <c r="DK20" s="4" t="n">
        <f aca="false">SUM(DG20:DI20)</f>
        <v>565.274220645463</v>
      </c>
    </row>
    <row r="21" s="4" customFormat="true" ht="12.8" hidden="false" customHeight="false" outlineLevel="0" collapsed="false">
      <c r="A21" s="0" t="s">
        <v>156</v>
      </c>
      <c r="B21" s="0" t="s">
        <v>154</v>
      </c>
      <c r="C21" s="0" t="n">
        <v>196</v>
      </c>
      <c r="D21" s="0" t="n">
        <f aca="false">IF(B21="Taiga",265,IF(B21="Mts",265,IF(B21="Temp",230,IF(B21="Steppe",265,IF(B21="Jungle",180,IF(B21="Sav",240,IF(B21="Medi",230,0)))))))</f>
        <v>230</v>
      </c>
      <c r="E21" s="0" t="n">
        <v>1</v>
      </c>
      <c r="F21" s="4" t="n">
        <f aca="false">IF(B21="Taiga",0.43,IF(B21="Mts",0.21,IF(B21="Temp",0.64,IF(B21="Steppe",0.57,IF(B21="Jungle",0.43,IF(B21="Sav",0.57,IF(B21="Medi",0.43,0)))))))</f>
        <v>0.43</v>
      </c>
      <c r="G21" s="4" t="n">
        <f aca="false">IF(B21="Taiga",0.43,IF(B21="Mts",0.8,IF(B21="Temp",0.64,IF(B21="Steppe",0.64,IF(B21="Jungle",0.43,IF(B21="Sav",0.8,IF(B21="Medi",0.6,0)))))))</f>
        <v>0.6</v>
      </c>
      <c r="H21" s="4" t="n">
        <f aca="false">$H$31*IF(B21="Taiga",528,IF(B21="Mts",855.27,IF(B21="Temp",565.94,IF(B21="Steppe",551.72,IF(B21="Jungle",575.43,IF(B21="Sav",599.15,IF(B21="Medi",564.36,0)))))))</f>
        <v>1693.08</v>
      </c>
      <c r="I21" s="4" t="n">
        <f aca="false">$H$31*IF(B21="Taiga",2608.19,IF(B21="Mts",2100,IF(B21="Temp",2976.19,IF(B21="Steppe",2450.48,IF(B21="Jungle",2135.05,IF(B21="Sav",2310.29,IF(B21="Medi",2485.52,0)))))))</f>
        <v>7456.56</v>
      </c>
      <c r="J21" s="4" t="n">
        <f aca="false">$H$31*IF(B21="Taiga",500.54,IF(B21="Mts",360,IF(B21="Temp",570.81,IF(B21="Steppe",441.95,IF(B21="Jungle",486.49,IF(B21="Sav",518.92,IF(B21="Medi",640,0)))))))</f>
        <v>1920</v>
      </c>
      <c r="K21" s="4" t="n">
        <f aca="false">$H$31*IF(B21="Taiga",2003.09,IF(B21="Mts",1612.8,IF(B21="Temp",2285.71,IF(B21="Steppe",1881.97,IF(B21="Jungle",1639.72,IF(B21="Sav",1774.3,IF(B21="Medi",1908.88,0)))))))</f>
        <v>5726.64</v>
      </c>
      <c r="L21" s="4" t="n">
        <f aca="false">$H$31*IF(B21="Taiga",260.82,IF(B21="Mts",210,IF(B21="Temp",297.62,IF(B21="Steppe",245.05,IF(B21="Jungle",213.5,IF(B21="Sav",231.03,IF(B21="Medi",248.55,0)))))))</f>
        <v>745.65</v>
      </c>
      <c r="M21" s="4" t="n">
        <f aca="false">$H$31*IF(B21="Taiga",250,IF(B21="Mts",640,IF(B21="Temp",295.2174,IF(B21="Steppe",278.2609,IF(B21="Jungle",306.5217,IF(B21="Sav",334.7826,IF(B21="Medi",293.3333,0)))))))</f>
        <v>879.9999</v>
      </c>
      <c r="N21" s="4" t="n">
        <f aca="false">$H$31*IF(B21="Taiga",1491.9691,IF(B21="Mts",980,IF(B21="Temp",1747.9537,IF(B21="Steppe",1278.5174,IF(B21="Jungle",1440.7722,IF(B21="Sav",1558.9189,IF(B21="Medi",2000,0)))))))</f>
        <v>6000</v>
      </c>
      <c r="O21" s="4" t="n">
        <f aca="false">$H$31*IF(B21="Taiga",68.5,IF(B21="Mts",25,IF(B21="Temp",100,IF(B21="Steppe",55,IF(B21="Jungle",28,IF(B21="Sav",43,IF(B21="Medi",58,0)))))))</f>
        <v>174</v>
      </c>
      <c r="P21" s="4" t="n">
        <f aca="false">$H$31*20*15/8000</f>
        <v>0.1125</v>
      </c>
      <c r="Q21" s="4" t="n">
        <f aca="false">$H$31*20*15/8000</f>
        <v>0.1125</v>
      </c>
      <c r="R21" s="1" t="s">
        <v>39</v>
      </c>
      <c r="S21" s="4" t="n">
        <f aca="false">C21*F21*G21*360*640*1393.66125/(2000*1000)</f>
        <v>8118.681072768</v>
      </c>
      <c r="T21" s="4" t="n">
        <f aca="false">C21*F21*G21*J21*640*1393.66125*2/(1000*2000*3)</f>
        <v>28866.421592064</v>
      </c>
      <c r="U21" s="4" t="n">
        <f aca="false">T21*J$28</f>
        <v>9622.14053068799</v>
      </c>
      <c r="V21" s="4" t="n">
        <f aca="false">T21-U21</f>
        <v>19244.281061376</v>
      </c>
      <c r="W21" s="4" t="n">
        <f aca="false">C21*F21*G21*H21*640*1393.66125*2/(1000*2000*3)</f>
        <v>25454.7713901519</v>
      </c>
      <c r="X21" s="4" t="n">
        <f aca="false">W21*H$28</f>
        <v>6942.21037913235</v>
      </c>
      <c r="Y21" s="4" t="n">
        <f aca="false">W21-X21</f>
        <v>18512.5610110196</v>
      </c>
      <c r="Z21" s="4" t="n">
        <f aca="false">C21*F21*G21*M21*640*1393.66125/(1000*2000*3)</f>
        <v>6615.22086311827</v>
      </c>
      <c r="AA21" s="4" t="n">
        <f aca="false">C21*F21*G21*N21*640*1393.66125/(2000*1000)</f>
        <v>135311.3512128</v>
      </c>
      <c r="AB21" s="4" t="n">
        <f aca="false">C21*F21*G21*O21*640*1393.66125/(2000*1000)</f>
        <v>3924.0291851712</v>
      </c>
      <c r="AC21" s="4" t="n">
        <f aca="false">C21*P21*640*1393.66125/(2000*1000)</f>
        <v>9.83367378</v>
      </c>
      <c r="AD21" s="4" t="n">
        <f aca="false">C21*Q21*640*1393.66125/(2000*1000)</f>
        <v>9.83367378</v>
      </c>
      <c r="AE21" s="4" t="n">
        <f aca="false">($V21+$Z21)*2000*1000/(3*365)</f>
        <v>47231966.9853777</v>
      </c>
      <c r="AF21" s="4" t="n">
        <f aca="false">($V21+$Z21)*2000*1000/(18*100)</f>
        <v>28732779.9161048</v>
      </c>
      <c r="AG21" s="4" t="n">
        <f aca="false">($V21+$Z21)*2000*1000/(3*365)</f>
        <v>47231966.9853777</v>
      </c>
      <c r="AH21" s="4" t="n">
        <f aca="false">C21*F21*G21*K21*640*1393.66125/(2000*1000)</f>
        <v>129146.566051545</v>
      </c>
      <c r="AI21" s="4" t="n">
        <f aca="false">3*12*D21*Populations!$S20/(5*1000)</f>
        <v>1018822.536</v>
      </c>
      <c r="AJ21" s="4" t="n">
        <f aca="false">1.5*D21*750*Populations!$S20/(1000*2000*15)</f>
        <v>5306.367375</v>
      </c>
      <c r="AK21" s="4" t="n">
        <f aca="false">66*10*D21*Populations!$S20/(1000*2000*6)</f>
        <v>7782.67215</v>
      </c>
      <c r="AL21" s="4" t="n">
        <f aca="false">AE21*365/(2000*1000)</f>
        <v>8619.83397483143</v>
      </c>
      <c r="AM21" s="4" t="n">
        <f aca="false">AF21*25*238/(51*2000*1000)</f>
        <v>1676.07882843944</v>
      </c>
      <c r="AN21" s="4" t="n">
        <f aca="false">AG21*100*238/(600*1000*2000)</f>
        <v>936.767345209991</v>
      </c>
      <c r="AO21" s="4" t="n">
        <f aca="false">AG21*120*2/(16*1000*2000)</f>
        <v>354.239752390333</v>
      </c>
      <c r="AP21" s="4" t="n">
        <f aca="false">D21*4800*Populations!$S20/($AP$28*10*1000*2000)</f>
        <v>19177.21169325</v>
      </c>
      <c r="AQ21" s="4" t="n">
        <f aca="false">D21*2*4800*Populations!$S20/($AQ$28*10*1000*2000)</f>
        <v>73758.5065125</v>
      </c>
      <c r="AR21" s="4" t="n">
        <f aca="false">C21*F21*G21*L21*640*1393.66125/(2000*1000)</f>
        <v>16815.8181719707</v>
      </c>
      <c r="AS21" s="4" t="n">
        <f aca="false">AF21*600*6/(90*1000*2000)</f>
        <v>574.655598322095</v>
      </c>
      <c r="AT21" s="4" t="n">
        <f aca="false">IF(B21="Taiga",236.2,IF(B21="Mts",10,IF(B21="Temp",400,IF(B21="Steppe",25,IF(B21="Jungle",400,IF(B21="Sav",103.6,IF(B21="Medi",181.6,0)))))))*D21*AT$36*Populations!$R20/1000</f>
        <v>273030.289335</v>
      </c>
      <c r="AU21" s="4" t="n">
        <f aca="false">INDEX(Tech!$F$3:$F$13,MATCH(E21,Tech!$E$3:$E$13,1))*D21*AT$36*Populations!$S20/(365*1000)</f>
        <v>26531.836875</v>
      </c>
      <c r="AV21" s="4" t="n">
        <f aca="false">D21*12.5*AT$36*Populations!$S20/(10*30)</f>
        <v>11054.93203125</v>
      </c>
      <c r="AW21" s="4" t="n">
        <f aca="false">0.125*D21*AW$30*Populations!$R20/1000</f>
        <v>387.613554345703</v>
      </c>
      <c r="AX21" s="4" t="n">
        <f aca="false">D21*AW$30*Populations!$S20/(3*1000)</f>
        <v>182.406378515625</v>
      </c>
      <c r="AY21" s="4" t="n">
        <f aca="false">D21*Populations!$S20/(2*1000*AY$30)/1000</f>
        <v>127.352817</v>
      </c>
      <c r="AZ21" s="4" t="n">
        <f aca="false">D21*AZ$30*Populations!$S20/(2*1000)</f>
        <v>88.43945625</v>
      </c>
      <c r="BA21" s="4" t="n">
        <f aca="false">D21*2*BA$30*Populations!$S20/1000</f>
        <v>424.50939</v>
      </c>
      <c r="BB21" s="4" t="n">
        <f aca="false">D21*3*BB$30*Populations!$S20/1000</f>
        <v>318.3820425</v>
      </c>
      <c r="BC21" s="4" t="n">
        <f aca="false">D21*11*BC$30*Populations!$S20/(15*1000)</f>
        <v>62.2613772</v>
      </c>
      <c r="BD21" s="4" t="n">
        <f aca="false">D21*11*BD$30*Populations!$S20/(8*1000)</f>
        <v>145.9251028125</v>
      </c>
      <c r="BE21" s="4" t="n">
        <f aca="false">D21*11*BE$30*Populations!$S20/(3*1000)</f>
        <v>94.5038761071428</v>
      </c>
      <c r="BF21" s="4" t="n">
        <f aca="false">D21*11*BF$30*Populations!$S20/(5*1000)</f>
        <v>68.0983813125</v>
      </c>
      <c r="BG21" s="4" t="n">
        <f aca="false">D21*11*BG$30*Populations!$S20/(9*1000)</f>
        <v>172.94827</v>
      </c>
      <c r="BH21" s="4" t="n">
        <f aca="false">D21*11*BH$30*Populations!$S20/(12*1000)</f>
        <v>97.283401875</v>
      </c>
      <c r="BI21" s="4" t="n">
        <f aca="false">D21*BI$30*Populations!$S20/(1000*125/12)</f>
        <v>271.6860096</v>
      </c>
      <c r="BJ21" s="4" t="n">
        <f aca="false">D21*BJ$30*Populations!$S20/(30*1000)</f>
        <v>123.48506478</v>
      </c>
      <c r="BK21" s="4" t="n">
        <f aca="false">D21*BK$30*Populations!$S20/(7*1000)</f>
        <v>17.0561808482143</v>
      </c>
      <c r="BL21" s="4" t="n">
        <f aca="false">D21*BL$30*Populations!$S20/(8.5*1000)</f>
        <v>28.0925331617647</v>
      </c>
      <c r="BM21" s="4" t="n">
        <f aca="false">D21*BM$30*Populations!$S20/1000</f>
        <v>59.69663296875</v>
      </c>
      <c r="BN21" s="4" t="n">
        <f aca="false">D21*BN$30*Populations!$S20/(1.5*1000)</f>
        <v>141.50313</v>
      </c>
      <c r="BO21" s="4" t="n">
        <f aca="false">D21*BO$30*Populations!$S20/(2*1000)</f>
        <v>114.971293125</v>
      </c>
      <c r="BP21" s="4" t="n">
        <f aca="false">D21*BP$30*Populations!$S20/(4*1000)</f>
        <v>26.531836875</v>
      </c>
      <c r="BQ21" s="4" t="n">
        <f aca="false">D21*Populations!$R20*10/(3*1000*2000)</f>
        <v>1336.41845</v>
      </c>
      <c r="BR21" s="4" t="n">
        <f aca="false">D21*2*Populations!$R20/(30*1000*2000)</f>
        <v>26.728369</v>
      </c>
      <c r="BS21" s="4" t="n">
        <f aca="false">D21*2*Populations!$S20/((37.5/12)*1000*2000)</f>
        <v>45.2810016</v>
      </c>
      <c r="BT21" s="4" t="n">
        <f aca="false">D21*2*Populations!$S20/((20/9)*1000*2000)</f>
        <v>63.6764085</v>
      </c>
      <c r="BU21" s="4" t="n">
        <f aca="false">AF21*25*4/(51*$BU$32)</f>
        <v>14.0846960373063</v>
      </c>
      <c r="BV21" s="4" t="n">
        <f aca="false">D21*Populations!$S20*12/($BV$30*3)</f>
        <v>445.7348595</v>
      </c>
      <c r="BW21" s="4" t="n">
        <f aca="false">D21*Populations!$S20*12/(2*$BW$30)</f>
        <v>382.058451</v>
      </c>
      <c r="BX21" s="4" t="n">
        <f aca="false">D21*Populations!$S20*12/(5*$BX$30)</f>
        <v>191.0292255</v>
      </c>
      <c r="BY21" s="4" t="n">
        <f aca="false">D21*Populations!$S20/(2*$BY$30)</f>
        <v>111.433714875</v>
      </c>
      <c r="BZ21" s="4" t="n">
        <f aca="false">D21*Populations!$R20*500/(1000*2000)</f>
        <v>200462.7675</v>
      </c>
      <c r="CA21" s="4" t="n">
        <f aca="false">D21*Populations!R20*15/(1000*2000)</f>
        <v>6013.883025</v>
      </c>
      <c r="CB21" s="4" t="n">
        <f aca="false">IF(B21="Mts",1,D21*Populations!R20*30/(1000*2000))</f>
        <v>12027.76605</v>
      </c>
      <c r="CC21" s="4" t="n">
        <f aca="false">D21*40*Populations!R20/(1000*2000)</f>
        <v>16037.0214</v>
      </c>
      <c r="CD21" s="4" t="n">
        <f aca="false">D21*40*Populations!R20/(1000*2000)</f>
        <v>16037.0214</v>
      </c>
      <c r="CE21" s="4" t="n">
        <f aca="false">D21*20*Populations!R20/(1000*2000)</f>
        <v>8018.5107</v>
      </c>
      <c r="CF21" s="4" t="n">
        <f aca="false">D21*8.3454*32*Populations!$S20/(1000*2000)</f>
        <v>18894.403537632</v>
      </c>
      <c r="CG21" s="4" t="n">
        <f aca="false">D21*50*2*Populations!$S20/(3*1000*2000)</f>
        <v>2358.3855</v>
      </c>
      <c r="CH21" s="4" t="n">
        <f aca="false">IF(B21="Mts",20*D21*Populations!$R20/1000,0.001)</f>
        <v>0.001</v>
      </c>
      <c r="CI21" s="4" t="n">
        <f aca="false">IF(NOT(CH21=0.001),0.006*CH21/3,0.001)</f>
        <v>0.001</v>
      </c>
      <c r="CJ21" s="4" t="n">
        <f aca="false">IF(NOT(CH21=0.001),0.7*CH21/3,0.001)</f>
        <v>0.001</v>
      </c>
      <c r="CK21" s="4" t="n">
        <f aca="false">IF(NOT(CH21=0.001),0.65*CH21/3,0.001)</f>
        <v>0.001</v>
      </c>
      <c r="CL21" s="4" t="n">
        <f aca="false">IF(NOT(CH21=0.001),0.002*CH21/3,0.001)</f>
        <v>0.001</v>
      </c>
      <c r="CM21" s="4" t="n">
        <f aca="false">IF(NOT(CH21=0.001),0.001*CH21/3,0.001)</f>
        <v>0.001</v>
      </c>
      <c r="CN21" s="4" t="n">
        <f aca="false">D21*3*110/(24*2000)*Populations!$S20</f>
        <v>972834.01875</v>
      </c>
      <c r="CO21" s="4" t="n">
        <f aca="false">D21*3*12/(24*2000)*Populations!$S20</f>
        <v>106127.3475</v>
      </c>
      <c r="CP21" s="4" t="n">
        <f aca="false">D21*3*1.4/(24*2000)*Populations!$S20</f>
        <v>12381.523875</v>
      </c>
      <c r="CQ21" s="4" t="n">
        <f aca="false">D21*6400*8.3454*Populations!$S20/(10*1000*2000)</f>
        <v>377888.07075264</v>
      </c>
      <c r="CR21" s="4" t="n">
        <f aca="false">D21*2*Populations!$S20/(1000*2000)</f>
        <v>141.50313</v>
      </c>
      <c r="CS21" s="4" t="n">
        <f aca="false">D21*2*30*Populations!$S20/(1000*2000)</f>
        <v>4245.0939</v>
      </c>
      <c r="CT21" s="4" t="n">
        <f aca="false">27*Populations!$R20/(4*1000*2000)</f>
        <v>11.766292875</v>
      </c>
      <c r="CU21" s="4" t="n">
        <f aca="false">27*Populations!$R20/(16*1000*2000)</f>
        <v>2.94157321875</v>
      </c>
      <c r="CV21" s="4" t="n">
        <f aca="false">AP21*0.9</f>
        <v>17259.490523925</v>
      </c>
      <c r="CW21" s="4" t="n">
        <f aca="false">2.5*D21*Populations!$R20/(60*2000)</f>
        <v>16705.230625</v>
      </c>
      <c r="CX21" s="4" t="n">
        <f aca="false">D21*125*Populations!R20/(6*1000*2000)</f>
        <v>8352.6153125</v>
      </c>
      <c r="CY21" s="4" t="n">
        <f aca="false">D21*1.875*2*Populations!R20/(6*1000*2000)</f>
        <v>250.578459375</v>
      </c>
      <c r="CZ21" s="4" t="n">
        <f aca="false">D21*2*20*Populations!$R20/(1000*2000)</f>
        <v>16037.0214</v>
      </c>
      <c r="DA21" s="4" t="n">
        <f aca="false">IF(NOT(CH21=0.001),CH21*0.00001,0.001)</f>
        <v>0.001</v>
      </c>
      <c r="DB21" s="4" t="n">
        <f aca="false">IF(NOT(CH21=0.001),CH21*0.00001,0.001)</f>
        <v>0.001</v>
      </c>
      <c r="DC21" s="4" t="n">
        <f aca="false">D21*0.02*12*Populations!$S20/(3*1000*2000)</f>
        <v>5.6601252</v>
      </c>
      <c r="DD21" s="4" t="n">
        <f aca="false">D21*0.5*12*Populations!$S20/(5*1000*2000)</f>
        <v>84.901878</v>
      </c>
      <c r="DE21" s="4" t="n">
        <f aca="false">D21*6*25*Populations!$S20/(1000*2000)</f>
        <v>10612.73475</v>
      </c>
      <c r="DG21" s="4" t="n">
        <f aca="false">PRODUCT(AC21:AD21)</f>
        <v>96.7011400114595</v>
      </c>
      <c r="DH21" s="4" t="n">
        <f aca="false">LOG(PRODUCT(S21,V21,Y21:AB21,AE21:AH21,AL21:AO21,AR21:AT21,AW21,BQ21:BU21,BZ21,CH21:CM21,CT21:CU21,CW21:DB21),2)</f>
        <v>290.22625169646</v>
      </c>
      <c r="DI21" s="4" t="n">
        <f aca="false">LOG(PRODUCT($AI21:$AK21,$AP21:$AQ21,$AU21:$AV21,AX21:BP21,BV21:BY21,CA21:CG21,CN21:CS21,CV21,DC21:DE21),2)</f>
        <v>478.639346510995</v>
      </c>
      <c r="DK21" s="4" t="n">
        <f aca="false">SUM(DG21:DI21)</f>
        <v>865.566738218915</v>
      </c>
    </row>
    <row r="22" s="4" customFormat="true" ht="12.8" hidden="false" customHeight="false" outlineLevel="0" collapsed="false">
      <c r="A22" s="0" t="s">
        <v>157</v>
      </c>
      <c r="B22" s="0" t="s">
        <v>134</v>
      </c>
      <c r="C22" s="0" t="n">
        <v>126</v>
      </c>
      <c r="D22" s="0" t="n">
        <f aca="false">IF(B22="Taiga",265,IF(B22="Mts",265,IF(B22="Temp",230,IF(B22="Steppe",265,IF(B22="Jungle",180,IF(B22="Sav",240,IF(B22="Medi",230,0)))))))</f>
        <v>265</v>
      </c>
      <c r="E22" s="0" t="n">
        <v>1</v>
      </c>
      <c r="F22" s="4" t="n">
        <f aca="false">IF(B22="Taiga",0.43,IF(B22="Mts",0.21,IF(B22="Temp",0.64,IF(B22="Steppe",0.57,IF(B22="Jungle",0.43,IF(B22="Sav",0.57,IF(B22="Medi",0.43,0)))))))</f>
        <v>0.21</v>
      </c>
      <c r="G22" s="4" t="n">
        <f aca="false">IF(B22="Taiga",0.43,IF(B22="Mts",0.8,IF(B22="Temp",0.64,IF(B22="Steppe",0.64,IF(B22="Jungle",0.43,IF(B22="Sav",0.8,IF(B22="Medi",0.6,0)))))))</f>
        <v>0.8</v>
      </c>
      <c r="H22" s="4" t="n">
        <f aca="false">$H$31*IF(B22="Taiga",528,IF(B22="Mts",855.27,IF(B22="Temp",565.94,IF(B22="Steppe",551.72,IF(B22="Jungle",575.43,IF(B22="Sav",599.15,IF(B22="Medi",564.36,0)))))))</f>
        <v>2565.81</v>
      </c>
      <c r="I22" s="4" t="n">
        <f aca="false">$H$31*IF(B22="Taiga",2608.19,IF(B22="Mts",2100,IF(B22="Temp",2976.19,IF(B22="Steppe",2450.48,IF(B22="Jungle",2135.05,IF(B22="Sav",2310.29,IF(B22="Medi",2485.52,0)))))))</f>
        <v>6300</v>
      </c>
      <c r="J22" s="4" t="n">
        <f aca="false">$H$31*IF(B22="Taiga",500.54,IF(B22="Mts",360,IF(B22="Temp",570.81,IF(B22="Steppe",441.95,IF(B22="Jungle",486.49,IF(B22="Sav",518.92,IF(B22="Medi",640,0)))))))</f>
        <v>1080</v>
      </c>
      <c r="K22" s="4" t="n">
        <f aca="false">$H$31*IF(B22="Taiga",2003.09,IF(B22="Mts",1612.8,IF(B22="Temp",2285.71,IF(B22="Steppe",1881.97,IF(B22="Jungle",1639.72,IF(B22="Sav",1774.3,IF(B22="Medi",1908.88,0)))))))</f>
        <v>4838.4</v>
      </c>
      <c r="L22" s="4" t="n">
        <f aca="false">$H$31*IF(B22="Taiga",260.82,IF(B22="Mts",210,IF(B22="Temp",297.62,IF(B22="Steppe",245.05,IF(B22="Jungle",213.5,IF(B22="Sav",231.03,IF(B22="Medi",248.55,0)))))))</f>
        <v>630</v>
      </c>
      <c r="M22" s="4" t="n">
        <f aca="false">$H$31*IF(B22="Taiga",250,IF(B22="Mts",640,IF(B22="Temp",295.2174,IF(B22="Steppe",278.2609,IF(B22="Jungle",306.5217,IF(B22="Sav",334.7826,IF(B22="Medi",293.3333,0)))))))</f>
        <v>1920</v>
      </c>
      <c r="N22" s="4" t="n">
        <f aca="false">$H$31*IF(B22="Taiga",1491.9691,IF(B22="Mts",980,IF(B22="Temp",1747.9537,IF(B22="Steppe",1278.5174,IF(B22="Jungle",1440.7722,IF(B22="Sav",1558.9189,IF(B22="Medi",2000,0)))))))</f>
        <v>2940</v>
      </c>
      <c r="O22" s="4" t="n">
        <f aca="false">$H$31*IF(B22="Taiga",68.5,IF(B22="Mts",25,IF(B22="Temp",100,IF(B22="Steppe",55,IF(B22="Jungle",28,IF(B22="Sav",43,IF(B22="Medi",58,0)))))))</f>
        <v>75</v>
      </c>
      <c r="P22" s="4" t="n">
        <f aca="false">$H$31*20*15/8000</f>
        <v>0.1125</v>
      </c>
      <c r="Q22" s="4" t="n">
        <f aca="false">$H$31*20*15/8000</f>
        <v>0.1125</v>
      </c>
      <c r="R22" s="1" t="s">
        <v>39</v>
      </c>
      <c r="S22" s="4" t="n">
        <f aca="false">C22*F22*G22*360*640*1393.66125/(2000*1000)</f>
        <v>3398.517658368</v>
      </c>
      <c r="T22" s="4" t="n">
        <f aca="false">C22*F22*G22*J22*640*1393.66125*2/(1000*2000*3)</f>
        <v>6797.035316736</v>
      </c>
      <c r="U22" s="4" t="n">
        <f aca="false">T22*J$28</f>
        <v>2265.678438912</v>
      </c>
      <c r="V22" s="4" t="n">
        <f aca="false">T22-U22</f>
        <v>4531.356877824</v>
      </c>
      <c r="W22" s="4" t="n">
        <f aca="false">C22*F22*G22*H22*640*1393.66125*2/(1000*2000*3)</f>
        <v>16148.0566537356</v>
      </c>
      <c r="X22" s="4" t="n">
        <f aca="false">W22*H$28</f>
        <v>4404.01545101879</v>
      </c>
      <c r="Y22" s="4" t="n">
        <f aca="false">W22-X22</f>
        <v>11744.0412027168</v>
      </c>
      <c r="Z22" s="4" t="n">
        <f aca="false">C22*F22*G22*M22*640*1393.66125/(1000*2000*3)</f>
        <v>6041.809170432</v>
      </c>
      <c r="AA22" s="4" t="n">
        <f aca="false">C22*F22*G22*N22*640*1393.66125/(2000*1000)</f>
        <v>27754.560876672</v>
      </c>
      <c r="AB22" s="4" t="n">
        <f aca="false">C22*F22*G22*O22*640*1393.66125/(2000*1000)</f>
        <v>708.02451216</v>
      </c>
      <c r="AC22" s="4" t="n">
        <f aca="false">C22*P22*640*1393.66125/(2000*1000)</f>
        <v>6.32164743</v>
      </c>
      <c r="AD22" s="4" t="n">
        <f aca="false">C22*Q22*640*1393.66125/(2000*1000)</f>
        <v>6.32164743</v>
      </c>
      <c r="AE22" s="4" t="n">
        <f aca="false">($V22+$Z22)*2000*1000/(3*365)</f>
        <v>19311718.8096</v>
      </c>
      <c r="AF22" s="4" t="n">
        <f aca="false">($V22+$Z22)*2000*1000/(18*100)</f>
        <v>11747962.27584</v>
      </c>
      <c r="AG22" s="4" t="n">
        <f aca="false">($V22+$Z22)*2000*1000/(3*365)</f>
        <v>19311718.8096</v>
      </c>
      <c r="AH22" s="4" t="n">
        <f aca="false">C22*F22*G22*K22*640*1393.66125/(2000*1000)</f>
        <v>45676.0773284659</v>
      </c>
      <c r="AI22" s="4" t="n">
        <f aca="false">3*12*D22*Populations!$S21/(5*1000)</f>
        <v>72778.752</v>
      </c>
      <c r="AJ22" s="4" t="n">
        <f aca="false">1.5*D22*750*Populations!$S21/(1000*2000*15)</f>
        <v>379.056</v>
      </c>
      <c r="AK22" s="4" t="n">
        <f aca="false">66*10*D22*Populations!$S21/(1000*2000*6)</f>
        <v>555.9488</v>
      </c>
      <c r="AL22" s="4" t="n">
        <f aca="false">AE22*365/(2000*1000)</f>
        <v>3524.388682752</v>
      </c>
      <c r="AM22" s="4" t="n">
        <f aca="false">AF22*25*238/(51*2000*1000)</f>
        <v>685.297799424</v>
      </c>
      <c r="AN22" s="4" t="n">
        <f aca="false">AG22*100*238/(600*1000*2000)</f>
        <v>383.0157563904</v>
      </c>
      <c r="AO22" s="4" t="n">
        <f aca="false">AG22*120*2/(16*1000*2000)</f>
        <v>144.837891072</v>
      </c>
      <c r="AP22" s="4" t="n">
        <f aca="false">D22*4800*Populations!$S21/($AP$28*10*1000*2000)</f>
        <v>1369.908384</v>
      </c>
      <c r="AQ22" s="4" t="n">
        <f aca="false">D22*2*4800*Populations!$S21/($AQ$28*10*1000*2000)</f>
        <v>5268.8784</v>
      </c>
      <c r="AR22" s="4" t="n">
        <f aca="false">C22*F22*G22*L22*640*1393.66125/(2000*1000)</f>
        <v>5947.405902144</v>
      </c>
      <c r="AS22" s="4" t="n">
        <f aca="false">AF22*600*6/(90*1000*2000)</f>
        <v>234.9592455168</v>
      </c>
      <c r="AT22" s="4" t="n">
        <f aca="false">IF(B22="Taiga",236.2,IF(B22="Mts",10,IF(B22="Temp",400,IF(B22="Steppe",25,IF(B22="Jungle",400,IF(B22="Sav",103.6,IF(B22="Medi",181.6,0)))))))*D22*AT$36*Populations!$R21/1000</f>
        <v>2654.12914355214</v>
      </c>
      <c r="AU22" s="4" t="n">
        <f aca="false">INDEX(Tech!$F$3:$F$13,MATCH(E22,Tech!$E$3:$E$13,1))*D22*AT$36*Populations!$S21/(365*1000)</f>
        <v>1895.28</v>
      </c>
      <c r="AV22" s="4" t="n">
        <f aca="false">D22*12.5*AT$36*Populations!$S21/(10*30)</f>
        <v>789.7</v>
      </c>
      <c r="AW22" s="4" t="n">
        <f aca="false">0.125*D22*AW$30*Populations!$R21/1000</f>
        <v>68.4267669822036</v>
      </c>
      <c r="AX22" s="4" t="n">
        <f aca="false">D22*AW$30*Populations!$S21/(3*1000)</f>
        <v>13.03005</v>
      </c>
      <c r="AY22" s="4" t="n">
        <f aca="false">D22*Populations!$S21/(2*1000*AY$30)/1000</f>
        <v>9.09734399999999</v>
      </c>
      <c r="AZ22" s="4" t="n">
        <f aca="false">D22*AZ$30*Populations!$S21/(2*1000)</f>
        <v>6.3176</v>
      </c>
      <c r="BA22" s="4" t="n">
        <f aca="false">D22*2*BA$30*Populations!$S21/1000</f>
        <v>30.32448</v>
      </c>
      <c r="BB22" s="4" t="n">
        <f aca="false">D22*3*BB$30*Populations!$S21/1000</f>
        <v>22.74336</v>
      </c>
      <c r="BC22" s="4" t="n">
        <f aca="false">D22*11*BC$30*Populations!$S21/(15*1000)</f>
        <v>4.4475904</v>
      </c>
      <c r="BD22" s="4" t="n">
        <f aca="false">D22*11*BD$30*Populations!$S21/(8*1000)</f>
        <v>10.42404</v>
      </c>
      <c r="BE22" s="4" t="n">
        <f aca="false">D22*11*BE$30*Populations!$S21/(3*1000)</f>
        <v>6.75080685714285</v>
      </c>
      <c r="BF22" s="4" t="n">
        <f aca="false">D22*11*BF$30*Populations!$S21/(5*1000)</f>
        <v>4.864552</v>
      </c>
      <c r="BG22" s="4" t="n">
        <f aca="false">D22*11*BG$30*Populations!$S21/(9*1000)</f>
        <v>12.3544177777778</v>
      </c>
      <c r="BH22" s="4" t="n">
        <f aca="false">D22*11*BH$30*Populations!$S21/(12*1000)</f>
        <v>6.94936</v>
      </c>
      <c r="BI22" s="4" t="n">
        <f aca="false">D22*BI$30*Populations!$S21/(1000*125/12)</f>
        <v>19.4076672</v>
      </c>
      <c r="BJ22" s="4" t="n">
        <f aca="false">D22*BJ$30*Populations!$S21/(30*1000)</f>
        <v>8.82105429333333</v>
      </c>
      <c r="BK22" s="4" t="n">
        <f aca="false">D22*BK$30*Populations!$S21/(7*1000)</f>
        <v>1.21839428571429</v>
      </c>
      <c r="BL22" s="4" t="n">
        <f aca="false">D22*BL$30*Populations!$S21/(8.5*1000)</f>
        <v>2.00676705882353</v>
      </c>
      <c r="BM22" s="4" t="n">
        <f aca="false">D22*BM$30*Populations!$S21/1000</f>
        <v>4.26438</v>
      </c>
      <c r="BN22" s="4" t="n">
        <f aca="false">D22*BN$30*Populations!$S21/(1.5*1000)</f>
        <v>10.10816</v>
      </c>
      <c r="BO22" s="4" t="n">
        <f aca="false">D22*BO$30*Populations!$S21/(2*1000)</f>
        <v>8.21288</v>
      </c>
      <c r="BP22" s="4" t="n">
        <f aca="false">D22*BP$30*Populations!$S21/(4*1000)</f>
        <v>1.89528</v>
      </c>
      <c r="BQ22" s="4" t="n">
        <f aca="false">D22*Populations!$R21*10/(3*1000*2000)</f>
        <v>235.922590537968</v>
      </c>
      <c r="BR22" s="4" t="n">
        <f aca="false">D22*2*Populations!$R21/(30*1000*2000)</f>
        <v>4.71845181075936</v>
      </c>
      <c r="BS22" s="4" t="n">
        <f aca="false">D22*2*Populations!$S21/((37.5/12)*1000*2000)</f>
        <v>3.2346112</v>
      </c>
      <c r="BT22" s="4" t="n">
        <f aca="false">D22*2*Populations!$S21/((20/9)*1000*2000)</f>
        <v>4.548672</v>
      </c>
      <c r="BU22" s="4" t="n">
        <f aca="false">AF22*25*4/(51*$BU$32)</f>
        <v>5.75880503717647</v>
      </c>
      <c r="BV22" s="4" t="n">
        <f aca="false">D22*Populations!$S21*12/($BV$30*3)</f>
        <v>31.840704</v>
      </c>
      <c r="BW22" s="4" t="n">
        <f aca="false">D22*Populations!$S21*12/(2*$BW$30)</f>
        <v>27.292032</v>
      </c>
      <c r="BX22" s="4" t="n">
        <f aca="false">D22*Populations!$S21*12/(5*$BX$30)</f>
        <v>13.646016</v>
      </c>
      <c r="BY22" s="4" t="n">
        <f aca="false">D22*Populations!$S21/(2*$BY$30)</f>
        <v>7.960176</v>
      </c>
      <c r="BZ22" s="4" t="n">
        <f aca="false">D22*Populations!$R21*500/(1000*2000)</f>
        <v>35388.3885806952</v>
      </c>
      <c r="CA22" s="4" t="n">
        <f aca="false">D22*Populations!R21*15/(1000*2000)</f>
        <v>1061.65165742086</v>
      </c>
      <c r="CB22" s="4" t="n">
        <f aca="false">IF(B22="Mts",1,D22*Populations!R21*30/(1000*2000))</f>
        <v>1</v>
      </c>
      <c r="CC22" s="4" t="n">
        <f aca="false">D22*40*Populations!R21/(1000*2000)</f>
        <v>2831.07108645562</v>
      </c>
      <c r="CD22" s="4" t="n">
        <f aca="false">D22*40*Populations!R21/(1000*2000)</f>
        <v>2831.07108645562</v>
      </c>
      <c r="CE22" s="4" t="n">
        <f aca="false">D22*20*Populations!R21/(1000*2000)</f>
        <v>1415.53554322781</v>
      </c>
      <c r="CF22" s="4" t="n">
        <f aca="false">D22*8.3454*32*Populations!$S21/(1000*2000)</f>
        <v>1349.706215424</v>
      </c>
      <c r="CG22" s="4" t="n">
        <f aca="false">D22*50*2*Populations!$S21/(3*1000*2000)</f>
        <v>168.469333333333</v>
      </c>
      <c r="CH22" s="4" t="n">
        <f aca="false">IF(B22="Mts",20*D22*Populations!$R21/1000,0.001)</f>
        <v>2831071.08645562</v>
      </c>
      <c r="CI22" s="4" t="n">
        <f aca="false">IF(NOT(CH22=0.001),0.006*CH22/3,0.001)</f>
        <v>5662.14217291123</v>
      </c>
      <c r="CJ22" s="4" t="n">
        <f aca="false">IF(NOT(CH22=0.001),0.7*CH22/3,0.001)</f>
        <v>660583.253506311</v>
      </c>
      <c r="CK22" s="4" t="n">
        <f aca="false">IF(NOT(CH22=0.001),0.65*CH22/3,0.001)</f>
        <v>613398.735398717</v>
      </c>
      <c r="CL22" s="4" t="n">
        <f aca="false">IF(NOT(CH22=0.001),0.002*CH22/3,0.001)</f>
        <v>1887.38072430375</v>
      </c>
      <c r="CM22" s="4" t="n">
        <f aca="false">IF(NOT(CH22=0.001),0.001*CH22/3,0.001)</f>
        <v>943.690362151873</v>
      </c>
      <c r="CN22" s="4" t="n">
        <f aca="false">D22*3*110/(24*2000)*Populations!$S21</f>
        <v>69493.6</v>
      </c>
      <c r="CO22" s="4" t="n">
        <f aca="false">D22*3*12/(24*2000)*Populations!$S21</f>
        <v>7581.12</v>
      </c>
      <c r="CP22" s="4" t="n">
        <f aca="false">D22*3*1.4/(24*2000)*Populations!$S21</f>
        <v>884.464</v>
      </c>
      <c r="CQ22" s="4" t="n">
        <f aca="false">D22*6400*8.3454*Populations!$S21/(10*1000*2000)</f>
        <v>26994.12430848</v>
      </c>
      <c r="CR22" s="4" t="n">
        <f aca="false">D22*2*Populations!$S21/(1000*2000)</f>
        <v>10.10816</v>
      </c>
      <c r="CS22" s="4" t="n">
        <f aca="false">D22*2*30*Populations!$S21/(1000*2000)</f>
        <v>303.2448</v>
      </c>
      <c r="CT22" s="4" t="n">
        <f aca="false">27*Populations!$R21/(4*1000*2000)</f>
        <v>1.8028047012807</v>
      </c>
      <c r="CU22" s="4" t="n">
        <f aca="false">27*Populations!$R21/(16*1000*2000)</f>
        <v>0.450701175320175</v>
      </c>
      <c r="CV22" s="4" t="n">
        <f aca="false">AP22*0.9</f>
        <v>1232.9175456</v>
      </c>
      <c r="CW22" s="4" t="n">
        <f aca="false">2.5*D22*Populations!$R21/(60*2000)</f>
        <v>2949.0323817246</v>
      </c>
      <c r="CX22" s="4" t="n">
        <f aca="false">D22*125*Populations!R21/(6*1000*2000)</f>
        <v>1474.5161908623</v>
      </c>
      <c r="CY22" s="4" t="n">
        <f aca="false">D22*1.875*2*Populations!R21/(6*1000*2000)</f>
        <v>44.235485725869</v>
      </c>
      <c r="CZ22" s="4" t="n">
        <f aca="false">D22*2*20*Populations!$R21/(1000*2000)</f>
        <v>2831.07108645562</v>
      </c>
      <c r="DA22" s="4" t="n">
        <f aca="false">IF(NOT(CH22=0.001),CH22*0.00001,0.001)</f>
        <v>28.3107108645562</v>
      </c>
      <c r="DB22" s="4" t="n">
        <f aca="false">IF(NOT(CH22=0.001),CH22*0.00001,0.001)</f>
        <v>28.3107108645562</v>
      </c>
      <c r="DC22" s="4" t="n">
        <f aca="false">D22*0.02*12*Populations!$S21/(3*1000*2000)</f>
        <v>0.4043264</v>
      </c>
      <c r="DD22" s="4" t="n">
        <f aca="false">D22*0.5*12*Populations!$S21/(5*1000*2000)</f>
        <v>6.064896</v>
      </c>
      <c r="DE22" s="4" t="n">
        <f aca="false">D22*6*25*Populations!$S21/(1000*2000)</f>
        <v>758.112</v>
      </c>
      <c r="DG22" s="4" t="n">
        <f aca="false">PRODUCT(AC22:AD22)</f>
        <v>39.9632262292256</v>
      </c>
      <c r="DH22" s="4" t="n">
        <f aca="false">LOG(PRODUCT(S22,V22,Y22:AB22,AE22:AH22,AL22:AO22,AR22:AT22,AW22,BQ22:BU22,BZ22,CH22:CM22,CT22:CU22,CW22:DB22),2)</f>
        <v>409.597912763736</v>
      </c>
      <c r="DI22" s="4" t="n">
        <f aca="false">LOG(PRODUCT($AI22:$AK22,$AP22:$AQ22,$AU22:$AV22,AX22:BP22,BV22:BY22,CA22:CG22,CN22:CS22,CV22,DC22:DE22),2)</f>
        <v>295.173170606531</v>
      </c>
      <c r="DK22" s="4" t="n">
        <f aca="false">SUM(DG22:DI22)</f>
        <v>744.734309599492</v>
      </c>
    </row>
    <row r="23" s="4" customFormat="true" ht="12.8" hidden="false" customHeight="false" outlineLevel="0" collapsed="false">
      <c r="A23" s="0" t="s">
        <v>158</v>
      </c>
      <c r="B23" s="0" t="s">
        <v>149</v>
      </c>
      <c r="C23" s="0" t="n">
        <v>113</v>
      </c>
      <c r="D23" s="0" t="n">
        <f aca="false">IF(B23="Taiga",265,IF(B23="Mts",265,IF(B23="Temp",230,IF(B23="Steppe",265,IF(B23="Jungle",180,IF(B23="Sav",240,IF(B23="Medi",230,0)))))))</f>
        <v>240</v>
      </c>
      <c r="E23" s="0" t="n">
        <v>1</v>
      </c>
      <c r="F23" s="4" t="n">
        <f aca="false">IF(B23="Taiga",0.43,IF(B23="Mts",0.21,IF(B23="Temp",0.64,IF(B23="Steppe",0.57,IF(B23="Jungle",0.43,IF(B23="Sav",0.57,IF(B23="Medi",0.43,0)))))))</f>
        <v>0.57</v>
      </c>
      <c r="G23" s="4" t="n">
        <f aca="false">IF(B23="Taiga",0.43,IF(B23="Mts",0.8,IF(B23="Temp",0.64,IF(B23="Steppe",0.64,IF(B23="Jungle",0.43,IF(B23="Sav",0.8,IF(B23="Medi",0.6,0)))))))</f>
        <v>0.8</v>
      </c>
      <c r="H23" s="4" t="n">
        <f aca="false">$H$31*IF(B23="Taiga",528,IF(B23="Mts",855.27,IF(B23="Temp",565.94,IF(B23="Steppe",551.72,IF(B23="Jungle",575.43,IF(B23="Sav",599.15,IF(B23="Medi",564.36,0)))))))</f>
        <v>1797.45</v>
      </c>
      <c r="I23" s="4" t="n">
        <f aca="false">$H$31*IF(B23="Taiga",2608.19,IF(B23="Mts",2100,IF(B23="Temp",2976.19,IF(B23="Steppe",2450.48,IF(B23="Jungle",2135.05,IF(B23="Sav",2310.29,IF(B23="Medi",2485.52,0)))))))</f>
        <v>6930.87</v>
      </c>
      <c r="J23" s="4" t="n">
        <f aca="false">$H$31*IF(B23="Taiga",500.54,IF(B23="Mts",360,IF(B23="Temp",570.81,IF(B23="Steppe",441.95,IF(B23="Jungle",486.49,IF(B23="Sav",518.92,IF(B23="Medi",640,0)))))))</f>
        <v>1556.76</v>
      </c>
      <c r="K23" s="4" t="n">
        <f aca="false">$H$31*IF(B23="Taiga",2003.09,IF(B23="Mts",1612.8,IF(B23="Temp",2285.71,IF(B23="Steppe",1881.97,IF(B23="Jungle",1639.72,IF(B23="Sav",1774.3,IF(B23="Medi",1908.88,0)))))))</f>
        <v>5322.9</v>
      </c>
      <c r="L23" s="4" t="n">
        <f aca="false">$H$31*IF(B23="Taiga",260.82,IF(B23="Mts",210,IF(B23="Temp",297.62,IF(B23="Steppe",245.05,IF(B23="Jungle",213.5,IF(B23="Sav",231.03,IF(B23="Medi",248.55,0)))))))</f>
        <v>693.09</v>
      </c>
      <c r="M23" s="4" t="n">
        <f aca="false">$H$31*IF(B23="Taiga",250,IF(B23="Mts",640,IF(B23="Temp",295.2174,IF(B23="Steppe",278.2609,IF(B23="Jungle",306.5217,IF(B23="Sav",334.7826,IF(B23="Medi",293.3333,0)))))))</f>
        <v>1004.3478</v>
      </c>
      <c r="N23" s="4" t="n">
        <f aca="false">$H$31*IF(B23="Taiga",1491.9691,IF(B23="Mts",980,IF(B23="Temp",1747.9537,IF(B23="Steppe",1278.5174,IF(B23="Jungle",1440.7722,IF(B23="Sav",1558.9189,IF(B23="Medi",2000,0)))))))</f>
        <v>4676.7567</v>
      </c>
      <c r="O23" s="4" t="n">
        <f aca="false">$H$31*IF(B23="Taiga",68.5,IF(B23="Mts",25,IF(B23="Temp",100,IF(B23="Steppe",55,IF(B23="Jungle",28,IF(B23="Sav",43,IF(B23="Medi",58,0)))))))</f>
        <v>129</v>
      </c>
      <c r="P23" s="4" t="n">
        <f aca="false">$H$31*20*15/8000</f>
        <v>0.1125</v>
      </c>
      <c r="Q23" s="4" t="n">
        <f aca="false">$H$31*20*15/8000</f>
        <v>0.1125</v>
      </c>
      <c r="R23" s="1" t="s">
        <v>39</v>
      </c>
      <c r="S23" s="4" t="n">
        <f aca="false">C23*F23*G23*360*640*1393.66125/(2000*1000)</f>
        <v>8272.808857728</v>
      </c>
      <c r="T23" s="4" t="n">
        <f aca="false">C23*F23*G23*J23*640*1393.66125*2/(1000*2000*3)</f>
        <v>23849.5887358456</v>
      </c>
      <c r="U23" s="4" t="n">
        <f aca="false">T23*J$28</f>
        <v>7949.86291194854</v>
      </c>
      <c r="V23" s="4" t="n">
        <f aca="false">T23-U23</f>
        <v>15899.7258238971</v>
      </c>
      <c r="W23" s="4" t="n">
        <f aca="false">C23*F23*G23*H23*640*1393.66125*2/(1000*2000*3)</f>
        <v>27536.9634839318</v>
      </c>
      <c r="X23" s="4" t="n">
        <f aca="false">W23*H$28</f>
        <v>7510.08095016324</v>
      </c>
      <c r="Y23" s="4" t="n">
        <f aca="false">W23-X23</f>
        <v>20026.8825337686</v>
      </c>
      <c r="Z23" s="4" t="n">
        <f aca="false">C23*F23*G23*M23*640*1393.66125/(1000*2000*3)</f>
        <v>7693.31238525892</v>
      </c>
      <c r="AA23" s="4" t="n">
        <f aca="false">C23*F23*G23*N23*640*1393.66125/(2000*1000)</f>
        <v>107471.984036663</v>
      </c>
      <c r="AB23" s="4" t="n">
        <f aca="false">C23*F23*G23*O23*640*1393.66125/(2000*1000)</f>
        <v>2964.4231740192</v>
      </c>
      <c r="AC23" s="4" t="n">
        <f aca="false">C23*P23*640*1393.66125/(2000*1000)</f>
        <v>5.669413965</v>
      </c>
      <c r="AD23" s="4" t="n">
        <f aca="false">C23*Q23*640*1393.66125/(2000*1000)</f>
        <v>5.669413965</v>
      </c>
      <c r="AE23" s="4" t="n">
        <f aca="false">($V23+$Z23)*2000*1000/(3*365)</f>
        <v>43092307.2313352</v>
      </c>
      <c r="AF23" s="4" t="n">
        <f aca="false">($V23+$Z23)*2000*1000/(18*100)</f>
        <v>26214486.8990622</v>
      </c>
      <c r="AG23" s="4" t="n">
        <f aca="false">($V23+$Z23)*2000*1000/(3*365)</f>
        <v>43092307.2313352</v>
      </c>
      <c r="AH23" s="4" t="n">
        <f aca="false">C23*F23*G23*K23*640*1393.66125/(2000*1000)</f>
        <v>122320.37296889</v>
      </c>
      <c r="AI23" s="4" t="n">
        <f aca="false">3*12*D23*Populations!$S22/(5*1000)</f>
        <v>459357.696</v>
      </c>
      <c r="AJ23" s="4" t="n">
        <f aca="false">1.5*D23*750*Populations!$S22/(1000*2000*15)</f>
        <v>2392.488</v>
      </c>
      <c r="AK23" s="4" t="n">
        <f aca="false">66*10*D23*Populations!$S22/(1000*2000*6)</f>
        <v>3508.9824</v>
      </c>
      <c r="AL23" s="4" t="n">
        <f aca="false">AE23*365/(2000*1000)</f>
        <v>7864.34606971867</v>
      </c>
      <c r="AM23" s="4" t="n">
        <f aca="false">AF23*25*238/(51*2000*1000)</f>
        <v>1529.1784024453</v>
      </c>
      <c r="AN23" s="4" t="n">
        <f aca="false">AG23*100*238/(600*1000*2000)</f>
        <v>854.664093421481</v>
      </c>
      <c r="AO23" s="4" t="n">
        <f aca="false">AG23*120*2/(16*1000*2000)</f>
        <v>323.192304235014</v>
      </c>
      <c r="AP23" s="4" t="n">
        <f aca="false">D23*4800*Populations!$S22/($AP$28*10*1000*2000)</f>
        <v>8646.45163200001</v>
      </c>
      <c r="AQ23" s="4" t="n">
        <f aca="false">D23*2*4800*Populations!$S22/($AQ$28*10*1000*2000)</f>
        <v>33255.5832</v>
      </c>
      <c r="AR23" s="4" t="n">
        <f aca="false">C23*F23*G23*L23*640*1393.66125/(2000*1000)</f>
        <v>15927.2252533408</v>
      </c>
      <c r="AS23" s="4" t="n">
        <f aca="false">AF23*600*6/(90*1000*2000)</f>
        <v>524.289737981245</v>
      </c>
      <c r="AT23" s="4" t="n">
        <f aca="false">IF(B23="Taiga",236.2,IF(B23="Mts",10,IF(B23="Temp",400,IF(B23="Steppe",25,IF(B23="Jungle",400,IF(B23="Sav",103.6,IF(B23="Medi",181.6,0)))))))*D23*AT$36*Populations!$R22/1000</f>
        <v>117502.812035841</v>
      </c>
      <c r="AU23" s="4" t="n">
        <f aca="false">INDEX(Tech!$F$3:$F$13,MATCH(E23,Tech!$E$3:$E$13,1))*D23*AT$36*Populations!$S22/(365*1000)</f>
        <v>11962.44</v>
      </c>
      <c r="AV23" s="4" t="n">
        <f aca="false">D23*12.5*AT$36*Populations!$S22/(10*30)</f>
        <v>4984.35</v>
      </c>
      <c r="AW23" s="4" t="n">
        <f aca="false">0.125*D23*AW$30*Populations!$R22/1000</f>
        <v>292.410171119598</v>
      </c>
      <c r="AX23" s="4" t="n">
        <f aca="false">D23*AW$30*Populations!$S22/(3*1000)</f>
        <v>82.241775</v>
      </c>
      <c r="AY23" s="4" t="n">
        <f aca="false">D23*Populations!$S22/(2*1000*AY$30)/1000</f>
        <v>57.419712</v>
      </c>
      <c r="AZ23" s="4" t="n">
        <f aca="false">D23*AZ$30*Populations!$S22/(2*1000)</f>
        <v>39.8748</v>
      </c>
      <c r="BA23" s="4" t="n">
        <f aca="false">D23*2*BA$30*Populations!$S22/1000</f>
        <v>191.39904</v>
      </c>
      <c r="BB23" s="4" t="n">
        <f aca="false">D23*3*BB$30*Populations!$S22/1000</f>
        <v>143.54928</v>
      </c>
      <c r="BC23" s="4" t="n">
        <f aca="false">D23*11*BC$30*Populations!$S22/(15*1000)</f>
        <v>28.0718592</v>
      </c>
      <c r="BD23" s="4" t="n">
        <f aca="false">D23*11*BD$30*Populations!$S22/(8*1000)</f>
        <v>65.79342</v>
      </c>
      <c r="BE23" s="4" t="n">
        <f aca="false">D23*11*BE$30*Populations!$S22/(3*1000)</f>
        <v>42.609072</v>
      </c>
      <c r="BF23" s="4" t="n">
        <f aca="false">D23*11*BF$30*Populations!$S22/(5*1000)</f>
        <v>30.703596</v>
      </c>
      <c r="BG23" s="4" t="n">
        <f aca="false">D23*11*BG$30*Populations!$S22/(9*1000)</f>
        <v>77.9773866666667</v>
      </c>
      <c r="BH23" s="4" t="n">
        <f aca="false">D23*11*BH$30*Populations!$S22/(12*1000)</f>
        <v>43.86228</v>
      </c>
      <c r="BI23" s="4" t="n">
        <f aca="false">D23*BI$30*Populations!$S22/(1000*125/12)</f>
        <v>122.4953856</v>
      </c>
      <c r="BJ23" s="4" t="n">
        <f aca="false">D23*BJ$30*Populations!$S22/(30*1000)</f>
        <v>55.67585408</v>
      </c>
      <c r="BK23" s="4" t="n">
        <f aca="false">D23*BK$30*Populations!$S22/(7*1000)</f>
        <v>7.69014</v>
      </c>
      <c r="BL23" s="4" t="n">
        <f aca="false">D23*BL$30*Populations!$S22/(8.5*1000)</f>
        <v>12.6661129411765</v>
      </c>
      <c r="BM23" s="4" t="n">
        <f aca="false">D23*BM$30*Populations!$S22/1000</f>
        <v>26.91549</v>
      </c>
      <c r="BN23" s="4" t="n">
        <f aca="false">D23*BN$30*Populations!$S22/(1.5*1000)</f>
        <v>63.79968</v>
      </c>
      <c r="BO23" s="4" t="n">
        <f aca="false">D23*BO$30*Populations!$S22/(2*1000)</f>
        <v>51.83724</v>
      </c>
      <c r="BP23" s="4" t="n">
        <f aca="false">D23*BP$30*Populations!$S22/(4*1000)</f>
        <v>11.96244</v>
      </c>
      <c r="BQ23" s="4" t="n">
        <f aca="false">D23*Populations!$R22*10/(3*1000*2000)</f>
        <v>1008.17513544265</v>
      </c>
      <c r="BR23" s="4" t="n">
        <f aca="false">D23*2*Populations!$R22/(30*1000*2000)</f>
        <v>20.1635027088531</v>
      </c>
      <c r="BS23" s="4" t="n">
        <f aca="false">D23*2*Populations!$S22/((37.5/12)*1000*2000)</f>
        <v>20.4158976</v>
      </c>
      <c r="BT23" s="4" t="n">
        <f aca="false">D23*2*Populations!$S22/((20/9)*1000*2000)</f>
        <v>28.709856</v>
      </c>
      <c r="BU23" s="4" t="n">
        <f aca="false">AF23*25*4/(51*$BU$32)</f>
        <v>12.8502386760109</v>
      </c>
      <c r="BV23" s="4" t="n">
        <f aca="false">D23*Populations!$S22*12/($BV$30*3)</f>
        <v>200.968992</v>
      </c>
      <c r="BW23" s="4" t="n">
        <f aca="false">D23*Populations!$S22*12/(2*$BW$30)</f>
        <v>172.259136</v>
      </c>
      <c r="BX23" s="4" t="n">
        <f aca="false">D23*Populations!$S22*12/(5*$BX$30)</f>
        <v>86.1295679999999</v>
      </c>
      <c r="BY23" s="4" t="n">
        <f aca="false">D23*Populations!$S22/(2*$BY$30)</f>
        <v>50.242248</v>
      </c>
      <c r="BZ23" s="4" t="n">
        <f aca="false">D23*Populations!$R22*500/(1000*2000)</f>
        <v>151226.270316398</v>
      </c>
      <c r="CA23" s="4" t="n">
        <f aca="false">D23*Populations!R22*15/(1000*2000)</f>
        <v>4536.78810949194</v>
      </c>
      <c r="CB23" s="4" t="n">
        <f aca="false">IF(B23="Mts",1,D23*Populations!R22*30/(1000*2000))</f>
        <v>9073.57621898389</v>
      </c>
      <c r="CC23" s="4" t="n">
        <f aca="false">D23*40*Populations!R22/(1000*2000)</f>
        <v>12098.1016253119</v>
      </c>
      <c r="CD23" s="4" t="n">
        <f aca="false">D23*40*Populations!R22/(1000*2000)</f>
        <v>12098.1016253119</v>
      </c>
      <c r="CE23" s="4" t="n">
        <f aca="false">D23*20*Populations!R22/(1000*2000)</f>
        <v>6049.05081265593</v>
      </c>
      <c r="CF23" s="4" t="n">
        <f aca="false">D23*8.3454*32*Populations!$S22/(1000*2000)</f>
        <v>8518.941591552</v>
      </c>
      <c r="CG23" s="4" t="n">
        <f aca="false">D23*50*2*Populations!$S22/(3*1000*2000)</f>
        <v>1063.328</v>
      </c>
      <c r="CH23" s="4" t="n">
        <f aca="false">IF(B23="Mts",20*D23*Populations!$R22/1000,0.001)</f>
        <v>0.001</v>
      </c>
      <c r="CI23" s="4" t="n">
        <f aca="false">IF(NOT(CH23=0.001),0.006*CH23/3,0.001)</f>
        <v>0.001</v>
      </c>
      <c r="CJ23" s="4" t="n">
        <f aca="false">IF(NOT(CH23=0.001),0.7*CH23/3,0.001)</f>
        <v>0.001</v>
      </c>
      <c r="CK23" s="4" t="n">
        <f aca="false">IF(NOT(CH23=0.001),0.65*CH23/3,0.001)</f>
        <v>0.001</v>
      </c>
      <c r="CL23" s="4" t="n">
        <f aca="false">IF(NOT(CH23=0.001),0.002*CH23/3,0.001)</f>
        <v>0.001</v>
      </c>
      <c r="CM23" s="4" t="n">
        <f aca="false">IF(NOT(CH23=0.001),0.001*CH23/3,0.001)</f>
        <v>0.001</v>
      </c>
      <c r="CN23" s="4" t="n">
        <f aca="false">D23*3*110/(24*2000)*Populations!$S22</f>
        <v>438622.8</v>
      </c>
      <c r="CO23" s="4" t="n">
        <f aca="false">D23*3*12/(24*2000)*Populations!$S22</f>
        <v>47849.76</v>
      </c>
      <c r="CP23" s="4" t="n">
        <f aca="false">D23*3*1.4/(24*2000)*Populations!$S22</f>
        <v>5582.472</v>
      </c>
      <c r="CQ23" s="4" t="n">
        <f aca="false">D23*6400*8.3454*Populations!$S22/(10*1000*2000)</f>
        <v>170378.83183104</v>
      </c>
      <c r="CR23" s="4" t="n">
        <f aca="false">D23*2*Populations!$S22/(1000*2000)</f>
        <v>63.79968</v>
      </c>
      <c r="CS23" s="4" t="n">
        <f aca="false">D23*2*30*Populations!$S22/(1000*2000)</f>
        <v>1913.9904</v>
      </c>
      <c r="CT23" s="4" t="n">
        <f aca="false">27*Populations!$R22/(4*1000*2000)</f>
        <v>8.5064777052974</v>
      </c>
      <c r="CU23" s="4" t="n">
        <f aca="false">27*Populations!$R22/(16*1000*2000)</f>
        <v>2.12661942632435</v>
      </c>
      <c r="CV23" s="4" t="n">
        <f aca="false">AP23*0.9</f>
        <v>7781.80646880001</v>
      </c>
      <c r="CW23" s="4" t="n">
        <f aca="false">2.5*D23*Populations!$R22/(60*2000)</f>
        <v>12602.1891930332</v>
      </c>
      <c r="CX23" s="4" t="n">
        <f aca="false">D23*125*Populations!R22/(6*1000*2000)</f>
        <v>6301.09459651659</v>
      </c>
      <c r="CY23" s="4" t="n">
        <f aca="false">D23*1.875*2*Populations!R22/(6*1000*2000)</f>
        <v>189.032837895498</v>
      </c>
      <c r="CZ23" s="4" t="n">
        <f aca="false">D23*2*20*Populations!$R22/(1000*2000)</f>
        <v>12098.1016253119</v>
      </c>
      <c r="DA23" s="4" t="n">
        <f aca="false">IF(NOT(CH23=0.001),CH23*0.00001,0.001)</f>
        <v>0.001</v>
      </c>
      <c r="DB23" s="4" t="n">
        <f aca="false">IF(NOT(CH23=0.001),CH23*0.00001,0.001)</f>
        <v>0.001</v>
      </c>
      <c r="DC23" s="4" t="n">
        <f aca="false">D23*0.02*12*Populations!$S22/(3*1000*2000)</f>
        <v>2.5519872</v>
      </c>
      <c r="DD23" s="4" t="n">
        <f aca="false">D23*0.5*12*Populations!$S22/(5*1000*2000)</f>
        <v>38.279808</v>
      </c>
      <c r="DE23" s="4" t="n">
        <f aca="false">D23*6*25*Populations!$S22/(1000*2000)</f>
        <v>4784.976</v>
      </c>
      <c r="DG23" s="4" t="n">
        <f aca="false">PRODUCT(AC23:AD23)</f>
        <v>32.142254706537</v>
      </c>
      <c r="DH23" s="4" t="n">
        <f aca="false">LOG(PRODUCT(S23,V23,Y23:AB23,AE23:AH23,AL23:AO23,AR23:AT23,AW23,BQ23:BU23,BZ23,CH23:CM23,CT23:CU23,CW23:DB23),2)</f>
        <v>280.520782134176</v>
      </c>
      <c r="DI23" s="4" t="n">
        <f aca="false">LOG(PRODUCT($AI23:$AK23,$AP23:$AQ23,$AU23:$AV23,AX23:BP23,BV23:BY23,CA23:CG23,CN23:CS23,CV23,DC23:DE23),2)</f>
        <v>428.339278241688</v>
      </c>
      <c r="DK23" s="4" t="n">
        <f aca="false">SUM(DG23:DI23)</f>
        <v>741.002315082401</v>
      </c>
    </row>
    <row r="24" s="4" customFormat="true" ht="12.8" hidden="false" customHeight="false" outlineLevel="0" collapsed="false">
      <c r="A24" s="0" t="s">
        <v>159</v>
      </c>
      <c r="B24" s="0" t="s">
        <v>132</v>
      </c>
      <c r="C24" s="0" t="n">
        <v>100</v>
      </c>
      <c r="D24" s="0" t="n">
        <f aca="false">IF(B24="Taiga",265,IF(B24="Mts",265,IF(B24="Temp",230,IF(B24="Steppe",265,IF(B24="Jungle",180,IF(B24="Sav",240,IF(B24="Medi",230,0)))))))</f>
        <v>265</v>
      </c>
      <c r="E24" s="0" t="n">
        <v>1</v>
      </c>
      <c r="F24" s="4" t="n">
        <f aca="false">IF(B24="Taiga",0.43,IF(B24="Mts",0.21,IF(B24="Temp",0.64,IF(B24="Steppe",0.57,IF(B24="Jungle",0.43,IF(B24="Sav",0.57,IF(B24="Medi",0.43,0)))))))</f>
        <v>0.43</v>
      </c>
      <c r="G24" s="4" t="n">
        <f aca="false">IF(B24="Taiga",0.43,IF(B24="Mts",0.8,IF(B24="Temp",0.64,IF(B24="Steppe",0.64,IF(B24="Jungle",0.43,IF(B24="Sav",0.8,IF(B24="Medi",0.6,0)))))))</f>
        <v>0.43</v>
      </c>
      <c r="H24" s="4" t="n">
        <f aca="false">$H$31*IF(B24="Taiga",528,IF(B24="Mts",855.27,IF(B24="Temp",565.94,IF(B24="Steppe",551.72,IF(B24="Jungle",575.43,IF(B24="Sav",599.15,IF(B24="Medi",564.36,0)))))))</f>
        <v>1584</v>
      </c>
      <c r="I24" s="4" t="n">
        <f aca="false">$H$31*IF(B24="Taiga",2608.19,IF(B24="Mts",2100,IF(B24="Temp",2976.19,IF(B24="Steppe",2450.48,IF(B24="Jungle",2135.05,IF(B24="Sav",2310.29,IF(B24="Medi",2485.52,0)))))))</f>
        <v>7824.57</v>
      </c>
      <c r="J24" s="4" t="n">
        <f aca="false">$H$31*IF(B24="Taiga",500.54,IF(B24="Mts",360,IF(B24="Temp",570.81,IF(B24="Steppe",441.95,IF(B24="Jungle",486.49,IF(B24="Sav",518.92,IF(B24="Medi",640,0)))))))</f>
        <v>1501.62</v>
      </c>
      <c r="K24" s="4" t="n">
        <f aca="false">$H$31*IF(B24="Taiga",2003.09,IF(B24="Mts",1612.8,IF(B24="Temp",2285.71,IF(B24="Steppe",1881.97,IF(B24="Jungle",1639.72,IF(B24="Sav",1774.3,IF(B24="Medi",1908.88,0)))))))</f>
        <v>6009.27</v>
      </c>
      <c r="L24" s="4" t="n">
        <f aca="false">$H$31*IF(B24="Taiga",260.82,IF(B24="Mts",210,IF(B24="Temp",297.62,IF(B24="Steppe",245.05,IF(B24="Jungle",213.5,IF(B24="Sav",231.03,IF(B24="Medi",248.55,0)))))))</f>
        <v>782.46</v>
      </c>
      <c r="M24" s="4" t="n">
        <f aca="false">$H$31*IF(B24="Taiga",250,IF(B24="Mts",640,IF(B24="Temp",295.2174,IF(B24="Steppe",278.2609,IF(B24="Jungle",306.5217,IF(B24="Sav",334.7826,IF(B24="Medi",293.3333,0)))))))</f>
        <v>750</v>
      </c>
      <c r="N24" s="4" t="n">
        <f aca="false">$H$31*IF(B24="Taiga",1491.9691,IF(B24="Mts",980,IF(B24="Temp",1747.9537,IF(B24="Steppe",1278.5174,IF(B24="Jungle",1440.7722,IF(B24="Sav",1558.9189,IF(B24="Medi",2000,0)))))))</f>
        <v>4475.9073</v>
      </c>
      <c r="O24" s="4" t="n">
        <f aca="false">$H$31*IF(B24="Taiga",68.5,IF(B24="Mts",25,IF(B24="Temp",100,IF(B24="Steppe",55,IF(B24="Jungle",28,IF(B24="Sav",43,IF(B24="Medi",58,0)))))))</f>
        <v>205.5</v>
      </c>
      <c r="P24" s="4" t="n">
        <f aca="false">$H$31*20*15/8000</f>
        <v>0.1125</v>
      </c>
      <c r="Q24" s="4" t="n">
        <f aca="false">$H$31*20*15/8000</f>
        <v>0.1125</v>
      </c>
      <c r="R24" s="1" t="s">
        <v>39</v>
      </c>
      <c r="S24" s="4" t="n">
        <f aca="false">C24*F24*G24*360*640*1393.66125/(2000*1000)</f>
        <v>2968.56535824</v>
      </c>
      <c r="T24" s="4" t="n">
        <f aca="false">C24*F24*G24*J24*640*1393.66125*2/(1000*2000*3)</f>
        <v>8254.92058007472</v>
      </c>
      <c r="U24" s="4" t="n">
        <f aca="false">T24*J$28</f>
        <v>2751.64019335824</v>
      </c>
      <c r="V24" s="4" t="n">
        <f aca="false">T24-U24</f>
        <v>5503.28038671648</v>
      </c>
      <c r="W24" s="4" t="n">
        <f aca="false">C24*F24*G24*H24*640*1393.66125*2/(1000*2000*3)</f>
        <v>8707.791717504</v>
      </c>
      <c r="X24" s="4" t="n">
        <f aca="false">W24*H$28</f>
        <v>2374.852286592</v>
      </c>
      <c r="Y24" s="4" t="n">
        <f aca="false">W24-X24</f>
        <v>6332.939430912</v>
      </c>
      <c r="Z24" s="4" t="n">
        <f aca="false">C24*F24*G24*M24*640*1393.66125/(1000*2000*3)</f>
        <v>2061.503721</v>
      </c>
      <c r="AA24" s="4" t="n">
        <f aca="false">C24*F24*G24*N24*640*1393.66125/(2000*1000)</f>
        <v>36908.3982152042</v>
      </c>
      <c r="AB24" s="4" t="n">
        <f aca="false">C24*F24*G24*O24*640*1393.66125/(2000*1000)</f>
        <v>1694.556058662</v>
      </c>
      <c r="AC24" s="4" t="n">
        <f aca="false">C24*P24*640*1393.66125/(2000*1000)</f>
        <v>5.0171805</v>
      </c>
      <c r="AD24" s="4" t="n">
        <f aca="false">C24*Q24*640*1393.66125/(2000*1000)</f>
        <v>5.0171805</v>
      </c>
      <c r="AE24" s="4" t="n">
        <f aca="false">($V24+$Z24)*2000*1000/(3*365)</f>
        <v>13816957.274368</v>
      </c>
      <c r="AF24" s="4" t="n">
        <f aca="false">($V24+$Z24)*2000*1000/(18*100)</f>
        <v>8405315.67524054</v>
      </c>
      <c r="AG24" s="4" t="n">
        <f aca="false">($V24+$Z24)*2000*1000/(3*365)</f>
        <v>13816957.274368</v>
      </c>
      <c r="AH24" s="4" t="n">
        <f aca="false">C24*F24*G24*K24*640*1393.66125/(2000*1000)</f>
        <v>49552.5298619747</v>
      </c>
      <c r="AI24" s="4" t="n">
        <f aca="false">3*12*D24*Populations!$S23/(5*1000)</f>
        <v>49707.216</v>
      </c>
      <c r="AJ24" s="4" t="n">
        <f aca="false">1.5*D24*750*Populations!$S23/(1000*2000*15)</f>
        <v>258.89175</v>
      </c>
      <c r="AK24" s="4" t="n">
        <f aca="false">66*10*D24*Populations!$S23/(1000*2000*6)</f>
        <v>379.7079</v>
      </c>
      <c r="AL24" s="4" t="n">
        <f aca="false">AE24*365/(2000*1000)</f>
        <v>2521.59470257216</v>
      </c>
      <c r="AM24" s="4" t="n">
        <f aca="false">AF24*25*238/(51*2000*1000)</f>
        <v>490.310081055698</v>
      </c>
      <c r="AN24" s="4" t="n">
        <f aca="false">AG24*100*238/(600*1000*2000)</f>
        <v>274.036319274965</v>
      </c>
      <c r="AO24" s="4" t="n">
        <f aca="false">AG24*120*2/(16*1000*2000)</f>
        <v>103.62717955776</v>
      </c>
      <c r="AP24" s="4" t="n">
        <f aca="false">D24*4800*Populations!$S23/($AP$28*10*1000*2000)</f>
        <v>935.634784500002</v>
      </c>
      <c r="AQ24" s="4" t="n">
        <f aca="false">D24*2*4800*Populations!$S23/($AQ$28*10*1000*2000)</f>
        <v>3598.595325</v>
      </c>
      <c r="AR24" s="4" t="n">
        <f aca="false">C24*F24*G24*L24*640*1393.66125/(2000*1000)</f>
        <v>6452.17680613464</v>
      </c>
      <c r="AS24" s="4" t="n">
        <f aca="false">AF24*600*6/(90*1000*2000)</f>
        <v>168.106313504811</v>
      </c>
      <c r="AT24" s="4" t="n">
        <f aca="false">IF(B24="Taiga",236.2,IF(B24="Mts",10,IF(B24="Temp",400,IF(B24="Steppe",25,IF(B24="Jungle",400,IF(B24="Sav",103.6,IF(B24="Medi",181.6,0)))))))*D24*AT$36*Populations!$R23/1000</f>
        <v>36055.5857787159</v>
      </c>
      <c r="AU24" s="4" t="n">
        <f aca="false">INDEX(Tech!$F$3:$F$13,MATCH(E24,Tech!$E$3:$E$13,1))*D24*AT$36*Populations!$S23/(365*1000)</f>
        <v>1294.45875</v>
      </c>
      <c r="AV24" s="4" t="n">
        <f aca="false">D24*12.5*AT$36*Populations!$S23/(10*30)</f>
        <v>539.3578125</v>
      </c>
      <c r="AW24" s="4" t="n">
        <f aca="false">0.125*D24*AW$30*Populations!$R23/1000</f>
        <v>39.354702407177</v>
      </c>
      <c r="AX24" s="4" t="n">
        <f aca="false">D24*AW$30*Populations!$S23/(3*1000)</f>
        <v>8.89940390625</v>
      </c>
      <c r="AY24" s="4" t="n">
        <f aca="false">D24*Populations!$S23/(2*1000*AY$30)/1000</f>
        <v>6.213402</v>
      </c>
      <c r="AZ24" s="4" t="n">
        <f aca="false">D24*AZ$30*Populations!$S23/(2*1000)</f>
        <v>4.3148625</v>
      </c>
      <c r="BA24" s="4" t="n">
        <f aca="false">D24*2*BA$30*Populations!$S23/1000</f>
        <v>20.71134</v>
      </c>
      <c r="BB24" s="4" t="n">
        <f aca="false">D24*3*BB$30*Populations!$S23/1000</f>
        <v>15.533505</v>
      </c>
      <c r="BC24" s="4" t="n">
        <f aca="false">D24*11*BC$30*Populations!$S23/(15*1000)</f>
        <v>3.0376632</v>
      </c>
      <c r="BD24" s="4" t="n">
        <f aca="false">D24*11*BD$30*Populations!$S23/(8*1000)</f>
        <v>7.119523125</v>
      </c>
      <c r="BE24" s="4" t="n">
        <f aca="false">D24*11*BE$30*Populations!$S23/(3*1000)</f>
        <v>4.61073878571428</v>
      </c>
      <c r="BF24" s="4" t="n">
        <f aca="false">D24*11*BF$30*Populations!$S23/(5*1000)</f>
        <v>3.322444125</v>
      </c>
      <c r="BG24" s="4" t="n">
        <f aca="false">D24*11*BG$30*Populations!$S23/(9*1000)</f>
        <v>8.43795333333333</v>
      </c>
      <c r="BH24" s="4" t="n">
        <f aca="false">D24*11*BH$30*Populations!$S23/(12*1000)</f>
        <v>4.74634875</v>
      </c>
      <c r="BI24" s="4" t="n">
        <f aca="false">D24*BI$30*Populations!$S23/(1000*125/12)</f>
        <v>13.2552576</v>
      </c>
      <c r="BJ24" s="4" t="n">
        <f aca="false">D24*BJ$30*Populations!$S23/(30*1000)</f>
        <v>6.02469868</v>
      </c>
      <c r="BK24" s="4" t="n">
        <f aca="false">D24*BK$30*Populations!$S23/(7*1000)</f>
        <v>0.832152053571429</v>
      </c>
      <c r="BL24" s="4" t="n">
        <f aca="false">D24*BL$30*Populations!$S23/(8.5*1000)</f>
        <v>1.37060338235294</v>
      </c>
      <c r="BM24" s="4" t="n">
        <f aca="false">D24*BM$30*Populations!$S23/1000</f>
        <v>2.9125321875</v>
      </c>
      <c r="BN24" s="4" t="n">
        <f aca="false">D24*BN$30*Populations!$S23/(1.5*1000)</f>
        <v>6.90378</v>
      </c>
      <c r="BO24" s="4" t="n">
        <f aca="false">D24*BO$30*Populations!$S23/(2*1000)</f>
        <v>5.60932125</v>
      </c>
      <c r="BP24" s="4" t="n">
        <f aca="false">D24*BP$30*Populations!$S23/(4*1000)</f>
        <v>1.29445875</v>
      </c>
      <c r="BQ24" s="4" t="n">
        <f aca="false">D24*Populations!$R23*10/(3*1000*2000)</f>
        <v>135.687593484678</v>
      </c>
      <c r="BR24" s="4" t="n">
        <f aca="false">D24*2*Populations!$R23/(30*1000*2000)</f>
        <v>2.71375186969355</v>
      </c>
      <c r="BS24" s="4" t="n">
        <f aca="false">D24*2*Populations!$S23/((37.5/12)*1000*2000)</f>
        <v>2.2092096</v>
      </c>
      <c r="BT24" s="4" t="n">
        <f aca="false">D24*2*Populations!$S23/((20/9)*1000*2000)</f>
        <v>3.106701</v>
      </c>
      <c r="BU24" s="4" t="n">
        <f aca="false">AF24*25*4/(51*$BU$32)</f>
        <v>4.12025278198066</v>
      </c>
      <c r="BV24" s="4" t="n">
        <f aca="false">D24*Populations!$S23*12/($BV$30*3)</f>
        <v>21.746907</v>
      </c>
      <c r="BW24" s="4" t="n">
        <f aca="false">D24*Populations!$S23*12/(2*$BW$30)</f>
        <v>18.640206</v>
      </c>
      <c r="BX24" s="4" t="n">
        <f aca="false">D24*Populations!$S23*12/(5*$BX$30)</f>
        <v>9.32010299999999</v>
      </c>
      <c r="BY24" s="4" t="n">
        <f aca="false">D24*Populations!$S23/(2*$BY$30)</f>
        <v>5.43672675</v>
      </c>
      <c r="BZ24" s="4" t="n">
        <f aca="false">D24*Populations!$R23*500/(1000*2000)</f>
        <v>20353.1390227016</v>
      </c>
      <c r="CA24" s="4" t="n">
        <f aca="false">D24*Populations!R23*15/(1000*2000)</f>
        <v>610.594170681049</v>
      </c>
      <c r="CB24" s="4" t="n">
        <f aca="false">IF(B24="Mts",1,D24*Populations!R23*30/(1000*2000))</f>
        <v>1221.1883413621</v>
      </c>
      <c r="CC24" s="4" t="n">
        <f aca="false">D24*40*Populations!R23/(1000*2000)</f>
        <v>1628.25112181613</v>
      </c>
      <c r="CD24" s="4" t="n">
        <f aca="false">D24*40*Populations!R23/(1000*2000)</f>
        <v>1628.25112181613</v>
      </c>
      <c r="CE24" s="4" t="n">
        <f aca="false">D24*20*Populations!R23/(1000*2000)</f>
        <v>814.125560908065</v>
      </c>
      <c r="CF24" s="4" t="n">
        <f aca="false">D24*8.3454*32*Populations!$S23/(1000*2000)</f>
        <v>921.836889792</v>
      </c>
      <c r="CG24" s="4" t="n">
        <f aca="false">D24*50*2*Populations!$S23/(3*1000*2000)</f>
        <v>115.063</v>
      </c>
      <c r="CH24" s="4" t="n">
        <f aca="false">IF(B24="Mts",20*D24*Populations!$R23/1000,0.001)</f>
        <v>0.001</v>
      </c>
      <c r="CI24" s="4" t="n">
        <f aca="false">IF(NOT(CH24=0.001),0.006*CH24/3,0.001)</f>
        <v>0.001</v>
      </c>
      <c r="CJ24" s="4" t="n">
        <f aca="false">IF(NOT(CH24=0.001),0.7*CH24/3,0.001)</f>
        <v>0.001</v>
      </c>
      <c r="CK24" s="4" t="n">
        <f aca="false">IF(NOT(CH24=0.001),0.65*CH24/3,0.001)</f>
        <v>0.001</v>
      </c>
      <c r="CL24" s="4" t="n">
        <f aca="false">IF(NOT(CH24=0.001),0.002*CH24/3,0.001)</f>
        <v>0.001</v>
      </c>
      <c r="CM24" s="4" t="n">
        <f aca="false">IF(NOT(CH24=0.001),0.001*CH24/3,0.001)</f>
        <v>0.001</v>
      </c>
      <c r="CN24" s="4" t="n">
        <f aca="false">D24*3*110/(24*2000)*Populations!$S23</f>
        <v>47463.4875</v>
      </c>
      <c r="CO24" s="4" t="n">
        <f aca="false">D24*3*12/(24*2000)*Populations!$S23</f>
        <v>5177.835</v>
      </c>
      <c r="CP24" s="4" t="n">
        <f aca="false">D24*3*1.4/(24*2000)*Populations!$S23</f>
        <v>604.08075</v>
      </c>
      <c r="CQ24" s="4" t="n">
        <f aca="false">D24*6400*8.3454*Populations!$S23/(10*1000*2000)</f>
        <v>18436.73779584</v>
      </c>
      <c r="CR24" s="4" t="n">
        <f aca="false">D24*2*Populations!$S23/(1000*2000)</f>
        <v>6.90378</v>
      </c>
      <c r="CS24" s="4" t="n">
        <f aca="false">D24*2*30*Populations!$S23/(1000*2000)</f>
        <v>207.1134</v>
      </c>
      <c r="CT24" s="4" t="n">
        <f aca="false">27*Populations!$R23/(4*1000*2000)</f>
        <v>1.0368580256848</v>
      </c>
      <c r="CU24" s="4" t="n">
        <f aca="false">27*Populations!$R23/(16*1000*2000)</f>
        <v>0.2592145064212</v>
      </c>
      <c r="CV24" s="4" t="n">
        <f aca="false">AP24*0.9</f>
        <v>842.071306050002</v>
      </c>
      <c r="CW24" s="4" t="n">
        <f aca="false">2.5*D24*Populations!$R23/(60*2000)</f>
        <v>1696.09491855847</v>
      </c>
      <c r="CX24" s="4" t="n">
        <f aca="false">D24*125*Populations!R23/(6*1000*2000)</f>
        <v>848.047459279234</v>
      </c>
      <c r="CY24" s="4" t="n">
        <f aca="false">D24*1.875*2*Populations!R23/(6*1000*2000)</f>
        <v>25.441423778377</v>
      </c>
      <c r="CZ24" s="4" t="n">
        <f aca="false">D24*2*20*Populations!$R23/(1000*2000)</f>
        <v>1628.25112181613</v>
      </c>
      <c r="DA24" s="4" t="n">
        <f aca="false">IF(NOT(CH24=0.001),CH24*0.00001,0.001)</f>
        <v>0.001</v>
      </c>
      <c r="DB24" s="4" t="n">
        <f aca="false">IF(NOT(CH24=0.001),CH24*0.00001,0.001)</f>
        <v>0.001</v>
      </c>
      <c r="DC24" s="4" t="n">
        <f aca="false">D24*0.02*12*Populations!$S23/(3*1000*2000)</f>
        <v>0.2761512</v>
      </c>
      <c r="DD24" s="4" t="n">
        <f aca="false">D24*0.5*12*Populations!$S23/(5*1000*2000)</f>
        <v>4.142268</v>
      </c>
      <c r="DE24" s="4" t="n">
        <f aca="false">D24*6*25*Populations!$S23/(1000*2000)</f>
        <v>517.7835</v>
      </c>
      <c r="DG24" s="4" t="n">
        <f aca="false">PRODUCT(AC24:AD24)</f>
        <v>25.1721001695803</v>
      </c>
      <c r="DH24" s="4" t="n">
        <f aca="false">LOG(PRODUCT(S24,V24,Y24:AB24,AE24:AH24,AL24:AO24,AR24:AT24,AW24,BQ24:BU24,BZ24,CH24:CM24,CT24:CU24,CW24:DB24),2)</f>
        <v>216.885312039201</v>
      </c>
      <c r="DI24" s="4" t="n">
        <f aca="false">LOG(PRODUCT($AI24:$AK24,$AP24:$AQ24,$AU24:$AV24,AX24:BP24,BV24:BY24,CA24:CG24,CN24:CS24,CV24,DC24:DE24),2)</f>
        <v>279.132537212331</v>
      </c>
      <c r="DK24" s="4" t="n">
        <f aca="false">SUM(DG24:DI24)</f>
        <v>521.189949421111</v>
      </c>
    </row>
    <row r="25" s="4" customFormat="true" ht="12.8" hidden="false" customHeight="false" outlineLevel="0" collapsed="false">
      <c r="A25" s="0" t="s">
        <v>160</v>
      </c>
      <c r="B25" s="0" t="s">
        <v>132</v>
      </c>
      <c r="C25" s="0" t="n">
        <v>151</v>
      </c>
      <c r="D25" s="0" t="n">
        <f aca="false">IF(B25="Taiga",265,IF(B25="Mts",265,IF(B25="Temp",230,IF(B25="Steppe",265,IF(B25="Jungle",180,IF(B25="Sav",240,IF(B25="Medi",230,0)))))))</f>
        <v>265</v>
      </c>
      <c r="E25" s="0" t="n">
        <v>1</v>
      </c>
      <c r="F25" s="4" t="n">
        <f aca="false">IF(B25="Taiga",0.43,IF(B25="Mts",0.21,IF(B25="Temp",0.64,IF(B25="Steppe",0.57,IF(B25="Jungle",0.43,IF(B25="Sav",0.57,IF(B25="Medi",0.43,0)))))))</f>
        <v>0.43</v>
      </c>
      <c r="G25" s="4" t="n">
        <f aca="false">IF(B25="Taiga",0.43,IF(B25="Mts",0.8,IF(B25="Temp",0.64,IF(B25="Steppe",0.64,IF(B25="Jungle",0.43,IF(B25="Sav",0.8,IF(B25="Medi",0.6,0)))))))</f>
        <v>0.43</v>
      </c>
      <c r="H25" s="4" t="n">
        <f aca="false">$H$31*IF(B25="Taiga",528,IF(B25="Mts",855.27,IF(B25="Temp",565.94,IF(B25="Steppe",551.72,IF(B25="Jungle",575.43,IF(B25="Sav",599.15,IF(B25="Medi",564.36,0)))))))</f>
        <v>1584</v>
      </c>
      <c r="I25" s="4" t="n">
        <f aca="false">$H$31*IF(B25="Taiga",2608.19,IF(B25="Mts",2100,IF(B25="Temp",2976.19,IF(B25="Steppe",2450.48,IF(B25="Jungle",2135.05,IF(B25="Sav",2310.29,IF(B25="Medi",2485.52,0)))))))</f>
        <v>7824.57</v>
      </c>
      <c r="J25" s="4" t="n">
        <f aca="false">$H$31*IF(B25="Taiga",500.54,IF(B25="Mts",360,IF(B25="Temp",570.81,IF(B25="Steppe",441.95,IF(B25="Jungle",486.49,IF(B25="Sav",518.92,IF(B25="Medi",640,0)))))))</f>
        <v>1501.62</v>
      </c>
      <c r="K25" s="4" t="n">
        <f aca="false">$H$31*IF(B25="Taiga",2003.09,IF(B25="Mts",1612.8,IF(B25="Temp",2285.71,IF(B25="Steppe",1881.97,IF(B25="Jungle",1639.72,IF(B25="Sav",1774.3,IF(B25="Medi",1908.88,0)))))))</f>
        <v>6009.27</v>
      </c>
      <c r="L25" s="4" t="n">
        <f aca="false">$H$31*IF(B25="Taiga",260.82,IF(B25="Mts",210,IF(B25="Temp",297.62,IF(B25="Steppe",245.05,IF(B25="Jungle",213.5,IF(B25="Sav",231.03,IF(B25="Medi",248.55,0)))))))</f>
        <v>782.46</v>
      </c>
      <c r="M25" s="4" t="n">
        <f aca="false">$H$31*IF(B25="Taiga",250,IF(B25="Mts",640,IF(B25="Temp",295.2174,IF(B25="Steppe",278.2609,IF(B25="Jungle",306.5217,IF(B25="Sav",334.7826,IF(B25="Medi",293.3333,0)))))))</f>
        <v>750</v>
      </c>
      <c r="N25" s="4" t="n">
        <f aca="false">$H$31*IF(B25="Taiga",1491.9691,IF(B25="Mts",980,IF(B25="Temp",1747.9537,IF(B25="Steppe",1278.5174,IF(B25="Jungle",1440.7722,IF(B25="Sav",1558.9189,IF(B25="Medi",2000,0)))))))</f>
        <v>4475.9073</v>
      </c>
      <c r="O25" s="4" t="n">
        <f aca="false">$H$31*IF(B25="Taiga",68.5,IF(B25="Mts",25,IF(B25="Temp",100,IF(B25="Steppe",55,IF(B25="Jungle",28,IF(B25="Sav",43,IF(B25="Medi",58,0)))))))</f>
        <v>205.5</v>
      </c>
      <c r="P25" s="4" t="n">
        <f aca="false">$H$31*20*15/8000</f>
        <v>0.1125</v>
      </c>
      <c r="Q25" s="4" t="n">
        <f aca="false">$H$31*20*15/8000</f>
        <v>0.1125</v>
      </c>
      <c r="R25" s="1" t="s">
        <v>39</v>
      </c>
      <c r="S25" s="4" t="n">
        <f aca="false">C25*F25*G25*360*640*1393.66125/(2000*1000)</f>
        <v>4482.5336909424</v>
      </c>
      <c r="T25" s="4" t="n">
        <f aca="false">C25*F25*G25*J25*640*1393.66125*2/(1000*2000*3)</f>
        <v>12464.9300759128</v>
      </c>
      <c r="U25" s="4" t="n">
        <f aca="false">T25*J$28</f>
        <v>4154.97669197094</v>
      </c>
      <c r="V25" s="4" t="n">
        <f aca="false">T25-U25</f>
        <v>8309.95338394189</v>
      </c>
      <c r="W25" s="4" t="n">
        <f aca="false">C25*F25*G25*H25*640*1393.66125*2/(1000*2000*3)</f>
        <v>13148.765493431</v>
      </c>
      <c r="X25" s="4" t="n">
        <f aca="false">W25*H$28</f>
        <v>3586.02695275392</v>
      </c>
      <c r="Y25" s="4" t="n">
        <f aca="false">W25-X25</f>
        <v>9562.73854067711</v>
      </c>
      <c r="Z25" s="4" t="n">
        <f aca="false">C25*F25*G25*M25*640*1393.66125/(1000*2000*3)</f>
        <v>3112.87061871</v>
      </c>
      <c r="AA25" s="4" t="n">
        <f aca="false">C25*F25*G25*N25*640*1393.66125/(2000*1000)</f>
        <v>55731.6813049584</v>
      </c>
      <c r="AB25" s="4" t="n">
        <f aca="false">C25*F25*G25*O25*640*1393.66125/(2000*1000)</f>
        <v>2558.77964857962</v>
      </c>
      <c r="AC25" s="4" t="n">
        <f aca="false">C25*P25*640*1393.66125/(2000*1000)</f>
        <v>7.575942555</v>
      </c>
      <c r="AD25" s="4" t="n">
        <f aca="false">C25*Q25*640*1393.66125/(2000*1000)</f>
        <v>7.575942555</v>
      </c>
      <c r="AE25" s="4" t="n">
        <f aca="false">($V25+$Z25)*2000*1000/(3*365)</f>
        <v>20863605.4842957</v>
      </c>
      <c r="AF25" s="4" t="n">
        <f aca="false">($V25+$Z25)*2000*1000/(18*100)</f>
        <v>12692026.6696132</v>
      </c>
      <c r="AG25" s="4" t="n">
        <f aca="false">($V25+$Z25)*2000*1000/(3*365)</f>
        <v>20863605.4842957</v>
      </c>
      <c r="AH25" s="4" t="n">
        <f aca="false">C25*F25*G25*K25*640*1393.66125/(2000*1000)</f>
        <v>74824.3200915818</v>
      </c>
      <c r="AI25" s="4" t="n">
        <f aca="false">3*12*D25*Populations!$S24/(5*1000)</f>
        <v>81458.244</v>
      </c>
      <c r="AJ25" s="4" t="n">
        <f aca="false">1.5*D25*750*Populations!$S24/(1000*2000*15)</f>
        <v>424.2616875</v>
      </c>
      <c r="AK25" s="4" t="n">
        <f aca="false">66*10*D25*Populations!$S24/(1000*2000*6)</f>
        <v>622.250475</v>
      </c>
      <c r="AL25" s="4" t="n">
        <f aca="false">AE25*365/(2000*1000)</f>
        <v>3807.60800088396</v>
      </c>
      <c r="AM25" s="4" t="n">
        <f aca="false">AF25*25*238/(51*2000*1000)</f>
        <v>740.368222394104</v>
      </c>
      <c r="AN25" s="4" t="n">
        <f aca="false">AG25*100*238/(600*1000*2000)</f>
        <v>413.794842105198</v>
      </c>
      <c r="AO25" s="4" t="n">
        <f aca="false">AG25*120*2/(16*1000*2000)</f>
        <v>156.477041132218</v>
      </c>
      <c r="AP25" s="4" t="n">
        <f aca="false">D25*4800*Populations!$S24/($AP$28*10*1000*2000)</f>
        <v>1533.281738625</v>
      </c>
      <c r="AQ25" s="4" t="n">
        <f aca="false">D25*2*4800*Populations!$S24/($AQ$28*10*1000*2000)</f>
        <v>5897.23745625</v>
      </c>
      <c r="AR25" s="4" t="n">
        <f aca="false">C25*F25*G25*L25*640*1393.66125/(2000*1000)</f>
        <v>9742.78697726331</v>
      </c>
      <c r="AS25" s="4" t="n">
        <f aca="false">AF25*600*6/(90*1000*2000)</f>
        <v>253.840533392264</v>
      </c>
      <c r="AT25" s="4" t="n">
        <f aca="false">IF(B25="Taiga",236.2,IF(B25="Mts",10,IF(B25="Temp",400,IF(B25="Steppe",25,IF(B25="Jungle",400,IF(B25="Sav",103.6,IF(B25="Medi",181.6,0)))))))*D25*AT$36*Populations!$R24/1000</f>
        <v>54050.3345258643</v>
      </c>
      <c r="AU25" s="4" t="n">
        <f aca="false">INDEX(Tech!$F$3:$F$13,MATCH(E25,Tech!$E$3:$E$13,1))*D25*AT$36*Populations!$S24/(365*1000)</f>
        <v>2121.3084375</v>
      </c>
      <c r="AV25" s="4" t="n">
        <f aca="false">D25*12.5*AT$36*Populations!$S24/(10*30)</f>
        <v>883.878515625</v>
      </c>
      <c r="AW25" s="4" t="n">
        <f aca="false">0.125*D25*AW$30*Populations!$R24/1000</f>
        <v>58.9959859015638</v>
      </c>
      <c r="AX25" s="4" t="n">
        <f aca="false">D25*AW$30*Populations!$S24/(3*1000)</f>
        <v>14.5839955078125</v>
      </c>
      <c r="AY25" s="4" t="n">
        <f aca="false">D25*Populations!$S24/(2*1000*AY$30)/1000</f>
        <v>10.1822805</v>
      </c>
      <c r="AZ25" s="4" t="n">
        <f aca="false">D25*AZ$30*Populations!$S24/(2*1000)</f>
        <v>7.071028125</v>
      </c>
      <c r="BA25" s="4" t="n">
        <f aca="false">D25*2*BA$30*Populations!$S24/1000</f>
        <v>33.940935</v>
      </c>
      <c r="BB25" s="4" t="n">
        <f aca="false">D25*3*BB$30*Populations!$S24/1000</f>
        <v>25.45570125</v>
      </c>
      <c r="BC25" s="4" t="n">
        <f aca="false">D25*11*BC$30*Populations!$S24/(15*1000)</f>
        <v>4.9780038</v>
      </c>
      <c r="BD25" s="4" t="n">
        <f aca="false">D25*11*BD$30*Populations!$S24/(8*1000)</f>
        <v>11.66719640625</v>
      </c>
      <c r="BE25" s="4" t="n">
        <f aca="false">D25*11*BE$30*Populations!$S24/(3*1000)</f>
        <v>7.55589862499999</v>
      </c>
      <c r="BF25" s="4" t="n">
        <f aca="false">D25*11*BF$30*Populations!$S24/(5*1000)</f>
        <v>5.44469165625</v>
      </c>
      <c r="BG25" s="4" t="n">
        <f aca="false">D25*11*BG$30*Populations!$S24/(9*1000)</f>
        <v>13.8277883333333</v>
      </c>
      <c r="BH25" s="4" t="n">
        <f aca="false">D25*11*BH$30*Populations!$S24/(12*1000)</f>
        <v>7.7781309375</v>
      </c>
      <c r="BI25" s="4" t="n">
        <f aca="false">D25*BI$30*Populations!$S24/(1000*125/12)</f>
        <v>21.7221984</v>
      </c>
      <c r="BJ25" s="4" t="n">
        <f aca="false">D25*BJ$30*Populations!$S24/(30*1000)</f>
        <v>9.87304087</v>
      </c>
      <c r="BK25" s="4" t="n">
        <f aca="false">D25*BK$30*Populations!$S24/(7*1000)</f>
        <v>1.36369828125</v>
      </c>
      <c r="BL25" s="4" t="n">
        <f aca="false">D25*BL$30*Populations!$S24/(8.5*1000)</f>
        <v>2.24609128676471</v>
      </c>
      <c r="BM25" s="4" t="n">
        <f aca="false">D25*BM$30*Populations!$S24/1000</f>
        <v>4.772943984375</v>
      </c>
      <c r="BN25" s="4" t="n">
        <f aca="false">D25*BN$30*Populations!$S24/(1.5*1000)</f>
        <v>11.313645</v>
      </c>
      <c r="BO25" s="4" t="n">
        <f aca="false">D25*BO$30*Populations!$S24/(2*1000)</f>
        <v>9.1923365625</v>
      </c>
      <c r="BP25" s="4" t="n">
        <f aca="false">D25*BP$30*Populations!$S24/(4*1000)</f>
        <v>2.1213084375</v>
      </c>
      <c r="BQ25" s="4" t="n">
        <f aca="false">D25*Populations!$R24*10/(3*1000*2000)</f>
        <v>203.407035566335</v>
      </c>
      <c r="BR25" s="4" t="n">
        <f aca="false">D25*2*Populations!$R24/(30*1000*2000)</f>
        <v>4.06814071132669</v>
      </c>
      <c r="BS25" s="4" t="n">
        <f aca="false">D25*2*Populations!$S24/((37.5/12)*1000*2000)</f>
        <v>3.6203664</v>
      </c>
      <c r="BT25" s="4" t="n">
        <f aca="false">D25*2*Populations!$S24/((20/9)*1000*2000)</f>
        <v>5.09114025</v>
      </c>
      <c r="BU25" s="4" t="n">
        <f aca="false">AF25*25*4/(51*$BU$32)</f>
        <v>6.22158170079079</v>
      </c>
      <c r="BV25" s="4" t="n">
        <f aca="false">D25*Populations!$S24*12/($BV$30*3)</f>
        <v>35.63798175</v>
      </c>
      <c r="BW25" s="4" t="n">
        <f aca="false">D25*Populations!$S24*12/(2*$BW$30)</f>
        <v>30.5468415</v>
      </c>
      <c r="BX25" s="4" t="n">
        <f aca="false">D25*Populations!$S24*12/(5*$BX$30)</f>
        <v>15.27342075</v>
      </c>
      <c r="BY25" s="4" t="n">
        <f aca="false">D25*Populations!$S24/(2*$BY$30)</f>
        <v>8.9094954375</v>
      </c>
      <c r="BZ25" s="4" t="n">
        <f aca="false">D25*Populations!$R24*500/(1000*2000)</f>
        <v>30511.0553349502</v>
      </c>
      <c r="CA25" s="4" t="n">
        <f aca="false">D25*Populations!R24*15/(1000*2000)</f>
        <v>915.331660048505</v>
      </c>
      <c r="CB25" s="4" t="n">
        <f aca="false">IF(B25="Mts",1,D25*Populations!R24*30/(1000*2000))</f>
        <v>1830.66332009701</v>
      </c>
      <c r="CC25" s="4" t="n">
        <f aca="false">D25*40*Populations!R24/(1000*2000)</f>
        <v>2440.88442679601</v>
      </c>
      <c r="CD25" s="4" t="n">
        <f aca="false">D25*40*Populations!R24/(1000*2000)</f>
        <v>2440.88442679601</v>
      </c>
      <c r="CE25" s="4" t="n">
        <f aca="false">D25*20*Populations!R24/(1000*2000)</f>
        <v>1220.44221339801</v>
      </c>
      <c r="CF25" s="4" t="n">
        <f aca="false">D25*8.3454*32*Populations!$S24/(1000*2000)</f>
        <v>1510.670287728</v>
      </c>
      <c r="CG25" s="4" t="n">
        <f aca="false">D25*50*2*Populations!$S24/(3*1000*2000)</f>
        <v>188.56075</v>
      </c>
      <c r="CH25" s="4" t="n">
        <f aca="false">IF(B25="Mts",20*D25*Populations!$R24/1000,0.001)</f>
        <v>0.001</v>
      </c>
      <c r="CI25" s="4" t="n">
        <f aca="false">IF(NOT(CH25=0.001),0.006*CH25/3,0.001)</f>
        <v>0.001</v>
      </c>
      <c r="CJ25" s="4" t="n">
        <f aca="false">IF(NOT(CH25=0.001),0.7*CH25/3,0.001)</f>
        <v>0.001</v>
      </c>
      <c r="CK25" s="4" t="n">
        <f aca="false">IF(NOT(CH25=0.001),0.65*CH25/3,0.001)</f>
        <v>0.001</v>
      </c>
      <c r="CL25" s="4" t="n">
        <f aca="false">IF(NOT(CH25=0.001),0.002*CH25/3,0.001)</f>
        <v>0.001</v>
      </c>
      <c r="CM25" s="4" t="n">
        <f aca="false">IF(NOT(CH25=0.001),0.001*CH25/3,0.001)</f>
        <v>0.001</v>
      </c>
      <c r="CN25" s="4" t="n">
        <f aca="false">D25*3*110/(24*2000)*Populations!$S24</f>
        <v>77781.309375</v>
      </c>
      <c r="CO25" s="4" t="n">
        <f aca="false">D25*3*12/(24*2000)*Populations!$S24</f>
        <v>8485.23375</v>
      </c>
      <c r="CP25" s="4" t="n">
        <f aca="false">D25*3*1.4/(24*2000)*Populations!$S24</f>
        <v>989.9439375</v>
      </c>
      <c r="CQ25" s="4" t="n">
        <f aca="false">D25*6400*8.3454*Populations!$S24/(10*1000*2000)</f>
        <v>30213.40575456</v>
      </c>
      <c r="CR25" s="4" t="n">
        <f aca="false">D25*2*Populations!$S24/(1000*2000)</f>
        <v>11.313645</v>
      </c>
      <c r="CS25" s="4" t="n">
        <f aca="false">D25*2*30*Populations!$S24/(1000*2000)</f>
        <v>339.40935</v>
      </c>
      <c r="CT25" s="4" t="n">
        <f aca="false">27*Populations!$R24/(4*1000*2000)</f>
        <v>1.55433678121444</v>
      </c>
      <c r="CU25" s="4" t="n">
        <f aca="false">27*Populations!$R24/(16*1000*2000)</f>
        <v>0.388584195303611</v>
      </c>
      <c r="CV25" s="4" t="n">
        <f aca="false">AP25*0.9</f>
        <v>1379.9535647625</v>
      </c>
      <c r="CW25" s="4" t="n">
        <f aca="false">2.5*D25*Populations!$R24/(60*2000)</f>
        <v>2542.58794457918</v>
      </c>
      <c r="CX25" s="4" t="n">
        <f aca="false">D25*125*Populations!R24/(6*1000*2000)</f>
        <v>1271.29397228959</v>
      </c>
      <c r="CY25" s="4" t="n">
        <f aca="false">D25*1.875*2*Populations!R24/(6*1000*2000)</f>
        <v>38.1388191686877</v>
      </c>
      <c r="CZ25" s="4" t="n">
        <f aca="false">D25*2*20*Populations!$R24/(1000*2000)</f>
        <v>2440.88442679601</v>
      </c>
      <c r="DA25" s="4" t="n">
        <f aca="false">IF(NOT(CH25=0.001),CH25*0.00001,0.001)</f>
        <v>0.001</v>
      </c>
      <c r="DB25" s="4" t="n">
        <f aca="false">IF(NOT(CH25=0.001),CH25*0.00001,0.001)</f>
        <v>0.001</v>
      </c>
      <c r="DC25" s="4" t="n">
        <f aca="false">D25*0.02*12*Populations!$S24/(3*1000*2000)</f>
        <v>0.4525458</v>
      </c>
      <c r="DD25" s="4" t="n">
        <f aca="false">D25*0.5*12*Populations!$S24/(5*1000*2000)</f>
        <v>6.788187</v>
      </c>
      <c r="DE25" s="4" t="n">
        <f aca="false">D25*6*25*Populations!$S24/(1000*2000)</f>
        <v>848.523375</v>
      </c>
      <c r="DG25" s="4" t="n">
        <f aca="false">PRODUCT(AC25:AD25)</f>
        <v>57.3949055966599</v>
      </c>
      <c r="DH25" s="4" t="n">
        <f aca="false">LOG(PRODUCT(S25,V25,Y25:AB25,AE25:AH25,AL25:AO25,AR25:AT25,AW25,BQ25:BU25,BZ25,CH25:CM25,CT25:CU25,CW25:DB25),2)</f>
        <v>234.842736630771</v>
      </c>
      <c r="DI25" s="4" t="n">
        <f aca="false">LOG(PRODUCT($AI25:$AK25,$AP25:$AQ25,$AU25:$AV25,AX25:BP25,BV25:BY25,CA25:CG25,CN25:CS25,CV25,DC25:DE25),2)</f>
        <v>311.982368316683</v>
      </c>
      <c r="DK25" s="4" t="n">
        <f aca="false">SUM(DG25:DI25)</f>
        <v>604.220010544114</v>
      </c>
    </row>
    <row r="26" customFormat="false" ht="12.8" hidden="false" customHeight="false" outlineLevel="0" collapsed="false">
      <c r="CF26" s="5"/>
    </row>
    <row r="27" s="1" customFormat="true" ht="12.8" hidden="false" customHeight="false" outlineLevel="0" collapsed="false">
      <c r="G27" s="1" t="s">
        <v>161</v>
      </c>
      <c r="H27" s="1" t="s">
        <v>162</v>
      </c>
      <c r="I27" s="1" t="s">
        <v>163</v>
      </c>
      <c r="J27" s="1" t="s">
        <v>164</v>
      </c>
      <c r="N27" s="6"/>
      <c r="O27" s="0"/>
      <c r="S27" s="0"/>
      <c r="T27" s="0"/>
      <c r="U27" s="0"/>
      <c r="V27" s="1" t="n">
        <f aca="false">(1/($V$3+Dists!$Q$2))+(1/($V$4+Dists!$Q$3))+(1/($V$5+Dists!$Q$4))</f>
        <v>0.000336478326188942</v>
      </c>
      <c r="Z27" s="0"/>
      <c r="AA27" s="0"/>
      <c r="AD27" s="1" t="s">
        <v>165</v>
      </c>
      <c r="AI27" s="1" t="s">
        <v>166</v>
      </c>
      <c r="AJ27" s="1" t="s">
        <v>166</v>
      </c>
      <c r="AK27" s="1" t="s">
        <v>165</v>
      </c>
      <c r="AT27" s="1" t="s">
        <v>167</v>
      </c>
      <c r="AV27" s="7"/>
      <c r="AW27" s="1" t="s">
        <v>168</v>
      </c>
      <c r="AY27" s="1" t="s">
        <v>169</v>
      </c>
      <c r="AZ27" s="1" t="s">
        <v>170</v>
      </c>
      <c r="BA27" s="1" t="s">
        <v>171</v>
      </c>
      <c r="BB27" s="1" t="s">
        <v>172</v>
      </c>
      <c r="BC27" s="1" t="s">
        <v>173</v>
      </c>
      <c r="BD27" s="1" t="s">
        <v>174</v>
      </c>
      <c r="BE27" s="1" t="s">
        <v>175</v>
      </c>
      <c r="BF27" s="1" t="s">
        <v>176</v>
      </c>
      <c r="BG27" s="1" t="s">
        <v>177</v>
      </c>
      <c r="BH27" s="1" t="s">
        <v>178</v>
      </c>
      <c r="BI27" s="1" t="s">
        <v>179</v>
      </c>
      <c r="BJ27" s="1" t="s">
        <v>180</v>
      </c>
      <c r="BK27" s="1" t="s">
        <v>181</v>
      </c>
      <c r="BL27" s="1" t="s">
        <v>182</v>
      </c>
      <c r="BM27" s="1" t="s">
        <v>183</v>
      </c>
      <c r="BN27" s="1" t="s">
        <v>184</v>
      </c>
      <c r="BO27" s="1" t="s">
        <v>185</v>
      </c>
      <c r="BP27" s="1" t="s">
        <v>186</v>
      </c>
      <c r="BQ27" s="1" t="s">
        <v>165</v>
      </c>
      <c r="BR27" s="1" t="s">
        <v>165</v>
      </c>
      <c r="BS27" s="1" t="s">
        <v>165</v>
      </c>
      <c r="BT27" s="1" t="s">
        <v>165</v>
      </c>
      <c r="BU27" s="1" t="s">
        <v>165</v>
      </c>
      <c r="BV27" s="1" t="s">
        <v>165</v>
      </c>
      <c r="BW27" s="1" t="s">
        <v>165</v>
      </c>
      <c r="BX27" s="1" t="s">
        <v>165</v>
      </c>
      <c r="BY27" s="1" t="s">
        <v>165</v>
      </c>
      <c r="CA27" s="1" t="n">
        <f aca="false">AVERAGE(AM3,AN3,CX3)</f>
        <v>708.306060485296</v>
      </c>
      <c r="CF27" s="1" t="s">
        <v>165</v>
      </c>
      <c r="CG27" s="1" t="s">
        <v>165</v>
      </c>
      <c r="CN27" s="1" t="s">
        <v>165</v>
      </c>
      <c r="CO27" s="1" t="s">
        <v>165</v>
      </c>
      <c r="CP27" s="1" t="s">
        <v>165</v>
      </c>
      <c r="CR27" s="1" t="s">
        <v>165</v>
      </c>
      <c r="CS27" s="1" t="s">
        <v>165</v>
      </c>
      <c r="CW27" s="1" t="s">
        <v>165</v>
      </c>
      <c r="CY27" s="1" t="s">
        <v>165</v>
      </c>
      <c r="DC27" s="1" t="s">
        <v>165</v>
      </c>
      <c r="DD27" s="1" t="s">
        <v>165</v>
      </c>
      <c r="DE27" s="1" t="s">
        <v>165</v>
      </c>
      <c r="DK27" s="1" t="s">
        <v>187</v>
      </c>
    </row>
    <row r="28" customFormat="false" ht="12.8" hidden="false" customHeight="false" outlineLevel="0" collapsed="false">
      <c r="G28" s="8" t="n">
        <f aca="false" t="array" ref="G28:G28">AVERAGE(C3:C25*F3:F25*G3:G25*40.82766)</f>
        <v>1556.76701884357</v>
      </c>
      <c r="H28" s="9" t="n">
        <f aca="false">144/528</f>
        <v>0.272727272727273</v>
      </c>
      <c r="I28" s="9" t="n">
        <f aca="false">400/2100</f>
        <v>0.19047619047619</v>
      </c>
      <c r="J28" s="9" t="n">
        <f aca="false">1/3</f>
        <v>0.333333333333333</v>
      </c>
      <c r="T28" s="0" t="n">
        <f aca="false">T3*1000*2000*0.8*0.8/(1.5*365)</f>
        <v>25281919.3217704</v>
      </c>
      <c r="V28" s="0" t="n">
        <f aca="false" t="array" ref="V28:V28">SUM(1/(V3:V5+Dists!Q2:Q4))</f>
        <v>0.000336478326188942</v>
      </c>
      <c r="AD28" s="0" t="s">
        <v>188</v>
      </c>
      <c r="AF28" s="4"/>
      <c r="AG28" s="4"/>
      <c r="AI28" s="0" t="n">
        <f aca="false">AVERAGE(0.7,0.7,1)</f>
        <v>0.8</v>
      </c>
      <c r="AJ28" s="0" t="n">
        <v>0.8</v>
      </c>
      <c r="AK28" s="0" t="s">
        <v>189</v>
      </c>
      <c r="AP28" s="0" t="n">
        <f aca="false">48/(3.25*8.34)</f>
        <v>1.77089097952407</v>
      </c>
      <c r="AQ28" s="0" t="n">
        <f aca="false">(4*48)/(25*8.34)</f>
        <v>0.920863309352518</v>
      </c>
      <c r="AT28" s="0" t="n">
        <f aca="false">45*128</f>
        <v>5760</v>
      </c>
      <c r="AW28" s="5" t="n">
        <f aca="false">110*(9/12)*(3/12)*(4.5/12)</f>
        <v>7.734375</v>
      </c>
      <c r="AY28" s="5" t="n">
        <f aca="false">2000*1000/60</f>
        <v>33333.3333333333</v>
      </c>
      <c r="AZ28" s="0" t="n">
        <v>2.5</v>
      </c>
      <c r="BA28" s="0" t="n">
        <v>3</v>
      </c>
      <c r="BB28" s="0" t="n">
        <v>1.5</v>
      </c>
      <c r="BC28" s="0" t="n">
        <v>1.2</v>
      </c>
      <c r="BD28" s="0" t="n">
        <v>1.5</v>
      </c>
      <c r="BE28" s="4" t="n">
        <f aca="false">2.55/7</f>
        <v>0.364285714285714</v>
      </c>
      <c r="BF28" s="0" t="n">
        <f aca="false">7/16</f>
        <v>0.4375</v>
      </c>
      <c r="BG28" s="0" t="n">
        <v>2</v>
      </c>
      <c r="BH28" s="0" t="n">
        <v>1.5</v>
      </c>
      <c r="BI28" s="0" t="n">
        <v>40</v>
      </c>
      <c r="BJ28" s="0" t="n">
        <f aca="false">4.8*2.2+4*2.2+4.2*2.2+1.2*2.2+4.8*2.2+4.8*2.2</f>
        <v>52.36</v>
      </c>
      <c r="BK28" s="0" t="n">
        <f aca="false">BL28/2</f>
        <v>1.6875</v>
      </c>
      <c r="BL28" s="0" t="n">
        <f aca="false">3+(3/8)</f>
        <v>3.375</v>
      </c>
      <c r="BM28" s="0" t="n">
        <f aca="false">BL28/4</f>
        <v>0.84375</v>
      </c>
      <c r="BN28" s="0" t="n">
        <v>3</v>
      </c>
      <c r="BO28" s="0" t="n">
        <f aca="false">52/16</f>
        <v>3.25</v>
      </c>
      <c r="BP28" s="0" t="n">
        <v>1.5</v>
      </c>
      <c r="BQ28" s="0" t="n">
        <v>15000</v>
      </c>
      <c r="BR28" s="0" t="s">
        <v>190</v>
      </c>
      <c r="BS28" s="0" t="s">
        <v>191</v>
      </c>
      <c r="BT28" s="0" t="s">
        <v>192</v>
      </c>
      <c r="BU28" s="0" t="s">
        <v>193</v>
      </c>
      <c r="BV28" s="0" t="s">
        <v>194</v>
      </c>
      <c r="BW28" s="0" t="s">
        <v>195</v>
      </c>
      <c r="BX28" s="0" t="s">
        <v>196</v>
      </c>
      <c r="BY28" s="0" t="s">
        <v>197</v>
      </c>
      <c r="CF28" s="0" t="s">
        <v>198</v>
      </c>
      <c r="CG28" s="0" t="s">
        <v>199</v>
      </c>
      <c r="CN28" s="0" t="s">
        <v>200</v>
      </c>
      <c r="CO28" s="0" t="s">
        <v>200</v>
      </c>
      <c r="CP28" s="0" t="s">
        <v>200</v>
      </c>
      <c r="CR28" s="0" t="s">
        <v>201</v>
      </c>
      <c r="CS28" s="0" t="s">
        <v>202</v>
      </c>
      <c r="CW28" s="0" t="s">
        <v>203</v>
      </c>
      <c r="CY28" s="0" t="s">
        <v>204</v>
      </c>
      <c r="DC28" s="0" t="s">
        <v>205</v>
      </c>
      <c r="DD28" s="0" t="s">
        <v>206</v>
      </c>
      <c r="DE28" s="0" t="s">
        <v>207</v>
      </c>
      <c r="DK28" s="0" t="n">
        <f aca="false">MAX(DK3:DK25)</f>
        <v>1311.34380339535</v>
      </c>
    </row>
    <row r="29" customFormat="false" ht="12.8" hidden="false" customHeight="false" outlineLevel="0" collapsed="false">
      <c r="T29" s="0" t="n">
        <f aca="false">T4*1000*2000*0.8*0.8/(1.5*365)</f>
        <v>26610760.286208</v>
      </c>
      <c r="AD29" s="0" t="s">
        <v>208</v>
      </c>
      <c r="AH29" s="10"/>
      <c r="AK29" s="0" t="s">
        <v>209</v>
      </c>
      <c r="AP29" s="0" t="s">
        <v>210</v>
      </c>
      <c r="AQ29" s="0" t="s">
        <v>210</v>
      </c>
      <c r="AT29" s="1" t="s">
        <v>211</v>
      </c>
      <c r="AW29" s="1" t="s">
        <v>212</v>
      </c>
      <c r="AY29" s="1" t="s">
        <v>213</v>
      </c>
      <c r="AZ29" s="1" t="s">
        <v>214</v>
      </c>
      <c r="BA29" s="1" t="s">
        <v>215</v>
      </c>
      <c r="BB29" s="1" t="s">
        <v>215</v>
      </c>
      <c r="BC29" s="1" t="s">
        <v>215</v>
      </c>
      <c r="BD29" s="1" t="s">
        <v>215</v>
      </c>
      <c r="BE29" s="1" t="s">
        <v>215</v>
      </c>
      <c r="BF29" s="1" t="s">
        <v>215</v>
      </c>
      <c r="BG29" s="1" t="s">
        <v>215</v>
      </c>
      <c r="BH29" s="1" t="s">
        <v>215</v>
      </c>
      <c r="BI29" s="1" t="s">
        <v>215</v>
      </c>
      <c r="BJ29" s="1" t="s">
        <v>215</v>
      </c>
      <c r="BK29" s="1" t="s">
        <v>215</v>
      </c>
      <c r="BL29" s="1" t="s">
        <v>215</v>
      </c>
      <c r="BM29" s="1" t="s">
        <v>215</v>
      </c>
      <c r="BN29" s="1" t="s">
        <v>215</v>
      </c>
      <c r="BO29" s="1" t="s">
        <v>215</v>
      </c>
      <c r="BP29" s="1" t="s">
        <v>215</v>
      </c>
      <c r="BQ29" s="1" t="s">
        <v>216</v>
      </c>
      <c r="BR29" s="0" t="s">
        <v>217</v>
      </c>
      <c r="BS29" s="0" t="s">
        <v>218</v>
      </c>
      <c r="BT29" s="0" t="s">
        <v>219</v>
      </c>
      <c r="BU29" s="0" t="s">
        <v>220</v>
      </c>
      <c r="BV29" s="0" t="s">
        <v>221</v>
      </c>
      <c r="BW29" s="0" t="s">
        <v>222</v>
      </c>
      <c r="BX29" s="0" t="s">
        <v>223</v>
      </c>
      <c r="BY29" s="0" t="s">
        <v>224</v>
      </c>
      <c r="CF29" s="0" t="n">
        <f aca="false">ROUND(8.3454*32,0)</f>
        <v>267</v>
      </c>
      <c r="CN29" s="0" t="s">
        <v>225</v>
      </c>
      <c r="CO29" s="0" t="s">
        <v>225</v>
      </c>
      <c r="CP29" s="0" t="s">
        <v>225</v>
      </c>
      <c r="CR29" s="0" t="s">
        <v>226</v>
      </c>
      <c r="CS29" s="0" t="s">
        <v>227</v>
      </c>
      <c r="CW29" s="0" t="n">
        <f aca="false">1/60</f>
        <v>0.0166666666666667</v>
      </c>
      <c r="CY29" s="0" t="s">
        <v>228</v>
      </c>
      <c r="DC29" s="0" t="s">
        <v>229</v>
      </c>
      <c r="DD29" s="0" t="s">
        <v>230</v>
      </c>
      <c r="DE29" s="0" t="s">
        <v>231</v>
      </c>
    </row>
    <row r="30" customFormat="false" ht="12.8" hidden="false" customHeight="false" outlineLevel="0" collapsed="false">
      <c r="H30" s="1" t="s">
        <v>232</v>
      </c>
      <c r="T30" s="0" t="n">
        <f aca="false">T5*1000*2000*0.8*0.8/(1.5*365)</f>
        <v>53142387.7423694</v>
      </c>
      <c r="AH30" s="10"/>
      <c r="AK30" s="0" t="s">
        <v>233</v>
      </c>
      <c r="AP30" s="0" t="s">
        <v>234</v>
      </c>
      <c r="AQ30" s="0" t="s">
        <v>235</v>
      </c>
      <c r="AT30" s="5" t="n">
        <f aca="false">AT28/2000</f>
        <v>2.88</v>
      </c>
      <c r="AW30" s="11" t="n">
        <f aca="false">AW28/2000</f>
        <v>0.0038671875</v>
      </c>
      <c r="AY30" s="5" t="n">
        <f aca="false">AY28/(60*1000)</f>
        <v>0.555555555555556</v>
      </c>
      <c r="AZ30" s="0" t="n">
        <f aca="false">AZ28/2000</f>
        <v>0.00125</v>
      </c>
      <c r="BA30" s="0" t="n">
        <f aca="false">BA28/2000</f>
        <v>0.0015</v>
      </c>
      <c r="BB30" s="0" t="n">
        <f aca="false">BB28/2000</f>
        <v>0.00075</v>
      </c>
      <c r="BC30" s="0" t="n">
        <f aca="false">BC28/2000</f>
        <v>0.0006</v>
      </c>
      <c r="BD30" s="0" t="n">
        <f aca="false">BD28/2000</f>
        <v>0.00075</v>
      </c>
      <c r="BE30" s="0" t="n">
        <f aca="false">BE28/2000</f>
        <v>0.000182142857142857</v>
      </c>
      <c r="BF30" s="0" t="n">
        <f aca="false">BF28/2000</f>
        <v>0.00021875</v>
      </c>
      <c r="BG30" s="0" t="n">
        <f aca="false">BG28/2000</f>
        <v>0.001</v>
      </c>
      <c r="BH30" s="0" t="n">
        <f aca="false">BH28/2000</f>
        <v>0.00075</v>
      </c>
      <c r="BI30" s="0" t="n">
        <f aca="false">BI28/2000</f>
        <v>0.02</v>
      </c>
      <c r="BJ30" s="0" t="n">
        <f aca="false">BJ28/2000</f>
        <v>0.02618</v>
      </c>
      <c r="BK30" s="0" t="n">
        <f aca="false">BK28/2000</f>
        <v>0.00084375</v>
      </c>
      <c r="BL30" s="0" t="n">
        <f aca="false">BL28/2000</f>
        <v>0.0016875</v>
      </c>
      <c r="BM30" s="0" t="n">
        <f aca="false">BM28/2000</f>
        <v>0.000421875</v>
      </c>
      <c r="BN30" s="0" t="n">
        <f aca="false">BN28/2000</f>
        <v>0.0015</v>
      </c>
      <c r="BO30" s="0" t="n">
        <f aca="false">BO28/2000</f>
        <v>0.001625</v>
      </c>
      <c r="BP30" s="0" t="n">
        <f aca="false">BP28/2000</f>
        <v>0.00075</v>
      </c>
      <c r="BQ30" s="10" t="n">
        <f aca="false">BQ28*2000</f>
        <v>30000000</v>
      </c>
      <c r="BR30" s="10" t="n">
        <f aca="false">2000*1000/2</f>
        <v>1000000</v>
      </c>
      <c r="BS30" s="10" t="n">
        <f aca="false">2000*1000*4</f>
        <v>8000000</v>
      </c>
      <c r="BT30" s="10" t="n">
        <f aca="false">2000*1000*(20/9)</f>
        <v>4444444.44444444</v>
      </c>
      <c r="BU30" s="0" t="s">
        <v>236</v>
      </c>
      <c r="BV30" s="10" t="n">
        <f aca="false">2000*1000*(20/9)/3.5</f>
        <v>1269841.26984127</v>
      </c>
      <c r="BW30" s="10" t="n">
        <f aca="false">2000*1000*(20/9)/2</f>
        <v>2222222.22222222</v>
      </c>
      <c r="BX30" s="10" t="n">
        <f aca="false">2000*1000*(20/9)/2.5</f>
        <v>1777777.77777778</v>
      </c>
      <c r="BY30" s="10" t="n">
        <f aca="false">2000*1000*(20/9)/7</f>
        <v>634920.634920635</v>
      </c>
      <c r="CF30" s="0" t="s">
        <v>237</v>
      </c>
      <c r="CN30" s="0" t="s">
        <v>238</v>
      </c>
      <c r="CO30" s="0" t="s">
        <v>238</v>
      </c>
      <c r="CP30" s="0" t="s">
        <v>238</v>
      </c>
      <c r="CR30" s="0" t="s">
        <v>239</v>
      </c>
      <c r="CS30" s="0" t="s">
        <v>240</v>
      </c>
      <c r="CW30" s="0" t="s">
        <v>213</v>
      </c>
      <c r="DC30" s="10" t="n">
        <f aca="false">2000*1000/0.02</f>
        <v>100000000</v>
      </c>
      <c r="DD30" s="0" t="s">
        <v>241</v>
      </c>
      <c r="DE30" s="10" t="n">
        <f aca="false">2000*1000/25</f>
        <v>80000</v>
      </c>
    </row>
    <row r="31" customFormat="false" ht="12.8" hidden="false" customHeight="false" outlineLevel="0" collapsed="false">
      <c r="H31" s="0" t="n">
        <v>3</v>
      </c>
      <c r="T31" s="0" t="n">
        <f aca="false">T6*1000*2000*0.8*0.8/(1.5*365)</f>
        <v>152632446.605328</v>
      </c>
      <c r="AC31" s="0" t="n">
        <f aca="false">LOG(AC3*AD3,10)</f>
        <v>1.63546204261713</v>
      </c>
      <c r="AF31" s="0" t="n">
        <f aca="false">AF3/AM3</f>
        <v>17142.8571428571</v>
      </c>
      <c r="AG31" s="0" t="n">
        <f aca="false">AG3/AN3</f>
        <v>50420.1680672269</v>
      </c>
      <c r="AH31" s="10"/>
      <c r="AK31" s="0" t="s">
        <v>242</v>
      </c>
      <c r="AT31" s="1" t="s">
        <v>243</v>
      </c>
      <c r="AW31" s="1" t="s">
        <v>244</v>
      </c>
      <c r="AY31" s="1" t="s">
        <v>245</v>
      </c>
      <c r="AZ31" s="1" t="s">
        <v>246</v>
      </c>
      <c r="BA31" s="1" t="s">
        <v>246</v>
      </c>
      <c r="BB31" s="1" t="s">
        <v>246</v>
      </c>
      <c r="BC31" s="1" t="s">
        <v>246</v>
      </c>
      <c r="BD31" s="1" t="s">
        <v>246</v>
      </c>
      <c r="BE31" s="1" t="s">
        <v>246</v>
      </c>
      <c r="BF31" s="1" t="s">
        <v>246</v>
      </c>
      <c r="BG31" s="1" t="s">
        <v>246</v>
      </c>
      <c r="BH31" s="1" t="s">
        <v>246</v>
      </c>
      <c r="BI31" s="1" t="s">
        <v>246</v>
      </c>
      <c r="BJ31" s="1" t="s">
        <v>246</v>
      </c>
      <c r="BK31" s="1" t="s">
        <v>246</v>
      </c>
      <c r="BL31" s="1" t="s">
        <v>246</v>
      </c>
      <c r="BM31" s="1" t="s">
        <v>246</v>
      </c>
      <c r="BN31" s="1" t="s">
        <v>246</v>
      </c>
      <c r="BO31" s="1" t="s">
        <v>246</v>
      </c>
      <c r="BP31" s="1" t="s">
        <v>246</v>
      </c>
      <c r="BQ31" s="1" t="s">
        <v>247</v>
      </c>
      <c r="BT31" s="0" t="s">
        <v>248</v>
      </c>
      <c r="BU31" s="0" t="s">
        <v>219</v>
      </c>
      <c r="CF31" s="0" t="n">
        <f aca="false">ROUND(2000*1000/CF29,0)</f>
        <v>7491</v>
      </c>
      <c r="CS31" s="0" t="s">
        <v>249</v>
      </c>
      <c r="CW31" s="0" t="n">
        <f aca="false">2000*1000/60</f>
        <v>33333.3333333333</v>
      </c>
    </row>
    <row r="32" customFormat="false" ht="12.8" hidden="false" customHeight="false" outlineLevel="0" collapsed="false">
      <c r="T32" s="0" t="n">
        <f aca="false">T7*1000*2000*0.8*0.8/(1.5*365)</f>
        <v>12990086.774784</v>
      </c>
      <c r="BU32" s="10" t="n">
        <f aca="false">2000*1000*2</f>
        <v>4000000</v>
      </c>
      <c r="CR32" s="0" t="s">
        <v>250</v>
      </c>
      <c r="CW32" s="0" t="s">
        <v>251</v>
      </c>
      <c r="CY32" s="0" t="n">
        <f aca="false">(1.25+2.5)/2</f>
        <v>1.875</v>
      </c>
      <c r="DC32" s="0" t="s">
        <v>252</v>
      </c>
    </row>
    <row r="33" customFormat="false" ht="12.8" hidden="false" customHeight="false" outlineLevel="0" collapsed="false">
      <c r="T33" s="0" t="n">
        <f aca="false">T8*1000*2000*0.8*0.8/(1.5*365)</f>
        <v>32665504.3920986</v>
      </c>
      <c r="AF33" s="0" t="n">
        <v>17142.8571428571</v>
      </c>
      <c r="AG33" s="0" t="n">
        <v>50420.1680672271</v>
      </c>
      <c r="AK33" s="5" t="n">
        <f aca="false">(30/4)/(66/2000)</f>
        <v>227.272727272727</v>
      </c>
      <c r="AT33" s="1" t="s">
        <v>253</v>
      </c>
      <c r="BT33" s="10" t="n">
        <f aca="false">BT3*4444</f>
        <v>15651.454698</v>
      </c>
      <c r="CR33" s="0" t="s">
        <v>254</v>
      </c>
      <c r="CS33" s="0" t="s">
        <v>255</v>
      </c>
      <c r="CW33" s="0" t="n">
        <f aca="false">0.5</f>
        <v>0.5</v>
      </c>
      <c r="DC33" s="0" t="s">
        <v>241</v>
      </c>
    </row>
    <row r="34" customFormat="false" ht="12.8" hidden="false" customHeight="false" outlineLevel="0" collapsed="false">
      <c r="T34" s="0" t="n">
        <f aca="false">T9*1000*2000*0.8*0.8/(1.5*365)</f>
        <v>39491132.1755222</v>
      </c>
      <c r="AK34" s="1" t="s">
        <v>256</v>
      </c>
      <c r="AT34" s="5" t="n">
        <f aca="false">45/12</f>
        <v>3.75</v>
      </c>
      <c r="BU34" s="0" t="s">
        <v>257</v>
      </c>
      <c r="CR34" s="0" t="s">
        <v>258</v>
      </c>
      <c r="CS34" s="0" t="s">
        <v>259</v>
      </c>
      <c r="CW34" s="0" t="s">
        <v>260</v>
      </c>
    </row>
    <row r="35" customFormat="false" ht="12.8" hidden="false" customHeight="false" outlineLevel="0" collapsed="false">
      <c r="T35" s="0" t="n">
        <f aca="false">T10*1000*2000*0.8*0.8/(1.5*365)</f>
        <v>18160898.015232</v>
      </c>
      <c r="AE35" s="0" t="n">
        <f aca="false">2000*1000/(3*365)</f>
        <v>1826.48401826484</v>
      </c>
      <c r="AF35" s="0" t="n">
        <f aca="false">2000*1000/(18*100)</f>
        <v>1111.11111111111</v>
      </c>
      <c r="AT35" s="1" t="s">
        <v>261</v>
      </c>
      <c r="CR35" s="0" t="s">
        <v>262</v>
      </c>
      <c r="CS35" s="0" t="s">
        <v>258</v>
      </c>
      <c r="CW35" s="10" t="n">
        <f aca="false">2000*1000*2</f>
        <v>4000000</v>
      </c>
    </row>
    <row r="36" customFormat="false" ht="12.8" hidden="false" customHeight="false" outlineLevel="0" collapsed="false">
      <c r="T36" s="0" t="n">
        <f aca="false">T11*1000*2000*0.8*0.8/(1.5*365)</f>
        <v>69718912.3592553</v>
      </c>
      <c r="V36" s="5"/>
      <c r="AT36" s="11" t="n">
        <f aca="false">AT34/2000</f>
        <v>0.001875</v>
      </c>
      <c r="BU36" s="0" t="s">
        <v>263</v>
      </c>
      <c r="CS36" s="0" t="s">
        <v>264</v>
      </c>
    </row>
    <row r="37" customFormat="false" ht="12.8" hidden="false" customHeight="false" outlineLevel="0" collapsed="false">
      <c r="T37" s="0" t="n">
        <f aca="false">T12*1000*2000*0.8*0.8/(1.5*365)</f>
        <v>19548188.83584</v>
      </c>
      <c r="AE37" s="0" t="n">
        <v>1826.48401826484</v>
      </c>
      <c r="AF37" s="0" t="n">
        <v>1111.11111111111</v>
      </c>
      <c r="AT37" s="1" t="s">
        <v>265</v>
      </c>
      <c r="BU37" s="0" t="s">
        <v>266</v>
      </c>
    </row>
    <row r="38" customFormat="false" ht="12.8" hidden="false" customHeight="false" outlineLevel="0" collapsed="false">
      <c r="T38" s="0" t="n">
        <f aca="false">T13*1000*2000*0.8*0.8/(1.5*365)</f>
        <v>23821965.6849641</v>
      </c>
      <c r="AT38" s="11"/>
    </row>
    <row r="39" customFormat="false" ht="12.8" hidden="false" customHeight="false" outlineLevel="0" collapsed="false">
      <c r="T39" s="0" t="n">
        <f aca="false">T14*1000*2000*0.8*0.8/(1.5*365)</f>
        <v>18569878.7622949</v>
      </c>
      <c r="AT39" s="0" t="s">
        <v>267</v>
      </c>
    </row>
    <row r="40" customFormat="false" ht="12.8" hidden="false" customHeight="false" outlineLevel="0" collapsed="false">
      <c r="Q40" s="10"/>
      <c r="S40" s="1"/>
      <c r="T40" s="0" t="n">
        <f aca="false">T15*1000*2000*0.8*0.8/(1.5*365)</f>
        <v>39474649.6391578</v>
      </c>
      <c r="U40" s="1"/>
      <c r="V40" s="1"/>
      <c r="W40" s="1"/>
      <c r="X40" s="1"/>
      <c r="Y40" s="1"/>
      <c r="Z40" s="1"/>
      <c r="AB40" s="1"/>
      <c r="AC40" s="1"/>
      <c r="AD40" s="1"/>
      <c r="AH40" s="1"/>
      <c r="AI40" s="1"/>
      <c r="AJ40" s="1"/>
      <c r="AK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</row>
    <row r="41" customFormat="false" ht="12.8" hidden="false" customHeight="false" outlineLevel="0" collapsed="false">
      <c r="T41" s="0" t="n">
        <f aca="false">T16*1000*2000*0.8*0.8/(1.5*365)</f>
        <v>21571071.2895345</v>
      </c>
    </row>
    <row r="42" customFormat="false" ht="12.8" hidden="false" customHeight="false" outlineLevel="0" collapsed="false">
      <c r="S42" s="1"/>
      <c r="T42" s="0" t="n">
        <f aca="false">T17*1000*2000*0.8*0.8/(1.5*365)</f>
        <v>75569450.4593326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/>
      <c r="AG42" s="1"/>
      <c r="AH42" s="1"/>
      <c r="AI42" s="1"/>
      <c r="AJ42" s="1"/>
      <c r="AK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3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</row>
    <row r="43" customFormat="false" ht="12.8" hidden="false" customHeight="false" outlineLevel="0" collapsed="false">
      <c r="S43" s="4"/>
      <c r="T43" s="0" t="n">
        <f aca="false">T18*1000*2000*0.8*0.8/(1.5*365)</f>
        <v>69718912.3592553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</row>
    <row r="44" customFormat="false" ht="12.8" hidden="false" customHeight="false" outlineLevel="0" collapsed="false">
      <c r="S44" s="4"/>
      <c r="T44" s="0" t="n">
        <f aca="false">T19*1000*2000*0.8*0.8/(1.5*365)</f>
        <v>28922911.653888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</row>
    <row r="45" customFormat="false" ht="12.8" hidden="false" customHeight="false" outlineLevel="0" collapsed="false">
      <c r="S45" s="4"/>
      <c r="T45" s="0" t="n">
        <f aca="false">T20*1000*2000*0.8*0.8/(1.5*365)</f>
        <v>5549163.282432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</row>
    <row r="46" customFormat="false" ht="12.8" hidden="false" customHeight="false" outlineLevel="0" collapsed="false">
      <c r="S46" s="4"/>
      <c r="T46" s="0" t="n">
        <f aca="false">T21*1000*2000*0.8*0.8/(1.5*365)</f>
        <v>67486793.859072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</row>
    <row r="47" customFormat="false" ht="12.8" hidden="false" customHeight="false" outlineLevel="0" collapsed="false">
      <c r="S47" s="4"/>
      <c r="T47" s="0" t="n">
        <f aca="false">T22*1000*2000*0.8*0.8/(1.5*365)</f>
        <v>15890785.763328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</row>
    <row r="48" customFormat="false" ht="12.8" hidden="false" customHeight="false" outlineLevel="0" collapsed="false">
      <c r="S48" s="4"/>
      <c r="T48" s="0" t="n">
        <f aca="false">T23*1000*2000*0.8*0.8/(1.5*365)</f>
        <v>55757942.6153104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</row>
    <row r="49" customFormat="false" ht="12.8" hidden="false" customHeight="false" outlineLevel="0" collapsed="false">
      <c r="S49" s="4"/>
      <c r="T49" s="0" t="n">
        <f aca="false">T24*1000*2000*0.8*0.8/(1.5*365)</f>
        <v>19299175.0547866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</row>
    <row r="50" customFormat="false" ht="12.8" hidden="false" customHeight="false" outlineLevel="0" collapsed="false">
      <c r="S50" s="4"/>
      <c r="T50" s="0" t="n">
        <f aca="false">T25*1000*2000*0.8*0.8/(1.5*365)</f>
        <v>29141754.3327277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</row>
    <row r="51" customFormat="false" ht="12.8" hidden="false" customHeight="false" outlineLevel="0" collapsed="false"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</row>
    <row r="52" customFormat="false" ht="12.8" hidden="false" customHeight="false" outlineLevel="0" collapsed="false">
      <c r="S52" s="4"/>
      <c r="T52" s="10" t="n">
        <f aca="false">SUM(T28:T50)</f>
        <v>921016691.264492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</row>
    <row r="53" customFormat="false" ht="12.8" hidden="false" customHeight="false" outlineLevel="0" collapsed="false"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</row>
    <row r="54" customFormat="false" ht="12.8" hidden="false" customHeight="false" outlineLevel="0" collapsed="false">
      <c r="S54" s="4"/>
      <c r="T54" s="4" t="n">
        <f aca="false">T52/Populations!P26</f>
        <v>291.327794537598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</row>
    <row r="55" customFormat="false" ht="12.8" hidden="false" customHeight="false" outlineLevel="0" collapsed="false"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</row>
    <row r="56" customFormat="false" ht="12.8" hidden="false" customHeight="false" outlineLevel="0" collapsed="false"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</row>
    <row r="57" customFormat="false" ht="12.8" hidden="false" customHeight="false" outlineLevel="0" collapsed="false"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</row>
    <row r="58" customFormat="false" ht="12.8" hidden="false" customHeight="false" outlineLevel="0" collapsed="false"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</row>
    <row r="59" customFormat="false" ht="12.8" hidden="false" customHeight="false" outlineLevel="0" collapsed="false"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</row>
    <row r="60" customFormat="false" ht="12.8" hidden="false" customHeight="false" outlineLevel="0" collapsed="false"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</row>
    <row r="61" customFormat="false" ht="12.8" hidden="false" customHeight="false" outlineLevel="0" collapsed="false"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</row>
    <row r="62" customFormat="false" ht="12.8" hidden="false" customHeight="false" outlineLevel="0" collapsed="false"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</row>
    <row r="63" customFormat="false" ht="12.8" hidden="false" customHeight="false" outlineLevel="0" collapsed="false"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</row>
    <row r="64" customFormat="false" ht="12.8" hidden="false" customHeight="false" outlineLevel="0" collapsed="false"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</row>
    <row r="65" customFormat="false" ht="12.8" hidden="false" customHeight="false" outlineLevel="0" collapsed="false"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</row>
    <row r="66" customFormat="false" ht="12.8" hidden="false" customHeight="false" outlineLevel="0" collapsed="false"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</row>
    <row r="67" customFormat="false" ht="12.8" hidden="false" customHeight="false" outlineLevel="0" collapsed="false"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</row>
    <row r="68" customFormat="false" ht="12.8" hidden="false" customHeight="false" outlineLevel="0" collapsed="false"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</row>
    <row r="69" customFormat="false" ht="12.8" hidden="false" customHeight="false" outlineLevel="0" collapsed="false"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</row>
    <row r="70" customFormat="false" ht="12.8" hidden="false" customHeight="false" outlineLevel="0" collapsed="false">
      <c r="S70" s="4"/>
    </row>
    <row r="71" customFormat="false" ht="12.8" hidden="false" customHeight="false" outlineLevel="0" collapsed="false">
      <c r="S71" s="4"/>
    </row>
    <row r="72" customFormat="false" ht="12.8" hidden="false" customHeight="false" outlineLevel="0" collapsed="false">
      <c r="S72" s="4"/>
    </row>
    <row r="73" customFormat="false" ht="12.8" hidden="false" customHeight="false" outlineLevel="0" collapsed="false">
      <c r="S73" s="4"/>
    </row>
    <row r="74" customFormat="false" ht="12.8" hidden="false" customHeight="false" outlineLevel="0" collapsed="false">
      <c r="S7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545"/>
  <sheetViews>
    <sheetView showFormulas="false" showGridLines="true" showRowColHeaders="true" showZeros="true" rightToLeft="false" tabSelected="false" showOutlineSymbols="true" defaultGridColor="true" view="normal" topLeftCell="BO1" colorId="64" zoomScale="75" zoomScaleNormal="75" zoomScalePageLayoutView="100" workbookViewId="0">
      <pane xSplit="0" ySplit="1" topLeftCell="A2" activePane="bottomLeft" state="frozen"/>
      <selection pane="topLeft" activeCell="BO1" activeCellId="0" sqref="BO1"/>
      <selection pane="bottomLeft" activeCell="BQ27" activeCellId="0" sqref="BQ27"/>
    </sheetView>
  </sheetViews>
  <sheetFormatPr defaultRowHeight="12.8" zeroHeight="false" outlineLevelRow="0" outlineLevelCol="0"/>
  <cols>
    <col collapsed="false" customWidth="true" hidden="false" outlineLevel="0" max="1" min="1" style="4" width="11.12"/>
    <col collapsed="false" customWidth="true" hidden="false" outlineLevel="0" max="2" min="2" style="4" width="3.9"/>
    <col collapsed="false" customWidth="true" hidden="false" outlineLevel="0" max="3" min="3" style="4" width="11.27"/>
    <col collapsed="false" customWidth="true" hidden="false" outlineLevel="0" max="5" min="4" style="4" width="10.84"/>
    <col collapsed="false" customWidth="true" hidden="false" outlineLevel="0" max="6" min="6" style="4" width="10.69"/>
    <col collapsed="false" customWidth="true" hidden="false" outlineLevel="0" max="7" min="7" style="4" width="12.98"/>
    <col collapsed="false" customWidth="true" hidden="false" outlineLevel="0" max="8" min="8" style="4" width="9.82"/>
    <col collapsed="false" customWidth="true" hidden="false" outlineLevel="0" max="9" min="9" style="4" width="11.41"/>
    <col collapsed="false" customWidth="true" hidden="false" outlineLevel="0" max="10" min="10" style="4" width="9.53"/>
    <col collapsed="false" customWidth="true" hidden="false" outlineLevel="0" max="11" min="11" style="4" width="16.17"/>
    <col collapsed="false" customWidth="true" hidden="false" outlineLevel="0" max="12" min="12" style="4" width="9.96"/>
    <col collapsed="false" customWidth="true" hidden="false" outlineLevel="0" max="13" min="13" style="4" width="9.39"/>
    <col collapsed="false" customWidth="true" hidden="false" outlineLevel="0" max="14" min="14" style="4" width="11.7"/>
    <col collapsed="false" customWidth="true" hidden="false" outlineLevel="0" max="15" min="15" style="4" width="10.54"/>
    <col collapsed="false" customWidth="true" hidden="false" outlineLevel="0" max="16" min="16" style="4" width="10.98"/>
    <col collapsed="false" customWidth="true" hidden="false" outlineLevel="0" max="18" min="17" style="4" width="12.29"/>
    <col collapsed="false" customWidth="true" hidden="false" outlineLevel="0" max="19" min="19" style="4" width="15.15"/>
    <col collapsed="false" customWidth="true" hidden="false" outlineLevel="0" max="20" min="20" style="4" width="14.59"/>
    <col collapsed="false" customWidth="true" hidden="false" outlineLevel="0" max="21" min="21" style="4" width="10.39"/>
    <col collapsed="false" customWidth="true" hidden="false" outlineLevel="0" max="22" min="22" style="4" width="10.54"/>
    <col collapsed="false" customWidth="true" hidden="false" outlineLevel="0" max="23" min="23" style="4" width="11.27"/>
    <col collapsed="false" customWidth="true" hidden="false" outlineLevel="0" max="24" min="24" style="4" width="11.99"/>
    <col collapsed="false" customWidth="true" hidden="false" outlineLevel="0" max="25" min="25" style="4" width="10.39"/>
    <col collapsed="false" customWidth="true" hidden="false" outlineLevel="0" max="26" min="26" style="4" width="12.71"/>
    <col collapsed="false" customWidth="true" hidden="false" outlineLevel="0" max="27" min="27" style="4" width="12.13"/>
    <col collapsed="false" customWidth="true" hidden="false" outlineLevel="0" max="28" min="28" style="4" width="14.43"/>
    <col collapsed="false" customWidth="true" hidden="false" outlineLevel="0" max="29" min="29" style="4" width="11.41"/>
    <col collapsed="false" customWidth="true" hidden="false" outlineLevel="0" max="30" min="30" style="4" width="11.7"/>
    <col collapsed="false" customWidth="true" hidden="false" outlineLevel="0" max="31" min="31" style="4" width="11.84"/>
    <col collapsed="false" customWidth="true" hidden="false" outlineLevel="0" max="32" min="32" style="4" width="16.6"/>
    <col collapsed="false" customWidth="true" hidden="false" outlineLevel="0" max="33" min="33" style="4" width="9.24"/>
    <col collapsed="false" customWidth="true" hidden="false" outlineLevel="0" max="34" min="34" style="4" width="12.42"/>
    <col collapsed="false" customWidth="true" hidden="false" outlineLevel="0" max="35" min="35" style="4" width="11.12"/>
    <col collapsed="false" customWidth="true" hidden="false" outlineLevel="0" max="36" min="36" style="4" width="13.57"/>
    <col collapsed="false" customWidth="true" hidden="false" outlineLevel="0" max="37" min="37" style="4" width="12.42"/>
    <col collapsed="false" customWidth="true" hidden="false" outlineLevel="0" max="38" min="38" style="4" width="14.3"/>
    <col collapsed="false" customWidth="true" hidden="false" outlineLevel="0" max="39" min="39" style="4" width="11.27"/>
    <col collapsed="false" customWidth="true" hidden="false" outlineLevel="0" max="40" min="40" style="4" width="9.1"/>
    <col collapsed="false" customWidth="true" hidden="false" outlineLevel="0" max="41" min="41" style="4" width="14.88"/>
    <col collapsed="false" customWidth="true" hidden="false" outlineLevel="0" max="42" min="42" style="4" width="14.16"/>
    <col collapsed="false" customWidth="true" hidden="false" outlineLevel="0" max="43" min="43" style="4" width="16.17"/>
    <col collapsed="false" customWidth="true" hidden="false" outlineLevel="0" max="44" min="44" style="4" width="15.88"/>
    <col collapsed="false" customWidth="true" hidden="false" outlineLevel="0" max="45" min="45" style="4" width="12.13"/>
    <col collapsed="false" customWidth="true" hidden="false" outlineLevel="0" max="46" min="46" style="4" width="9.82"/>
    <col collapsed="false" customWidth="true" hidden="false" outlineLevel="0" max="47" min="47" style="4" width="10.98"/>
    <col collapsed="false" customWidth="true" hidden="false" outlineLevel="0" max="48" min="48" style="4" width="13.87"/>
    <col collapsed="false" customWidth="true" hidden="false" outlineLevel="0" max="49" min="49" style="4" width="11.99"/>
    <col collapsed="false" customWidth="true" hidden="false" outlineLevel="0" max="50" min="50" style="4" width="12.85"/>
    <col collapsed="false" customWidth="true" hidden="false" outlineLevel="0" max="51" min="51" style="4" width="14.59"/>
    <col collapsed="false" customWidth="true" hidden="false" outlineLevel="0" max="52" min="52" style="4" width="10.54"/>
    <col collapsed="false" customWidth="true" hidden="false" outlineLevel="0" max="53" min="53" style="4" width="12.42"/>
    <col collapsed="false" customWidth="true" hidden="false" outlineLevel="0" max="54" min="54" style="4" width="11.12"/>
    <col collapsed="false" customWidth="true" hidden="false" outlineLevel="0" max="55" min="55" style="4" width="13.14"/>
    <col collapsed="false" customWidth="true" hidden="false" outlineLevel="0" max="56" min="56" style="4" width="10.84"/>
    <col collapsed="false" customWidth="true" hidden="false" outlineLevel="0" max="57" min="57" style="4" width="9.82"/>
    <col collapsed="false" customWidth="true" hidden="false" outlineLevel="0" max="58" min="58" style="4" width="11.84"/>
    <col collapsed="false" customWidth="true" hidden="false" outlineLevel="0" max="60" min="59" style="4" width="15.88"/>
    <col collapsed="false" customWidth="true" hidden="false" outlineLevel="0" max="61" min="61" style="4" width="13.43"/>
    <col collapsed="false" customWidth="true" hidden="false" outlineLevel="0" max="62" min="62" style="4" width="12.29"/>
    <col collapsed="false" customWidth="true" hidden="false" outlineLevel="0" max="63" min="63" style="4" width="18.92"/>
    <col collapsed="false" customWidth="true" hidden="false" outlineLevel="0" max="64" min="64" style="4" width="15.74"/>
    <col collapsed="false" customWidth="true" hidden="false" outlineLevel="0" max="65" min="65" style="4" width="12.13"/>
    <col collapsed="false" customWidth="true" hidden="false" outlineLevel="0" max="66" min="66" style="4" width="13.43"/>
    <col collapsed="false" customWidth="true" hidden="false" outlineLevel="0" max="67" min="67" style="4" width="10.84"/>
    <col collapsed="false" customWidth="true" hidden="false" outlineLevel="0" max="69" min="68" style="4" width="13.43"/>
    <col collapsed="false" customWidth="true" hidden="false" outlineLevel="0" max="71" min="70" style="4" width="9.82"/>
    <col collapsed="false" customWidth="true" hidden="false" outlineLevel="0" max="72" min="72" style="4" width="13.43"/>
    <col collapsed="false" customWidth="true" hidden="false" outlineLevel="0" max="74" min="73" style="4" width="12.98"/>
    <col collapsed="false" customWidth="true" hidden="false" outlineLevel="0" max="75" min="75" style="4" width="9.82"/>
    <col collapsed="false" customWidth="true" hidden="false" outlineLevel="0" max="76" min="76" style="4" width="10.39"/>
    <col collapsed="false" customWidth="true" hidden="false" outlineLevel="0" max="77" min="77" style="4" width="14.88"/>
    <col collapsed="false" customWidth="true" hidden="false" outlineLevel="0" max="78" min="78" style="4" width="14.43"/>
    <col collapsed="false" customWidth="true" hidden="false" outlineLevel="0" max="79" min="79" style="4" width="15.61"/>
    <col collapsed="false" customWidth="true" hidden="false" outlineLevel="0" max="80" min="80" style="4" width="12.56"/>
    <col collapsed="false" customWidth="true" hidden="false" outlineLevel="0" max="81" min="81" style="4" width="9.82"/>
    <col collapsed="false" customWidth="true" hidden="false" outlineLevel="0" max="82" min="82" style="4" width="15.74"/>
    <col collapsed="false" customWidth="true" hidden="false" outlineLevel="0" max="83" min="83" style="4" width="18.2"/>
    <col collapsed="false" customWidth="true" hidden="false" outlineLevel="0" max="84" min="84" style="4" width="16.33"/>
    <col collapsed="false" customWidth="true" hidden="false" outlineLevel="0" max="85" min="85" style="4" width="14.88"/>
    <col collapsed="false" customWidth="true" hidden="false" outlineLevel="0" max="86" min="86" style="4" width="10.98"/>
    <col collapsed="false" customWidth="true" hidden="false" outlineLevel="0" max="87" min="87" style="4" width="12.13"/>
    <col collapsed="false" customWidth="true" hidden="false" outlineLevel="0" max="88" min="88" style="4" width="15.31"/>
    <col collapsed="false" customWidth="true" hidden="false" outlineLevel="0" max="89" min="89" style="4" width="12.98"/>
    <col collapsed="false" customWidth="true" hidden="false" outlineLevel="0" max="90" min="90" style="4" width="6.21"/>
    <col collapsed="false" customWidth="false" hidden="false" outlineLevel="0" max="91" min="91" style="4" width="11.52"/>
    <col collapsed="false" customWidth="true" hidden="false" outlineLevel="0" max="92" min="92" style="4" width="18.34"/>
    <col collapsed="false" customWidth="true" hidden="false" outlineLevel="0" max="93" min="93" style="4" width="8.52"/>
    <col collapsed="false" customWidth="true" hidden="false" outlineLevel="0" max="94" min="94" style="4" width="6.8"/>
    <col collapsed="false" customWidth="false" hidden="false" outlineLevel="0" max="95" min="95" style="4" width="11.52"/>
    <col collapsed="false" customWidth="true" hidden="false" outlineLevel="0" max="96" min="96" style="4" width="25.86"/>
    <col collapsed="false" customWidth="false" hidden="false" outlineLevel="0" max="1025" min="97" style="4" width="11.52"/>
  </cols>
  <sheetData>
    <row r="1" customFormat="false" ht="12.8" hidden="false" customHeight="false" outlineLevel="0" collapsed="false">
      <c r="A1" s="7"/>
      <c r="B1" s="7" t="s">
        <v>39</v>
      </c>
      <c r="C1" s="7" t="s">
        <v>40</v>
      </c>
      <c r="D1" s="12" t="s">
        <v>41</v>
      </c>
      <c r="E1" s="12" t="s">
        <v>44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2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3" t="s">
        <v>69</v>
      </c>
      <c r="AC1" s="1" t="s">
        <v>70</v>
      </c>
      <c r="AD1" s="13" t="s">
        <v>71</v>
      </c>
      <c r="AE1" s="1" t="s">
        <v>268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3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3" t="s">
        <v>100</v>
      </c>
      <c r="BH1" s="13" t="s">
        <v>101</v>
      </c>
      <c r="BI1" s="13" t="s">
        <v>102</v>
      </c>
      <c r="BJ1" s="1" t="s">
        <v>103</v>
      </c>
      <c r="BK1" s="13" t="s">
        <v>104</v>
      </c>
      <c r="BL1" s="3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4" t="n">
        <v>0</v>
      </c>
    </row>
    <row r="2" s="10" customFormat="true" ht="12.8" hidden="false" customHeight="false" outlineLevel="0" collapsed="false">
      <c r="A2" s="6" t="s">
        <v>269</v>
      </c>
      <c r="B2" s="6" t="s">
        <v>39</v>
      </c>
      <c r="C2" s="6" t="n">
        <v>1</v>
      </c>
      <c r="D2" s="6" t="n">
        <v>2</v>
      </c>
      <c r="E2" s="6" t="n">
        <v>3</v>
      </c>
      <c r="F2" s="6" t="n">
        <v>4</v>
      </c>
      <c r="G2" s="6" t="n">
        <v>5</v>
      </c>
      <c r="H2" s="6" t="n">
        <v>6</v>
      </c>
      <c r="I2" s="6" t="n">
        <v>7</v>
      </c>
      <c r="J2" s="6" t="n">
        <v>8</v>
      </c>
      <c r="K2" s="6" t="n">
        <v>9</v>
      </c>
      <c r="L2" s="6" t="n">
        <v>10</v>
      </c>
      <c r="M2" s="6" t="n">
        <v>11</v>
      </c>
      <c r="N2" s="6" t="n">
        <v>12</v>
      </c>
      <c r="O2" s="6" t="n">
        <v>13</v>
      </c>
      <c r="P2" s="6" t="n">
        <v>14</v>
      </c>
      <c r="Q2" s="6" t="n">
        <v>15</v>
      </c>
      <c r="R2" s="6" t="n">
        <v>16</v>
      </c>
      <c r="S2" s="6" t="n">
        <v>17</v>
      </c>
      <c r="T2" s="6" t="n">
        <v>18</v>
      </c>
      <c r="U2" s="6" t="n">
        <v>19</v>
      </c>
      <c r="V2" s="6" t="n">
        <v>20</v>
      </c>
      <c r="W2" s="6" t="n">
        <v>21</v>
      </c>
      <c r="X2" s="6" t="n">
        <v>22</v>
      </c>
      <c r="Y2" s="6" t="n">
        <v>23</v>
      </c>
      <c r="Z2" s="6" t="n">
        <v>24</v>
      </c>
      <c r="AA2" s="6" t="n">
        <v>25</v>
      </c>
      <c r="AB2" s="6" t="n">
        <v>26</v>
      </c>
      <c r="AC2" s="6" t="n">
        <v>27</v>
      </c>
      <c r="AD2" s="6" t="n">
        <v>28</v>
      </c>
      <c r="AE2" s="6" t="n">
        <v>29</v>
      </c>
      <c r="AF2" s="6" t="n">
        <v>30</v>
      </c>
      <c r="AG2" s="6" t="n">
        <v>31</v>
      </c>
      <c r="AH2" s="6" t="n">
        <v>32</v>
      </c>
      <c r="AI2" s="6" t="n">
        <v>33</v>
      </c>
      <c r="AJ2" s="6" t="n">
        <v>34</v>
      </c>
      <c r="AK2" s="6" t="n">
        <v>35</v>
      </c>
      <c r="AL2" s="6" t="n">
        <v>36</v>
      </c>
      <c r="AM2" s="6" t="n">
        <v>37</v>
      </c>
      <c r="AN2" s="6" t="n">
        <v>38</v>
      </c>
      <c r="AO2" s="6" t="n">
        <v>39</v>
      </c>
      <c r="AP2" s="6" t="n">
        <v>40</v>
      </c>
      <c r="AQ2" s="6" t="n">
        <v>41</v>
      </c>
      <c r="AR2" s="6" t="n">
        <v>42</v>
      </c>
      <c r="AS2" s="6" t="n">
        <v>43</v>
      </c>
      <c r="AT2" s="6" t="n">
        <v>44</v>
      </c>
      <c r="AU2" s="6" t="n">
        <v>45</v>
      </c>
      <c r="AV2" s="6" t="n">
        <v>46</v>
      </c>
      <c r="AW2" s="6" t="n">
        <v>47</v>
      </c>
      <c r="AX2" s="6" t="n">
        <v>48</v>
      </c>
      <c r="AY2" s="6" t="n">
        <v>49</v>
      </c>
      <c r="AZ2" s="6" t="n">
        <v>50</v>
      </c>
      <c r="BA2" s="6" t="n">
        <v>51</v>
      </c>
      <c r="BB2" s="6" t="n">
        <v>52</v>
      </c>
      <c r="BC2" s="6" t="n">
        <v>53</v>
      </c>
      <c r="BD2" s="6" t="n">
        <v>54</v>
      </c>
      <c r="BE2" s="6" t="n">
        <v>55</v>
      </c>
      <c r="BF2" s="6" t="n">
        <v>56</v>
      </c>
      <c r="BG2" s="6" t="n">
        <v>57</v>
      </c>
      <c r="BH2" s="6" t="n">
        <v>58</v>
      </c>
      <c r="BI2" s="6" t="n">
        <v>59</v>
      </c>
      <c r="BJ2" s="6" t="n">
        <v>60</v>
      </c>
      <c r="BK2" s="6" t="n">
        <v>61</v>
      </c>
      <c r="BL2" s="6" t="n">
        <v>62</v>
      </c>
      <c r="BM2" s="6" t="n">
        <v>63</v>
      </c>
      <c r="BN2" s="6" t="n">
        <v>64</v>
      </c>
      <c r="BO2" s="6" t="n">
        <v>65</v>
      </c>
      <c r="BP2" s="6" t="n">
        <v>66</v>
      </c>
      <c r="BQ2" s="6" t="n">
        <v>67</v>
      </c>
      <c r="BR2" s="6" t="n">
        <v>68</v>
      </c>
      <c r="BS2" s="6" t="n">
        <v>69</v>
      </c>
      <c r="BT2" s="6" t="n">
        <v>70</v>
      </c>
      <c r="BU2" s="6" t="n">
        <v>71</v>
      </c>
      <c r="BV2" s="6" t="n">
        <v>72</v>
      </c>
      <c r="BW2" s="6" t="n">
        <v>73</v>
      </c>
      <c r="BX2" s="6" t="n">
        <v>74</v>
      </c>
      <c r="BY2" s="6" t="n">
        <v>75</v>
      </c>
      <c r="BZ2" s="6" t="n">
        <v>76</v>
      </c>
      <c r="CA2" s="6" t="n">
        <v>77</v>
      </c>
      <c r="CB2" s="6" t="n">
        <v>78</v>
      </c>
      <c r="CC2" s="6" t="n">
        <v>79</v>
      </c>
      <c r="CD2" s="6" t="n">
        <v>80</v>
      </c>
      <c r="CE2" s="6" t="n">
        <v>81</v>
      </c>
      <c r="CF2" s="6" t="n">
        <v>82</v>
      </c>
      <c r="CG2" s="6" t="n">
        <v>83</v>
      </c>
      <c r="CH2" s="6" t="n">
        <v>84</v>
      </c>
      <c r="CI2" s="6" t="n">
        <v>85</v>
      </c>
      <c r="CJ2" s="6" t="n">
        <v>86</v>
      </c>
      <c r="CK2" s="6" t="n">
        <v>87</v>
      </c>
      <c r="CL2" s="10" t="n">
        <v>0</v>
      </c>
      <c r="CQ2" s="0"/>
    </row>
    <row r="3" customFormat="false" ht="12.8" hidden="false" customHeight="false" outlineLevel="0" collapsed="false">
      <c r="A3" s="4" t="s">
        <v>131</v>
      </c>
      <c r="B3" s="7" t="s">
        <v>39</v>
      </c>
      <c r="C3" s="4" t="n">
        <f aca="false">Flows!$BG3*2*Capacity!$S3/(5*15*C60*(Capacity!$S3+Capacity!$BZ3))</f>
        <v>2.85468547989493E-006</v>
      </c>
      <c r="D3" s="4" t="n">
        <f aca="false">(DemClcs!$A$34*(Populations!$R2+3*Populations!$S2)/D60)+MAX((Flows!K3+Flows!M3)/1826.484018+Flows!L3/1111.111111-Flows!$F3,0)/D60</f>
        <v>0.0713305887728042</v>
      </c>
      <c r="E3" s="4" t="n">
        <f aca="false">DemClcs!$A$42*(Populations!$R2+3*Populations!$S2)/E60</f>
        <v>0.00585950201439685</v>
      </c>
      <c r="F3" s="4" t="n">
        <v>0</v>
      </c>
      <c r="G3" s="4" t="n">
        <f aca="false">Flows!Q3*40/G60</f>
        <v>1.2267929493741E-005</v>
      </c>
      <c r="H3" s="4" t="n">
        <f aca="false">IF(Flows!$AW3&gt;Flows!$Y3,(Flows!$AW3-Flows!$Y3)/H60)</f>
        <v>0</v>
      </c>
      <c r="I3" s="4" t="n">
        <f aca="false">I30/$CN30</f>
        <v>0.280885099925383</v>
      </c>
      <c r="J3" s="4" t="n">
        <f aca="false">J30/$CN30</f>
        <v>0.719114900074617</v>
      </c>
      <c r="K3" s="4" t="n">
        <v>0</v>
      </c>
      <c r="L3" s="4" t="n">
        <v>0</v>
      </c>
      <c r="M3" s="4" t="n">
        <v>0</v>
      </c>
      <c r="N3" s="4" t="n">
        <f aca="false">SUM(Flows!$V3,Flows!$W3)/$N60</f>
        <v>0.000824486928794226</v>
      </c>
      <c r="O3" s="4" t="n">
        <v>0</v>
      </c>
      <c r="P3" s="4" t="n">
        <v>0</v>
      </c>
      <c r="Q3" s="4" t="n">
        <f aca="false">$Q$27*Q30*(1/COUNTIF($C$26:$CK$26,1))/(MAX(Q$30:Q$52)-MIN(Q$30:Q$52))</f>
        <v>4.53213953929045E-005</v>
      </c>
      <c r="R3" s="4" t="n">
        <f aca="false">$R$27*R30*(1/COUNTIF($C$26:$CK$26,1))/(MAX(R$30:R$52)-MIN(R$30:R$52))+0.5/COUNTIF($C$26:$CK$26,1)</f>
        <v>0.0284173625726569</v>
      </c>
      <c r="S3" s="4" t="n">
        <v>0</v>
      </c>
      <c r="T3" s="4" t="n">
        <v>0</v>
      </c>
      <c r="U3" s="4" t="n">
        <v>0</v>
      </c>
      <c r="V3" s="4" t="n">
        <f aca="false">$V$27*V30*(1/COUNTIF($C$26:$CK$26,1))/(MAX(V$30:V$52)-MIN(V$30:V$52))</f>
        <v>0.00565087870511538</v>
      </c>
      <c r="W3" s="4" t="n">
        <f aca="false">$V$27*W30*(1/COUNTIF($C$26:$CK$26,1))/(MAX(W$30:W$52)-MIN(W$30:W$52))</f>
        <v>0.00416337248761545</v>
      </c>
      <c r="X3" s="4" t="n">
        <f aca="false">X30/$CO30</f>
        <v>0.255685547396161</v>
      </c>
      <c r="Y3" s="4" t="n">
        <v>0</v>
      </c>
      <c r="Z3" s="4" t="n">
        <f aca="false">Flows!$AA3/$Z60</f>
        <v>2.42069480448961E-005</v>
      </c>
      <c r="AA3" s="4" t="n">
        <f aca="false">Flows!$AB3/$AA60</f>
        <v>0.000542517496398188</v>
      </c>
      <c r="AB3" s="4" t="n">
        <f aca="false">DemClcs!$A$20*(Populations!$R2+3*Populations!$S2)/AB60</f>
        <v>0.00194498205751795</v>
      </c>
      <c r="AC3" s="4" t="n">
        <f aca="false">Flows!$AD3/$AC60</f>
        <v>0.00378251774705834</v>
      </c>
      <c r="AD3" s="4" t="n">
        <f aca="false">DemClcs!$A$25*(Populations!$R2+3*Populations!$S2)/AD60</f>
        <v>0.0192978363743957</v>
      </c>
      <c r="AE3" s="4" t="n">
        <f aca="false">AE30/$CP30</f>
        <v>0.0324982862999309</v>
      </c>
      <c r="AF3" s="4" t="n">
        <f aca="false">$AF$27*AF30*(1/COUNTIF($C$26:$CK$26,1))/(MAX(AF$30:AF$52)-MIN(AF$30:AF$52))</f>
        <v>0.0248883430725798</v>
      </c>
      <c r="AG3" s="4" t="n">
        <f aca="false">$AF$27*AG30*(1/COUNTIF($C$26:$CK$26,1))/(MAX(AG$30:AG$52)-MIN(AG$30:AG$52))</f>
        <v>0.00783763634041504</v>
      </c>
      <c r="AH3" s="4" t="n">
        <f aca="false">$AF$27*AH30*(1/COUNTIF($C$26:$CK$26,1))/(MAX(AH$30:AH$52)-MIN(AH$30:AH$52))</f>
        <v>0.0288109353615081</v>
      </c>
      <c r="AI3" s="4" t="n">
        <f aca="false">$AF$27*AI30*(1/COUNTIF($C$26:$CK$26,1))/(MAX(AI$30:AI$52)-MIN(AI$30:AI$52))</f>
        <v>0.0232629591455144</v>
      </c>
      <c r="AJ3" s="4" t="n">
        <f aca="false">$AF$27*AJ30*(1/COUNTIF($C$26:$CK$26,1))/(MAX(AJ$30:AJ$52)-MIN(AJ$30:AJ$52))</f>
        <v>0.0214165705055786</v>
      </c>
      <c r="AK3" s="4" t="n">
        <f aca="false">$AF$27*AK30*(1/COUNTIF($C$26:$CK$26,1))/(MAX(AK$30:AK$52)-MIN(AK$30:AK$52))</f>
        <v>0.0141012672198959</v>
      </c>
      <c r="AL3" s="4" t="n">
        <f aca="false">$AF$27*AL30*(1/COUNTIF($C$26:$CK$26,1))/(MAX(AL$30:AL$52)-MIN(AL$30:AL$52))</f>
        <v>0.0156978739729961</v>
      </c>
      <c r="AM3" s="4" t="n">
        <f aca="false">$AF$27*AM30*(1/COUNTIF($C$26:$CK$26,1))/(MAX(AM$30:AM$52)-MIN(AM$30:AM$52))</f>
        <v>0.0030769065915063</v>
      </c>
      <c r="AN3" s="4" t="n">
        <f aca="false">$AF$27*AN30*(1/COUNTIF($C$26:$CK$26,1))/(MAX(AN$30:AN$52)-MIN(AN$30:AN$52))</f>
        <v>0.00196091839532662</v>
      </c>
      <c r="AO3" s="4" t="n">
        <f aca="false">$AF$27*AO30*(1/COUNTIF($C$26:$CK$26,1))/(MAX(AO$30:AO$52)-MIN(AO$30:AO$52))</f>
        <v>0.0019430432836709</v>
      </c>
      <c r="AP3" s="4" t="n">
        <f aca="false">$AF$27*AP30*(1/COUNTIF($C$26:$CK$26,1))/(MAX(AP$30:AP$52)-MIN(AP$30:AP$52))</f>
        <v>0.0203220262687765</v>
      </c>
      <c r="AQ3" s="4" t="n">
        <f aca="false">$AF$27*AQ30*(1/COUNTIF($C$26:$CK$26,1))/(MAX(AQ$30:AQ$52)-MIN(AQ$30:AQ$52))</f>
        <v>0.00420619571426748</v>
      </c>
      <c r="AR3" s="4" t="n">
        <f aca="false">$AF$27*AR30*(1/COUNTIF($C$26:$CK$26,1))/(MAX(AR$30:AR$52)-MIN(AR$30:AR$52))</f>
        <v>0.00778995040947892</v>
      </c>
      <c r="AS3" s="4" t="n">
        <f aca="false">$AF$27*AS30*(1/COUNTIF($C$26:$CK$26,1))/(MAX(AS$30:AS$52)-MIN(AS$30:AS$52))</f>
        <v>0.00143891361810853</v>
      </c>
      <c r="AT3" s="4" t="n">
        <f aca="false">AT30/$CP30</f>
        <v>0.0185727691661572</v>
      </c>
      <c r="AU3" s="4" t="n">
        <f aca="false">AU30/$CP30</f>
        <v>0.0915441592406283</v>
      </c>
      <c r="AV3" s="4" t="n">
        <f aca="false">$AF$27*AV30*(1/COUNTIF($C$26:$CK$26,1))/(MAX(AV$30:AV$52)-MIN(AV$30:AV$52))</f>
        <v>0.0144601572386862</v>
      </c>
      <c r="AW3" s="4" t="n">
        <f aca="false">SUM(Flows!AX3,Flows!$AZ3)/$AW60</f>
        <v>0.000662490572217493</v>
      </c>
      <c r="AX3" s="4" t="n">
        <f aca="false">$AX$27*AX30*(1/COUNTIF($C$26:$CK$26,1))/(MAX(AX$30:AX$52)-MIN(AX$30:AX$52))</f>
        <v>0.0254039706186946</v>
      </c>
      <c r="AY3" s="4" t="n">
        <f aca="false">SUM(Flows!$BB3:$BE3)*Capacity!BS3/(AY60*SUM(Capacity!$BS3:$BT3))</f>
        <v>0.00447060157780602</v>
      </c>
      <c r="AZ3" s="4" t="n">
        <f aca="false">SUM(Flows!$BB3:$BE3)*Capacity!BT3/(AZ60*SUM(Capacity!$BS3:$BT3))+(DemClcs!$A$56*Populations!$Q2/AZ60)</f>
        <v>0.0247152967158452</v>
      </c>
      <c r="BA3" s="4" t="n">
        <v>0</v>
      </c>
      <c r="BB3" s="4" t="n">
        <f aca="false">$BB$27*BB30*(1/COUNTIF($C$26:$CK$26,1))/(MAX(BB$30:BB$52)-MIN(BB$30:BB$52))</f>
        <v>0.0019642245392178</v>
      </c>
      <c r="BC3" s="4" t="n">
        <f aca="false">$BB$27*BC30*(1/COUNTIF($C$26:$CK$26,1))/(MAX(BC$30:BC$52)-MIN(BC$30:BC$52))</f>
        <v>0.00197619628020974</v>
      </c>
      <c r="BD3" s="4" t="n">
        <f aca="false">$BB$27*BD30*(1/COUNTIF($C$26:$CK$26,1))/(MAX(BD$30:BD$52)-MIN(BD$30:BD$52))</f>
        <v>0.00241251620394525</v>
      </c>
      <c r="BE3" s="4" t="n">
        <f aca="false">$BB$27*BE30*(1/COUNTIF($C$26:$CK$26,1))/(MAX(BE$30:BE$52)-MIN(BE$30:BE$52))</f>
        <v>0.000910190915788662</v>
      </c>
      <c r="BF3" s="4" t="n">
        <f aca="false">(Flows!$BG3+Flows!$BI3)*1.5*Capacity!$BZ4/(15*$BF60*(Capacity!$S3+Capacity!$BZ3))</f>
        <v>2.10471808592824E-005</v>
      </c>
      <c r="BG3" s="4" t="n">
        <f aca="false">DemClcs!$A$47*(Populations!$R2+3*Populations!$S2)*Capacity!CA3/(BG60*SUM(Capacity!$CA3:$CC3,Capacity!$CE3))</f>
        <v>0.00164916269728236</v>
      </c>
      <c r="BH3" s="4" t="n">
        <f aca="false">DemClcs!$A$47*(Populations!$R2+3*Populations!$S2)*Capacity!CB3/(BH60*SUM(Capacity!$CA3:$CC3,Capacity!$CE3))</f>
        <v>0.00236301757355137</v>
      </c>
      <c r="BI3" s="4" t="n">
        <f aca="false">DemClcs!$A$47*(Populations!$R2+3*Populations!$S2)*Capacity!CC3/(BI60*SUM(Capacity!$CA3:$CC3,Capacity!$CE3))</f>
        <v>0.00164916269728236</v>
      </c>
      <c r="BJ3" s="4" t="n">
        <f aca="false">BJ30/$CP30</f>
        <v>0.106733631009512</v>
      </c>
      <c r="BK3" s="4" t="n">
        <f aca="false">DemClcs!$A$47*(Populations!$R2+3*Populations!$S2)*Capacity!CE3/(BK60*SUM(Capacity!$CA3:$CC3,Capacity!$CE3))</f>
        <v>0.00164916269728236</v>
      </c>
      <c r="BL3" s="4" t="n">
        <f aca="false">BL30/$CP30</f>
        <v>0.142296006697373</v>
      </c>
      <c r="BM3" s="4" t="n">
        <f aca="false">BM30/$CP30</f>
        <v>0.0222603642299799</v>
      </c>
      <c r="BN3" s="4" t="n">
        <v>0</v>
      </c>
      <c r="BO3" s="4" t="n">
        <f aca="false">Flows!BT3*16/(25*BR60)</f>
        <v>0.00052287873693149</v>
      </c>
      <c r="BP3" s="4" t="n">
        <f aca="false">SUM(Flows!$AF3:$AS3,Flows!$AV3)/BP60</f>
        <v>1.08182308492111E-005</v>
      </c>
      <c r="BQ3" s="4" t="n">
        <v>0</v>
      </c>
      <c r="BR3" s="4" t="n">
        <f aca="false">Flows!BU3*16/(25*BR60)</f>
        <v>5.2287873693149E-005</v>
      </c>
      <c r="BS3" s="4" t="n">
        <f aca="false">Flows!BV3*16/(25*BS60)</f>
        <v>1.04575593761678E-005</v>
      </c>
      <c r="BT3" s="4" t="n">
        <f aca="false">PRODUCT(Flows!$D31,DemClcs!$A$29:$A$32,$BT$27)/(0.75*BT60)</f>
        <v>6.80197009346957E-006</v>
      </c>
      <c r="BU3" s="4" t="n">
        <f aca="false">PRODUCT(Flows!$D31,DemClcs!$A$29:$A$32,$BT$27)/(0.75*BU60*10)</f>
        <v>6.2351392523471E-006</v>
      </c>
      <c r="BV3" s="4" t="n">
        <f aca="false">PRODUCT(Flows!$D31,DemClcs!$A$29:$A$32,$BT$27)/(0.75*BV60*100)</f>
        <v>5.34440507344037E-006</v>
      </c>
      <c r="BW3" s="4" t="n">
        <v>0</v>
      </c>
      <c r="BX3" s="4" t="n">
        <f aca="false">BX30/$CP30</f>
        <v>0.0454446277405323</v>
      </c>
      <c r="BY3" s="4" t="n">
        <f aca="false">BY30/$CP30</f>
        <v>0.137193400101497</v>
      </c>
      <c r="BZ3" s="4" t="n">
        <f aca="false">BZ30/$CO30</f>
        <v>0.139425404223106</v>
      </c>
      <c r="CA3" s="4" t="n">
        <f aca="false">CA30/$CO30</f>
        <v>0.215564001620694</v>
      </c>
      <c r="CB3" s="4" t="n">
        <f aca="false">CB30/$CP30</f>
        <v>0.0627977054383087</v>
      </c>
      <c r="CC3" s="4" t="n">
        <f aca="false">CC30/$CO30</f>
        <v>0.133995277803361</v>
      </c>
      <c r="CD3" s="4" t="n">
        <v>0</v>
      </c>
      <c r="CE3" s="4" t="n">
        <f aca="false">IF(SUM(Flows!$CJ3:$CK3)&gt;Flows!$BA3,(SUM(Flows!$CJ3:$CK3)-Flows!$BA3)/CE60)</f>
        <v>0.010448137031134</v>
      </c>
      <c r="CF3" s="4" t="n">
        <f aca="false">CF30/$CO30</f>
        <v>0.0247277046404371</v>
      </c>
      <c r="CG3" s="4" t="n">
        <f aca="false">CG30/$CO30</f>
        <v>0.00837751488529679</v>
      </c>
      <c r="CH3" s="4" t="n">
        <f aca="false">CH30/$CO30</f>
        <v>0.0456527757348082</v>
      </c>
      <c r="CI3" s="4" t="n">
        <f aca="false">CI30/$CP30</f>
        <v>0.0999106608162928</v>
      </c>
      <c r="CJ3" s="4" t="n">
        <f aca="false">CJ$27*CJ30*(1/COUNTIF($C$26:$CK$26,1))/(MAX(CJ$30:CJ$52)-MIN(CJ$30:CJ$52))</f>
        <v>0.00164515463399733</v>
      </c>
      <c r="CK3" s="4" t="n">
        <f aca="false">CK$27*CK30*(1/COUNTIF($C$26:$CK$26,1))/(MAX(CK$30:CK$52)-MIN(CK$30:CK$52))</f>
        <v>0.00165261385206696</v>
      </c>
      <c r="CL3" s="4" t="n">
        <v>0</v>
      </c>
      <c r="CN3" s="4" t="n">
        <f aca="false">SUM(C3:CK3)</f>
        <v>3</v>
      </c>
      <c r="CP3" s="0"/>
      <c r="CR3" s="1" t="s">
        <v>165</v>
      </c>
    </row>
    <row r="4" customFormat="false" ht="12.8" hidden="false" customHeight="false" outlineLevel="0" collapsed="false">
      <c r="A4" s="4" t="s">
        <v>133</v>
      </c>
      <c r="B4" s="7" t="s">
        <v>39</v>
      </c>
      <c r="C4" s="4" t="n">
        <f aca="false">Flows!$BG4*2*Capacity!$S4/(5*15*C61*(Capacity!$S4+Capacity!$BZ4))</f>
        <v>3.2640964134207E-006</v>
      </c>
      <c r="D4" s="4" t="n">
        <f aca="false">(DemClcs!$A$34*(Populations!$R3+3*Populations!$S3)/D61)+MAX((Flows!K4+Flows!M4)/1826.484018+Flows!L4/1111.111111-Flows!$F4,0)/D61</f>
        <v>0.114068616539559</v>
      </c>
      <c r="E4" s="4" t="n">
        <f aca="false">DemClcs!$A$42*(Populations!$R3+3*Populations!$S3)/E61</f>
        <v>0.00816005072478153</v>
      </c>
      <c r="F4" s="4" t="n">
        <v>0</v>
      </c>
      <c r="G4" s="4" t="n">
        <f aca="false">Flows!Q4*40/G61</f>
        <v>0.000947224745469869</v>
      </c>
      <c r="H4" s="4" t="n">
        <f aca="false">IF(Flows!$AW4&gt;Flows!$Y4,(Flows!$AW4-Flows!$Y4)/H61)</f>
        <v>0</v>
      </c>
      <c r="I4" s="4" t="n">
        <f aca="false">I31/$CN31</f>
        <v>0.521576669206621</v>
      </c>
      <c r="J4" s="4" t="n">
        <f aca="false">J31/$CN31</f>
        <v>0.478423330793379</v>
      </c>
      <c r="K4" s="4" t="n">
        <v>0</v>
      </c>
      <c r="L4" s="4" t="n">
        <v>0</v>
      </c>
      <c r="M4" s="4" t="n">
        <v>0</v>
      </c>
      <c r="N4" s="4" t="n">
        <f aca="false">SUM(Flows!$V4,Flows!$W4)/$N61</f>
        <v>0.00118742413648617</v>
      </c>
      <c r="O4" s="4" t="n">
        <v>0</v>
      </c>
      <c r="P4" s="4" t="n">
        <v>0</v>
      </c>
      <c r="Q4" s="4" t="n">
        <f aca="false">$Q$27*Q31*(1/COUNTIF($C$26:$CK$26,1))/(MAX(Q$30:Q$52)-MIN(Q$30:Q$52))</f>
        <v>0.00270381088975274</v>
      </c>
      <c r="R4" s="4" t="n">
        <f aca="false">$R$27*R31*(1/COUNTIF($C$26:$CK$26,1))/(MAX(R$30:R$52)-MIN(R$30:R$52))+0.5/COUNTIF($C$26:$CK$26,1)</f>
        <v>0.0276283003640664</v>
      </c>
      <c r="S4" s="4" t="n">
        <v>0</v>
      </c>
      <c r="T4" s="4" t="n">
        <v>0</v>
      </c>
      <c r="U4" s="4" t="n">
        <v>0</v>
      </c>
      <c r="V4" s="4" t="n">
        <f aca="false">$V$27*V31*(1/COUNTIF($C$26:$CK$26,1))/(MAX(V$30:V$52)-MIN(V$30:V$52))</f>
        <v>0.0208892729387617</v>
      </c>
      <c r="W4" s="4" t="n">
        <f aca="false">$V$27*W31*(1/COUNTIF($C$26:$CK$26,1))/(MAX(W$30:W$52)-MIN(W$30:W$52))</f>
        <v>0.0156985027821368</v>
      </c>
      <c r="X4" s="4" t="n">
        <f aca="false">X31/$CO31</f>
        <v>0.102114556401013</v>
      </c>
      <c r="Y4" s="4" t="n">
        <v>0</v>
      </c>
      <c r="Z4" s="4" t="n">
        <f aca="false">Flows!$AA4/$Z61</f>
        <v>2.4344579383696E-005</v>
      </c>
      <c r="AA4" s="4" t="n">
        <f aca="false">Flows!$AB4/$AA61</f>
        <v>0.000961009461924146</v>
      </c>
      <c r="AB4" s="4" t="n">
        <f aca="false">DemClcs!$A$20*(Populations!$R3+3*Populations!$S3)/AB61</f>
        <v>0.00456064245828378</v>
      </c>
      <c r="AC4" s="4" t="n">
        <f aca="false">Flows!$AD4/$AC61</f>
        <v>0.00442561681349921</v>
      </c>
      <c r="AD4" s="4" t="n">
        <f aca="false">DemClcs!$A$25*(Populations!$R3+3*Populations!$S3)/AD61</f>
        <v>0.0452500482366378</v>
      </c>
      <c r="AE4" s="4" t="n">
        <f aca="false">AE31/$CP31</f>
        <v>0.120892762627961</v>
      </c>
      <c r="AF4" s="4" t="n">
        <f aca="false">$AF$27*AF31*(1/COUNTIF($C$26:$CK$26,1))/(MAX(AF$30:AF$52)-MIN(AF$30:AF$52))</f>
        <v>0.0130691070505655</v>
      </c>
      <c r="AG4" s="4" t="n">
        <f aca="false">$AF$27*AG31*(1/COUNTIF($C$26:$CK$26,1))/(MAX(AG$30:AG$52)-MIN(AG$30:AG$52))</f>
        <v>0.0234091244277108</v>
      </c>
      <c r="AH4" s="4" t="n">
        <f aca="false">$AF$27*AH31*(1/COUNTIF($C$26:$CK$26,1))/(MAX(AH$30:AH$52)-MIN(AH$30:AH$52))</f>
        <v>0.0139883520112499</v>
      </c>
      <c r="AI4" s="4" t="n">
        <f aca="false">$AF$27*AI31*(1/COUNTIF($C$26:$CK$26,1))/(MAX(AI$30:AI$52)-MIN(AI$30:AI$52))</f>
        <v>0.0261873461904366</v>
      </c>
      <c r="AJ4" s="4" t="n">
        <f aca="false">$AF$27*AJ31*(1/COUNTIF($C$26:$CK$26,1))/(MAX(AJ$30:AJ$52)-MIN(AJ$30:AJ$52))</f>
        <v>0.00477140983821532</v>
      </c>
      <c r="AK4" s="4" t="n">
        <f aca="false">$AF$27*AK31*(1/COUNTIF($C$26:$CK$26,1))/(MAX(AK$30:AK$52)-MIN(AK$30:AK$52))</f>
        <v>0.0108888105203402</v>
      </c>
      <c r="AL4" s="4" t="n">
        <f aca="false">$AF$27*AL31*(1/COUNTIF($C$26:$CK$26,1))/(MAX(AL$30:AL$52)-MIN(AL$30:AL$52))</f>
        <v>0.000928346152063246</v>
      </c>
      <c r="AM4" s="4" t="n">
        <f aca="false">$AF$27*AM31*(1/COUNTIF($C$26:$CK$26,1))/(MAX(AM$30:AM$52)-MIN(AM$30:AM$52))</f>
        <v>0.0155781064006931</v>
      </c>
      <c r="AN4" s="4" t="n">
        <f aca="false">$AF$27*AN31*(1/COUNTIF($C$26:$CK$26,1))/(MAX(AN$30:AN$52)-MIN(AN$30:AN$52))</f>
        <v>0.0227420384280364</v>
      </c>
      <c r="AO4" s="4" t="n">
        <f aca="false">$AF$27*AO31*(1/COUNTIF($C$26:$CK$26,1))/(MAX(AO$30:AO$52)-MIN(AO$30:AO$52))</f>
        <v>0.00230703915850916</v>
      </c>
      <c r="AP4" s="4" t="n">
        <f aca="false">$AF$27*AP31*(1/COUNTIF($C$26:$CK$26,1))/(MAX(AP$30:AP$52)-MIN(AP$30:AP$52))</f>
        <v>0.0254475020928259</v>
      </c>
      <c r="AQ4" s="4" t="n">
        <f aca="false">$AF$27*AQ31*(1/COUNTIF($C$26:$CK$26,1))/(MAX(AQ$30:AQ$52)-MIN(AQ$30:AQ$52))</f>
        <v>0.0205399600683729</v>
      </c>
      <c r="AR4" s="4" t="n">
        <f aca="false">$AF$27*AR31*(1/COUNTIF($C$26:$CK$26,1))/(MAX(AR$30:AR$52)-MIN(AR$30:AR$52))</f>
        <v>0.00965890791919268</v>
      </c>
      <c r="AS4" s="4" t="n">
        <f aca="false">$AF$27*AS31*(1/COUNTIF($C$26:$CK$26,1))/(MAX(AS$30:AS$52)-MIN(AS$30:AS$52))</f>
        <v>0.0102774636900057</v>
      </c>
      <c r="AT4" s="4" t="n">
        <f aca="false">AT31/$CP31</f>
        <v>0.0725770229415602</v>
      </c>
      <c r="AU4" s="4" t="n">
        <f aca="false">AU31/$CP31</f>
        <v>0.000221732873498863</v>
      </c>
      <c r="AV4" s="4" t="n">
        <f aca="false">$AF$27*AV31*(1/COUNTIF($C$26:$CK$26,1))/(MAX(AV$30:AV$52)-MIN(AV$30:AV$52))</f>
        <v>0.0193448249339821</v>
      </c>
      <c r="AW4" s="4" t="n">
        <f aca="false">SUM(Flows!AX4,Flows!$AZ4)/$AW61</f>
        <v>0.000780897140097843</v>
      </c>
      <c r="AX4" s="4" t="n">
        <f aca="false">$AX$27*AX31*(1/COUNTIF($C$26:$CK$26,1))/(MAX(AX$30:AX$52)-MIN(AX$30:AX$52))</f>
        <v>0.0152874957555032</v>
      </c>
      <c r="AY4" s="4" t="n">
        <f aca="false">SUM(Flows!$BB4:$BE4)*Capacity!BS4/(AY61*SUM(Capacity!$BS4:$BT4))</f>
        <v>0.00441726197307168</v>
      </c>
      <c r="AZ4" s="4" t="n">
        <f aca="false">SUM(Flows!$BB4:$BE4)*Capacity!BT4/(AZ61*SUM(Capacity!$BS4:$BT4))+(DemClcs!$A$56*Populations!$Q3/AZ61)</f>
        <v>0.0371344165551565</v>
      </c>
      <c r="BA4" s="4" t="n">
        <v>0</v>
      </c>
      <c r="BB4" s="4" t="n">
        <f aca="false">$BB$27*BB31*(1/COUNTIF($C$26:$CK$26,1))/(MAX(BB$30:BB$52)-MIN(BB$30:BB$52))</f>
        <v>0.000693519794789962</v>
      </c>
      <c r="BC4" s="4" t="n">
        <f aca="false">$BB$27*BC31*(1/COUNTIF($C$26:$CK$26,1))/(MAX(BC$30:BC$52)-MIN(BC$30:BC$52))</f>
        <v>0.0007997727304158</v>
      </c>
      <c r="BD4" s="4" t="n">
        <f aca="false">$BB$27*BD31*(1/COUNTIF($C$26:$CK$26,1))/(MAX(BD$30:BD$52)-MIN(BD$30:BD$52))</f>
        <v>0.000382940023561081</v>
      </c>
      <c r="BE4" s="4" t="n">
        <f aca="false">$BB$27*BE31*(1/COUNTIF($C$26:$CK$26,1))/(MAX(BE$30:BE$52)-MIN(BE$30:BE$52))</f>
        <v>0.00249802137565064</v>
      </c>
      <c r="BF4" s="4" t="n">
        <f aca="false">(Flows!$BG4+Flows!$BI4)*1.5*Capacity!$BZ5/(15*$BF61*(Capacity!$S4+Capacity!$BZ4))</f>
        <v>6.70557135540036E-005</v>
      </c>
      <c r="BG4" s="4" t="n">
        <f aca="false">DemClcs!$A$47*(Populations!$R3+3*Populations!$S3)*Capacity!CA4/(BG61*SUM(Capacity!$CA4:$CC4,Capacity!$CE4))</f>
        <v>0.00535421645290592</v>
      </c>
      <c r="BH4" s="4" t="n">
        <f aca="false">DemClcs!$A$47*(Populations!$R3+3*Populations!$S3)*Capacity!CB4/(BH61*SUM(Capacity!$CA4:$CC4,Capacity!$CE4))</f>
        <v>2.16605874801774E-006</v>
      </c>
      <c r="BI4" s="4" t="n">
        <f aca="false">DemClcs!$A$47*(Populations!$R3+3*Populations!$S3)*Capacity!CC4/(BI61*SUM(Capacity!$CA4:$CC4,Capacity!$CE4))</f>
        <v>0.00535421645290592</v>
      </c>
      <c r="BJ4" s="4" t="n">
        <f aca="false">BJ31/$CP31</f>
        <v>0.102840580507898</v>
      </c>
      <c r="BK4" s="4" t="n">
        <f aca="false">DemClcs!$A$47*(Populations!$R3+3*Populations!$S3)*Capacity!CE4/(BK61*SUM(Capacity!$CA4:$CC4,Capacity!$CE4))</f>
        <v>0.00535421645290592</v>
      </c>
      <c r="BL4" s="4" t="n">
        <f aca="false">BL31/$CP31</f>
        <v>0.0998760457658112</v>
      </c>
      <c r="BM4" s="4" t="n">
        <f aca="false">BM31/$CP31</f>
        <v>0.0340558131802432</v>
      </c>
      <c r="BN4" s="4" t="n">
        <v>0</v>
      </c>
      <c r="BO4" s="4" t="n">
        <f aca="false">Flows!BT4*16/(25*BR61)</f>
        <v>0.00051245979700903</v>
      </c>
      <c r="BP4" s="4" t="n">
        <f aca="false">SUM(Flows!$AF4:$AS4,Flows!$AV4)/BP61</f>
        <v>4.82544422364456E-006</v>
      </c>
      <c r="BQ4" s="4" t="n">
        <v>0</v>
      </c>
      <c r="BR4" s="4" t="n">
        <f aca="false">Flows!BU4*16/(25*BR61)</f>
        <v>5.1245979700903E-005</v>
      </c>
      <c r="BS4" s="4" t="n">
        <f aca="false">Flows!BV4*16/(25*BS61)</f>
        <v>1.02491914264435E-005</v>
      </c>
      <c r="BT4" s="4" t="n">
        <f aca="false">PRODUCT(Flows!$D32,DemClcs!$A$29:$A$32,$BT$27)/(0.75*BT61)</f>
        <v>1.51904812921709E-005</v>
      </c>
      <c r="BU4" s="4" t="n">
        <f aca="false">PRODUCT(Flows!$D32,DemClcs!$A$29:$A$32,$BT$27)/(0.75*BU61*10)</f>
        <v>1.39246078511567E-005</v>
      </c>
      <c r="BV4" s="4" t="n">
        <f aca="false">PRODUCT(Flows!$D32,DemClcs!$A$29:$A$32,$BT$27)/(0.75*BV61*100)</f>
        <v>1.19353781581343E-005</v>
      </c>
      <c r="BW4" s="4" t="n">
        <v>0</v>
      </c>
      <c r="BX4" s="4" t="n">
        <f aca="false">BX31/$CP31</f>
        <v>0.105444374764344</v>
      </c>
      <c r="BY4" s="4" t="n">
        <f aca="false">BY31/$CP31</f>
        <v>0.0525226341997921</v>
      </c>
      <c r="BZ4" s="4" t="n">
        <f aca="false">BZ31/$CO31</f>
        <v>0.148253120952703</v>
      </c>
      <c r="CA4" s="4" t="n">
        <f aca="false">CA31/$CO31</f>
        <v>0.14367331374432</v>
      </c>
      <c r="CB4" s="4" t="n">
        <f aca="false">CB31/$CP31</f>
        <v>0.0224698489439507</v>
      </c>
      <c r="CC4" s="4" t="n">
        <f aca="false">CC31/$CO31</f>
        <v>0.000402017062361812</v>
      </c>
      <c r="CD4" s="4" t="n">
        <v>0</v>
      </c>
      <c r="CE4" s="4" t="n">
        <f aca="false">IF(SUM(Flows!$CJ4:$CK4)&gt;Flows!$BA4,(SUM(Flows!$CJ4:$CK4)-Flows!$BA4)/CE61)</f>
        <v>0.0172798214878416</v>
      </c>
      <c r="CF4" s="4" t="n">
        <f aca="false">CF31/$CO31</f>
        <v>0.128089986192206</v>
      </c>
      <c r="CG4" s="4" t="n">
        <f aca="false">CG31/$CO31</f>
        <v>0.171947514708893</v>
      </c>
      <c r="CH4" s="4" t="n">
        <f aca="false">CH31/$CO31</f>
        <v>0.07352891990126</v>
      </c>
      <c r="CI4" s="4" t="n">
        <f aca="false">CI31/$CP31</f>
        <v>0.0561364065944405</v>
      </c>
      <c r="CJ4" s="4" t="n">
        <f aca="false">CJ$27*CJ31*(1/COUNTIF($C$26:$CK$26,1))/(MAX(CJ$30:CJ$52)-MIN(CJ$30:CJ$52))</f>
        <v>0.000948139474962015</v>
      </c>
      <c r="CK4" s="4" t="n">
        <f aca="false">CK$27*CK31*(1/COUNTIF($C$26:$CK$26,1))/(MAX(CK$30:CK$52)-MIN(CK$30:CK$52))</f>
        <v>0.00233289266665665</v>
      </c>
      <c r="CL4" s="4" t="n">
        <v>0</v>
      </c>
      <c r="CN4" s="4" t="n">
        <f aca="false">SUM(C4:CK4)</f>
        <v>3</v>
      </c>
      <c r="CP4" s="0"/>
      <c r="CR4" s="0"/>
    </row>
    <row r="5" customFormat="false" ht="12.8" hidden="false" customHeight="false" outlineLevel="0" collapsed="false">
      <c r="A5" s="4" t="s">
        <v>135</v>
      </c>
      <c r="B5" s="7" t="s">
        <v>39</v>
      </c>
      <c r="C5" s="4" t="n">
        <f aca="false">Flows!$BG5*2*Capacity!$S5/(5*15*C62*(Capacity!$S5+Capacity!$BZ5))</f>
        <v>4.49412413709645E-006</v>
      </c>
      <c r="D5" s="4" t="n">
        <f aca="false">(DemClcs!$A$34*(Populations!$R4+3*Populations!$S4)/D62)+MAX((Flows!K5+Flows!M5)/1826.484018+Flows!L5/1111.111111-Flows!$F5,0)/D62</f>
        <v>0.164483300382705</v>
      </c>
      <c r="E5" s="4" t="n">
        <f aca="false">DemClcs!$A$42*(Populations!$R4+3*Populations!$S4)/E62</f>
        <v>0.0208333886542959</v>
      </c>
      <c r="F5" s="4" t="n">
        <v>0</v>
      </c>
      <c r="G5" s="4" t="n">
        <f aca="false">Flows!Q5*40/G62</f>
        <v>0.00487190960240543</v>
      </c>
      <c r="H5" s="4" t="n">
        <f aca="false">IF(Flows!$AW5&gt;Flows!$Y5,(Flows!$AW5-Flows!$Y5)/H62)</f>
        <v>0</v>
      </c>
      <c r="I5" s="4" t="n">
        <f aca="false">I32/$CN32</f>
        <v>0.641756740121198</v>
      </c>
      <c r="J5" s="4" t="n">
        <f aca="false">J32/$CN32</f>
        <v>0.358243259878802</v>
      </c>
      <c r="K5" s="4" t="n">
        <v>0</v>
      </c>
      <c r="L5" s="4" t="n">
        <v>0</v>
      </c>
      <c r="M5" s="4" t="n">
        <v>0</v>
      </c>
      <c r="N5" s="4" t="n">
        <f aca="false">SUM(Flows!$V5,Flows!$W5)/$N62</f>
        <v>0.00412052360588182</v>
      </c>
      <c r="O5" s="4" t="n">
        <v>0</v>
      </c>
      <c r="P5" s="4" t="n">
        <v>0</v>
      </c>
      <c r="Q5" s="4" t="n">
        <f aca="false">$Q$27*Q32*(1/COUNTIF($C$26:$CK$26,1))/(MAX(Q$30:Q$52)-MIN(Q$30:Q$52))</f>
        <v>0.00434491687160563</v>
      </c>
      <c r="R5" s="4" t="n">
        <f aca="false">$R$27*R32*(1/COUNTIF($C$26:$CK$26,1))/(MAX(R$30:R$52)-MIN(R$30:R$52))+0.5/COUNTIF($C$26:$CK$26,1)</f>
        <v>0.0300539123032952</v>
      </c>
      <c r="S5" s="4" t="n">
        <v>0</v>
      </c>
      <c r="T5" s="4" t="n">
        <v>0</v>
      </c>
      <c r="U5" s="4" t="n">
        <v>0</v>
      </c>
      <c r="V5" s="4" t="n">
        <f aca="false">$V$27*V32*(1/COUNTIF($C$26:$CK$26,1))/(MAX(V$30:V$52)-MIN(V$30:V$52))</f>
        <v>0.00335640654922433</v>
      </c>
      <c r="W5" s="4" t="n">
        <f aca="false">$V$27*W32*(1/COUNTIF($C$26:$CK$26,1))/(MAX(W$30:W$52)-MIN(W$30:W$52))</f>
        <v>0.0249095589404568</v>
      </c>
      <c r="X5" s="4" t="n">
        <f aca="false">X32/$CO32</f>
        <v>0.133592180543192</v>
      </c>
      <c r="Y5" s="4" t="n">
        <v>0</v>
      </c>
      <c r="Z5" s="4" t="n">
        <f aca="false">Flows!$AA5/$Z62</f>
        <v>0.000132473655751711</v>
      </c>
      <c r="AA5" s="4" t="n">
        <f aca="false">Flows!$AB5/$AA62</f>
        <v>0.00248820289140068</v>
      </c>
      <c r="AB5" s="4" t="n">
        <f aca="false">DemClcs!$A$20*(Populations!$R4+3*Populations!$S4)/AB62</f>
        <v>0.00592496199247328</v>
      </c>
      <c r="AC5" s="4" t="n">
        <f aca="false">Flows!$AD5/$AC62</f>
        <v>0.0185413848551914</v>
      </c>
      <c r="AD5" s="4" t="n">
        <f aca="false">DemClcs!$A$25*(Populations!$R4+3*Populations!$S4)/AD62</f>
        <v>0.0587866333333555</v>
      </c>
      <c r="AE5" s="4" t="n">
        <f aca="false">AE32/$CP32</f>
        <v>0.0647404429848322</v>
      </c>
      <c r="AF5" s="4" t="n">
        <f aca="false">$AF$27*AF32*(1/COUNTIF($C$26:$CK$26,1))/(MAX(AF$30:AF$52)-MIN(AF$30:AF$52))</f>
        <v>0.00526453954323988</v>
      </c>
      <c r="AG5" s="4" t="n">
        <f aca="false">$AF$27*AG32*(1/COUNTIF($C$26:$CK$26,1))/(MAX(AG$30:AG$52)-MIN(AG$30:AG$52))</f>
        <v>0.0248485729843404</v>
      </c>
      <c r="AH5" s="4" t="n">
        <f aca="false">$AF$27*AH32*(1/COUNTIF($C$26:$CK$26,1))/(MAX(AH$30:AH$52)-MIN(AH$30:AH$52))</f>
        <v>0.0300641604669369</v>
      </c>
      <c r="AI5" s="4" t="n">
        <f aca="false">$AF$27*AI32*(1/COUNTIF($C$26:$CK$26,1))/(MAX(AI$30:AI$52)-MIN(AI$30:AI$52))</f>
        <v>0.0107323999041832</v>
      </c>
      <c r="AJ5" s="4" t="n">
        <f aca="false">$AF$27*AJ32*(1/COUNTIF($C$26:$CK$26,1))/(MAX(AJ$30:AJ$52)-MIN(AJ$30:AJ$52))</f>
        <v>0.0171065809155493</v>
      </c>
      <c r="AK5" s="4" t="n">
        <f aca="false">$AF$27*AK32*(1/COUNTIF($C$26:$CK$26,1))/(MAX(AK$30:AK$52)-MIN(AK$30:AK$52))</f>
        <v>0.00639701738655469</v>
      </c>
      <c r="AL5" s="4" t="n">
        <f aca="false">$AF$27*AL32*(1/COUNTIF($C$26:$CK$26,1))/(MAX(AL$30:AL$52)-MIN(AL$30:AL$52))</f>
        <v>0.00335195720552791</v>
      </c>
      <c r="AM5" s="4" t="n">
        <f aca="false">$AF$27*AM32*(1/COUNTIF($C$26:$CK$26,1))/(MAX(AM$30:AM$52)-MIN(AM$30:AM$52))</f>
        <v>0.000182489914424118</v>
      </c>
      <c r="AN5" s="4" t="n">
        <f aca="false">$AF$27*AN32*(1/COUNTIF($C$26:$CK$26,1))/(MAX(AN$30:AN$52)-MIN(AN$30:AN$52))</f>
        <v>0.0166155710670379</v>
      </c>
      <c r="AO5" s="4" t="n">
        <f aca="false">$AF$27*AO32*(1/COUNTIF($C$26:$CK$26,1))/(MAX(AO$30:AO$52)-MIN(AO$30:AO$52))</f>
        <v>0.00216011549762309</v>
      </c>
      <c r="AP5" s="4" t="n">
        <f aca="false">$AF$27*AP32*(1/COUNTIF($C$26:$CK$26,1))/(MAX(AP$30:AP$52)-MIN(AP$30:AP$52))</f>
        <v>0.0294715412824542</v>
      </c>
      <c r="AQ5" s="4" t="n">
        <f aca="false">$AF$27*AQ32*(1/COUNTIF($C$26:$CK$26,1))/(MAX(AQ$30:AQ$52)-MIN(AQ$30:AQ$52))</f>
        <v>0.0128991220071363</v>
      </c>
      <c r="AR5" s="4" t="n">
        <f aca="false">$AF$27*AR32*(1/COUNTIF($C$26:$CK$26,1))/(MAX(AR$30:AR$52)-MIN(AR$30:AR$52))</f>
        <v>0.00603890083897938</v>
      </c>
      <c r="AS5" s="4" t="n">
        <f aca="false">$AF$27*AS32*(1/COUNTIF($C$26:$CK$26,1))/(MAX(AS$30:AS$52)-MIN(AS$30:AS$52))</f>
        <v>0.0249820845500456</v>
      </c>
      <c r="AT5" s="4" t="n">
        <f aca="false">AT32/$CP32</f>
        <v>0.0217308903397671</v>
      </c>
      <c r="AU5" s="4" t="n">
        <f aca="false">AU32/$CP32</f>
        <v>0.0342513012465356</v>
      </c>
      <c r="AV5" s="4" t="n">
        <f aca="false">$AF$27*AV32*(1/COUNTIF($C$26:$CK$26,1))/(MAX(AV$30:AV$52)-MIN(AV$30:AV$52))</f>
        <v>0.000445590757706345</v>
      </c>
      <c r="AW5" s="4" t="n">
        <f aca="false">SUM(Flows!AX5,Flows!$AZ5)/$AW62</f>
        <v>0.00297415975953729</v>
      </c>
      <c r="AX5" s="4" t="n">
        <f aca="false">$AX$27*AX32*(1/COUNTIF($C$26:$CK$26,1))/(MAX(AX$30:AX$52)-MIN(AX$30:AX$52))</f>
        <v>0.0192275693148443</v>
      </c>
      <c r="AY5" s="4" t="n">
        <f aca="false">SUM(Flows!$BB5:$BE5)*Capacity!BS5/(AY62*SUM(Capacity!$BS5:$BT5))</f>
        <v>0.0182251144232281</v>
      </c>
      <c r="AZ5" s="4" t="n">
        <f aca="false">SUM(Flows!$BB5:$BE5)*Capacity!BT5/(AZ62*SUM(Capacity!$BS5:$BT5))+(DemClcs!$A$56*Populations!$Q4/AZ62)</f>
        <v>0.0830342882274821</v>
      </c>
      <c r="BA5" s="4" t="n">
        <v>0</v>
      </c>
      <c r="BB5" s="4" t="n">
        <f aca="false">$BB$27*BB32*(1/COUNTIF($C$26:$CK$26,1))/(MAX(BB$30:BB$52)-MIN(BB$30:BB$52))</f>
        <v>0.00258538923401259</v>
      </c>
      <c r="BC5" s="4" t="n">
        <f aca="false">$BB$27*BC32*(1/COUNTIF($C$26:$CK$26,1))/(MAX(BC$30:BC$52)-MIN(BC$30:BC$52))</f>
        <v>0.00165340534390512</v>
      </c>
      <c r="BD5" s="4" t="n">
        <f aca="false">$BB$27*BD32*(1/COUNTIF($C$26:$CK$26,1))/(MAX(BD$30:BD$52)-MIN(BD$30:BD$52))</f>
        <v>0.00170804092857496</v>
      </c>
      <c r="BE5" s="4" t="n">
        <f aca="false">$BB$27*BE32*(1/COUNTIF($C$26:$CK$26,1))/(MAX(BE$30:BE$52)-MIN(BE$30:BE$52))</f>
        <v>0.0026799573538898</v>
      </c>
      <c r="BF5" s="4" t="n">
        <f aca="false">(Flows!$BG5+Flows!$BI5)*1.5*Capacity!$BZ6/(15*$BF62*(Capacity!$S5+Capacity!$BZ5))</f>
        <v>0.000158277950893118</v>
      </c>
      <c r="BG5" s="4" t="n">
        <f aca="false">DemClcs!$A$47*(Populations!$R4+3*Populations!$S4)*Capacity!CA5/(BG62*SUM(Capacity!$CA5:$CC5,Capacity!$CE5))</f>
        <v>0.00486921959992371</v>
      </c>
      <c r="BH5" s="4" t="n">
        <f aca="false">DemClcs!$A$47*(Populations!$R4+3*Populations!$S4)*Capacity!CB5/(BH62*SUM(Capacity!$CA5:$CC5,Capacity!$CE5))</f>
        <v>0.00810827722595677</v>
      </c>
      <c r="BI5" s="4" t="n">
        <f aca="false">DemClcs!$A$47*(Populations!$R4+3*Populations!$S4)*Capacity!CC5/(BI62*SUM(Capacity!$CA5:$CC5,Capacity!$CE5))</f>
        <v>0.00486921959992371</v>
      </c>
      <c r="BJ5" s="4" t="n">
        <f aca="false">BJ32/$CP32</f>
        <v>0.100637827277706</v>
      </c>
      <c r="BK5" s="4" t="n">
        <f aca="false">DemClcs!$A$47*(Populations!$R4+3*Populations!$S4)*Capacity!CE5/(BK62*SUM(Capacity!$CA5:$CC5,Capacity!$CE5))</f>
        <v>0.00486921959992371</v>
      </c>
      <c r="BL5" s="4" t="n">
        <f aca="false">BL32/$CP32</f>
        <v>0.04775136066955</v>
      </c>
      <c r="BM5" s="4" t="n">
        <f aca="false">BM32/$CP32</f>
        <v>0.114722225289887</v>
      </c>
      <c r="BN5" s="4" t="n">
        <v>0</v>
      </c>
      <c r="BO5" s="4" t="n">
        <f aca="false">Flows!BT5*16/(25*BR62)</f>
        <v>0.00670726559961126</v>
      </c>
      <c r="BP5" s="4" t="n">
        <f aca="false">SUM(Flows!$AF5:$AS5,Flows!$AV5)/BP62</f>
        <v>7.22026567157368E-005</v>
      </c>
      <c r="BQ5" s="4" t="n">
        <v>0</v>
      </c>
      <c r="BR5" s="4" t="n">
        <f aca="false">Flows!BU5*16/(25*BR62)</f>
        <v>0.000670726559961125</v>
      </c>
      <c r="BS5" s="4" t="n">
        <f aca="false">Flows!BV5*16/(25*BS62)</f>
        <v>0.000134145081457857</v>
      </c>
      <c r="BT5" s="4" t="n">
        <f aca="false">PRODUCT(Flows!$D33,DemClcs!$A$29:$A$32,$BT$27)/(0.75*BT62)</f>
        <v>1.35163514939418E-005</v>
      </c>
      <c r="BU5" s="4" t="n">
        <f aca="false">PRODUCT(Flows!$D33,DemClcs!$A$29:$A$32,$BT$27)/(0.75*BU62*10)</f>
        <v>1.23899888694467E-005</v>
      </c>
      <c r="BV5" s="4" t="n">
        <f aca="false">PRODUCT(Flows!$D33,DemClcs!$A$29:$A$32,$BT$27)/(0.75*BV62*100)</f>
        <v>1.06199904595257E-005</v>
      </c>
      <c r="BW5" s="4" t="n">
        <v>0</v>
      </c>
      <c r="BX5" s="4" t="n">
        <f aca="false">BX32/$CP32</f>
        <v>0.107057339625608</v>
      </c>
      <c r="BY5" s="4" t="n">
        <f aca="false">BY32/$CP32</f>
        <v>0.0904086237842258</v>
      </c>
      <c r="BZ5" s="4" t="n">
        <f aca="false">BZ32/$CO32</f>
        <v>0.011935950942972</v>
      </c>
      <c r="CA5" s="4" t="n">
        <f aca="false">CA32/$CO32</f>
        <v>0.0683634463436035</v>
      </c>
      <c r="CB5" s="4" t="n">
        <f aca="false">CB32/$CP32</f>
        <v>0.0257140529008361</v>
      </c>
      <c r="CC5" s="4" t="n">
        <f aca="false">CC32/$CO32</f>
        <v>0.0182159023643123</v>
      </c>
      <c r="CD5" s="4" t="n">
        <v>0</v>
      </c>
      <c r="CE5" s="4" t="n">
        <f aca="false">IF(SUM(Flows!$CJ5:$CK5)&gt;Flows!$BA5,(SUM(Flows!$CJ5:$CK5)-Flows!$BA5)/CE62)</f>
        <v>0.0348599826260076</v>
      </c>
      <c r="CF5" s="4" t="n">
        <f aca="false">CF32/$CO32</f>
        <v>0.10761960605708</v>
      </c>
      <c r="CG5" s="4" t="n">
        <f aca="false">CG32/$CO32</f>
        <v>0.218355210460857</v>
      </c>
      <c r="CH5" s="4" t="n">
        <f aca="false">CH32/$CO32</f>
        <v>0.0328125839045816</v>
      </c>
      <c r="CI5" s="4" t="n">
        <f aca="false">CI32/$CP32</f>
        <v>0.0695613075540228</v>
      </c>
      <c r="CJ5" s="4" t="n">
        <f aca="false">CJ$27*CJ32*(1/COUNTIF($C$26:$CK$26,1))/(MAX(CJ$30:CJ$52)-MIN(CJ$30:CJ$52))</f>
        <v>0.000230017024691768</v>
      </c>
      <c r="CK5" s="4" t="n">
        <f aca="false">CK$27*CK32*(1/COUNTIF($C$26:$CK$26,1))/(MAX(CK$30:CK$52)-MIN(CK$30:CK$52))</f>
        <v>0.00144403118514863</v>
      </c>
      <c r="CL5" s="4" t="n">
        <v>0</v>
      </c>
      <c r="CN5" s="4" t="n">
        <f aca="false">SUM(C5:CK5)</f>
        <v>3</v>
      </c>
      <c r="CP5" s="0"/>
      <c r="CR5" s="0" t="s">
        <v>270</v>
      </c>
    </row>
    <row r="6" customFormat="false" ht="12.8" hidden="false" customHeight="false" outlineLevel="0" collapsed="false">
      <c r="A6" s="4" t="s">
        <v>137</v>
      </c>
      <c r="B6" s="7" t="s">
        <v>39</v>
      </c>
      <c r="C6" s="4" t="n">
        <f aca="false">Flows!$BG6*2*Capacity!$S6/(5*15*C63*(Capacity!$S6+Capacity!$BZ6))</f>
        <v>1.53736065038196E-005</v>
      </c>
      <c r="D6" s="4" t="n">
        <f aca="false">(DemClcs!$A$34*(Populations!$R5+3*Populations!$S5)/D63)+MAX((Flows!K6+Flows!M6)/1826.484018+Flows!L6/1111.111111-Flows!$F6,0)/D63</f>
        <v>0.398586992280397</v>
      </c>
      <c r="E6" s="4" t="n">
        <f aca="false">DemClcs!$A$42*(Populations!$R5+3*Populations!$S5)/E63</f>
        <v>0.0491975686785488</v>
      </c>
      <c r="F6" s="4" t="n">
        <v>0</v>
      </c>
      <c r="G6" s="4" t="n">
        <f aca="false">Flows!Q6*40/G63</f>
        <v>0.0128173129015601</v>
      </c>
      <c r="H6" s="4" t="n">
        <f aca="false">IF(Flows!$AW6&gt;Flows!$Y6,(Flows!$AW6-Flows!$Y6)/H63)</f>
        <v>0</v>
      </c>
      <c r="I6" s="4" t="n">
        <f aca="false">I33/$CN33</f>
        <v>0.661039158346188</v>
      </c>
      <c r="J6" s="4" t="n">
        <f aca="false">J33/$CN33</f>
        <v>0.338960841653812</v>
      </c>
      <c r="K6" s="4" t="n">
        <v>0</v>
      </c>
      <c r="L6" s="4" t="n">
        <v>0</v>
      </c>
      <c r="M6" s="4" t="n">
        <v>0</v>
      </c>
      <c r="N6" s="4" t="n">
        <f aca="false">SUM(Flows!$V6,Flows!$W6)/$N63</f>
        <v>0.00981872398631375</v>
      </c>
      <c r="O6" s="4" t="n">
        <v>0</v>
      </c>
      <c r="P6" s="4" t="n">
        <v>0</v>
      </c>
      <c r="Q6" s="4" t="n">
        <f aca="false">$Q$27*Q33*(1/COUNTIF($C$26:$CK$26,1))/(MAX(Q$30:Q$52)-MIN(Q$30:Q$52))</f>
        <v>0.0049570019119254</v>
      </c>
      <c r="R6" s="4" t="n">
        <f aca="false">$R$27*R33*(1/COUNTIF($C$26:$CK$26,1))/(MAX(R$30:R$52)-MIN(R$30:R$52))+0.5/COUNTIF($C$26:$CK$26,1)</f>
        <v>0.0290196508427801</v>
      </c>
      <c r="S6" s="4" t="n">
        <v>0</v>
      </c>
      <c r="T6" s="4" t="n">
        <v>0</v>
      </c>
      <c r="U6" s="4" t="n">
        <v>0</v>
      </c>
      <c r="V6" s="4" t="n">
        <f aca="false">$V$27*V33*(1/COUNTIF($C$26:$CK$26,1))/(MAX(V$30:V$52)-MIN(V$30:V$52))</f>
        <v>0.00404048502169669</v>
      </c>
      <c r="W6" s="4" t="n">
        <f aca="false">$V$27*W33*(1/COUNTIF($C$26:$CK$26,1))/(MAX(W$30:W$52)-MIN(W$30:W$52))</f>
        <v>0.015583630358284</v>
      </c>
      <c r="X6" s="4" t="n">
        <f aca="false">X33/$CO33</f>
        <v>0.0137488588403871</v>
      </c>
      <c r="Y6" s="4" t="n">
        <v>0</v>
      </c>
      <c r="Z6" s="4" t="n">
        <f aca="false">Flows!$AA6/$Z63</f>
        <v>0.000267038325604434</v>
      </c>
      <c r="AA6" s="4" t="n">
        <f aca="false">Flows!$AB6/$AA63</f>
        <v>0.00498067011084938</v>
      </c>
      <c r="AB6" s="4" t="n">
        <f aca="false">DemClcs!$A$20*(Populations!$R5+3*Populations!$S5)/AB63</f>
        <v>0.0127938791529536</v>
      </c>
      <c r="AC6" s="4" t="n">
        <f aca="false">Flows!$AD6/$AC63</f>
        <v>0.0402314857788253</v>
      </c>
      <c r="AD6" s="4" t="n">
        <f aca="false">DemClcs!$A$25*(Populations!$R5+3*Populations!$S5)/AD63</f>
        <v>0.126939056087006</v>
      </c>
      <c r="AE6" s="4" t="n">
        <f aca="false">AE33/$CP33</f>
        <v>0.0373273337958875</v>
      </c>
      <c r="AF6" s="4" t="n">
        <f aca="false">$AF$27*AF33*(1/COUNTIF($C$26:$CK$26,1))/(MAX(AF$30:AF$52)-MIN(AF$30:AF$52))</f>
        <v>0.0155147653397439</v>
      </c>
      <c r="AG6" s="4" t="n">
        <f aca="false">$AF$27*AG33*(1/COUNTIF($C$26:$CK$26,1))/(MAX(AG$30:AG$52)-MIN(AG$30:AG$52))</f>
        <v>0.00223670063164075</v>
      </c>
      <c r="AH6" s="4" t="n">
        <f aca="false">$AF$27*AH33*(1/COUNTIF($C$26:$CK$26,1))/(MAX(AH$30:AH$52)-MIN(AH$30:AH$52))</f>
        <v>0.0132279196606647</v>
      </c>
      <c r="AI6" s="4" t="n">
        <f aca="false">$AF$27*AI33*(1/COUNTIF($C$26:$CK$26,1))/(MAX(AI$30:AI$52)-MIN(AI$30:AI$52))</f>
        <v>0.0204870138208963</v>
      </c>
      <c r="AJ6" s="4" t="n">
        <f aca="false">$AF$27*AJ33*(1/COUNTIF($C$26:$CK$26,1))/(MAX(AJ$30:AJ$52)-MIN(AJ$30:AJ$52))</f>
        <v>0.0303057339818661</v>
      </c>
      <c r="AK6" s="4" t="n">
        <f aca="false">$AF$27*AK33*(1/COUNTIF($C$26:$CK$26,1))/(MAX(AK$30:AK$52)-MIN(AK$30:AK$52))</f>
        <v>0.0272948928489559</v>
      </c>
      <c r="AL6" s="4" t="n">
        <f aca="false">$AF$27*AL33*(1/COUNTIF($C$26:$CK$26,1))/(MAX(AL$30:AL$52)-MIN(AL$30:AL$52))</f>
        <v>0.0173073694593905</v>
      </c>
      <c r="AM6" s="4" t="n">
        <f aca="false">$AF$27*AM33*(1/COUNTIF($C$26:$CK$26,1))/(MAX(AM$30:AM$52)-MIN(AM$30:AM$52))</f>
        <v>0.022098978443572</v>
      </c>
      <c r="AN6" s="4" t="n">
        <f aca="false">$AF$27*AN33*(1/COUNTIF($C$26:$CK$26,1))/(MAX(AN$30:AN$52)-MIN(AN$30:AN$52))</f>
        <v>0.0209746922267318</v>
      </c>
      <c r="AO6" s="4" t="n">
        <f aca="false">$AF$27*AO33*(1/COUNTIF($C$26:$CK$26,1))/(MAX(AO$30:AO$52)-MIN(AO$30:AO$52))</f>
        <v>0.0138351517086745</v>
      </c>
      <c r="AP6" s="4" t="n">
        <f aca="false">$AF$27*AP33*(1/COUNTIF($C$26:$CK$26,1))/(MAX(AP$30:AP$52)-MIN(AP$30:AP$52))</f>
        <v>0.022773726636656</v>
      </c>
      <c r="AQ6" s="4" t="n">
        <f aca="false">$AF$27*AQ33*(1/COUNTIF($C$26:$CK$26,1))/(MAX(AQ$30:AQ$52)-MIN(AQ$30:AQ$52))</f>
        <v>0.00711427196189401</v>
      </c>
      <c r="AR6" s="4" t="n">
        <f aca="false">$AF$27*AR33*(1/COUNTIF($C$26:$CK$26,1))/(MAX(AR$30:AR$52)-MIN(AR$30:AR$52))</f>
        <v>0.000395788192019906</v>
      </c>
      <c r="AS6" s="4" t="n">
        <f aca="false">$AF$27*AS33*(1/COUNTIF($C$26:$CK$26,1))/(MAX(AS$30:AS$52)-MIN(AS$30:AS$52))</f>
        <v>0.0230083845899381</v>
      </c>
      <c r="AT6" s="4" t="n">
        <f aca="false">AT33/$CP33</f>
        <v>0.0739768659288012</v>
      </c>
      <c r="AU6" s="4" t="n">
        <f aca="false">AU33/$CP33</f>
        <v>0.0609141745751532</v>
      </c>
      <c r="AV6" s="4" t="n">
        <f aca="false">$AF$27*AV33*(1/COUNTIF($C$26:$CK$26,1))/(MAX(AV$30:AV$52)-MIN(AV$30:AV$52))</f>
        <v>0.0267274646242934</v>
      </c>
      <c r="AW6" s="4" t="n">
        <f aca="false">SUM(Flows!AX6,Flows!$AZ6)/$AW63</f>
        <v>0.00660010921298363</v>
      </c>
      <c r="AX6" s="4" t="n">
        <f aca="false">$AX$27*AX33*(1/COUNTIF($C$26:$CK$26,1))/(MAX(AX$30:AX$52)-MIN(AX$30:AX$52))</f>
        <v>0.0120160584417365</v>
      </c>
      <c r="AY6" s="4" t="n">
        <f aca="false">SUM(Flows!$BB6:$BE6)*Capacity!BS6/(AY63*SUM(Capacity!$BS6:$BT6))</f>
        <v>0.0384149581411094</v>
      </c>
      <c r="AZ6" s="4" t="n">
        <f aca="false">SUM(Flows!$BB6:$BE6)*Capacity!BT6/(AZ63*SUM(Capacity!$BS6:$BT6))+(DemClcs!$A$56*Populations!$Q5/AZ63)</f>
        <v>0.184389513180374</v>
      </c>
      <c r="BA6" s="4" t="n">
        <v>0</v>
      </c>
      <c r="BB6" s="4" t="n">
        <f aca="false">$BB$27*BB33*(1/COUNTIF($C$26:$CK$26,1))/(MAX(BB$30:BB$52)-MIN(BB$30:BB$52))</f>
        <v>0.00289115666433432</v>
      </c>
      <c r="BC6" s="4" t="n">
        <f aca="false">$BB$27*BC33*(1/COUNTIF($C$26:$CK$26,1))/(MAX(BC$30:BC$52)-MIN(BC$30:BC$52))</f>
        <v>0.00187995914636867</v>
      </c>
      <c r="BD6" s="4" t="n">
        <f aca="false">$BB$27*BD33*(1/COUNTIF($C$26:$CK$26,1))/(MAX(BD$30:BD$52)-MIN(BD$30:BD$52))</f>
        <v>0.00287389919707532</v>
      </c>
      <c r="BE6" s="4" t="n">
        <f aca="false">$BB$27*BE33*(1/COUNTIF($C$26:$CK$26,1))/(MAX(BE$30:BE$52)-MIN(BE$30:BE$52))</f>
        <v>0.00278303832780924</v>
      </c>
      <c r="BF6" s="4" t="n">
        <f aca="false">(Flows!$BG6+Flows!$BI6)*1.5*Capacity!$BZ7/(15*$BF63*(Capacity!$S6+Capacity!$BZ6))</f>
        <v>2.85864728609481E-005</v>
      </c>
      <c r="BG6" s="4" t="n">
        <f aca="false">DemClcs!$A$47*(Populations!$R5+3*Populations!$S5)*Capacity!CA6/(BG63*SUM(Capacity!$CA6:$CC6,Capacity!$CE6))</f>
        <v>0.0151228134222553</v>
      </c>
      <c r="BH6" s="4" t="n">
        <f aca="false">DemClcs!$A$47*(Populations!$R5+3*Populations!$S5)*Capacity!CB6/(BH63*SUM(Capacity!$CA6:$CC6,Capacity!$CE6))</f>
        <v>0.00224117099281934</v>
      </c>
      <c r="BI6" s="4" t="n">
        <f aca="false">DemClcs!$A$47*(Populations!$R5+3*Populations!$S5)*Capacity!CC6/(BI63*SUM(Capacity!$CA6:$CC6,Capacity!$CE6))</f>
        <v>0.0151228134222553</v>
      </c>
      <c r="BJ6" s="4" t="n">
        <f aca="false">BJ33/$CP33</f>
        <v>0.0727652772440647</v>
      </c>
      <c r="BK6" s="4" t="n">
        <f aca="false">DemClcs!$A$47*(Populations!$R5+3*Populations!$S5)*Capacity!CE6/(BK63*SUM(Capacity!$CA6:$CC6,Capacity!$CE6))</f>
        <v>0.0151228134222553</v>
      </c>
      <c r="BL6" s="4" t="n">
        <f aca="false">BL33/$CP33</f>
        <v>0.00549440399558433</v>
      </c>
      <c r="BM6" s="4" t="n">
        <f aca="false">BM33/$CP33</f>
        <v>0.0440696943598211</v>
      </c>
      <c r="BN6" s="4" t="n">
        <v>0</v>
      </c>
      <c r="BO6" s="4" t="n">
        <f aca="false">Flows!BT6*16/(25*BR63)</f>
        <v>0.0224746354036449</v>
      </c>
      <c r="BP6" s="4" t="n">
        <f aca="false">SUM(Flows!$AF6:$AS6,Flows!$AV6)/BP63</f>
        <v>0.000109129231379013</v>
      </c>
      <c r="BQ6" s="4" t="n">
        <v>0</v>
      </c>
      <c r="BR6" s="4" t="n">
        <f aca="false">Flows!BU6*16/(25*BR63)</f>
        <v>0.00224746354036449</v>
      </c>
      <c r="BS6" s="4" t="n">
        <f aca="false">Flows!BV6*16/(25*BS63)</f>
        <v>0.000449492184078996</v>
      </c>
      <c r="BT6" s="4" t="n">
        <f aca="false">PRODUCT(Flows!$D34,DemClcs!$A$29:$A$32,$BT$27)/(0.75*BT63)</f>
        <v>3.00231310252424E-005</v>
      </c>
      <c r="BU6" s="4" t="n">
        <f aca="false">PRODUCT(Flows!$D34,DemClcs!$A$29:$A$32,$BT$27)/(0.75*BU63*10)</f>
        <v>2.75212034398056E-005</v>
      </c>
      <c r="BV6" s="4" t="n">
        <f aca="false">PRODUCT(Flows!$D34,DemClcs!$A$29:$A$32,$BT$27)/(0.75*BV63*100)</f>
        <v>2.35896029484048E-005</v>
      </c>
      <c r="BW6" s="4" t="n">
        <v>0</v>
      </c>
      <c r="BX6" s="4" t="n">
        <f aca="false">BX33/$CP33</f>
        <v>0.0584165071206691</v>
      </c>
      <c r="BY6" s="4" t="n">
        <f aca="false">BY33/$CP33</f>
        <v>0.00817311724945862</v>
      </c>
      <c r="BZ6" s="4" t="n">
        <f aca="false">BZ33/$CO33</f>
        <v>0.0250568843375593</v>
      </c>
      <c r="CA6" s="4" t="n">
        <f aca="false">CA33/$CO33</f>
        <v>0.0174148430733482</v>
      </c>
      <c r="CB6" s="4" t="n">
        <f aca="false">CB33/$CP33</f>
        <v>0.0833572203154611</v>
      </c>
      <c r="CC6" s="4" t="n">
        <f aca="false">CC33/$CO33</f>
        <v>0.021007226758042</v>
      </c>
      <c r="CD6" s="4" t="n">
        <v>0</v>
      </c>
      <c r="CE6" s="4" t="n">
        <f aca="false">IF(SUM(Flows!$CJ6:$CK6)&gt;Flows!$BA6,(SUM(Flows!$CJ6:$CK6)-Flows!$BA6)/CE63)</f>
        <v>0.0836781989681758</v>
      </c>
      <c r="CF6" s="4" t="n">
        <f aca="false">CF33/$CO33</f>
        <v>0.0255066753471675</v>
      </c>
      <c r="CG6" s="4" t="n">
        <f aca="false">CG33/$CO33</f>
        <v>0.00260299478842694</v>
      </c>
      <c r="CH6" s="4" t="n">
        <f aca="false">CH33/$CO33</f>
        <v>0.00430022567782754</v>
      </c>
      <c r="CI6" s="4" t="n">
        <f aca="false">CI33/$CP33</f>
        <v>0.0618228950953292</v>
      </c>
      <c r="CJ6" s="4" t="n">
        <f aca="false">CJ$27*CJ33*(1/COUNTIF($C$26:$CK$26,1))/(MAX(CJ$30:CJ$52)-MIN(CJ$30:CJ$52))</f>
        <v>0.00146093195683864</v>
      </c>
      <c r="CK6" s="4" t="n">
        <f aca="false">CK$27*CK33*(1/COUNTIF($C$26:$CK$26,1))/(MAX(CK$30:CK$52)-MIN(CK$30:CK$52))</f>
        <v>0.00150520306069211</v>
      </c>
      <c r="CL6" s="4" t="n">
        <v>0</v>
      </c>
      <c r="CN6" s="4" t="n">
        <f aca="false">SUM(C6:CK6)</f>
        <v>3</v>
      </c>
      <c r="CP6" s="0"/>
      <c r="CR6" s="0" t="s">
        <v>271</v>
      </c>
    </row>
    <row r="7" customFormat="false" ht="12.8" hidden="false" customHeight="false" outlineLevel="0" collapsed="false">
      <c r="A7" s="4" t="s">
        <v>139</v>
      </c>
      <c r="B7" s="7" t="s">
        <v>39</v>
      </c>
      <c r="C7" s="4" t="n">
        <f aca="false">Flows!$BG7*2*Capacity!$S7/(5*15*C64*(Capacity!$S7+Capacity!$BZ7))</f>
        <v>1.72840629477767E-006</v>
      </c>
      <c r="D7" s="4" t="n">
        <f aca="false">(DemClcs!$A$34*(Populations!$R6+3*Populations!$S6)/D64)+MAX((Flows!K7+Flows!M7)/1826.484018+Flows!L7/1111.111111-Flows!$F7,0)/D64</f>
        <v>0.0674194274872198</v>
      </c>
      <c r="E7" s="4" t="n">
        <f aca="false">DemClcs!$A$42*(Populations!$R6+3*Populations!$S6)/E64</f>
        <v>0.00463375739446283</v>
      </c>
      <c r="F7" s="4" t="n">
        <v>0</v>
      </c>
      <c r="G7" s="4" t="n">
        <f aca="false">Flows!Q7*40/G64</f>
        <v>0.000596024473244954</v>
      </c>
      <c r="H7" s="4" t="n">
        <f aca="false">IF(Flows!$AW7&gt;Flows!$Y7,(Flows!$AW7-Flows!$Y7)/H64)</f>
        <v>0</v>
      </c>
      <c r="I7" s="4" t="n">
        <f aca="false">I34/$CN34</f>
        <v>0.634435659377899</v>
      </c>
      <c r="J7" s="4" t="n">
        <f aca="false">J34/$CN34</f>
        <v>0.365564340622101</v>
      </c>
      <c r="K7" s="4" t="n">
        <v>0</v>
      </c>
      <c r="L7" s="4" t="n">
        <v>0</v>
      </c>
      <c r="M7" s="4" t="n">
        <v>0</v>
      </c>
      <c r="N7" s="4" t="n">
        <f aca="false">SUM(Flows!$V7,Flows!$W7)/$N64</f>
        <v>0.00067968431723797</v>
      </c>
      <c r="O7" s="4" t="n">
        <v>0</v>
      </c>
      <c r="P7" s="4" t="n">
        <v>0</v>
      </c>
      <c r="Q7" s="4" t="n">
        <f aca="false">$Q$27*Q34*(1/COUNTIF($C$26:$CK$26,1))/(MAX(Q$30:Q$52)-MIN(Q$30:Q$52))</f>
        <v>0.00269487649727036</v>
      </c>
      <c r="R7" s="4" t="n">
        <f aca="false">$R$27*R34*(1/COUNTIF($C$26:$CK$26,1))/(MAX(R$30:R$52)-MIN(R$30:R$52))+0.5/COUNTIF($C$26:$CK$26,1)</f>
        <v>0.0313056985864093</v>
      </c>
      <c r="S7" s="4" t="n">
        <v>0</v>
      </c>
      <c r="T7" s="4" t="n">
        <v>0</v>
      </c>
      <c r="U7" s="4" t="n">
        <v>0</v>
      </c>
      <c r="V7" s="4" t="n">
        <f aca="false">$V$27*V34*(1/COUNTIF($C$26:$CK$26,1))/(MAX(V$30:V$52)-MIN(V$30:V$52))</f>
        <v>0.00176396508207332</v>
      </c>
      <c r="W7" s="4" t="n">
        <f aca="false">$V$27*W34*(1/COUNTIF($C$26:$CK$26,1))/(MAX(W$30:W$52)-MIN(W$30:W$52))</f>
        <v>0.0117817283413828</v>
      </c>
      <c r="X7" s="4" t="n">
        <f aca="false">X34/$CO34</f>
        <v>0.0433426655934071</v>
      </c>
      <c r="Y7" s="4" t="n">
        <v>0</v>
      </c>
      <c r="Z7" s="4" t="n">
        <f aca="false">Flows!$AA7/$Z64</f>
        <v>1.57478007064014E-005</v>
      </c>
      <c r="AA7" s="4" t="n">
        <f aca="false">Flows!$AB7/$AA64</f>
        <v>0.000609202847412246</v>
      </c>
      <c r="AB7" s="4" t="n">
        <f aca="false">DemClcs!$A$20*(Populations!$R6+3*Populations!$S6)/AB64</f>
        <v>0.00261902847762603</v>
      </c>
      <c r="AC7" s="4" t="n">
        <f aca="false">Flows!$AD7/$AC64</f>
        <v>0.00272557179246269</v>
      </c>
      <c r="AD7" s="4" t="n">
        <f aca="false">DemClcs!$A$25*(Populations!$R6+3*Populations!$S6)/AD64</f>
        <v>0.0259856294435989</v>
      </c>
      <c r="AE7" s="4" t="n">
        <f aca="false">AE34/$CP34</f>
        <v>0.0539472191412751</v>
      </c>
      <c r="AF7" s="4" t="n">
        <f aca="false">$AF$27*AF34*(1/COUNTIF($C$26:$CK$26,1))/(MAX(AF$30:AF$52)-MIN(AF$30:AF$52))</f>
        <v>0.00589816034829233</v>
      </c>
      <c r="AG7" s="4" t="n">
        <f aca="false">$AF$27*AG34*(1/COUNTIF($C$26:$CK$26,1))/(MAX(AG$30:AG$52)-MIN(AG$30:AG$52))</f>
        <v>0.0187165879842821</v>
      </c>
      <c r="AH7" s="4" t="n">
        <f aca="false">$AF$27*AH34*(1/COUNTIF($C$26:$CK$26,1))/(MAX(AH$30:AH$52)-MIN(AH$30:AH$52))</f>
        <v>0.0124341405233294</v>
      </c>
      <c r="AI7" s="4" t="n">
        <f aca="false">$AF$27*AI34*(1/COUNTIF($C$26:$CK$26,1))/(MAX(AI$30:AI$52)-MIN(AI$30:AI$52))</f>
        <v>0.024540832756655</v>
      </c>
      <c r="AJ7" s="4" t="n">
        <f aca="false">$AF$27*AJ34*(1/COUNTIF($C$26:$CK$26,1))/(MAX(AJ$30:AJ$52)-MIN(AJ$30:AJ$52))</f>
        <v>0.0210082995300055</v>
      </c>
      <c r="AK7" s="4" t="n">
        <f aca="false">$AF$27*AK34*(1/COUNTIF($C$26:$CK$26,1))/(MAX(AK$30:AK$52)-MIN(AK$30:AK$52))</f>
        <v>0.00106971538785249</v>
      </c>
      <c r="AL7" s="4" t="n">
        <f aca="false">$AF$27*AL34*(1/COUNTIF($C$26:$CK$26,1))/(MAX(AL$30:AL$52)-MIN(AL$30:AL$52))</f>
        <v>0.0157559222660007</v>
      </c>
      <c r="AM7" s="4" t="n">
        <f aca="false">$AF$27*AM34*(1/COUNTIF($C$26:$CK$26,1))/(MAX(AM$30:AM$52)-MIN(AM$30:AM$52))</f>
        <v>0.0263163317098866</v>
      </c>
      <c r="AN7" s="4" t="n">
        <f aca="false">$AF$27*AN34*(1/COUNTIF($C$26:$CK$26,1))/(MAX(AN$30:AN$52)-MIN(AN$30:AN$52))</f>
        <v>0.00517829283983475</v>
      </c>
      <c r="AO7" s="4" t="n">
        <f aca="false">$AF$27*AO34*(1/COUNTIF($C$26:$CK$26,1))/(MAX(AO$30:AO$52)-MIN(AO$30:AO$52))</f>
        <v>0.0112513137163548</v>
      </c>
      <c r="AP7" s="4" t="n">
        <f aca="false">$AF$27*AP34*(1/COUNTIF($C$26:$CK$26,1))/(MAX(AP$30:AP$52)-MIN(AP$30:AP$52))</f>
        <v>0.0264403035523851</v>
      </c>
      <c r="AQ7" s="4" t="n">
        <f aca="false">$AF$27*AQ34*(1/COUNTIF($C$26:$CK$26,1))/(MAX(AQ$30:AQ$52)-MIN(AQ$30:AQ$52))</f>
        <v>0.00476990632304623</v>
      </c>
      <c r="AR7" s="4" t="n">
        <f aca="false">$AF$27*AR34*(1/COUNTIF($C$26:$CK$26,1))/(MAX(AR$30:AR$52)-MIN(AR$30:AR$52))</f>
        <v>0.00878795228939399</v>
      </c>
      <c r="AS7" s="4" t="n">
        <f aca="false">$AF$27*AS34*(1/COUNTIF($C$26:$CK$26,1))/(MAX(AS$30:AS$52)-MIN(AS$30:AS$52))</f>
        <v>0.0237057964304875</v>
      </c>
      <c r="AT7" s="4" t="n">
        <f aca="false">AT34/$CP34</f>
        <v>0.0160434865270099</v>
      </c>
      <c r="AU7" s="4" t="n">
        <f aca="false">AU34/$CP34</f>
        <v>0.116578139313463</v>
      </c>
      <c r="AV7" s="4" t="n">
        <f aca="false">$AF$27*AV34*(1/COUNTIF($C$26:$CK$26,1))/(MAX(AV$30:AV$52)-MIN(AV$30:AV$52))</f>
        <v>0.0233033558783949</v>
      </c>
      <c r="AW7" s="4" t="n">
        <f aca="false">SUM(Flows!AX7,Flows!$AZ7)/$AW64</f>
        <v>0.000462997783800102</v>
      </c>
      <c r="AX7" s="4" t="n">
        <f aca="false">$AX$27*AX34*(1/COUNTIF($C$26:$CK$26,1))/(MAX(AX$30:AX$52)-MIN(AX$30:AX$52))</f>
        <v>0.00264851213668954</v>
      </c>
      <c r="AY7" s="4" t="n">
        <f aca="false">SUM(Flows!$BB7:$BE7)*Capacity!BS7/(AY64*SUM(Capacity!$BS7:$BT7))</f>
        <v>0.00318544741691055</v>
      </c>
      <c r="AZ7" s="4" t="n">
        <f aca="false">SUM(Flows!$BB7:$BE7)*Capacity!BT7/(AZ64*SUM(Capacity!$BS7:$BT7))+(DemClcs!$A$56*Populations!$Q6/AZ64)</f>
        <v>0.0212949580540509</v>
      </c>
      <c r="BA7" s="4" t="n">
        <v>0</v>
      </c>
      <c r="BB7" s="4" t="n">
        <f aca="false">$BB$27*BB34*(1/COUNTIF($C$26:$CK$26,1))/(MAX(BB$30:BB$52)-MIN(BB$30:BB$52))</f>
        <v>0.0019620266346427</v>
      </c>
      <c r="BC7" s="4" t="n">
        <f aca="false">$BB$27*BC34*(1/COUNTIF($C$26:$CK$26,1))/(MAX(BC$30:BC$52)-MIN(BC$30:BC$52))</f>
        <v>0.00270769711398171</v>
      </c>
      <c r="BD7" s="4" t="n">
        <f aca="false">$BB$27*BD34*(1/COUNTIF($C$26:$CK$26,1))/(MAX(BD$30:BD$52)-MIN(BD$30:BD$52))</f>
        <v>0.00173449348810928</v>
      </c>
      <c r="BE7" s="4" t="n">
        <f aca="false">$BB$27*BE34*(1/COUNTIF($C$26:$CK$26,1))/(MAX(BE$30:BE$52)-MIN(BE$30:BE$52))</f>
        <v>0.00222109215465794</v>
      </c>
      <c r="BF7" s="4" t="n">
        <f aca="false">(Flows!$BG7+Flows!$BI7)*1.5*Capacity!$BZ8/(15*$BF64*(Capacity!$S7+Capacity!$BZ7))</f>
        <v>3.15159219660002E-005</v>
      </c>
      <c r="BG7" s="4" t="n">
        <f aca="false">DemClcs!$A$47*(Populations!$R6+3*Populations!$S6)*Capacity!CA7/(BG64*SUM(Capacity!$CA7:$CC7,Capacity!$CE7))</f>
        <v>0.00305502806288145</v>
      </c>
      <c r="BH7" s="4" t="n">
        <f aca="false">DemClcs!$A$47*(Populations!$R6+3*Populations!$S6)*Capacity!CB7/(BH64*SUM(Capacity!$CA7:$CC7,Capacity!$CE7))</f>
        <v>2.64046680415794E-006</v>
      </c>
      <c r="BI7" s="4" t="n">
        <f aca="false">DemClcs!$A$47*(Populations!$R6+3*Populations!$S6)*Capacity!CC7/(BI64*SUM(Capacity!$CA7:$CC7,Capacity!$CE7))</f>
        <v>0.00305502806288145</v>
      </c>
      <c r="BJ7" s="4" t="n">
        <f aca="false">BJ34/$CP34</f>
        <v>0.0609836549142119</v>
      </c>
      <c r="BK7" s="4" t="n">
        <f aca="false">DemClcs!$A$47*(Populations!$R6+3*Populations!$S6)*Capacity!CE7/(BK64*SUM(Capacity!$CA7:$CC7,Capacity!$CE7))</f>
        <v>0.00305502806288145</v>
      </c>
      <c r="BL7" s="4" t="n">
        <f aca="false">BL34/$CP34</f>
        <v>0.119588566549922</v>
      </c>
      <c r="BM7" s="4" t="n">
        <f aca="false">BM34/$CP34</f>
        <v>0.0891818020774385</v>
      </c>
      <c r="BN7" s="4" t="n">
        <v>0</v>
      </c>
      <c r="BO7" s="4" t="n">
        <f aca="false">Flows!BT7*16/(25*BR64)</f>
        <v>0.000228971408693994</v>
      </c>
      <c r="BP7" s="4" t="n">
        <f aca="false">SUM(Flows!$AF7:$AS7,Flows!$AV7)/BP64</f>
        <v>3.53578005216124E-006</v>
      </c>
      <c r="BQ7" s="4" t="n">
        <v>0</v>
      </c>
      <c r="BR7" s="4" t="n">
        <f aca="false">Flows!BU7*16/(25*BR64)</f>
        <v>2.28971408693994E-005</v>
      </c>
      <c r="BS7" s="4" t="n">
        <f aca="false">Flows!BV7*16/(25*BS64)</f>
        <v>4.57942586841453E-006</v>
      </c>
      <c r="BT7" s="4" t="n">
        <f aca="false">PRODUCT(Flows!$D35,DemClcs!$A$29:$A$32,$BT$27)/(0.75*BT64)</f>
        <v>9.31537237267818E-006</v>
      </c>
      <c r="BU7" s="4" t="n">
        <f aca="false">PRODUCT(Flows!$D35,DemClcs!$A$29:$A$32,$BT$27)/(0.75*BU64*10)</f>
        <v>8.53909134162167E-006</v>
      </c>
      <c r="BV7" s="4" t="n">
        <f aca="false">PRODUCT(Flows!$D35,DemClcs!$A$29:$A$32,$BT$27)/(0.75*BV64*100)</f>
        <v>7.31922114996143E-006</v>
      </c>
      <c r="BW7" s="4" t="n">
        <v>0</v>
      </c>
      <c r="BX7" s="4" t="n">
        <f aca="false">BX34/$CP34</f>
        <v>0.0890485479885406</v>
      </c>
      <c r="BY7" s="4" t="n">
        <f aca="false">BY34/$CP34</f>
        <v>0.0756583883585939</v>
      </c>
      <c r="BZ7" s="4" t="n">
        <f aca="false">BZ34/$CO34</f>
        <v>0.101571996104987</v>
      </c>
      <c r="CA7" s="4" t="n">
        <f aca="false">CA34/$CO34</f>
        <v>0.167895895777201</v>
      </c>
      <c r="CB7" s="4" t="n">
        <f aca="false">CB34/$CP34</f>
        <v>0.0281980396993902</v>
      </c>
      <c r="CC7" s="4" t="n">
        <f aca="false">CC34/$CO34</f>
        <v>0.136526788210918</v>
      </c>
      <c r="CD7" s="4" t="n">
        <v>0</v>
      </c>
      <c r="CE7" s="4" t="n">
        <f aca="false">IF(SUM(Flows!$CJ7:$CK7)&gt;Flows!$BA7,(SUM(Flows!$CJ7:$CK7)-Flows!$BA7)/CE64)</f>
        <v>0.00183744023015552</v>
      </c>
      <c r="CF7" s="4" t="n">
        <f aca="false">CF34/$CO34</f>
        <v>0.163792640823606</v>
      </c>
      <c r="CG7" s="4" t="n">
        <f aca="false">CG34/$CO34</f>
        <v>0.0943796080444597</v>
      </c>
      <c r="CH7" s="4" t="n">
        <f aca="false">CH34/$CO34</f>
        <v>0.155391909888325</v>
      </c>
      <c r="CI7" s="4" t="n">
        <f aca="false">CI34/$CP34</f>
        <v>0.0576916029808557</v>
      </c>
      <c r="CJ7" s="4" t="n">
        <f aca="false">CJ$27*CJ34*(1/COUNTIF($C$26:$CK$26,1))/(MAX(CJ$30:CJ$52)-MIN(CJ$30:CJ$52))</f>
        <v>0.00019625988636787</v>
      </c>
      <c r="CK7" s="4" t="n">
        <f aca="false">CK$27*CK34*(1/COUNTIF($C$26:$CK$26,1))/(MAX(CK$30:CK$52)-MIN(CK$30:CK$52))</f>
        <v>0.000434742605662173</v>
      </c>
      <c r="CL7" s="4" t="n">
        <v>0</v>
      </c>
      <c r="CN7" s="4" t="n">
        <f aca="false">SUM(C7:CK7)</f>
        <v>3</v>
      </c>
      <c r="CP7" s="0"/>
      <c r="CR7" s="0" t="s">
        <v>272</v>
      </c>
    </row>
    <row r="8" customFormat="false" ht="12.8" hidden="false" customHeight="false" outlineLevel="0" collapsed="false">
      <c r="A8" s="4" t="s">
        <v>140</v>
      </c>
      <c r="B8" s="7" t="s">
        <v>39</v>
      </c>
      <c r="C8" s="4" t="n">
        <f aca="false">Flows!$BG8*2*Capacity!$S8/(5*15*C65*(Capacity!$S8+Capacity!$BZ8))</f>
        <v>4.3456087217732E-006</v>
      </c>
      <c r="D8" s="4" t="n">
        <f aca="false">(DemClcs!$A$34*(Populations!$R7+3*Populations!$S7)/D65)+MAX((Flows!K8+Flows!M8)/1826.484018+Flows!L8/1111.111111-Flows!$F8,0)/D65</f>
        <v>0.208053532290779</v>
      </c>
      <c r="E8" s="4" t="n">
        <f aca="false">DemClcs!$A$42*(Populations!$R7+3*Populations!$S7)/E65</f>
        <v>0.0232937995098641</v>
      </c>
      <c r="F8" s="4" t="n">
        <v>0</v>
      </c>
      <c r="G8" s="4" t="n">
        <f aca="false">Flows!Q8*40/G65</f>
        <v>0.00418424862510523</v>
      </c>
      <c r="H8" s="4" t="n">
        <f aca="false">IF(Flows!$AW8&gt;Flows!$Y8,(Flows!$AW8-Flows!$Y8)/H65)</f>
        <v>0</v>
      </c>
      <c r="I8" s="4" t="n">
        <f aca="false">I35/$CN35</f>
        <v>0.542722785931691</v>
      </c>
      <c r="J8" s="4" t="n">
        <f aca="false">J35/$CN35</f>
        <v>0.457277214068309</v>
      </c>
      <c r="K8" s="4" t="n">
        <v>0</v>
      </c>
      <c r="L8" s="4" t="n">
        <v>0</v>
      </c>
      <c r="M8" s="4" t="n">
        <v>0</v>
      </c>
      <c r="N8" s="4" t="n">
        <f aca="false">SUM(Flows!$V8,Flows!$W8)/$N65</f>
        <v>0.00474119597065901</v>
      </c>
      <c r="O8" s="4" t="n">
        <v>0</v>
      </c>
      <c r="P8" s="4" t="n">
        <v>0</v>
      </c>
      <c r="Q8" s="4" t="n">
        <f aca="false">$Q$27*Q35*(1/COUNTIF($C$26:$CK$26,1))/(MAX(Q$30:Q$52)-MIN(Q$30:Q$52))</f>
        <v>0.0028917569162191</v>
      </c>
      <c r="R8" s="4" t="n">
        <f aca="false">$R$27*R35*(1/COUNTIF($C$26:$CK$26,1))/(MAX(R$30:R$52)-MIN(R$30:R$52))+0.5/COUNTIF($C$26:$CK$26,1)</f>
        <v>0.0275386952236195</v>
      </c>
      <c r="S8" s="4" t="n">
        <v>0</v>
      </c>
      <c r="T8" s="4" t="n">
        <v>0</v>
      </c>
      <c r="U8" s="4" t="n">
        <v>0</v>
      </c>
      <c r="V8" s="4" t="n">
        <f aca="false">$V$27*V35*(1/COUNTIF($C$26:$CK$26,1))/(MAX(V$30:V$52)-MIN(V$30:V$52))</f>
        <v>0.017590996547461</v>
      </c>
      <c r="W8" s="4" t="n">
        <f aca="false">$V$27*W35*(1/COUNTIF($C$26:$CK$26,1))/(MAX(W$30:W$52)-MIN(W$30:W$52))</f>
        <v>0.012365157911942</v>
      </c>
      <c r="X8" s="4" t="n">
        <f aca="false">X35/$CO35</f>
        <v>0.159844006684712</v>
      </c>
      <c r="Y8" s="4" t="n">
        <v>0</v>
      </c>
      <c r="Z8" s="4" t="n">
        <f aca="false">Flows!$AA8/$Z65</f>
        <v>9.84824401280487E-005</v>
      </c>
      <c r="AA8" s="4" t="n">
        <f aca="false">Flows!$AB8/$AA65</f>
        <v>0.00203483499778295</v>
      </c>
      <c r="AB8" s="4" t="n">
        <f aca="false">DemClcs!$A$20*(Populations!$R7+3*Populations!$S7)/AB65</f>
        <v>0.00623080365068869</v>
      </c>
      <c r="AC8" s="4" t="n">
        <f aca="false">Flows!$AD8/$AC65</f>
        <v>0.0187443915692182</v>
      </c>
      <c r="AD8" s="4" t="n">
        <f aca="false">DemClcs!$A$25*(Populations!$R7+3*Populations!$S7)/AD65</f>
        <v>0.0618211509289814</v>
      </c>
      <c r="AE8" s="4" t="n">
        <f aca="false">AE35/$CP35</f>
        <v>0.00687190377084924</v>
      </c>
      <c r="AF8" s="4" t="n">
        <f aca="false">$AF$27*AF35*(1/COUNTIF($C$26:$CK$26,1))/(MAX(AF$30:AF$52)-MIN(AF$30:AF$52))</f>
        <v>0.0265768204859814</v>
      </c>
      <c r="AG8" s="4" t="n">
        <f aca="false">$AF$27*AG35*(1/COUNTIF($C$26:$CK$26,1))/(MAX(AG$30:AG$52)-MIN(AG$30:AG$52))</f>
        <v>0.00775073384061472</v>
      </c>
      <c r="AH8" s="4" t="n">
        <f aca="false">$AF$27*AH35*(1/COUNTIF($C$26:$CK$26,1))/(MAX(AH$30:AH$52)-MIN(AH$30:AH$52))</f>
        <v>0.0217539098493145</v>
      </c>
      <c r="AI8" s="4" t="n">
        <f aca="false">$AF$27*AI35*(1/COUNTIF($C$26:$CK$26,1))/(MAX(AI$30:AI$52)-MIN(AI$30:AI$52))</f>
        <v>0.0151374452798899</v>
      </c>
      <c r="AJ8" s="4" t="n">
        <f aca="false">$AF$27*AJ35*(1/COUNTIF($C$26:$CK$26,1))/(MAX(AJ$30:AJ$52)-MIN(AJ$30:AJ$52))</f>
        <v>0.0195400596180501</v>
      </c>
      <c r="AK8" s="4" t="n">
        <f aca="false">$AF$27*AK35*(1/COUNTIF($C$26:$CK$26,1))/(MAX(AK$30:AK$52)-MIN(AK$30:AK$52))</f>
        <v>0.00408803733667356</v>
      </c>
      <c r="AL8" s="4" t="n">
        <f aca="false">$AF$27*AL35*(1/COUNTIF($C$26:$CK$26,1))/(MAX(AL$30:AL$52)-MIN(AL$30:AL$52))</f>
        <v>0.0272441356257475</v>
      </c>
      <c r="AM8" s="4" t="n">
        <f aca="false">$AF$27*AM35*(1/COUNTIF($C$26:$CK$26,1))/(MAX(AM$30:AM$52)-MIN(AM$30:AM$52))</f>
        <v>0.00901818742442118</v>
      </c>
      <c r="AN8" s="4" t="n">
        <f aca="false">$AF$27*AN35*(1/COUNTIF($C$26:$CK$26,1))/(MAX(AN$30:AN$52)-MIN(AN$30:AN$52))</f>
        <v>0.00324901717495639</v>
      </c>
      <c r="AO8" s="4" t="n">
        <f aca="false">$AF$27*AO35*(1/COUNTIF($C$26:$CK$26,1))/(MAX(AO$30:AO$52)-MIN(AO$30:AO$52))</f>
        <v>0.0222872132307172</v>
      </c>
      <c r="AP8" s="4" t="n">
        <f aca="false">$AF$27*AP35*(1/COUNTIF($C$26:$CK$26,1))/(MAX(AP$30:AP$52)-MIN(AP$30:AP$52))</f>
        <v>0.0153177561004681</v>
      </c>
      <c r="AQ8" s="4" t="n">
        <f aca="false">$AF$27*AQ35*(1/COUNTIF($C$26:$CK$26,1))/(MAX(AQ$30:AQ$52)-MIN(AQ$30:AQ$52))</f>
        <v>0.00181635610322483</v>
      </c>
      <c r="AR8" s="4" t="n">
        <f aca="false">$AF$27*AR35*(1/COUNTIF($C$26:$CK$26,1))/(MAX(AR$30:AR$52)-MIN(AR$30:AR$52))</f>
        <v>0.0243838694440442</v>
      </c>
      <c r="AS8" s="4" t="n">
        <f aca="false">$AF$27*AS35*(1/COUNTIF($C$26:$CK$26,1))/(MAX(AS$30:AS$52)-MIN(AS$30:AS$52))</f>
        <v>0.0119329427482447</v>
      </c>
      <c r="AT8" s="4" t="n">
        <f aca="false">AT35/$CP35</f>
        <v>0.0755135847296825</v>
      </c>
      <c r="AU8" s="4" t="n">
        <f aca="false">AU35/$CP35</f>
        <v>0.0139939443030492</v>
      </c>
      <c r="AV8" s="4" t="n">
        <f aca="false">$AF$27*AV35*(1/COUNTIF($C$26:$CK$26,1))/(MAX(AV$30:AV$52)-MIN(AV$30:AV$52))</f>
        <v>0.000411675150609225</v>
      </c>
      <c r="AW8" s="4" t="n">
        <f aca="false">SUM(Flows!AX8,Flows!$AZ8)/$AW65</f>
        <v>0.00302682972889425</v>
      </c>
      <c r="AX8" s="4" t="n">
        <f aca="false">$AX$27*AX35*(1/COUNTIF($C$26:$CK$26,1))/(MAX(AX$30:AX$52)-MIN(AX$30:AX$52))</f>
        <v>0.0168519948349649</v>
      </c>
      <c r="AY8" s="4" t="n">
        <f aca="false">SUM(Flows!$BB8:$BE8)*Capacity!BS8/(AY65*SUM(Capacity!$BS8:$BT8))</f>
        <v>0.0189572617588656</v>
      </c>
      <c r="AZ8" s="4" t="n">
        <f aca="false">SUM(Flows!$BB8:$BE8)*Capacity!BT8/(AZ65*SUM(Capacity!$BS8:$BT8))+(DemClcs!$A$56*Populations!$Q7/AZ65)</f>
        <v>0.102289527115857</v>
      </c>
      <c r="BA8" s="4" t="n">
        <v>0</v>
      </c>
      <c r="BB8" s="4" t="n">
        <f aca="false">$BB$27*BB35*(1/COUNTIF($C$26:$CK$26,1))/(MAX(BB$30:BB$52)-MIN(BB$30:BB$52))</f>
        <v>0.000906775009692293</v>
      </c>
      <c r="BC8" s="4" t="n">
        <f aca="false">$BB$27*BC35*(1/COUNTIF($C$26:$CK$26,1))/(MAX(BC$30:BC$52)-MIN(BC$30:BC$52))</f>
        <v>0.000608874103880425</v>
      </c>
      <c r="BD8" s="4" t="n">
        <f aca="false">$BB$27*BD35*(1/COUNTIF($C$26:$CK$26,1))/(MAX(BD$30:BD$52)-MIN(BD$30:BD$52))</f>
        <v>0.00238773140756133</v>
      </c>
      <c r="BE8" s="4" t="n">
        <f aca="false">$BB$27*BE35*(1/COUNTIF($C$26:$CK$26,1))/(MAX(BE$30:BE$52)-MIN(BE$30:BE$52))</f>
        <v>0.000192649909046225</v>
      </c>
      <c r="BF8" s="4" t="n">
        <f aca="false">(Flows!$BG8+Flows!$BI8)*1.5*Capacity!$BZ9/(15*$BF65*(Capacity!$S8+Capacity!$BZ8))</f>
        <v>8.32218905750715E-005</v>
      </c>
      <c r="BG8" s="4" t="n">
        <f aca="false">DemClcs!$A$47*(Populations!$R7+3*Populations!$S7)*Capacity!CA8/(BG65*SUM(Capacity!$CA8:$CC8,Capacity!$CE8))</f>
        <v>0.0051874803222471</v>
      </c>
      <c r="BH8" s="4" t="n">
        <f aca="false">DemClcs!$A$47*(Populations!$R7+3*Populations!$S7)*Capacity!CB8/(BH65*SUM(Capacity!$CA8:$CC8,Capacity!$CE8))</f>
        <v>0.00743154672025913</v>
      </c>
      <c r="BI8" s="4" t="n">
        <f aca="false">DemClcs!$A$47*(Populations!$R7+3*Populations!$S7)*Capacity!CC8/(BI65*SUM(Capacity!$CA8:$CC8,Capacity!$CE8))</f>
        <v>0.0051874803222471</v>
      </c>
      <c r="BJ8" s="4" t="n">
        <f aca="false">BJ35/$CP35</f>
        <v>0.0622004837265073</v>
      </c>
      <c r="BK8" s="4" t="n">
        <f aca="false">DemClcs!$A$47*(Populations!$R7+3*Populations!$S7)*Capacity!CE8/(BK65*SUM(Capacity!$CA8:$CC8,Capacity!$CE8))</f>
        <v>0.0051874803222471</v>
      </c>
      <c r="BL8" s="4" t="n">
        <f aca="false">BL35/$CP35</f>
        <v>0.101472390847175</v>
      </c>
      <c r="BM8" s="4" t="n">
        <f aca="false">BM35/$CP35</f>
        <v>0.0391417981301072</v>
      </c>
      <c r="BN8" s="4" t="n">
        <v>0</v>
      </c>
      <c r="BO8" s="4" t="n">
        <f aca="false">Flows!BT8*16/(25*BR65)</f>
        <v>0.00238835669106301</v>
      </c>
      <c r="BP8" s="4" t="n">
        <f aca="false">SUM(Flows!$AF8:$AS8,Flows!$AV8)/BP65</f>
        <v>2.46163956920525E-005</v>
      </c>
      <c r="BQ8" s="4" t="n">
        <v>0</v>
      </c>
      <c r="BR8" s="4" t="n">
        <f aca="false">Flows!BU8*16/(25*BR65)</f>
        <v>0.000238835669106301</v>
      </c>
      <c r="BS8" s="4" t="n">
        <f aca="false">Flows!BV8*16/(25*BS65)</f>
        <v>4.77671059453971E-005</v>
      </c>
      <c r="BT8" s="4" t="n">
        <f aca="false">PRODUCT(Flows!$D36,DemClcs!$A$29:$A$32,$BT$27)/(0.75*BT65)</f>
        <v>1.38557912586553E-005</v>
      </c>
      <c r="BU8" s="4" t="n">
        <f aca="false">PRODUCT(Flows!$D36,DemClcs!$A$29:$A$32,$BT$27)/(0.75*BU65*10)</f>
        <v>1.27011419871007E-005</v>
      </c>
      <c r="BV8" s="4" t="n">
        <f aca="false">PRODUCT(Flows!$D36,DemClcs!$A$29:$A$32,$BT$27)/(0.75*BV65*100)</f>
        <v>1.08866931318006E-005</v>
      </c>
      <c r="BW8" s="4" t="n">
        <v>0</v>
      </c>
      <c r="BX8" s="4" t="n">
        <f aca="false">BX35/$CP35</f>
        <v>0.120131285964542</v>
      </c>
      <c r="BY8" s="4" t="n">
        <f aca="false">BY35/$CP35</f>
        <v>0.05850110604713</v>
      </c>
      <c r="BZ8" s="4" t="n">
        <f aca="false">BZ35/$CO35</f>
        <v>0.109944129863317</v>
      </c>
      <c r="CA8" s="4" t="n">
        <f aca="false">CA35/$CO35</f>
        <v>0.0202779749387748</v>
      </c>
      <c r="CB8" s="4" t="n">
        <f aca="false">CB35/$CP35</f>
        <v>0.0732034141519195</v>
      </c>
      <c r="CC8" s="4" t="n">
        <f aca="false">CC35/$CO35</f>
        <v>0.0339139766285366</v>
      </c>
      <c r="CD8" s="4" t="n">
        <v>0</v>
      </c>
      <c r="CE8" s="4" t="n">
        <f aca="false">IF(SUM(Flows!$CJ8:$CK8)&gt;Flows!$BA8,(SUM(Flows!$CJ8:$CK8)-Flows!$BA8)/CE65)</f>
        <v>0.0616269377842565</v>
      </c>
      <c r="CF8" s="4" t="n">
        <f aca="false">CF35/$CO35</f>
        <v>0.0947043793651774</v>
      </c>
      <c r="CG8" s="4" t="n">
        <f aca="false">CG35/$CO35</f>
        <v>0.0827243237788795</v>
      </c>
      <c r="CH8" s="4" t="n">
        <f aca="false">CH35/$CO35</f>
        <v>0.0063971685272883</v>
      </c>
      <c r="CI8" s="4" t="n">
        <f aca="false">CI35/$CP35</f>
        <v>0.106035120345133</v>
      </c>
      <c r="CJ8" s="4" t="n">
        <f aca="false">CJ$27*CJ35*(1/COUNTIF($C$26:$CK$26,1))/(MAX(CJ$30:CJ$52)-MIN(CJ$30:CJ$52))</f>
        <v>0.000388208095396946</v>
      </c>
      <c r="CK8" s="4" t="n">
        <f aca="false">CK$27*CK35*(1/COUNTIF($C$26:$CK$26,1))/(MAX(CK$30:CK$52)-MIN(CK$30:CK$52))</f>
        <v>0.00197643777891761</v>
      </c>
      <c r="CL8" s="4" t="n">
        <v>0</v>
      </c>
      <c r="CN8" s="4" t="n">
        <f aca="false">SUM(C8:CK8)</f>
        <v>3</v>
      </c>
      <c r="CP8" s="0"/>
      <c r="CR8" s="0" t="s">
        <v>273</v>
      </c>
    </row>
    <row r="9" customFormat="false" ht="12.8" hidden="false" customHeight="false" outlineLevel="0" collapsed="false">
      <c r="A9" s="4" t="s">
        <v>141</v>
      </c>
      <c r="B9" s="7" t="s">
        <v>39</v>
      </c>
      <c r="C9" s="4" t="n">
        <f aca="false">Flows!$BG9*2*Capacity!$S9/(5*15*C66*(Capacity!$S9+Capacity!$BZ9))</f>
        <v>3.73273856649953E-006</v>
      </c>
      <c r="D9" s="4" t="n">
        <f aca="false">(DemClcs!$A$34*(Populations!$R8+3*Populations!$S8)/D66)+MAX((Flows!K9+Flows!M9)/1826.484018+Flows!L9/1111.111111-Flows!$F9,0)/D66</f>
        <v>0.149902300701375</v>
      </c>
      <c r="E9" s="4" t="n">
        <f aca="false">DemClcs!$A$42*(Populations!$R8+3*Populations!$S8)/E66</f>
        <v>0.0198396663537872</v>
      </c>
      <c r="F9" s="4" t="n">
        <v>0</v>
      </c>
      <c r="G9" s="4" t="n">
        <f aca="false">Flows!Q9*40/G66</f>
        <v>0.00174417926602859</v>
      </c>
      <c r="H9" s="4" t="n">
        <f aca="false">IF(Flows!$AW9&gt;Flows!$Y9,(Flows!$AW9-Flows!$Y9)/H66)</f>
        <v>0</v>
      </c>
      <c r="I9" s="4" t="n">
        <f aca="false">I36/$CN36</f>
        <v>0.707900075612209</v>
      </c>
      <c r="J9" s="4" t="n">
        <f aca="false">J36/$CN36</f>
        <v>0.292099924387791</v>
      </c>
      <c r="K9" s="4" t="n">
        <v>0</v>
      </c>
      <c r="L9" s="4" t="n">
        <v>0</v>
      </c>
      <c r="M9" s="4" t="n">
        <v>0</v>
      </c>
      <c r="N9" s="4" t="n">
        <f aca="false">SUM(Flows!$V9,Flows!$W9)/$N66</f>
        <v>0.00378205189511364</v>
      </c>
      <c r="O9" s="4" t="n">
        <v>0</v>
      </c>
      <c r="P9" s="4" t="n">
        <v>0</v>
      </c>
      <c r="Q9" s="4" t="n">
        <f aca="false">$Q$27*Q36*(1/COUNTIF($C$26:$CK$26,1))/(MAX(Q$30:Q$52)-MIN(Q$30:Q$52))</f>
        <v>0.0018272471489632</v>
      </c>
      <c r="R9" s="4" t="n">
        <f aca="false">$R$27*R36*(1/COUNTIF($C$26:$CK$26,1))/(MAX(R$30:R$52)-MIN(R$30:R$52))+0.5/COUNTIF($C$26:$CK$26,1)</f>
        <v>0.0266997661503925</v>
      </c>
      <c r="S9" s="4" t="n">
        <v>0</v>
      </c>
      <c r="T9" s="4" t="n">
        <v>0</v>
      </c>
      <c r="U9" s="4" t="n">
        <v>0</v>
      </c>
      <c r="V9" s="4" t="n">
        <f aca="false">$V$27*V36*(1/COUNTIF($C$26:$CK$26,1))/(MAX(V$30:V$52)-MIN(V$30:V$52))</f>
        <v>0.0225308539663357</v>
      </c>
      <c r="W9" s="4" t="n">
        <f aca="false">$V$27*W36*(1/COUNTIF($C$26:$CK$26,1))/(MAX(W$30:W$52)-MIN(W$30:W$52))</f>
        <v>0.0273050070420307</v>
      </c>
      <c r="X9" s="4" t="n">
        <f aca="false">X36/$CO36</f>
        <v>0.0497075118168456</v>
      </c>
      <c r="Y9" s="4" t="n">
        <v>0</v>
      </c>
      <c r="Z9" s="4" t="n">
        <f aca="false">Flows!$AA9/$Z66</f>
        <v>7.5204084619658E-005</v>
      </c>
      <c r="AA9" s="4" t="n">
        <f aca="false">Flows!$AB9/$AA66</f>
        <v>0.00190943471200276</v>
      </c>
      <c r="AB9" s="4" t="n">
        <f aca="false">DemClcs!$A$20*(Populations!$R8+3*Populations!$S8)/AB66</f>
        <v>0.00554381286373067</v>
      </c>
      <c r="AC9" s="4" t="n">
        <f aca="false">Flows!$AD9/$AC66</f>
        <v>0.0140788891885638</v>
      </c>
      <c r="AD9" s="4" t="n">
        <f aca="false">DemClcs!$A$25*(Populations!$R8+3*Populations!$S8)/AD66</f>
        <v>0.0550049256860856</v>
      </c>
      <c r="AE9" s="4" t="n">
        <f aca="false">AE36/$CP36</f>
        <v>0.0793911223296537</v>
      </c>
      <c r="AF9" s="4" t="n">
        <f aca="false">$AF$27*AF36*(1/COUNTIF($C$26:$CK$26,1))/(MAX(AF$30:AF$52)-MIN(AF$30:AF$52))</f>
        <v>0.00922694581812027</v>
      </c>
      <c r="AG9" s="4" t="n">
        <f aca="false">$AF$27*AG36*(1/COUNTIF($C$26:$CK$26,1))/(MAX(AG$30:AG$52)-MIN(AG$30:AG$52))</f>
        <v>0.0178324731633105</v>
      </c>
      <c r="AH9" s="4" t="n">
        <f aca="false">$AF$27*AH36*(1/COUNTIF($C$26:$CK$26,1))/(MAX(AH$30:AH$52)-MIN(AH$30:AH$52))</f>
        <v>0.0293596066135749</v>
      </c>
      <c r="AI9" s="4" t="n">
        <f aca="false">$AF$27*AI36*(1/COUNTIF($C$26:$CK$26,1))/(MAX(AI$30:AI$52)-MIN(AI$30:AI$52))</f>
        <v>0.00717464991772592</v>
      </c>
      <c r="AJ9" s="4" t="n">
        <f aca="false">$AF$27*AJ36*(1/COUNTIF($C$26:$CK$26,1))/(MAX(AJ$30:AJ$52)-MIN(AJ$30:AJ$52))</f>
        <v>0.00983435679417888</v>
      </c>
      <c r="AK9" s="4" t="n">
        <f aca="false">$AF$27*AK36*(1/COUNTIF($C$26:$CK$26,1))/(MAX(AK$30:AK$52)-MIN(AK$30:AK$52))</f>
        <v>0.00876192229979563</v>
      </c>
      <c r="AL9" s="4" t="n">
        <f aca="false">$AF$27*AL36*(1/COUNTIF($C$26:$CK$26,1))/(MAX(AL$30:AL$52)-MIN(AL$30:AL$52))</f>
        <v>0.0061062974483099</v>
      </c>
      <c r="AM9" s="4" t="n">
        <f aca="false">$AF$27*AM36*(1/COUNTIF($C$26:$CK$26,1))/(MAX(AM$30:AM$52)-MIN(AM$30:AM$52))</f>
        <v>0.0264982793881083</v>
      </c>
      <c r="AN9" s="4" t="n">
        <f aca="false">$AF$27*AN36*(1/COUNTIF($C$26:$CK$26,1))/(MAX(AN$30:AN$52)-MIN(AN$30:AN$52))</f>
        <v>0.00944913179531806</v>
      </c>
      <c r="AO9" s="4" t="n">
        <f aca="false">$AF$27*AO36*(1/COUNTIF($C$26:$CK$26,1))/(MAX(AO$30:AO$52)-MIN(AO$30:AO$52))</f>
        <v>0.00198780750623955</v>
      </c>
      <c r="AP9" s="4" t="n">
        <f aca="false">$AF$27*AP36*(1/COUNTIF($C$26:$CK$26,1))/(MAX(AP$30:AP$52)-MIN(AP$30:AP$52))</f>
        <v>0.0285704748877638</v>
      </c>
      <c r="AQ9" s="4" t="n">
        <f aca="false">$AF$27*AQ36*(1/COUNTIF($C$26:$CK$26,1))/(MAX(AQ$30:AQ$52)-MIN(AQ$30:AQ$52))</f>
        <v>0.0161681473195834</v>
      </c>
      <c r="AR9" s="4" t="n">
        <f aca="false">$AF$27*AR36*(1/COUNTIF($C$26:$CK$26,1))/(MAX(AR$30:AR$52)-MIN(AR$30:AR$52))</f>
        <v>0.0125332871217829</v>
      </c>
      <c r="AS9" s="4" t="n">
        <f aca="false">$AF$27*AS36*(1/COUNTIF($C$26:$CK$26,1))/(MAX(AS$30:AS$52)-MIN(AS$30:AS$52))</f>
        <v>0.00474271063114669</v>
      </c>
      <c r="AT9" s="4" t="n">
        <f aca="false">AT36/$CP36</f>
        <v>0.0290562278440696</v>
      </c>
      <c r="AU9" s="4" t="n">
        <f aca="false">AU36/$CP36</f>
        <v>0.0759997267249099</v>
      </c>
      <c r="AV9" s="4" t="n">
        <f aca="false">$AF$27*AV36*(1/COUNTIF($C$26:$CK$26,1))/(MAX(AV$30:AV$52)-MIN(AV$30:AV$52))</f>
        <v>0.0106608297059751</v>
      </c>
      <c r="AW9" s="4" t="n">
        <f aca="false">SUM(Flows!AX9,Flows!$AZ9)/$AW66</f>
        <v>0.00232222893205442</v>
      </c>
      <c r="AX9" s="4" t="n">
        <f aca="false">$AX$27*AX36*(1/COUNTIF($C$26:$CK$26,1))/(MAX(AX$30:AX$52)-MIN(AX$30:AX$52))</f>
        <v>0.0289643016103737</v>
      </c>
      <c r="AY9" s="4" t="n">
        <f aca="false">SUM(Flows!$BB9:$BE9)*Capacity!BS9/(AY66*SUM(Capacity!$BS9:$BT9))</f>
        <v>0.0132369871913421</v>
      </c>
      <c r="AZ9" s="4" t="n">
        <f aca="false">SUM(Flows!$BB9:$BE9)*Capacity!BT9/(AZ66*SUM(Capacity!$BS9:$BT9))+(DemClcs!$A$56*Populations!$Q8/AZ66)</f>
        <v>0.0737326036145339</v>
      </c>
      <c r="BA9" s="4" t="n">
        <v>0</v>
      </c>
      <c r="BB9" s="4" t="n">
        <f aca="false">$BB$27*BB36*(1/COUNTIF($C$26:$CK$26,1))/(MAX(BB$30:BB$52)-MIN(BB$30:BB$52))</f>
        <v>0.00147511886423274</v>
      </c>
      <c r="BC9" s="4" t="n">
        <f aca="false">$BB$27*BC36*(1/COUNTIF($C$26:$CK$26,1))/(MAX(BC$30:BC$52)-MIN(BC$30:BC$52))</f>
        <v>0.000260174883567135</v>
      </c>
      <c r="BD9" s="4" t="n">
        <f aca="false">$BB$27*BD36*(1/COUNTIF($C$26:$CK$26,1))/(MAX(BD$30:BD$52)-MIN(BD$30:BD$52))</f>
        <v>0.00104609248641419</v>
      </c>
      <c r="BE9" s="4" t="n">
        <f aca="false">$BB$27*BE36*(1/COUNTIF($C$26:$CK$26,1))/(MAX(BE$30:BE$52)-MIN(BE$30:BE$52))</f>
        <v>0.000314788076379779</v>
      </c>
      <c r="BF9" s="4" t="n">
        <f aca="false">(Flows!$BG9+Flows!$BI9)*1.5*Capacity!$BZ10/(15*$BF66*(Capacity!$S9+Capacity!$BZ9))</f>
        <v>2.00567177792038E-005</v>
      </c>
      <c r="BG9" s="4" t="n">
        <f aca="false">DemClcs!$A$47*(Populations!$R8+3*Populations!$S8)*Capacity!CA9/(BG66*SUM(Capacity!$CA9:$CC9,Capacity!$CE9))</f>
        <v>0.00458861246489367</v>
      </c>
      <c r="BH9" s="4" t="n">
        <f aca="false">DemClcs!$A$47*(Populations!$R8+3*Populations!$S8)*Capacity!CB9/(BH66*SUM(Capacity!$CA9:$CC9,Capacity!$CE9))</f>
        <v>0.00617410873795555</v>
      </c>
      <c r="BI9" s="4" t="n">
        <f aca="false">DemClcs!$A$47*(Populations!$R8+3*Populations!$S8)*Capacity!CC9/(BI66*SUM(Capacity!$CA9:$CC9,Capacity!$CE9))</f>
        <v>0.00458861246489366</v>
      </c>
      <c r="BJ9" s="4" t="n">
        <f aca="false">BJ36/$CP36</f>
        <v>0.104285011642439</v>
      </c>
      <c r="BK9" s="4" t="n">
        <f aca="false">DemClcs!$A$47*(Populations!$R8+3*Populations!$S8)*Capacity!CE9/(BK66*SUM(Capacity!$CA9:$CC9,Capacity!$CE9))</f>
        <v>0.00458861246489366</v>
      </c>
      <c r="BL9" s="4" t="n">
        <f aca="false">BL36/$CP36</f>
        <v>0.0911423212970359</v>
      </c>
      <c r="BM9" s="4" t="n">
        <f aca="false">BM36/$CP36</f>
        <v>0.0226509940957746</v>
      </c>
      <c r="BN9" s="4" t="n">
        <v>0</v>
      </c>
      <c r="BO9" s="4" t="n">
        <f aca="false">Flows!BT9*16/(25*BR66)</f>
        <v>0.00512572002547273</v>
      </c>
      <c r="BP9" s="4" t="n">
        <f aca="false">SUM(Flows!$AF9:$AS9,Flows!$AV9)/BP66</f>
        <v>6.0353982755001E-005</v>
      </c>
      <c r="BQ9" s="4" t="n">
        <v>0</v>
      </c>
      <c r="BR9" s="4" t="n">
        <f aca="false">Flows!BU9*16/(25*BR66)</f>
        <v>0.000512572002547273</v>
      </c>
      <c r="BS9" s="4" t="n">
        <f aca="false">Flows!BV9*16/(25*BS66)</f>
        <v>0.000102514182195328</v>
      </c>
      <c r="BT9" s="4" t="n">
        <f aca="false">PRODUCT(Flows!$D37,DemClcs!$A$29:$A$32,$BT$27)/(0.75*BT66)</f>
        <v>1.23550454897648E-005</v>
      </c>
      <c r="BU9" s="4" t="n">
        <f aca="false">PRODUCT(Flows!$D37,DemClcs!$A$29:$A$32,$BT$27)/(0.75*BU66*10)</f>
        <v>1.13254583656178E-005</v>
      </c>
      <c r="BV9" s="4" t="n">
        <f aca="false">PRODUCT(Flows!$D37,DemClcs!$A$29:$A$32,$BT$27)/(0.75*BV66*100)</f>
        <v>9.70753574195809E-006</v>
      </c>
      <c r="BW9" s="4" t="n">
        <v>0</v>
      </c>
      <c r="BX9" s="4" t="n">
        <f aca="false">BX36/$CP36</f>
        <v>0.131549596690158</v>
      </c>
      <c r="BY9" s="4" t="n">
        <f aca="false">BY36/$CP36</f>
        <v>0.0669292036899107</v>
      </c>
      <c r="BZ9" s="4" t="n">
        <f aca="false">BZ36/$CO36</f>
        <v>0.146796505543835</v>
      </c>
      <c r="CA9" s="4" t="n">
        <f aca="false">CA36/$CO36</f>
        <v>0.0533483635711598</v>
      </c>
      <c r="CB9" s="4" t="n">
        <f aca="false">CB36/$CP36</f>
        <v>0.041143462795297</v>
      </c>
      <c r="CC9" s="4" t="n">
        <f aca="false">CC36/$CO36</f>
        <v>0.159829756892782</v>
      </c>
      <c r="CD9" s="4" t="n">
        <v>0</v>
      </c>
      <c r="CE9" s="4" t="n">
        <f aca="false">IF(SUM(Flows!$CJ9:$CK9)&gt;Flows!$BA9,(SUM(Flows!$CJ9:$CK9)-Flows!$BA9)/CE66)</f>
        <v>0.0506046578421404</v>
      </c>
      <c r="CF9" s="4" t="n">
        <f aca="false">CF36/$CO36</f>
        <v>0.105968325096107</v>
      </c>
      <c r="CG9" s="4" t="n">
        <f aca="false">CG36/$CO36</f>
        <v>0.00185046462450805</v>
      </c>
      <c r="CH9" s="4" t="n">
        <f aca="false">CH36/$CO36</f>
        <v>0.0916912859751224</v>
      </c>
      <c r="CI9" s="4" t="n">
        <f aca="false">CI36/$CP36</f>
        <v>0.0190241476740238</v>
      </c>
      <c r="CJ9" s="4" t="n">
        <f aca="false">CJ$27*CJ36*(1/COUNTIF($C$26:$CK$26,1))/(MAX(CJ$30:CJ$52)-MIN(CJ$30:CJ$52))</f>
        <v>0.000279426347636595</v>
      </c>
      <c r="CK9" s="4" t="n">
        <f aca="false">CK$27*CK36*(1/COUNTIF($C$26:$CK$26,1))/(MAX(CK$30:CK$52)-MIN(CK$30:CK$52))</f>
        <v>0.00245104855618142</v>
      </c>
      <c r="CL9" s="4" t="n">
        <v>0</v>
      </c>
      <c r="CN9" s="4" t="n">
        <f aca="false">SUM(C9:CK9)</f>
        <v>3</v>
      </c>
      <c r="CP9" s="0"/>
      <c r="CR9" s="0" t="s">
        <v>274</v>
      </c>
    </row>
    <row r="10" customFormat="false" ht="12.8" hidden="false" customHeight="false" outlineLevel="0" collapsed="false">
      <c r="A10" s="4" t="s">
        <v>142</v>
      </c>
      <c r="B10" s="7" t="s">
        <v>39</v>
      </c>
      <c r="C10" s="4" t="n">
        <f aca="false">Flows!$BG10*2*Capacity!$S10/(5*15*C67*(Capacity!$S10+Capacity!$BZ10))</f>
        <v>2.12866564702906E-006</v>
      </c>
      <c r="D10" s="4" t="n">
        <f aca="false">(DemClcs!$A$34*(Populations!$R9+3*Populations!$S9)/D67)+MAX((Flows!K10+Flows!M10)/1826.484018+Flows!L10/1111.111111-Flows!$F10,0)/D67</f>
        <v>0.0694877467184974</v>
      </c>
      <c r="E10" s="4" t="n">
        <f aca="false">DemClcs!$A$42*(Populations!$R9+3*Populations!$S9)/E67</f>
        <v>0.005513328774683</v>
      </c>
      <c r="F10" s="4" t="n">
        <v>0</v>
      </c>
      <c r="G10" s="4" t="n">
        <f aca="false">Flows!Q10*40/G67</f>
        <v>3.9928622813156E-005</v>
      </c>
      <c r="H10" s="4" t="n">
        <f aca="false">IF(Flows!$AW10&gt;Flows!$Y10,(Flows!$AW10-Flows!$Y10)/H67)</f>
        <v>0</v>
      </c>
      <c r="I10" s="4" t="n">
        <f aca="false">I37/$CN37</f>
        <v>0.9288348822068</v>
      </c>
      <c r="J10" s="4" t="n">
        <f aca="false">J37/$CN37</f>
        <v>0.0711651177931995</v>
      </c>
      <c r="K10" s="4" t="n">
        <v>0</v>
      </c>
      <c r="L10" s="4" t="n">
        <v>0</v>
      </c>
      <c r="M10" s="4" t="n">
        <v>0</v>
      </c>
      <c r="N10" s="4" t="n">
        <f aca="false">SUM(Flows!$V10,Flows!$W10)/$N67</f>
        <v>0.00117682437411804</v>
      </c>
      <c r="O10" s="4" t="n">
        <v>0</v>
      </c>
      <c r="P10" s="4" t="n">
        <v>0</v>
      </c>
      <c r="Q10" s="4" t="n">
        <f aca="false">$Q$27*Q37*(1/COUNTIF($C$26:$CK$26,1))/(MAX(Q$30:Q$52)-MIN(Q$30:Q$52))</f>
        <v>0.000133351531729482</v>
      </c>
      <c r="R10" s="4" t="n">
        <f aca="false">$R$27*R37*(1/COUNTIF($C$26:$CK$26,1))/(MAX(R$30:R$52)-MIN(R$30:R$52))+0.5/COUNTIF($C$26:$CK$26,1)</f>
        <v>0.0274335232096115</v>
      </c>
      <c r="S10" s="4" t="n">
        <v>0</v>
      </c>
      <c r="T10" s="4" t="n">
        <v>0</v>
      </c>
      <c r="U10" s="4" t="n">
        <v>0</v>
      </c>
      <c r="V10" s="4" t="n">
        <f aca="false">$V$27*V37*(1/COUNTIF($C$26:$CK$26,1))/(MAX(V$30:V$52)-MIN(V$30:V$52))</f>
        <v>0.00912162717249611</v>
      </c>
      <c r="W10" s="4" t="n">
        <f aca="false">$V$27*W37*(1/COUNTIF($C$26:$CK$26,1))/(MAX(W$30:W$52)-MIN(W$30:W$52))</f>
        <v>0.0254241973040061</v>
      </c>
      <c r="X10" s="4" t="n">
        <f aca="false">X37/$CO37</f>
        <v>0.0627784399405494</v>
      </c>
      <c r="Y10" s="4" t="n">
        <v>0</v>
      </c>
      <c r="Z10" s="4" t="n">
        <f aca="false">Flows!$AA10/$Z67</f>
        <v>2.4580818325628E-005</v>
      </c>
      <c r="AA10" s="4" t="n">
        <f aca="false">Flows!$AB10/$AA67</f>
        <v>0.000763468447312883</v>
      </c>
      <c r="AB10" s="4" t="n">
        <f aca="false">DemClcs!$A$20*(Populations!$R9+3*Populations!$S9)/AB67</f>
        <v>0.00242881411475716</v>
      </c>
      <c r="AC10" s="4" t="n">
        <f aca="false">Flows!$AD10/$AC67</f>
        <v>0.00388420879411624</v>
      </c>
      <c r="AD10" s="4" t="n">
        <f aca="false">DemClcs!$A$25*(Populations!$R9+3*Populations!$S9)/AD67</f>
        <v>0.0240983494882312</v>
      </c>
      <c r="AE10" s="4" t="n">
        <f aca="false">AE37/$CP37</f>
        <v>0.0258083675167432</v>
      </c>
      <c r="AF10" s="4" t="n">
        <f aca="false">$AF$27*AF37*(1/COUNTIF($C$26:$CK$26,1))/(MAX(AF$30:AF$52)-MIN(AF$30:AF$52))</f>
        <v>0.0174130847237292</v>
      </c>
      <c r="AG10" s="4" t="n">
        <f aca="false">$AF$27*AG37*(1/COUNTIF($C$26:$CK$26,1))/(MAX(AG$30:AG$52)-MIN(AG$30:AG$52))</f>
        <v>0.00568808923352998</v>
      </c>
      <c r="AH10" s="4" t="n">
        <f aca="false">$AF$27*AH37*(1/COUNTIF($C$26:$CK$26,1))/(MAX(AH$30:AH$52)-MIN(AH$30:AH$52))</f>
        <v>0.0134652534201043</v>
      </c>
      <c r="AI10" s="4" t="n">
        <f aca="false">$AF$27*AI37*(1/COUNTIF($C$26:$CK$26,1))/(MAX(AI$30:AI$52)-MIN(AI$30:AI$52))</f>
        <v>0.00275567131421085</v>
      </c>
      <c r="AJ10" s="4" t="n">
        <f aca="false">$AF$27*AJ37*(1/COUNTIF($C$26:$CK$26,1))/(MAX(AJ$30:AJ$52)-MIN(AJ$30:AJ$52))</f>
        <v>0.0221798314534225</v>
      </c>
      <c r="AK10" s="4" t="n">
        <f aca="false">$AF$27*AK37*(1/COUNTIF($C$26:$CK$26,1))/(MAX(AK$30:AK$52)-MIN(AK$30:AK$52))</f>
        <v>0.019915602373238</v>
      </c>
      <c r="AL10" s="4" t="n">
        <f aca="false">$AF$27*AL37*(1/COUNTIF($C$26:$CK$26,1))/(MAX(AL$30:AL$52)-MIN(AL$30:AL$52))</f>
        <v>0.014590400230138</v>
      </c>
      <c r="AM10" s="4" t="n">
        <f aca="false">$AF$27*AM37*(1/COUNTIF($C$26:$CK$26,1))/(MAX(AM$30:AM$52)-MIN(AM$30:AM$52))</f>
        <v>0.00689829121100216</v>
      </c>
      <c r="AN10" s="4" t="n">
        <f aca="false">$AF$27*AN37*(1/COUNTIF($C$26:$CK$26,1))/(MAX(AN$30:AN$52)-MIN(AN$30:AN$52))</f>
        <v>0.00543806456282972</v>
      </c>
      <c r="AO10" s="4" t="n">
        <f aca="false">$AF$27*AO37*(1/COUNTIF($C$26:$CK$26,1))/(MAX(AO$30:AO$52)-MIN(AO$30:AO$52))</f>
        <v>0.0145954935400338</v>
      </c>
      <c r="AP10" s="4" t="n">
        <f aca="false">$AF$27*AP37*(1/COUNTIF($C$26:$CK$26,1))/(MAX(AP$30:AP$52)-MIN(AP$30:AP$52))</f>
        <v>0.0239887809957947</v>
      </c>
      <c r="AQ10" s="4" t="n">
        <f aca="false">$AF$27*AQ37*(1/COUNTIF($C$26:$CK$26,1))/(MAX(AQ$30:AQ$52)-MIN(AQ$30:AQ$52))</f>
        <v>0.02530190873303</v>
      </c>
      <c r="AR10" s="4" t="n">
        <f aca="false">$AF$27*AR37*(1/COUNTIF($C$26:$CK$26,1))/(MAX(AR$30:AR$52)-MIN(AR$30:AR$52))</f>
        <v>0.0158540696298475</v>
      </c>
      <c r="AS10" s="4" t="n">
        <f aca="false">$AF$27*AS37*(1/COUNTIF($C$26:$CK$26,1))/(MAX(AS$30:AS$52)-MIN(AS$30:AS$52))</f>
        <v>0.00533430900872902</v>
      </c>
      <c r="AT10" s="4" t="n">
        <f aca="false">AT37/$CP37</f>
        <v>0.0338706220419381</v>
      </c>
      <c r="AU10" s="4" t="n">
        <f aca="false">AU37/$CP37</f>
        <v>0.0645443036941734</v>
      </c>
      <c r="AV10" s="4" t="n">
        <f aca="false">$AF$27*AV37*(1/COUNTIF($C$26:$CK$26,1))/(MAX(AV$30:AV$52)-MIN(AV$30:AV$52))</f>
        <v>0.0249893926197244</v>
      </c>
      <c r="AW10" s="4" t="n">
        <f aca="false">SUM(Flows!AX10,Flows!$AZ10)/$AW67</f>
        <v>0.000617110905672924</v>
      </c>
      <c r="AX10" s="4" t="n">
        <f aca="false">$AX$27*AX37*(1/COUNTIF($C$26:$CK$26,1))/(MAX(AX$30:AX$52)-MIN(AX$30:AX$52))</f>
        <v>0.011452031499051</v>
      </c>
      <c r="AY10" s="4" t="n">
        <f aca="false">SUM(Flows!$BB10:$BE10)*Capacity!BS10/(AY67*SUM(Capacity!$BS10:$BT10))</f>
        <v>0.00386155050857979</v>
      </c>
      <c r="AZ10" s="4" t="n">
        <f aca="false">SUM(Flows!$BB10:$BE10)*Capacity!BT10/(AZ67*SUM(Capacity!$BS10:$BT10))+(DemClcs!$A$56*Populations!$Q9/AZ67)</f>
        <v>0.0200348117436422</v>
      </c>
      <c r="BA10" s="4" t="n">
        <v>0</v>
      </c>
      <c r="BB10" s="4" t="n">
        <f aca="false">$BB$27*BB37*(1/COUNTIF($C$26:$CK$26,1))/(MAX(BB$30:BB$52)-MIN(BB$30:BB$52))</f>
        <v>0.0029843894582544</v>
      </c>
      <c r="BC10" s="4" t="n">
        <f aca="false">$BB$27*BC37*(1/COUNTIF($C$26:$CK$26,1))/(MAX(BC$30:BC$52)-MIN(BC$30:BC$52))</f>
        <v>0.00103759920643047</v>
      </c>
      <c r="BD10" s="4" t="n">
        <f aca="false">$BB$27*BD37*(1/COUNTIF($C$26:$CK$26,1))/(MAX(BD$30:BD$52)-MIN(BD$30:BD$52))</f>
        <v>0.000623868075479603</v>
      </c>
      <c r="BE10" s="4" t="n">
        <f aca="false">$BB$27*BE37*(1/COUNTIF($C$26:$CK$26,1))/(MAX(BE$30:BE$52)-MIN(BE$30:BE$52))</f>
        <v>0.00282422885641465</v>
      </c>
      <c r="BF10" s="4" t="n">
        <f aca="false">(Flows!$BG10+Flows!$BI10)*1.5*Capacity!$BZ11/(15*$BF67*(Capacity!$S10+Capacity!$BZ10))</f>
        <v>5.1519778915338E-005</v>
      </c>
      <c r="BG10" s="4" t="n">
        <f aca="false">DemClcs!$A$47*(Populations!$R9+3*Populations!$S9)*Capacity!CA10/(BG67*SUM(Capacity!$CA10:$CC10,Capacity!$CE10))</f>
        <v>0.00324791396136888</v>
      </c>
      <c r="BH10" s="4" t="n">
        <f aca="false">DemClcs!$A$47*(Populations!$R9+3*Populations!$S9)*Capacity!CB10/(BH67*SUM(Capacity!$CA10:$CC10,Capacity!$CE10))</f>
        <v>1.88581913531138E-006</v>
      </c>
      <c r="BI10" s="4" t="n">
        <f aca="false">DemClcs!$A$47*(Populations!$R9+3*Populations!$S9)*Capacity!CC10/(BI67*SUM(Capacity!$CA10:$CC10,Capacity!$CE10))</f>
        <v>0.00324791396136888</v>
      </c>
      <c r="BJ10" s="4" t="n">
        <f aca="false">BJ37/$CP37</f>
        <v>0.131205061139633</v>
      </c>
      <c r="BK10" s="4" t="n">
        <f aca="false">DemClcs!$A$47*(Populations!$R9+3*Populations!$S9)*Capacity!CE10/(BK67*SUM(Capacity!$CA10:$CC10,Capacity!$CE10))</f>
        <v>0.00324791396136888</v>
      </c>
      <c r="BL10" s="4" t="n">
        <f aca="false">BL37/$CP37</f>
        <v>0.105384815361436</v>
      </c>
      <c r="BM10" s="4" t="n">
        <f aca="false">BM37/$CP37</f>
        <v>0.0860309910406709</v>
      </c>
      <c r="BN10" s="4" t="n">
        <v>0</v>
      </c>
      <c r="BO10" s="4" t="n">
        <f aca="false">Flows!BT10*16/(25*BR67)</f>
        <v>0.000268786919193972</v>
      </c>
      <c r="BP10" s="4" t="n">
        <f aca="false">SUM(Flows!$AF10:$AS10,Flows!$AV10)/BP67</f>
        <v>4.76641922416222E-006</v>
      </c>
      <c r="BQ10" s="4" t="n">
        <v>0</v>
      </c>
      <c r="BR10" s="4" t="n">
        <f aca="false">Flows!BU10*16/(25*BR67)</f>
        <v>2.68786919193972E-005</v>
      </c>
      <c r="BS10" s="4" t="n">
        <f aca="false">Flows!BV10*16/(25*BS67)</f>
        <v>5.37573600240942E-006</v>
      </c>
      <c r="BT10" s="4" t="n">
        <f aca="false">PRODUCT(Flows!$D38,DemClcs!$A$29:$A$32,$BT$27)/(0.75*BT67)</f>
        <v>8.16624866073413E-006</v>
      </c>
      <c r="BU10" s="4" t="n">
        <f aca="false">PRODUCT(Flows!$D38,DemClcs!$A$29:$A$32,$BT$27)/(0.75*BU67*10)</f>
        <v>7.48572793900628E-006</v>
      </c>
      <c r="BV10" s="4" t="n">
        <f aca="false">PRODUCT(Flows!$D38,DemClcs!$A$29:$A$32,$BT$27)/(0.75*BV67*100)</f>
        <v>6.41633823343396E-006</v>
      </c>
      <c r="BW10" s="4" t="n">
        <v>0</v>
      </c>
      <c r="BX10" s="4" t="n">
        <f aca="false">BX37/$CP37</f>
        <v>0.00645663769194882</v>
      </c>
      <c r="BY10" s="4" t="n">
        <f aca="false">BY37/$CP37</f>
        <v>0.058572693156709</v>
      </c>
      <c r="BZ10" s="4" t="n">
        <f aca="false">BZ37/$CO37</f>
        <v>0.015707779660053</v>
      </c>
      <c r="CA10" s="4" t="n">
        <f aca="false">CA37/$CO37</f>
        <v>0.103979078712512</v>
      </c>
      <c r="CB10" s="4" t="n">
        <f aca="false">CB37/$CP37</f>
        <v>0.0635443246196851</v>
      </c>
      <c r="CC10" s="4" t="n">
        <f aca="false">CC37/$CO37</f>
        <v>0.0190063193161403</v>
      </c>
      <c r="CD10" s="4" t="n">
        <v>0</v>
      </c>
      <c r="CE10" s="4" t="n">
        <f aca="false">IF(SUM(Flows!$CJ10:$CK10)&gt;Flows!$BA10,(SUM(Flows!$CJ10:$CK10)-Flows!$BA10)/CE67)</f>
        <v>0.00617770105110327</v>
      </c>
      <c r="CF10" s="4" t="n">
        <f aca="false">CF37/$CO37</f>
        <v>0.217463618021204</v>
      </c>
      <c r="CG10" s="4" t="n">
        <f aca="false">CG37/$CO37</f>
        <v>0.191291623550623</v>
      </c>
      <c r="CH10" s="4" t="n">
        <f aca="false">CH37/$CO37</f>
        <v>0.239710337567802</v>
      </c>
      <c r="CI10" s="4" t="n">
        <f aca="false">CI37/$CP37</f>
        <v>0.124342903961118</v>
      </c>
      <c r="CJ10" s="4" t="n">
        <f aca="false">CJ$27*CJ37*(1/COUNTIF($C$26:$CK$26,1))/(MAX(CJ$30:CJ$52)-MIN(CJ$30:CJ$52))</f>
        <v>0.00162309755001865</v>
      </c>
      <c r="CK10" s="4" t="n">
        <f aca="false">CK$27*CK37*(1/COUNTIF($C$26:$CK$26,1))/(MAX(CK$30:CK$52)-MIN(CK$30:CK$52))</f>
        <v>0.00100034950337554</v>
      </c>
      <c r="CL10" s="4" t="n">
        <v>0</v>
      </c>
      <c r="CN10" s="4" t="n">
        <f aca="false">SUM(C10:CK10)</f>
        <v>3</v>
      </c>
      <c r="CP10" s="0"/>
      <c r="CR10" s="0" t="s">
        <v>275</v>
      </c>
    </row>
    <row r="11" customFormat="false" ht="12.8" hidden="false" customHeight="false" outlineLevel="0" collapsed="false">
      <c r="A11" s="4" t="s">
        <v>143</v>
      </c>
      <c r="B11" s="7" t="s">
        <v>39</v>
      </c>
      <c r="C11" s="4" t="n">
        <f aca="false">Flows!$BG11*2*Capacity!$S11/(5*15*C68*(Capacity!$S11+Capacity!$BZ11))</f>
        <v>6.7989931189924E-006</v>
      </c>
      <c r="D11" s="4" t="n">
        <f aca="false">(DemClcs!$A$34*(Populations!$R10+3*Populations!$S10)/D68)+MAX((Flows!K11+Flows!M11)/1826.484018+Flows!L11/1111.111111-Flows!$F11,0)/D68</f>
        <v>0.260744583523216</v>
      </c>
      <c r="E11" s="4" t="n">
        <f aca="false">DemClcs!$A$42*(Populations!$R10+3*Populations!$S10)/E68</f>
        <v>0.0348508546334466</v>
      </c>
      <c r="F11" s="4" t="n">
        <v>0</v>
      </c>
      <c r="G11" s="4" t="n">
        <f aca="false">Flows!Q11*40/G68</f>
        <v>0.00649616696877119</v>
      </c>
      <c r="H11" s="4" t="n">
        <f aca="false">IF(Flows!$AW11&gt;Flows!$Y11,(Flows!$AW11-Flows!$Y11)/H68)</f>
        <v>0</v>
      </c>
      <c r="I11" s="4" t="n">
        <f aca="false">I38/$CN38</f>
        <v>0.400267122735027</v>
      </c>
      <c r="J11" s="4" t="n">
        <f aca="false">J38/$CN38</f>
        <v>0.599732877264973</v>
      </c>
      <c r="K11" s="4" t="n">
        <v>0</v>
      </c>
      <c r="L11" s="4" t="n">
        <v>0</v>
      </c>
      <c r="M11" s="4" t="n">
        <v>0</v>
      </c>
      <c r="N11" s="4" t="n">
        <f aca="false">SUM(Flows!$V11,Flows!$W11)/$N68</f>
        <v>0.0091839393802791</v>
      </c>
      <c r="O11" s="4" t="n">
        <v>0</v>
      </c>
      <c r="P11" s="4" t="n">
        <v>0</v>
      </c>
      <c r="Q11" s="4" t="n">
        <f aca="false">$Q$27*Q38*(1/COUNTIF($C$26:$CK$26,1))/(MAX(Q$30:Q$52)-MIN(Q$30:Q$52))</f>
        <v>0.00276842049071247</v>
      </c>
      <c r="R11" s="4" t="n">
        <f aca="false">$R$27*R38*(1/COUNTIF($C$26:$CK$26,1))/(MAX(R$30:R$52)-MIN(R$30:R$52))+0.5/COUNTIF($C$26:$CK$26,1)</f>
        <v>0.0274410574190855</v>
      </c>
      <c r="S11" s="4" t="n">
        <v>0</v>
      </c>
      <c r="T11" s="4" t="n">
        <v>0</v>
      </c>
      <c r="U11" s="4" t="n">
        <v>0</v>
      </c>
      <c r="V11" s="4" t="n">
        <f aca="false">$V$27*V38*(1/COUNTIF($C$26:$CK$26,1))/(MAX(V$30:V$52)-MIN(V$30:V$52))</f>
        <v>0.0152105667455296</v>
      </c>
      <c r="W11" s="4" t="n">
        <f aca="false">$V$27*W38*(1/COUNTIF($C$26:$CK$26,1))/(MAX(W$30:W$52)-MIN(W$30:W$52))</f>
        <v>0.022964499152103</v>
      </c>
      <c r="X11" s="4" t="n">
        <f aca="false">X38/$CO38</f>
        <v>0.159597818904641</v>
      </c>
      <c r="Y11" s="4" t="n">
        <v>0</v>
      </c>
      <c r="Z11" s="4" t="n">
        <f aca="false">Flows!$AA11/$Z68</f>
        <v>0.000226472604547972</v>
      </c>
      <c r="AA11" s="4" t="n">
        <f aca="false">Flows!$AB11/$AA68</f>
        <v>0.00359690471600344</v>
      </c>
      <c r="AB11" s="4" t="n">
        <f aca="false">DemClcs!$A$20*(Populations!$R10+3*Populations!$S10)/AB68</f>
        <v>0.00747999786529316</v>
      </c>
      <c r="AC11" s="4" t="n">
        <f aca="false">Flows!$AD11/$AC68</f>
        <v>0.0346687034065432</v>
      </c>
      <c r="AD11" s="4" t="n">
        <f aca="false">DemClcs!$A$25*(Populations!$R10+3*Populations!$S10)/AD68</f>
        <v>0.0742154789178175</v>
      </c>
      <c r="AE11" s="4" t="n">
        <f aca="false">AE38/$CP38</f>
        <v>0.0834296898942304</v>
      </c>
      <c r="AF11" s="4" t="n">
        <f aca="false">$AF$27*AF38*(1/COUNTIF($C$26:$CK$26,1))/(MAX(AF$30:AF$52)-MIN(AF$30:AF$52))</f>
        <v>0.0129762154273718</v>
      </c>
      <c r="AG11" s="4" t="n">
        <f aca="false">$AF$27*AG38*(1/COUNTIF($C$26:$CK$26,1))/(MAX(AG$30:AG$52)-MIN(AG$30:AG$52))</f>
        <v>0.00806808468868305</v>
      </c>
      <c r="AH11" s="4" t="n">
        <f aca="false">$AF$27*AH38*(1/COUNTIF($C$26:$CK$26,1))/(MAX(AH$30:AH$52)-MIN(AH$30:AH$52))</f>
        <v>0.0220244945090347</v>
      </c>
      <c r="AI11" s="4" t="n">
        <f aca="false">$AF$27*AI38*(1/COUNTIF($C$26:$CK$26,1))/(MAX(AI$30:AI$52)-MIN(AI$30:AI$52))</f>
        <v>0.0107809421931955</v>
      </c>
      <c r="AJ11" s="4" t="n">
        <f aca="false">$AF$27*AJ38*(1/COUNTIF($C$26:$CK$26,1))/(MAX(AJ$30:AJ$52)-MIN(AJ$30:AJ$52))</f>
        <v>0.0110403562645694</v>
      </c>
      <c r="AK11" s="4" t="n">
        <f aca="false">$AF$27*AK38*(1/COUNTIF($C$26:$CK$26,1))/(MAX(AK$30:AK$52)-MIN(AK$30:AK$52))</f>
        <v>0.0218574700054651</v>
      </c>
      <c r="AL11" s="4" t="n">
        <f aca="false">$AF$27*AL38*(1/COUNTIF($C$26:$CK$26,1))/(MAX(AL$30:AL$52)-MIN(AL$30:AL$52))</f>
        <v>0.0155430601246515</v>
      </c>
      <c r="AM11" s="4" t="n">
        <f aca="false">$AF$27*AM38*(1/COUNTIF($C$26:$CK$26,1))/(MAX(AM$30:AM$52)-MIN(AM$30:AM$52))</f>
        <v>0.000969407081627938</v>
      </c>
      <c r="AN11" s="4" t="n">
        <f aca="false">$AF$27*AN38*(1/COUNTIF($C$26:$CK$26,1))/(MAX(AN$30:AN$52)-MIN(AN$30:AN$52))</f>
        <v>0.0271586516889102</v>
      </c>
      <c r="AO11" s="4" t="n">
        <f aca="false">$AF$27*AO38*(1/COUNTIF($C$26:$CK$26,1))/(MAX(AO$30:AO$52)-MIN(AO$30:AO$52))</f>
        <v>0.0221393096095103</v>
      </c>
      <c r="AP11" s="4" t="n">
        <f aca="false">$AF$27*AP38*(1/COUNTIF($C$26:$CK$26,1))/(MAX(AP$30:AP$52)-MIN(AP$30:AP$52))</f>
        <v>0.00315575180876995</v>
      </c>
      <c r="AQ11" s="4" t="n">
        <f aca="false">$AF$27*AQ38*(1/COUNTIF($C$26:$CK$26,1))/(MAX(AQ$30:AQ$52)-MIN(AQ$30:AQ$52))</f>
        <v>0.0171332999627641</v>
      </c>
      <c r="AR11" s="4" t="n">
        <f aca="false">$AF$27*AR38*(1/COUNTIF($C$26:$CK$26,1))/(MAX(AR$30:AR$52)-MIN(AR$30:AR$52))</f>
        <v>0.0180569361323817</v>
      </c>
      <c r="AS11" s="4" t="n">
        <f aca="false">$AF$27*AS38*(1/COUNTIF($C$26:$CK$26,1))/(MAX(AS$30:AS$52)-MIN(AS$30:AS$52))</f>
        <v>0.00870571191766997</v>
      </c>
      <c r="AT11" s="4" t="n">
        <f aca="false">AT38/$CP38</f>
        <v>0.0748638344686721</v>
      </c>
      <c r="AU11" s="4" t="n">
        <f aca="false">AU38/$CP38</f>
        <v>0.0111608216782978</v>
      </c>
      <c r="AV11" s="4" t="n">
        <f aca="false">$AF$27*AV38*(1/COUNTIF($C$26:$CK$26,1))/(MAX(AV$30:AV$52)-MIN(AV$30:AV$52))</f>
        <v>0.00116356713235552</v>
      </c>
      <c r="AW11" s="4" t="n">
        <f aca="false">SUM(Flows!AX11,Flows!$AZ11)/$AW68</f>
        <v>0.00536701478323187</v>
      </c>
      <c r="AX11" s="4" t="n">
        <f aca="false">$AX$27*AX38*(1/COUNTIF($C$26:$CK$26,1))/(MAX(AX$30:AX$52)-MIN(AX$30:AX$52))</f>
        <v>0.00769053565895213</v>
      </c>
      <c r="AY11" s="4" t="n">
        <f aca="false">SUM(Flows!$BB11:$BE11)*Capacity!BS11/(AY68*SUM(Capacity!$BS11:$BT11))</f>
        <v>0.0300710257688834</v>
      </c>
      <c r="AZ11" s="4" t="n">
        <f aca="false">SUM(Flows!$BB11:$BE11)*Capacity!BT11/(AZ68*SUM(Capacity!$BS11:$BT11))+(DemClcs!$A$56*Populations!$Q10/AZ68)</f>
        <v>0.115393390913493</v>
      </c>
      <c r="BA11" s="4" t="n">
        <v>0</v>
      </c>
      <c r="BB11" s="4" t="n">
        <f aca="false">$BB$27*BB38*(1/COUNTIF($C$26:$CK$26,1))/(MAX(BB$30:BB$52)-MIN(BB$30:BB$52))</f>
        <v>0.00248526072144757</v>
      </c>
      <c r="BC11" s="4" t="n">
        <f aca="false">$BB$27*BC38*(1/COUNTIF($C$26:$CK$26,1))/(MAX(BC$30:BC$52)-MIN(BC$30:BC$52))</f>
        <v>0.000664131848936196</v>
      </c>
      <c r="BD11" s="4" t="n">
        <f aca="false">$BB$27*BD38*(1/COUNTIF($C$26:$CK$26,1))/(MAX(BD$30:BD$52)-MIN(BD$30:BD$52))</f>
        <v>0.0017991311411825</v>
      </c>
      <c r="BE11" s="4" t="n">
        <f aca="false">$BB$27*BE38*(1/COUNTIF($C$26:$CK$26,1))/(MAX(BE$30:BE$52)-MIN(BE$30:BE$52))</f>
        <v>0.00225182947628827</v>
      </c>
      <c r="BF11" s="4" t="n">
        <f aca="false">(Flows!$BG11+Flows!$BI11)*1.5*Capacity!$BZ12/(15*$BF68*(Capacity!$S11+Capacity!$BZ11))</f>
        <v>2.82937820000531E-005</v>
      </c>
      <c r="BG11" s="4" t="n">
        <f aca="false">DemClcs!$A$47*(Populations!$R10+3*Populations!$S10)*Capacity!CA11/(BG68*SUM(Capacity!$CA11:$CC11,Capacity!$CE11))</f>
        <v>0.00724866591777964</v>
      </c>
      <c r="BH11" s="4" t="n">
        <f aca="false">DemClcs!$A$47*(Populations!$R10+3*Populations!$S10)*Capacity!CB11/(BH68*SUM(Capacity!$CA11:$CC11,Capacity!$CE11))</f>
        <v>0.00987483520188229</v>
      </c>
      <c r="BI11" s="4" t="n">
        <f aca="false">DemClcs!$A$47*(Populations!$R10+3*Populations!$S10)*Capacity!CC11/(BI68*SUM(Capacity!$CA11:$CC11,Capacity!$CE11))</f>
        <v>0.00724866591777964</v>
      </c>
      <c r="BJ11" s="4" t="n">
        <f aca="false">BJ38/$CP38</f>
        <v>0.00528121584912302</v>
      </c>
      <c r="BK11" s="4" t="n">
        <f aca="false">DemClcs!$A$47*(Populations!$R10+3*Populations!$S10)*Capacity!CE11/(BK68*SUM(Capacity!$CA11:$CC11,Capacity!$CE11))</f>
        <v>0.00724866591777964</v>
      </c>
      <c r="BL11" s="4" t="n">
        <f aca="false">BL38/$CP38</f>
        <v>0.0460886672859316</v>
      </c>
      <c r="BM11" s="4" t="n">
        <f aca="false">BM38/$CP38</f>
        <v>0.0551194959312353</v>
      </c>
      <c r="BN11" s="4" t="n">
        <v>0</v>
      </c>
      <c r="BO11" s="4" t="n">
        <f aca="false">Flows!BT11*16/(25*BR68)</f>
        <v>0.00672080789749107</v>
      </c>
      <c r="BP11" s="4" t="n">
        <f aca="false">SUM(Flows!$AF11:$AS11,Flows!$AV11)/BP68</f>
        <v>6.13601007819967E-005</v>
      </c>
      <c r="BQ11" s="4" t="n">
        <v>0</v>
      </c>
      <c r="BR11" s="4" t="n">
        <f aca="false">Flows!BU11*16/(25*BR68)</f>
        <v>0.000672080789749107</v>
      </c>
      <c r="BS11" s="4" t="n">
        <f aca="false">Flows!BV11*16/(25*BS68)</f>
        <v>0.000134416061662811</v>
      </c>
      <c r="BT11" s="4" t="n">
        <f aca="false">PRODUCT(Flows!$D39,DemClcs!$A$29:$A$32,$BT$27)/(0.75*BT68)</f>
        <v>1.61527719716626E-005</v>
      </c>
      <c r="BU11" s="4" t="n">
        <f aca="false">PRODUCT(Flows!$D39,DemClcs!$A$29:$A$32,$BT$27)/(0.75*BU68*10)</f>
        <v>1.48067076406907E-005</v>
      </c>
      <c r="BV11" s="4" t="n">
        <f aca="false">PRODUCT(Flows!$D39,DemClcs!$A$29:$A$32,$BT$27)/(0.75*BV68*100)</f>
        <v>1.26914636920206E-005</v>
      </c>
      <c r="BW11" s="4" t="n">
        <v>0</v>
      </c>
      <c r="BX11" s="4" t="n">
        <f aca="false">BX38/$CP38</f>
        <v>0.121674030354291</v>
      </c>
      <c r="BY11" s="4" t="n">
        <f aca="false">BY38/$CP38</f>
        <v>0.105520726098812</v>
      </c>
      <c r="BZ11" s="4" t="n">
        <f aca="false">BZ38/$CO38</f>
        <v>0.0312981666472219</v>
      </c>
      <c r="CA11" s="4" t="n">
        <f aca="false">CA38/$CO38</f>
        <v>0.0331667435043365</v>
      </c>
      <c r="CB11" s="4" t="n">
        <f aca="false">CB38/$CP38</f>
        <v>0.0884351060005315</v>
      </c>
      <c r="CC11" s="4" t="n">
        <f aca="false">CC38/$CO38</f>
        <v>0.0305775507861467</v>
      </c>
      <c r="CD11" s="4" t="n">
        <v>0</v>
      </c>
      <c r="CE11" s="4" t="n">
        <f aca="false">IF(SUM(Flows!$CJ11:$CK11)&gt;Flows!$BA11,(SUM(Flows!$CJ11:$CK11)-Flows!$BA11)/CE68)</f>
        <v>0.0120206641504053</v>
      </c>
      <c r="CF11" s="4" t="n">
        <f aca="false">CF38/$CO38</f>
        <v>0.0449721397218704</v>
      </c>
      <c r="CG11" s="4" t="n">
        <f aca="false">CG38/$CO38</f>
        <v>0.129908862202528</v>
      </c>
      <c r="CH11" s="4" t="n">
        <f aca="false">CH38/$CO38</f>
        <v>0.0187005513975956</v>
      </c>
      <c r="CI11" s="4" t="n">
        <f aca="false">CI38/$CP38</f>
        <v>0.0408779099553052</v>
      </c>
      <c r="CJ11" s="4" t="n">
        <f aca="false">CJ$27*CJ38*(1/COUNTIF($C$26:$CK$26,1))/(MAX(CJ$30:CJ$52)-MIN(CJ$30:CJ$52))</f>
        <v>0.00142988750722475</v>
      </c>
      <c r="CK11" s="4" t="n">
        <f aca="false">CK$27*CK38*(1/COUNTIF($C$26:$CK$26,1))/(MAX(CK$30:CK$52)-MIN(CK$30:CK$52))</f>
        <v>0.000244651455545878</v>
      </c>
      <c r="CL11" s="4" t="n">
        <v>0</v>
      </c>
      <c r="CN11" s="4" t="n">
        <f aca="false">SUM(C11:CK11)</f>
        <v>3</v>
      </c>
    </row>
    <row r="12" customFormat="false" ht="12.8" hidden="false" customHeight="false" outlineLevel="0" collapsed="false">
      <c r="A12" s="4" t="s">
        <v>144</v>
      </c>
      <c r="B12" s="7" t="s">
        <v>39</v>
      </c>
      <c r="C12" s="4" t="n">
        <f aca="false">Flows!$BG12*2*Capacity!$S12/(5*15*C69*(Capacity!$S12+Capacity!$BZ12))</f>
        <v>2.25985337611995E-006</v>
      </c>
      <c r="D12" s="4" t="n">
        <f aca="false">(DemClcs!$A$34*(Populations!$R11+3*Populations!$S11)/D69)+MAX((Flows!K12+Flows!M12)/1826.484018+Flows!L12/1111.111111-Flows!$F12,0)/D69</f>
        <v>0.0748528704665013</v>
      </c>
      <c r="E12" s="4" t="n">
        <f aca="false">DemClcs!$A$42*(Populations!$R11+3*Populations!$S11)/E69</f>
        <v>0.00599713661345846</v>
      </c>
      <c r="F12" s="4" t="n">
        <v>0</v>
      </c>
      <c r="G12" s="4" t="n">
        <f aca="false">Flows!Q12*40/G69</f>
        <v>0.00144062512112225</v>
      </c>
      <c r="H12" s="4" t="n">
        <f aca="false">IF(Flows!$AW12&gt;Flows!$Y12,(Flows!$AW12-Flows!$Y12)/H69)</f>
        <v>0</v>
      </c>
      <c r="I12" s="4" t="n">
        <f aca="false">I39/$CN39</f>
        <v>0.443541418756017</v>
      </c>
      <c r="J12" s="4" t="n">
        <f aca="false">J39/$CN39</f>
        <v>0.556458581243983</v>
      </c>
      <c r="K12" s="4" t="n">
        <v>0</v>
      </c>
      <c r="L12" s="4" t="n">
        <v>0</v>
      </c>
      <c r="M12" s="4" t="n">
        <v>0</v>
      </c>
      <c r="N12" s="4" t="n">
        <f aca="false">SUM(Flows!$V12,Flows!$W12)/$N69</f>
        <v>0.00148645142186263</v>
      </c>
      <c r="O12" s="4" t="n">
        <v>0</v>
      </c>
      <c r="P12" s="4" t="n">
        <v>0</v>
      </c>
      <c r="Q12" s="4" t="n">
        <f aca="false">$Q$27*Q39*(1/COUNTIF($C$26:$CK$26,1))/(MAX(Q$30:Q$52)-MIN(Q$30:Q$52))</f>
        <v>0.0039742039006376</v>
      </c>
      <c r="R12" s="4" t="n">
        <f aca="false">$R$27*R39*(1/COUNTIF($C$26:$CK$26,1))/(MAX(R$30:R$52)-MIN(R$30:R$52))+0.5/COUNTIF($C$26:$CK$26,1)</f>
        <v>0.0274844309060547</v>
      </c>
      <c r="S12" s="4" t="n">
        <v>0</v>
      </c>
      <c r="T12" s="4" t="n">
        <v>0</v>
      </c>
      <c r="U12" s="4" t="n">
        <v>0</v>
      </c>
      <c r="V12" s="4" t="n">
        <f aca="false">$V$27*V39*(1/COUNTIF($C$26:$CK$26,1))/(MAX(V$30:V$52)-MIN(V$30:V$52))</f>
        <v>0.022558530270266</v>
      </c>
      <c r="W12" s="4" t="n">
        <f aca="false">$V$27*W39*(1/COUNTIF($C$26:$CK$26,1))/(MAX(W$30:W$52)-MIN(W$30:W$52))</f>
        <v>0.0249362668475937</v>
      </c>
      <c r="X12" s="4" t="n">
        <f aca="false">X39/$CO39</f>
        <v>0.0931672436447259</v>
      </c>
      <c r="Y12" s="4" t="n">
        <v>0</v>
      </c>
      <c r="Z12" s="4" t="n">
        <f aca="false">Flows!$AA12/$Z69</f>
        <v>3.15452943072783E-005</v>
      </c>
      <c r="AA12" s="4" t="n">
        <f aca="false">Flows!$AB12/$AA69</f>
        <v>0.00091711411998053</v>
      </c>
      <c r="AB12" s="4" t="n">
        <f aca="false">DemClcs!$A$20*(Populations!$R11+3*Populations!$S11)/AB69</f>
        <v>0.00259154956907177</v>
      </c>
      <c r="AC12" s="4" t="n">
        <f aca="false">Flows!$AD12/$AC69</f>
        <v>0.00469255007621088</v>
      </c>
      <c r="AD12" s="4" t="n">
        <f aca="false">DemClcs!$A$25*(Populations!$R11+3*Populations!$S11)/AD69</f>
        <v>0.0257129876066331</v>
      </c>
      <c r="AE12" s="4" t="n">
        <f aca="false">AE39/$CP39</f>
        <v>0.0315306479535452</v>
      </c>
      <c r="AF12" s="4" t="n">
        <f aca="false">$AF$27*AF39*(1/COUNTIF($C$26:$CK$26,1))/(MAX(AF$30:AF$52)-MIN(AF$30:AF$52))</f>
        <v>0.0296089627497863</v>
      </c>
      <c r="AG12" s="4" t="n">
        <f aca="false">$AF$27*AG39*(1/COUNTIF($C$26:$CK$26,1))/(MAX(AG$30:AG$52)-MIN(AG$30:AG$52))</f>
        <v>0.00724297390102753</v>
      </c>
      <c r="AH12" s="4" t="n">
        <f aca="false">$AF$27*AH39*(1/COUNTIF($C$26:$CK$26,1))/(MAX(AH$30:AH$52)-MIN(AH$30:AH$52))</f>
        <v>0.0050367120334178</v>
      </c>
      <c r="AI12" s="4" t="n">
        <f aca="false">$AF$27*AI39*(1/COUNTIF($C$26:$CK$26,1))/(MAX(AI$30:AI$52)-MIN(AI$30:AI$52))</f>
        <v>0.0176808217549934</v>
      </c>
      <c r="AJ12" s="4" t="n">
        <f aca="false">$AF$27*AJ39*(1/COUNTIF($C$26:$CK$26,1))/(MAX(AJ$30:AJ$52)-MIN(AJ$30:AJ$52))</f>
        <v>0.0104478782924905</v>
      </c>
      <c r="AK12" s="4" t="n">
        <f aca="false">$AF$27*AK39*(1/COUNTIF($C$26:$CK$26,1))/(MAX(AK$30:AK$52)-MIN(AK$30:AK$52))</f>
        <v>0.0212071437980348</v>
      </c>
      <c r="AL12" s="4" t="n">
        <f aca="false">$AF$27*AL39*(1/COUNTIF($C$26:$CK$26,1))/(MAX(AL$30:AL$52)-MIN(AL$30:AL$52))</f>
        <v>0.0266662980303857</v>
      </c>
      <c r="AM12" s="4" t="n">
        <f aca="false">$AF$27*AM39*(1/COUNTIF($C$26:$CK$26,1))/(MAX(AM$30:AM$52)-MIN(AM$30:AM$52))</f>
        <v>0.0192110788138299</v>
      </c>
      <c r="AN12" s="4" t="n">
        <f aca="false">$AF$27*AN39*(1/COUNTIF($C$26:$CK$26,1))/(MAX(AN$30:AN$52)-MIN(AN$30:AN$52))</f>
        <v>0.0235817889443667</v>
      </c>
      <c r="AO12" s="4" t="n">
        <f aca="false">$AF$27*AO39*(1/COUNTIF($C$26:$CK$26,1))/(MAX(AO$30:AO$52)-MIN(AO$30:AO$52))</f>
        <v>0.0282588327573551</v>
      </c>
      <c r="AP12" s="4" t="n">
        <f aca="false">$AF$27*AP39*(1/COUNTIF($C$26:$CK$26,1))/(MAX(AP$30:AP$52)-MIN(AP$30:AP$52))</f>
        <v>0.024485817047006</v>
      </c>
      <c r="AQ12" s="4" t="n">
        <f aca="false">$AF$27*AQ39*(1/COUNTIF($C$26:$CK$26,1))/(MAX(AQ$30:AQ$52)-MIN(AQ$30:AQ$52))</f>
        <v>0.000735060672554003</v>
      </c>
      <c r="AR12" s="4" t="n">
        <f aca="false">$AF$27*AR39*(1/COUNTIF($C$26:$CK$26,1))/(MAX(AR$30:AR$52)-MIN(AR$30:AR$52))</f>
        <v>0.00452461214671235</v>
      </c>
      <c r="AS12" s="4" t="n">
        <f aca="false">$AF$27*AS39*(1/COUNTIF($C$26:$CK$26,1))/(MAX(AS$30:AS$52)-MIN(AS$30:AS$52))</f>
        <v>0.00844925853562014</v>
      </c>
      <c r="AT12" s="4" t="n">
        <f aca="false">AT39/$CP39</f>
        <v>0.0472327134990603</v>
      </c>
      <c r="AU12" s="4" t="n">
        <f aca="false">AU39/$CP39</f>
        <v>0.0451599389010015</v>
      </c>
      <c r="AV12" s="4" t="n">
        <f aca="false">$AF$27*AV39*(1/COUNTIF($C$26:$CK$26,1))/(MAX(AV$30:AV$52)-MIN(AV$30:AV$52))</f>
        <v>0.00239891133112325</v>
      </c>
      <c r="AW12" s="4" t="n">
        <f aca="false">SUM(Flows!AX12,Flows!$AZ12)/$AW69</f>
        <v>0.000768695140327998</v>
      </c>
      <c r="AX12" s="4" t="n">
        <f aca="false">$AX$27*AX39*(1/COUNTIF($C$26:$CK$26,1))/(MAX(AX$30:AX$52)-MIN(AX$30:AX$52))</f>
        <v>0.0119355825865264</v>
      </c>
      <c r="AY12" s="4" t="n">
        <f aca="false">SUM(Flows!$BB12:$BE12)*Capacity!BS12/(AY69*SUM(Capacity!$BS12:$BT12))</f>
        <v>0.00429056957773518</v>
      </c>
      <c r="AZ12" s="4" t="n">
        <f aca="false">SUM(Flows!$BB12:$BE12)*Capacity!BT12/(AZ69*SUM(Capacity!$BS12:$BT12))+(DemClcs!$A$56*Populations!$Q11/AZ69)</f>
        <v>0.0212565471698154</v>
      </c>
      <c r="BA12" s="4" t="n">
        <v>0</v>
      </c>
      <c r="BB12" s="4" t="n">
        <f aca="false">$BB$27*BB39*(1/COUNTIF($C$26:$CK$26,1))/(MAX(BB$30:BB$52)-MIN(BB$30:BB$52))</f>
        <v>0.000398267858646148</v>
      </c>
      <c r="BC12" s="4" t="n">
        <f aca="false">$BB$27*BC39*(1/COUNTIF($C$26:$CK$26,1))/(MAX(BC$30:BC$52)-MIN(BC$30:BC$52))</f>
        <v>0.00169297176634976</v>
      </c>
      <c r="BD12" s="4" t="n">
        <f aca="false">$BB$27*BD39*(1/COUNTIF($C$26:$CK$26,1))/(MAX(BD$30:BD$52)-MIN(BD$30:BD$52))</f>
        <v>0.00156044911845063</v>
      </c>
      <c r="BE12" s="4" t="n">
        <f aca="false">$BB$27*BE39*(1/COUNTIF($C$26:$CK$26,1))/(MAX(BE$30:BE$52)-MIN(BE$30:BE$52))</f>
        <v>0.00144364408543559</v>
      </c>
      <c r="BF12" s="4" t="n">
        <f aca="false">(Flows!$BG12+Flows!$BI12)*1.5*Capacity!$BZ13/(15*$BF69*(Capacity!$S12+Capacity!$BZ12))</f>
        <v>2.53958764075639E-005</v>
      </c>
      <c r="BG12" s="4" t="n">
        <f aca="false">DemClcs!$A$47*(Populations!$R11+3*Populations!$S11)*Capacity!CA12/(BG69*SUM(Capacity!$CA12:$CC12,Capacity!$CE12))</f>
        <v>0.00348202688814889</v>
      </c>
      <c r="BH12" s="4" t="n">
        <f aca="false">DemClcs!$A$47*(Populations!$R11+3*Populations!$S11)*Capacity!CB12/(BH69*SUM(Capacity!$CA12:$CC12,Capacity!$CE12))</f>
        <v>1.84380390032241E-006</v>
      </c>
      <c r="BI12" s="4" t="n">
        <f aca="false">DemClcs!$A$47*(Populations!$R11+3*Populations!$S11)*Capacity!CC12/(BI69*SUM(Capacity!$CA12:$CC12,Capacity!$CE12))</f>
        <v>0.00348202688814889</v>
      </c>
      <c r="BJ12" s="4" t="n">
        <f aca="false">BJ39/$CP39</f>
        <v>0.0577584009171424</v>
      </c>
      <c r="BK12" s="4" t="n">
        <f aca="false">DemClcs!$A$47*(Populations!$R11+3*Populations!$S11)*Capacity!CE12/(BK69*SUM(Capacity!$CA12:$CC12,Capacity!$CE12))</f>
        <v>0.00348202688814889</v>
      </c>
      <c r="BL12" s="4" t="n">
        <f aca="false">BL39/$CP39</f>
        <v>0.0779016930149091</v>
      </c>
      <c r="BM12" s="4" t="n">
        <f aca="false">BM39/$CP39</f>
        <v>0.0553584346562527</v>
      </c>
      <c r="BN12" s="4" t="n">
        <v>0</v>
      </c>
      <c r="BO12" s="4" t="n">
        <f aca="false">Flows!BT12*16/(25*BR69)</f>
        <v>0.000427049908729008</v>
      </c>
      <c r="BP12" s="4" t="n">
        <f aca="false">SUM(Flows!$AF12:$AS12,Flows!$AV12)/BP69</f>
        <v>7.30565194371249E-006</v>
      </c>
      <c r="BQ12" s="4" t="n">
        <v>0</v>
      </c>
      <c r="BR12" s="4" t="n">
        <f aca="false">Flows!BU12*16/(25*BR69)</f>
        <v>4.27049908729009E-005</v>
      </c>
      <c r="BS12" s="4" t="n">
        <f aca="false">Flows!BV12*16/(25*BS69)</f>
        <v>8.54099301598346E-006</v>
      </c>
      <c r="BT12" s="4" t="n">
        <f aca="false">PRODUCT(Flows!$D40,DemClcs!$A$29:$A$32,$BT$27)/(0.75*BT69)</f>
        <v>8.66456743119092E-006</v>
      </c>
      <c r="BU12" s="4" t="n">
        <f aca="false">PRODUCT(Flows!$D40,DemClcs!$A$29:$A$32,$BT$27)/(0.75*BU69*10)</f>
        <v>7.94252014525835E-006</v>
      </c>
      <c r="BV12" s="4" t="n">
        <f aca="false">PRODUCT(Flows!$D40,DemClcs!$A$29:$A$32,$BT$27)/(0.75*BV69*100)</f>
        <v>6.80787441022144E-006</v>
      </c>
      <c r="BW12" s="4" t="n">
        <v>0</v>
      </c>
      <c r="BX12" s="4" t="n">
        <f aca="false">BX39/$CP39</f>
        <v>0.0856077412069408</v>
      </c>
      <c r="BY12" s="4" t="n">
        <f aca="false">BY39/$CP39</f>
        <v>0.0867007465619206</v>
      </c>
      <c r="BZ12" s="4" t="n">
        <f aca="false">BZ39/$CO39</f>
        <v>0.115640168115722</v>
      </c>
      <c r="CA12" s="4" t="n">
        <f aca="false">CA39/$CO39</f>
        <v>0.0252600389626191</v>
      </c>
      <c r="CB12" s="4" t="n">
        <f aca="false">CB39/$CP39</f>
        <v>0.0899104919240615</v>
      </c>
      <c r="CC12" s="4" t="n">
        <f aca="false">CC39/$CO39</f>
        <v>0.0271373039452672</v>
      </c>
      <c r="CD12" s="4" t="n">
        <v>0</v>
      </c>
      <c r="CE12" s="4" t="n">
        <f aca="false">IF(SUM(Flows!$CJ12:$CK12)&gt;Flows!$BA12,(SUM(Flows!$CJ12:$CK12)-Flows!$BA12)/CE69)</f>
        <v>0.0206011273178175</v>
      </c>
      <c r="CF12" s="4" t="n">
        <f aca="false">CF39/$CO39</f>
        <v>0.235173979313223</v>
      </c>
      <c r="CG12" s="4" t="n">
        <f aca="false">CG39/$CO39</f>
        <v>0.142442441952226</v>
      </c>
      <c r="CH12" s="4" t="n">
        <f aca="false">CH39/$CO39</f>
        <v>0.185827435100131</v>
      </c>
      <c r="CI12" s="4" t="n">
        <f aca="false">CI39/$CP39</f>
        <v>0.0922444140719475</v>
      </c>
      <c r="CJ12" s="4" t="n">
        <f aca="false">CJ$27*CJ39*(1/COUNTIF($C$26:$CK$26,1))/(MAX(CJ$30:CJ$52)-MIN(CJ$30:CJ$52))</f>
        <v>0.00208931353130053</v>
      </c>
      <c r="CK12" s="4" t="n">
        <f aca="false">CK$27*CK39*(1/COUNTIF($C$26:$CK$26,1))/(MAX(CK$30:CK$52)-MIN(CK$30:CK$52))</f>
        <v>0.00271198837981557</v>
      </c>
      <c r="CL12" s="4" t="n">
        <v>0</v>
      </c>
      <c r="CN12" s="4" t="n">
        <f aca="false">SUM(C12:CK12)</f>
        <v>3</v>
      </c>
    </row>
    <row r="13" customFormat="false" ht="12.8" hidden="false" customHeight="false" outlineLevel="0" collapsed="false">
      <c r="A13" s="4" t="s">
        <v>145</v>
      </c>
      <c r="B13" s="7" t="s">
        <v>39</v>
      </c>
      <c r="C13" s="4" t="n">
        <f aca="false">Flows!$BG13*2*Capacity!$S13/(5*15*C70*(Capacity!$S13+Capacity!$BZ13))</f>
        <v>3.76424340298223E-006</v>
      </c>
      <c r="D13" s="4" t="n">
        <f aca="false">(DemClcs!$A$34*(Populations!$R12+3*Populations!$S12)/D70)+MAX((Flows!K13+Flows!M13)/1826.484018+Flows!L13/1111.111111-Flows!$F13,0)/D70</f>
        <v>0.227477594443165</v>
      </c>
      <c r="E13" s="4" t="n">
        <f aca="false">DemClcs!$A$42*(Populations!$R12+3*Populations!$S12)/E70</f>
        <v>0.0300637143519106</v>
      </c>
      <c r="F13" s="4" t="n">
        <v>0</v>
      </c>
      <c r="G13" s="4" t="n">
        <f aca="false">Flows!Q13*40/G70</f>
        <v>0.00788165761260057</v>
      </c>
      <c r="H13" s="4" t="n">
        <f aca="false">IF(Flows!$AW13&gt;Flows!$Y13,(Flows!$AW13-Flows!$Y13)/H70)</f>
        <v>0</v>
      </c>
      <c r="I13" s="4" t="n">
        <f aca="false">I40/$CN40</f>
        <v>0.352171619555786</v>
      </c>
      <c r="J13" s="4" t="n">
        <f aca="false">J40/$CN40</f>
        <v>0.647828380444214</v>
      </c>
      <c r="K13" s="4" t="n">
        <v>0</v>
      </c>
      <c r="L13" s="4" t="n">
        <v>0</v>
      </c>
      <c r="M13" s="4" t="n">
        <v>0</v>
      </c>
      <c r="N13" s="4" t="n">
        <f aca="false">SUM(Flows!$V13,Flows!$W13)/$N70</f>
        <v>0.00546054289625498</v>
      </c>
      <c r="O13" s="4" t="n">
        <v>0</v>
      </c>
      <c r="P13" s="4" t="n">
        <v>0</v>
      </c>
      <c r="Q13" s="4" t="n">
        <f aca="false">$Q$27*Q40*(1/COUNTIF($C$26:$CK$26,1))/(MAX(Q$30:Q$52)-MIN(Q$30:Q$52))</f>
        <v>0.00530847929012975</v>
      </c>
      <c r="R13" s="4" t="n">
        <f aca="false">$R$27*R40*(1/COUNTIF($C$26:$CK$26,1))/(MAX(R$30:R$52)-MIN(R$30:R$52))+0.5/COUNTIF($C$26:$CK$26,1)</f>
        <v>0.0283261240882296</v>
      </c>
      <c r="S13" s="4" t="n">
        <v>0</v>
      </c>
      <c r="T13" s="4" t="n">
        <v>0</v>
      </c>
      <c r="U13" s="4" t="n">
        <v>0</v>
      </c>
      <c r="V13" s="4" t="n">
        <f aca="false">$V$27*V40*(1/COUNTIF($C$26:$CK$26,1))/(MAX(V$30:V$52)-MIN(V$30:V$52))</f>
        <v>0.0197405484309768</v>
      </c>
      <c r="W13" s="4" t="n">
        <f aca="false">$V$27*W40*(1/COUNTIF($C$26:$CK$26,1))/(MAX(W$30:W$52)-MIN(W$30:W$52))</f>
        <v>0.0215942156995942</v>
      </c>
      <c r="X13" s="4" t="n">
        <f aca="false">X40/$CO40</f>
        <v>0.0765891290970761</v>
      </c>
      <c r="Y13" s="4" t="n">
        <v>0</v>
      </c>
      <c r="Z13" s="4" t="n">
        <f aca="false">Flows!$AA13/$Z70</f>
        <v>0.000105665463557474</v>
      </c>
      <c r="AA13" s="4" t="n">
        <f aca="false">Flows!$AB13/$AA70</f>
        <v>0.00193631614856248</v>
      </c>
      <c r="AB13" s="4" t="n">
        <f aca="false">DemClcs!$A$20*(Populations!$R12+3*Populations!$S12)/AB70</f>
        <v>0.00703497826562554</v>
      </c>
      <c r="AC13" s="4" t="n">
        <f aca="false">Flows!$AD13/$AC70</f>
        <v>0.0191697679134185</v>
      </c>
      <c r="AD13" s="4" t="n">
        <f aca="false">DemClcs!$A$25*(Populations!$R12+3*Populations!$S12)/AD70</f>
        <v>0.0698000575083553</v>
      </c>
      <c r="AE13" s="4" t="n">
        <f aca="false">AE40/$CP40</f>
        <v>0.0700220582275552</v>
      </c>
      <c r="AF13" s="4" t="n">
        <f aca="false">$AF$27*AF40*(1/COUNTIF($C$26:$CK$26,1))/(MAX(AF$30:AF$52)-MIN(AF$30:AF$52))</f>
        <v>0.0185421979944974</v>
      </c>
      <c r="AG13" s="4" t="n">
        <f aca="false">$AF$27*AG40*(1/COUNTIF($C$26:$CK$26,1))/(MAX(AG$30:AG$52)-MIN(AG$30:AG$52))</f>
        <v>0.00457587434467995</v>
      </c>
      <c r="AH13" s="4" t="n">
        <f aca="false">$AF$27*AH40*(1/COUNTIF($C$26:$CK$26,1))/(MAX(AH$30:AH$52)-MIN(AH$30:AH$52))</f>
        <v>0.0156816028464547</v>
      </c>
      <c r="AI13" s="4" t="n">
        <f aca="false">$AF$27*AI40*(1/COUNTIF($C$26:$CK$26,1))/(MAX(AI$30:AI$52)-MIN(AI$30:AI$52))</f>
        <v>2.01253511536199E-005</v>
      </c>
      <c r="AJ13" s="4" t="n">
        <f aca="false">$AF$27*AJ40*(1/COUNTIF($C$26:$CK$26,1))/(MAX(AJ$30:AJ$52)-MIN(AJ$30:AJ$52))</f>
        <v>0.0243724550492136</v>
      </c>
      <c r="AK13" s="4" t="n">
        <f aca="false">$AF$27*AK40*(1/COUNTIF($C$26:$CK$26,1))/(MAX(AK$30:AK$52)-MIN(AK$30:AK$52))</f>
        <v>0.0262569525219646</v>
      </c>
      <c r="AL13" s="4" t="n">
        <f aca="false">$AF$27*AL40*(1/COUNTIF($C$26:$CK$26,1))/(MAX(AL$30:AL$52)-MIN(AL$30:AL$52))</f>
        <v>0.0144396082218773</v>
      </c>
      <c r="AM13" s="4" t="n">
        <f aca="false">$AF$27*AM40*(1/COUNTIF($C$26:$CK$26,1))/(MAX(AM$30:AM$52)-MIN(AM$30:AM$52))</f>
        <v>0.0250609691212154</v>
      </c>
      <c r="AN13" s="4" t="n">
        <f aca="false">$AF$27*AN40*(1/COUNTIF($C$26:$CK$26,1))/(MAX(AN$30:AN$52)-MIN(AN$30:AN$52))</f>
        <v>0.0237658080498054</v>
      </c>
      <c r="AO13" s="4" t="n">
        <f aca="false">$AF$27*AO40*(1/COUNTIF($C$26:$CK$26,1))/(MAX(AO$30:AO$52)-MIN(AO$30:AO$52))</f>
        <v>0.0210022771593059</v>
      </c>
      <c r="AP13" s="4" t="n">
        <f aca="false">$AF$27*AP40*(1/COUNTIF($C$26:$CK$26,1))/(MAX(AP$30:AP$52)-MIN(AP$30:AP$52))</f>
        <v>0.0259015192919442</v>
      </c>
      <c r="AQ13" s="4" t="n">
        <f aca="false">$AF$27*AQ40*(1/COUNTIF($C$26:$CK$26,1))/(MAX(AQ$30:AQ$52)-MIN(AQ$30:AQ$52))</f>
        <v>0.0056947950419948</v>
      </c>
      <c r="AR13" s="4" t="n">
        <f aca="false">$AF$27*AR40*(1/COUNTIF($C$26:$CK$26,1))/(MAX(AR$30:AR$52)-MIN(AR$30:AR$52))</f>
        <v>0.00983943483370917</v>
      </c>
      <c r="AS13" s="4" t="n">
        <f aca="false">$AF$27*AS40*(1/COUNTIF($C$26:$CK$26,1))/(MAX(AS$30:AS$52)-MIN(AS$30:AS$52))</f>
        <v>0.0159145903632775</v>
      </c>
      <c r="AT13" s="4" t="n">
        <f aca="false">AT40/$CP40</f>
        <v>0.0505472953632738</v>
      </c>
      <c r="AU13" s="4" t="n">
        <f aca="false">AU40/$CP40</f>
        <v>0.00735771379604396</v>
      </c>
      <c r="AV13" s="4" t="n">
        <f aca="false">$AF$27*AV40*(1/COUNTIF($C$26:$CK$26,1))/(MAX(AV$30:AV$52)-MIN(AV$30:AV$52))</f>
        <v>0.0108964416691113</v>
      </c>
      <c r="AW13" s="4" t="n">
        <f aca="false">SUM(Flows!AX13,Flows!$AZ13)/$AW70</f>
        <v>0.00308537468412521</v>
      </c>
      <c r="AX13" s="4" t="n">
        <f aca="false">$AX$27*AX40*(1/COUNTIF($C$26:$CK$26,1))/(MAX(AX$30:AX$52)-MIN(AX$30:AX$52))</f>
        <v>0.0117754738654562</v>
      </c>
      <c r="AY13" s="4" t="n">
        <f aca="false">SUM(Flows!$BB13:$BE13)*Capacity!BS13/(AY70*SUM(Capacity!$BS13:$BT13))</f>
        <v>0.0195998232703081</v>
      </c>
      <c r="AZ13" s="4" t="n">
        <f aca="false">SUM(Flows!$BB13:$BE13)*Capacity!BT13/(AZ70*SUM(Capacity!$BS13:$BT13))+(DemClcs!$A$56*Populations!$Q12/AZ70)</f>
        <v>0.112064661720255</v>
      </c>
      <c r="BA13" s="4" t="n">
        <v>0</v>
      </c>
      <c r="BB13" s="4" t="n">
        <f aca="false">$BB$27*BB40*(1/COUNTIF($C$26:$CK$26,1))/(MAX(BB$30:BB$52)-MIN(BB$30:BB$52))</f>
        <v>0.00241290438260939</v>
      </c>
      <c r="BC13" s="4" t="n">
        <f aca="false">$BB$27*BC40*(1/COUNTIF($C$26:$CK$26,1))/(MAX(BC$30:BC$52)-MIN(BC$30:BC$52))</f>
        <v>0.000630789597501963</v>
      </c>
      <c r="BD13" s="4" t="n">
        <f aca="false">$BB$27*BD40*(1/COUNTIF($C$26:$CK$26,1))/(MAX(BD$30:BD$52)-MIN(BD$30:BD$52))</f>
        <v>0.00275387227958787</v>
      </c>
      <c r="BE13" s="4" t="n">
        <f aca="false">$BB$27*BE40*(1/COUNTIF($C$26:$CK$26,1))/(MAX(BE$30:BE$52)-MIN(BE$30:BE$52))</f>
        <v>0.00174225639372296</v>
      </c>
      <c r="BF13" s="4" t="n">
        <f aca="false">(Flows!$BG13+Flows!$BI13)*1.5*Capacity!$BZ14/(15*$BF70*(Capacity!$S13+Capacity!$BZ13))</f>
        <v>5.9653854554753E-005</v>
      </c>
      <c r="BG13" s="4" t="n">
        <f aca="false">DemClcs!$A$47*(Populations!$R12+3*Populations!$S12)*Capacity!CA13/(BG70*SUM(Capacity!$CA13:$CC13,Capacity!$CE13))</f>
        <v>0.00633624470755757</v>
      </c>
      <c r="BH13" s="4" t="n">
        <f aca="false">DemClcs!$A$47*(Populations!$R12+3*Populations!$S12)*Capacity!CB13/(BH70*SUM(Capacity!$CA13:$CC13,Capacity!$CE13))</f>
        <v>0.00869277203467219</v>
      </c>
      <c r="BI13" s="4" t="n">
        <f aca="false">DemClcs!$A$47*(Populations!$R12+3*Populations!$S12)*Capacity!CC13/(BI70*SUM(Capacity!$CA13:$CC13,Capacity!$CE13))</f>
        <v>0.00633624470755757</v>
      </c>
      <c r="BJ13" s="4" t="n">
        <f aca="false">BJ40/$CP40</f>
        <v>0.0483686212704531</v>
      </c>
      <c r="BK13" s="4" t="n">
        <f aca="false">DemClcs!$A$47*(Populations!$R12+3*Populations!$S12)*Capacity!CE13/(BK70*SUM(Capacity!$CA13:$CC13,Capacity!$CE13))</f>
        <v>0.00633624470755757</v>
      </c>
      <c r="BL13" s="4" t="n">
        <f aca="false">BL40/$CP40</f>
        <v>0.0923968511104943</v>
      </c>
      <c r="BM13" s="4" t="n">
        <f aca="false">BM40/$CP40</f>
        <v>0.0714130243883777</v>
      </c>
      <c r="BN13" s="4" t="n">
        <v>0</v>
      </c>
      <c r="BO13" s="4" t="n">
        <f aca="false">Flows!BT13*16/(25*BR70)</f>
        <v>0.00276043068432835</v>
      </c>
      <c r="BP13" s="4" t="n">
        <f aca="false">SUM(Flows!$AF13:$AS13,Flows!$AV13)/BP70</f>
        <v>2.91622423301174E-005</v>
      </c>
      <c r="BQ13" s="4" t="n">
        <v>0</v>
      </c>
      <c r="BR13" s="4" t="n">
        <f aca="false">Flows!BU13*16/(25*BR70)</f>
        <v>0.000276043068432835</v>
      </c>
      <c r="BS13" s="4" t="n">
        <f aca="false">Flows!BV13*16/(25*BS70)</f>
        <v>5.52085766352841E-005</v>
      </c>
      <c r="BT13" s="4" t="n">
        <f aca="false">PRODUCT(Flows!$D41,DemClcs!$A$29:$A$32,$BT$27)/(0.75*BT70)</f>
        <v>1.37619531178603E-005</v>
      </c>
      <c r="BU13" s="4" t="n">
        <f aca="false">PRODUCT(Flows!$D41,DemClcs!$A$29:$A$32,$BT$27)/(0.75*BU70*10)</f>
        <v>1.2615123691372E-005</v>
      </c>
      <c r="BV13" s="4" t="n">
        <f aca="false">PRODUCT(Flows!$D41,DemClcs!$A$29:$A$32,$BT$27)/(0.75*BV70*100)</f>
        <v>1.08129631640331E-005</v>
      </c>
      <c r="BW13" s="4" t="n">
        <v>0</v>
      </c>
      <c r="BX13" s="4" t="n">
        <f aca="false">BX40/$CP40</f>
        <v>0.0178550742231625</v>
      </c>
      <c r="BY13" s="4" t="n">
        <f aca="false">BY40/$CP40</f>
        <v>0.0376218187816008</v>
      </c>
      <c r="BZ13" s="4" t="n">
        <f aca="false">BZ40/$CO40</f>
        <v>0.0373013362146583</v>
      </c>
      <c r="CA13" s="4" t="n">
        <f aca="false">CA40/$CO40</f>
        <v>0.0629729625985511</v>
      </c>
      <c r="CB13" s="4" t="n">
        <f aca="false">CB40/$CP40</f>
        <v>0.0942179919348584</v>
      </c>
      <c r="CC13" s="4" t="n">
        <f aca="false">CC40/$CO40</f>
        <v>0.09865910689436</v>
      </c>
      <c r="CD13" s="4" t="n">
        <v>0</v>
      </c>
      <c r="CE13" s="4" t="n">
        <f aca="false">IF(SUM(Flows!$CJ13:$CK13)&gt;Flows!$BA13,(SUM(Flows!$CJ13:$CK13)-Flows!$BA13)/CE70)</f>
        <v>0.0465298842493578</v>
      </c>
      <c r="CF13" s="4" t="n">
        <f aca="false">CF40/$CO40</f>
        <v>0.0859677979904157</v>
      </c>
      <c r="CG13" s="4" t="n">
        <f aca="false">CG40/$CO40</f>
        <v>0.0594622056067702</v>
      </c>
      <c r="CH13" s="4" t="n">
        <f aca="false">CH40/$CO40</f>
        <v>0.0643229143698459</v>
      </c>
      <c r="CI13" s="4" t="n">
        <f aca="false">CI40/$CP40</f>
        <v>0.1032873120393</v>
      </c>
      <c r="CJ13" s="4" t="n">
        <f aca="false">CJ$27*CJ40*(1/COUNTIF($C$26:$CK$26,1))/(MAX(CJ$30:CJ$52)-MIN(CJ$30:CJ$52))</f>
        <v>0.00278245503056854</v>
      </c>
      <c r="CK13" s="4" t="n">
        <f aca="false">CK$27*CK40*(1/COUNTIF($C$26:$CK$26,1))/(MAX(CK$30:CK$52)-MIN(CK$30:CK$52))</f>
        <v>0.00147201778012285</v>
      </c>
      <c r="CL13" s="4" t="n">
        <v>0</v>
      </c>
      <c r="CN13" s="4" t="n">
        <f aca="false">SUM(C13:CK13)</f>
        <v>3</v>
      </c>
    </row>
    <row r="14" customFormat="false" ht="12.8" hidden="false" customHeight="false" outlineLevel="0" collapsed="false">
      <c r="A14" s="4" t="s">
        <v>147</v>
      </c>
      <c r="B14" s="7" t="s">
        <v>39</v>
      </c>
      <c r="C14" s="4" t="n">
        <f aca="false">Flows!$BG14*2*Capacity!$S14/(5*15*C71*(Capacity!$S14+Capacity!$BZ14))</f>
        <v>2.55031424837768E-006</v>
      </c>
      <c r="D14" s="4" t="n">
        <f aca="false">(DemClcs!$A$34*(Populations!$R13+3*Populations!$S13)/D71)+MAX((Flows!K14+Flows!M14)/1826.484018+Flows!L14/1111.111111-Flows!$F14,0)/D71</f>
        <v>0.138905981605948</v>
      </c>
      <c r="E14" s="4" t="n">
        <f aca="false">DemClcs!$A$42*(Populations!$R13+3*Populations!$S13)/E71</f>
        <v>0.0202186867581202</v>
      </c>
      <c r="F14" s="4" t="n">
        <v>0</v>
      </c>
      <c r="G14" s="4" t="n">
        <f aca="false">Flows!Q14*40/G71</f>
        <v>0.003418849847517</v>
      </c>
      <c r="H14" s="4" t="n">
        <f aca="false">IF(Flows!$AW14&gt;Flows!$Y14,(Flows!$AW14-Flows!$Y14)/H71)</f>
        <v>0</v>
      </c>
      <c r="I14" s="4" t="n">
        <f aca="false">I41/$CN41</f>
        <v>0.687306804842092</v>
      </c>
      <c r="J14" s="4" t="n">
        <f aca="false">J41/$CN41</f>
        <v>0.312693195157908</v>
      </c>
      <c r="K14" s="4" t="n">
        <v>0</v>
      </c>
      <c r="L14" s="4" t="n">
        <v>0</v>
      </c>
      <c r="M14" s="4" t="n">
        <v>0</v>
      </c>
      <c r="N14" s="4" t="n">
        <f aca="false">SUM(Flows!$V14,Flows!$W14)/$N71</f>
        <v>0.00249912573834895</v>
      </c>
      <c r="O14" s="4" t="n">
        <v>0</v>
      </c>
      <c r="P14" s="4" t="n">
        <v>0</v>
      </c>
      <c r="Q14" s="4" t="n">
        <f aca="false">$Q$27*Q41*(1/COUNTIF($C$26:$CK$26,1))/(MAX(Q$30:Q$52)-MIN(Q$30:Q$52))</f>
        <v>0.00453142518519575</v>
      </c>
      <c r="R14" s="4" t="n">
        <f aca="false">$R$27*R41*(1/COUNTIF($C$26:$CK$26,1))/(MAX(R$30:R$52)-MIN(R$30:R$52))+0.5/COUNTIF($C$26:$CK$26,1)</f>
        <v>0.0287539081521718</v>
      </c>
      <c r="S14" s="4" t="n">
        <v>0</v>
      </c>
      <c r="T14" s="4" t="n">
        <v>0</v>
      </c>
      <c r="U14" s="4" t="n">
        <v>0</v>
      </c>
      <c r="V14" s="4" t="n">
        <f aca="false">$V$27*V41*(1/COUNTIF($C$26:$CK$26,1))/(MAX(V$30:V$52)-MIN(V$30:V$52))</f>
        <v>0.020773998076054</v>
      </c>
      <c r="W14" s="4" t="n">
        <f aca="false">$V$27*W41*(1/COUNTIF($C$26:$CK$26,1))/(MAX(W$30:W$52)-MIN(W$30:W$52))</f>
        <v>0.0026569800459875</v>
      </c>
      <c r="X14" s="4" t="n">
        <f aca="false">X41/$CO41</f>
        <v>0.138829243202537</v>
      </c>
      <c r="Y14" s="4" t="n">
        <v>0</v>
      </c>
      <c r="Z14" s="4" t="n">
        <f aca="false">Flows!$AA14/$Z71</f>
        <v>5.49394998954488E-005</v>
      </c>
      <c r="AA14" s="4" t="n">
        <f aca="false">Flows!$AB14/$AA71</f>
        <v>0.0013347368706601</v>
      </c>
      <c r="AB14" s="4" t="n">
        <f aca="false">DemClcs!$A$20*(Populations!$R13+3*Populations!$S13)/AB71</f>
        <v>0.00520035004594471</v>
      </c>
      <c r="AC14" s="4" t="n">
        <f aca="false">Flows!$AD14/$AC71</f>
        <v>0.0105651526253347</v>
      </c>
      <c r="AD14" s="4" t="n">
        <f aca="false">DemClcs!$A$25*(Populations!$R13+3*Populations!$S13)/AD71</f>
        <v>0.0515971362760482</v>
      </c>
      <c r="AE14" s="4" t="n">
        <f aca="false">AE41/$CP41</f>
        <v>0.11369614942563</v>
      </c>
      <c r="AF14" s="4" t="n">
        <f aca="false">$AF$27*AF41*(1/COUNTIF($C$26:$CK$26,1))/(MAX(AF$30:AF$52)-MIN(AF$30:AF$52))</f>
        <v>0.0174261415049269</v>
      </c>
      <c r="AG14" s="4" t="n">
        <f aca="false">$AF$27*AG41*(1/COUNTIF($C$26:$CK$26,1))/(MAX(AG$30:AG$52)-MIN(AG$30:AG$52))</f>
        <v>0.0234355115156086</v>
      </c>
      <c r="AH14" s="4" t="n">
        <f aca="false">$AF$27*AH41*(1/COUNTIF($C$26:$CK$26,1))/(MAX(AH$30:AH$52)-MIN(AH$30:AH$52))</f>
        <v>0.015951788119392</v>
      </c>
      <c r="AI14" s="4" t="n">
        <f aca="false">$AF$27*AI41*(1/COUNTIF($C$26:$CK$26,1))/(MAX(AI$30:AI$52)-MIN(AI$30:AI$52))</f>
        <v>0.00672371913974958</v>
      </c>
      <c r="AJ14" s="4" t="n">
        <f aca="false">$AF$27*AJ41*(1/COUNTIF($C$26:$CK$26,1))/(MAX(AJ$30:AJ$52)-MIN(AJ$30:AJ$52))</f>
        <v>0.0081443168121305</v>
      </c>
      <c r="AK14" s="4" t="n">
        <f aca="false">$AF$27*AK41*(1/COUNTIF($C$26:$CK$26,1))/(MAX(AK$30:AK$52)-MIN(AK$30:AK$52))</f>
        <v>0.0228168450829032</v>
      </c>
      <c r="AL14" s="4" t="n">
        <f aca="false">$AF$27*AL41*(1/COUNTIF($C$26:$CK$26,1))/(MAX(AL$30:AL$52)-MIN(AL$30:AL$52))</f>
        <v>0.0138792531171599</v>
      </c>
      <c r="AM14" s="4" t="n">
        <f aca="false">$AF$27*AM41*(1/COUNTIF($C$26:$CK$26,1))/(MAX(AM$30:AM$52)-MIN(AM$30:AM$52))</f>
        <v>0.00853075773375967</v>
      </c>
      <c r="AN14" s="4" t="n">
        <f aca="false">$AF$27*AN41*(1/COUNTIF($C$26:$CK$26,1))/(MAX(AN$30:AN$52)-MIN(AN$30:AN$52))</f>
        <v>0.025752866195137</v>
      </c>
      <c r="AO14" s="4" t="n">
        <f aca="false">$AF$27*AO41*(1/COUNTIF($C$26:$CK$26,1))/(MAX(AO$30:AO$52)-MIN(AO$30:AO$52))</f>
        <v>0.00994169465539557</v>
      </c>
      <c r="AP14" s="4" t="n">
        <f aca="false">$AF$27*AP41*(1/COUNTIF($C$26:$CK$26,1))/(MAX(AP$30:AP$52)-MIN(AP$30:AP$52))</f>
        <v>0.00815035296444064</v>
      </c>
      <c r="AQ14" s="4" t="n">
        <f aca="false">$AF$27*AQ41*(1/COUNTIF($C$26:$CK$26,1))/(MAX(AQ$30:AQ$52)-MIN(AQ$30:AQ$52))</f>
        <v>0.00981889812839254</v>
      </c>
      <c r="AR14" s="4" t="n">
        <f aca="false">$AF$27*AR41*(1/COUNTIF($C$26:$CK$26,1))/(MAX(AR$30:AR$52)-MIN(AR$30:AR$52))</f>
        <v>0.0128854927988775</v>
      </c>
      <c r="AS14" s="4" t="n">
        <f aca="false">$AF$27*AS41*(1/COUNTIF($C$26:$CK$26,1))/(MAX(AS$30:AS$52)-MIN(AS$30:AS$52))</f>
        <v>0.0277547030917927</v>
      </c>
      <c r="AT14" s="4" t="n">
        <f aca="false">AT41/$CP41</f>
        <v>0.0252657116874347</v>
      </c>
      <c r="AU14" s="4" t="n">
        <f aca="false">AU41/$CP41</f>
        <v>0.0971519859460296</v>
      </c>
      <c r="AV14" s="4" t="n">
        <f aca="false">$AF$27*AV41*(1/COUNTIF($C$26:$CK$26,1))/(MAX(AV$30:AV$52)-MIN(AV$30:AV$52))</f>
        <v>0.00269479799825015</v>
      </c>
      <c r="AW14" s="4" t="n">
        <f aca="false">SUM(Flows!AX14,Flows!$AZ14)/$AW71</f>
        <v>0.00171879463421097</v>
      </c>
      <c r="AX14" s="4" t="n">
        <f aca="false">$AX$27*AX41*(1/COUNTIF($C$26:$CK$26,1))/(MAX(AX$30:AX$52)-MIN(AX$30:AX$52))</f>
        <v>0.0113898388719876</v>
      </c>
      <c r="AY14" s="4" t="n">
        <f aca="false">SUM(Flows!$BB14:$BE14)*Capacity!BS14/(AY71*SUM(Capacity!$BS14:$BT14))</f>
        <v>0.0100661899693834</v>
      </c>
      <c r="AZ14" s="4" t="n">
        <f aca="false">SUM(Flows!$BB14:$BE14)*Capacity!BT14/(AZ71*SUM(Capacity!$BS14:$BT14))+(DemClcs!$A$56*Populations!$Q13/AZ71)</f>
        <v>0.0694276801758812</v>
      </c>
      <c r="BA14" s="4" t="n">
        <v>0</v>
      </c>
      <c r="BB14" s="4" t="n">
        <f aca="false">$BB$27*BB41*(1/COUNTIF($C$26:$CK$26,1))/(MAX(BB$30:BB$52)-MIN(BB$30:BB$52))</f>
        <v>0.0020919598795439</v>
      </c>
      <c r="BC14" s="4" t="n">
        <f aca="false">$BB$27*BC41*(1/COUNTIF($C$26:$CK$26,1))/(MAX(BC$30:BC$52)-MIN(BC$30:BC$52))</f>
        <v>0.000904959307604937</v>
      </c>
      <c r="BD14" s="4" t="n">
        <f aca="false">$BB$27*BD41*(1/COUNTIF($C$26:$CK$26,1))/(MAX(BD$30:BD$52)-MIN(BD$30:BD$52))</f>
        <v>0.00197612690784534</v>
      </c>
      <c r="BE14" s="4" t="n">
        <f aca="false">$BB$27*BE41*(1/COUNTIF($C$26:$CK$26,1))/(MAX(BE$30:BE$52)-MIN(BE$30:BE$52))</f>
        <v>0.00165938063179816</v>
      </c>
      <c r="BF14" s="4" t="n">
        <f aca="false">(Flows!$BG14+Flows!$BI14)*1.5*Capacity!$BZ15/(15*$BF71*(Capacity!$S14+Capacity!$BZ14))</f>
        <v>6.5658818174545E-005</v>
      </c>
      <c r="BG14" s="4" t="n">
        <f aca="false">DemClcs!$A$47*(Populations!$R13+3*Populations!$S13)*Capacity!CA14/(BG71*SUM(Capacity!$CA14:$CC14,Capacity!$CE14))</f>
        <v>0.00443587646127087</v>
      </c>
      <c r="BH14" s="4" t="n">
        <f aca="false">DemClcs!$A$47*(Populations!$R13+3*Populations!$S13)*Capacity!CB14/(BH71*SUM(Capacity!$CA14:$CC14,Capacity!$CE14))</f>
        <v>0.00578715973317748</v>
      </c>
      <c r="BI14" s="4" t="n">
        <f aca="false">DemClcs!$A$47*(Populations!$R13+3*Populations!$S13)*Capacity!CC14/(BI71*SUM(Capacity!$CA14:$CC14,Capacity!$CE14))</f>
        <v>0.00443587646127087</v>
      </c>
      <c r="BJ14" s="4" t="n">
        <f aca="false">BJ41/$CP41</f>
        <v>0.0958004036543934</v>
      </c>
      <c r="BK14" s="4" t="n">
        <f aca="false">DemClcs!$A$47*(Populations!$R13+3*Populations!$S13)*Capacity!CE14/(BK71*SUM(Capacity!$CA14:$CC14,Capacity!$CE14))</f>
        <v>0.00443587646127087</v>
      </c>
      <c r="BL14" s="4" t="n">
        <f aca="false">BL41/$CP41</f>
        <v>0.0061856810081556</v>
      </c>
      <c r="BM14" s="4" t="n">
        <f aca="false">BM41/$CP41</f>
        <v>0.138761883780353</v>
      </c>
      <c r="BN14" s="4" t="n">
        <v>0</v>
      </c>
      <c r="BO14" s="4" t="n">
        <f aca="false">Flows!BT14*16/(25*BR71)</f>
        <v>0.00245073924496314</v>
      </c>
      <c r="BP14" s="4" t="n">
        <f aca="false">SUM(Flows!$AF14:$AS14,Flows!$AV14)/BP71</f>
        <v>3.43739870215412E-005</v>
      </c>
      <c r="BQ14" s="4" t="n">
        <v>0</v>
      </c>
      <c r="BR14" s="4" t="n">
        <f aca="false">Flows!BU14*16/(25*BR71)</f>
        <v>0.000245073924496314</v>
      </c>
      <c r="BS14" s="4" t="n">
        <f aca="false">Flows!BV14*16/(25*BS71)</f>
        <v>4.90147022120604E-005</v>
      </c>
      <c r="BT14" s="4" t="n">
        <f aca="false">PRODUCT(Flows!$D42,DemClcs!$A$29:$A$32,$BT$27)/(0.75*BT71)</f>
        <v>1.03833581149661E-005</v>
      </c>
      <c r="BU14" s="4" t="n">
        <f aca="false">PRODUCT(Flows!$D42,DemClcs!$A$29:$A$32,$BT$27)/(0.75*BU71*10)</f>
        <v>9.51807827205227E-006</v>
      </c>
      <c r="BV14" s="4" t="n">
        <f aca="false">PRODUCT(Flows!$D42,DemClcs!$A$29:$A$32,$BT$27)/(0.75*BV71*100)</f>
        <v>8.15835280461623E-006</v>
      </c>
      <c r="BW14" s="4" t="n">
        <v>0</v>
      </c>
      <c r="BX14" s="4" t="n">
        <f aca="false">BX41/$CP41</f>
        <v>0.00769547337572994</v>
      </c>
      <c r="BY14" s="4" t="n">
        <f aca="false">BY41/$CP41</f>
        <v>0.124753196250894</v>
      </c>
      <c r="BZ14" s="4" t="n">
        <f aca="false">BZ41/$CO41</f>
        <v>0.143203018536059</v>
      </c>
      <c r="CA14" s="4" t="n">
        <f aca="false">CA41/$CO41</f>
        <v>0.00225195717555939</v>
      </c>
      <c r="CB14" s="4" t="n">
        <f aca="false">CB41/$CP41</f>
        <v>0.0488663390613558</v>
      </c>
      <c r="CC14" s="4" t="n">
        <f aca="false">CC41/$CO41</f>
        <v>0.143757262864557</v>
      </c>
      <c r="CD14" s="4" t="n">
        <v>0</v>
      </c>
      <c r="CE14" s="4" t="n">
        <f aca="false">IF(SUM(Flows!$CJ14:$CK14)&gt;Flows!$BA14,(SUM(Flows!$CJ14:$CK14)-Flows!$BA14)/CE71)</f>
        <v>0.00462702673756661</v>
      </c>
      <c r="CF14" s="4" t="n">
        <f aca="false">CF41/$CO41</f>
        <v>0.103808536383801</v>
      </c>
      <c r="CG14" s="4" t="n">
        <f aca="false">CG41/$CO41</f>
        <v>0.0129369520663405</v>
      </c>
      <c r="CH14" s="4" t="n">
        <f aca="false">CH41/$CO41</f>
        <v>0.150719444163664</v>
      </c>
      <c r="CI14" s="4" t="n">
        <f aca="false">CI41/$CP41</f>
        <v>0.0137222889437016</v>
      </c>
      <c r="CJ14" s="4" t="n">
        <f aca="false">CJ$27*CJ41*(1/COUNTIF($C$26:$CK$26,1))/(MAX(CJ$30:CJ$52)-MIN(CJ$30:CJ$52))</f>
        <v>0.00204720085708994</v>
      </c>
      <c r="CK14" s="4" t="n">
        <f aca="false">CK$27*CK41*(1/COUNTIF($C$26:$CK$26,1))/(MAX(CK$30:CK$52)-MIN(CK$30:CK$52))</f>
        <v>0.000296645018452507</v>
      </c>
      <c r="CL14" s="4" t="n">
        <v>0</v>
      </c>
      <c r="CN14" s="4" t="n">
        <f aca="false">SUM(C14:CK14)</f>
        <v>3</v>
      </c>
    </row>
    <row r="15" customFormat="false" ht="12.8" hidden="false" customHeight="false" outlineLevel="0" collapsed="false">
      <c r="A15" s="4" t="s">
        <v>148</v>
      </c>
      <c r="B15" s="7" t="s">
        <v>39</v>
      </c>
      <c r="C15" s="4" t="n">
        <f aca="false">Flows!$BG15*2*Capacity!$S15/(5*15*C72*(Capacity!$S15+Capacity!$BZ15))</f>
        <v>5.10358835274218E-006</v>
      </c>
      <c r="D15" s="4" t="n">
        <f aca="false">(DemClcs!$A$34*(Populations!$R14+3*Populations!$S14)/D72)+MAX((Flows!K15+Flows!M15)/1826.484018+Flows!L15/1111.111111-Flows!$F15,0)/D72</f>
        <v>0.202117678076741</v>
      </c>
      <c r="E15" s="4" t="n">
        <f aca="false">DemClcs!$A$42*(Populations!$R14+3*Populations!$S14)/E72</f>
        <v>0.0236738175918769</v>
      </c>
      <c r="F15" s="4" t="n">
        <v>0</v>
      </c>
      <c r="G15" s="4" t="n">
        <f aca="false">Flows!Q15*40/G72</f>
        <v>0.00535335987744744</v>
      </c>
      <c r="H15" s="4" t="n">
        <f aca="false">IF(Flows!$AW15&gt;Flows!$Y15,(Flows!$AW15-Flows!$Y15)/H72)</f>
        <v>0</v>
      </c>
      <c r="I15" s="4" t="n">
        <f aca="false">I42/$CN42</f>
        <v>0.780174914317824</v>
      </c>
      <c r="J15" s="4" t="n">
        <f aca="false">J42/$CN42</f>
        <v>0.219825085682176</v>
      </c>
      <c r="K15" s="4" t="n">
        <v>0</v>
      </c>
      <c r="L15" s="4" t="n">
        <v>0</v>
      </c>
      <c r="M15" s="4" t="n">
        <v>0</v>
      </c>
      <c r="N15" s="4" t="n">
        <f aca="false">SUM(Flows!$V15,Flows!$W15)/$N72</f>
        <v>0.00355474200202954</v>
      </c>
      <c r="O15" s="4" t="n">
        <v>0</v>
      </c>
      <c r="P15" s="4" t="n">
        <v>0</v>
      </c>
      <c r="Q15" s="4" t="n">
        <f aca="false">$Q$27*Q42*(1/COUNTIF($C$26:$CK$26,1))/(MAX(Q$30:Q$52)-MIN(Q$30:Q$52))</f>
        <v>0.00500245584980697</v>
      </c>
      <c r="R15" s="4" t="n">
        <f aca="false">$R$27*R42*(1/COUNTIF($C$26:$CK$26,1))/(MAX(R$30:R$52)-MIN(R$30:R$52))+0.5/COUNTIF($C$26:$CK$26,1)</f>
        <v>0.030656338331443</v>
      </c>
      <c r="S15" s="4" t="n">
        <v>0</v>
      </c>
      <c r="T15" s="4" t="n">
        <v>0</v>
      </c>
      <c r="U15" s="4" t="n">
        <v>0</v>
      </c>
      <c r="V15" s="4" t="n">
        <f aca="false">$V$27*V42*(1/COUNTIF($C$26:$CK$26,1))/(MAX(V$30:V$52)-MIN(V$30:V$52))</f>
        <v>0.0205045982022156</v>
      </c>
      <c r="W15" s="4" t="n">
        <f aca="false">$V$27*W42*(1/COUNTIF($C$26:$CK$26,1))/(MAX(W$30:W$52)-MIN(W$30:W$52))</f>
        <v>0.00683694971864772</v>
      </c>
      <c r="X15" s="4" t="n">
        <f aca="false">X42/$CO42</f>
        <v>0.00337231631777202</v>
      </c>
      <c r="Y15" s="4" t="n">
        <v>0</v>
      </c>
      <c r="Z15" s="4" t="n">
        <f aca="false">Flows!$AA15/$Z72</f>
        <v>0.000100183479188969</v>
      </c>
      <c r="AA15" s="4" t="n">
        <f aca="false">Flows!$AB15/$AA72</f>
        <v>0.00200082550308227</v>
      </c>
      <c r="AB15" s="4" t="n">
        <f aca="false">DemClcs!$A$20*(Populations!$R14+3*Populations!$S14)/AB72</f>
        <v>0.00652362775728081</v>
      </c>
      <c r="AC15" s="4" t="n">
        <f aca="false">Flows!$AD15/$AC72</f>
        <v>0.0148321725541816</v>
      </c>
      <c r="AD15" s="4" t="n">
        <f aca="false">DemClcs!$A$25*(Populations!$R14+3*Populations!$S14)/AD72</f>
        <v>0.0647265102219636</v>
      </c>
      <c r="AE15" s="4" t="n">
        <f aca="false">AE42/$CP42</f>
        <v>0.0593208433721464</v>
      </c>
      <c r="AF15" s="4" t="n">
        <f aca="false">$AF$27*AF42*(1/COUNTIF($C$26:$CK$26,1))/(MAX(AF$30:AF$52)-MIN(AF$30:AF$52))</f>
        <v>0.0159692780585083</v>
      </c>
      <c r="AG15" s="4" t="n">
        <f aca="false">$AF$27*AG42*(1/COUNTIF($C$26:$CK$26,1))/(MAX(AG$30:AG$52)-MIN(AG$30:AG$52))</f>
        <v>0.0274550725460024</v>
      </c>
      <c r="AH15" s="4" t="n">
        <f aca="false">$AF$27*AH42*(1/COUNTIF($C$26:$CK$26,1))/(MAX(AH$30:AH$52)-MIN(AH$30:AH$52))</f>
        <v>0.0236711060635043</v>
      </c>
      <c r="AI15" s="4" t="n">
        <f aca="false">$AF$27*AI42*(1/COUNTIF($C$26:$CK$26,1))/(MAX(AI$30:AI$52)-MIN(AI$30:AI$52))</f>
        <v>0.0200228712977701</v>
      </c>
      <c r="AJ15" s="4" t="n">
        <f aca="false">$AF$27*AJ42*(1/COUNTIF($C$26:$CK$26,1))/(MAX(AJ$30:AJ$52)-MIN(AJ$30:AJ$52))</f>
        <v>0.0106593134347906</v>
      </c>
      <c r="AK15" s="4" t="n">
        <f aca="false">$AF$27*AK42*(1/COUNTIF($C$26:$CK$26,1))/(MAX(AK$30:AK$52)-MIN(AK$30:AK$52))</f>
        <v>0.00240580163935307</v>
      </c>
      <c r="AL15" s="4" t="n">
        <f aca="false">$AF$27*AL42*(1/COUNTIF($C$26:$CK$26,1))/(MAX(AL$30:AL$52)-MIN(AL$30:AL$52))</f>
        <v>0.00976098302011005</v>
      </c>
      <c r="AM15" s="4" t="n">
        <f aca="false">$AF$27*AM42*(1/COUNTIF($C$26:$CK$26,1))/(MAX(AM$30:AM$52)-MIN(AM$30:AM$52))</f>
        <v>0.00936988658695142</v>
      </c>
      <c r="AN15" s="4" t="n">
        <f aca="false">$AF$27*AN42*(1/COUNTIF($C$26:$CK$26,1))/(MAX(AN$30:AN$52)-MIN(AN$30:AN$52))</f>
        <v>0.0178866738210002</v>
      </c>
      <c r="AO15" s="4" t="n">
        <f aca="false">$AF$27*AO42*(1/COUNTIF($C$26:$CK$26,1))/(MAX(AO$30:AO$52)-MIN(AO$30:AO$52))</f>
        <v>0.0103090283207721</v>
      </c>
      <c r="AP15" s="4" t="n">
        <f aca="false">$AF$27*AP42*(1/COUNTIF($C$26:$CK$26,1))/(MAX(AP$30:AP$52)-MIN(AP$30:AP$52))</f>
        <v>0.0251528884799351</v>
      </c>
      <c r="AQ15" s="4" t="n">
        <f aca="false">$AF$27*AQ42*(1/COUNTIF($C$26:$CK$26,1))/(MAX(AQ$30:AQ$52)-MIN(AQ$30:AQ$52))</f>
        <v>0.00434329764310464</v>
      </c>
      <c r="AR15" s="4" t="n">
        <f aca="false">$AF$27*AR42*(1/COUNTIF($C$26:$CK$26,1))/(MAX(AR$30:AR$52)-MIN(AR$30:AR$52))</f>
        <v>0.0240354815193975</v>
      </c>
      <c r="AS15" s="4" t="n">
        <f aca="false">$AF$27*AS42*(1/COUNTIF($C$26:$CK$26,1))/(MAX(AS$30:AS$52)-MIN(AS$30:AS$52))</f>
        <v>0.00415423728289775</v>
      </c>
      <c r="AT15" s="4" t="n">
        <f aca="false">AT42/$CP42</f>
        <v>0.0811847640636685</v>
      </c>
      <c r="AU15" s="4" t="n">
        <f aca="false">AU42/$CP42</f>
        <v>0.010293677635272</v>
      </c>
      <c r="AV15" s="4" t="n">
        <f aca="false">$AF$27*AV42*(1/COUNTIF($C$26:$CK$26,1))/(MAX(AV$30:AV$52)-MIN(AV$30:AV$52))</f>
        <v>0.0103657083928262</v>
      </c>
      <c r="AW15" s="4" t="n">
        <f aca="false">SUM(Flows!AX15,Flows!$AZ15)/$AW72</f>
        <v>0.00241860908651619</v>
      </c>
      <c r="AX15" s="4" t="n">
        <f aca="false">$AX$27*AX42*(1/COUNTIF($C$26:$CK$26,1))/(MAX(AX$30:AX$52)-MIN(AX$30:AX$52))</f>
        <v>0.0115480601384042</v>
      </c>
      <c r="AY15" s="4" t="n">
        <f aca="false">SUM(Flows!$BB15:$BE15)*Capacity!BS15/(AY72*SUM(Capacity!$BS15:$BT15))</f>
        <v>0.0161032966298315</v>
      </c>
      <c r="AZ15" s="4" t="n">
        <f aca="false">SUM(Flows!$BB15:$BE15)*Capacity!BT15/(AZ72*SUM(Capacity!$BS15:$BT15))+(DemClcs!$A$56*Populations!$Q14/AZ72)</f>
        <v>0.0898278503051085</v>
      </c>
      <c r="BA15" s="4" t="n">
        <v>0</v>
      </c>
      <c r="BB15" s="4" t="n">
        <f aca="false">$BB$27*BB42*(1/COUNTIF($C$26:$CK$26,1))/(MAX(BB$30:BB$52)-MIN(BB$30:BB$52))</f>
        <v>0.00247215629136889</v>
      </c>
      <c r="BC15" s="4" t="n">
        <f aca="false">$BB$27*BC42*(1/COUNTIF($C$26:$CK$26,1))/(MAX(BC$30:BC$52)-MIN(BC$30:BC$52))</f>
        <v>0.00127305993230528</v>
      </c>
      <c r="BD15" s="4" t="n">
        <f aca="false">$BB$27*BD42*(1/COUNTIF($C$26:$CK$26,1))/(MAX(BD$30:BD$52)-MIN(BD$30:BD$52))</f>
        <v>0.00267221592647729</v>
      </c>
      <c r="BE15" s="4" t="n">
        <f aca="false">$BB$27*BE42*(1/COUNTIF($C$26:$CK$26,1))/(MAX(BE$30:BE$52)-MIN(BE$30:BE$52))</f>
        <v>0.00207582829422927</v>
      </c>
      <c r="BF15" s="4" t="n">
        <f aca="false">(Flows!$BG15+Flows!$BI15)*1.5*Capacity!$BZ16/(15*$BF72*(Capacity!$S15+Capacity!$BZ15))</f>
        <v>5.49463806853879E-005</v>
      </c>
      <c r="BG15" s="4" t="n">
        <f aca="false">DemClcs!$A$47*(Populations!$R14+3*Populations!$S14)*Capacity!CA15/(BG72*SUM(Capacity!$CA15:$CC15,Capacity!$CE15))</f>
        <v>0.00750722786458054</v>
      </c>
      <c r="BH15" s="4" t="n">
        <f aca="false">DemClcs!$A$47*(Populations!$R14+3*Populations!$S14)*Capacity!CB15/(BH72*SUM(Capacity!$CA15:$CC15,Capacity!$CE15))</f>
        <v>2.19967176036019E-006</v>
      </c>
      <c r="BI15" s="4" t="n">
        <f aca="false">DemClcs!$A$47*(Populations!$R14+3*Populations!$S14)*Capacity!CC15/(BI72*SUM(Capacity!$CA15:$CC15,Capacity!$CE15))</f>
        <v>0.00750722786458053</v>
      </c>
      <c r="BJ15" s="4" t="n">
        <f aca="false">BJ42/$CP42</f>
        <v>0.0097608990538869</v>
      </c>
      <c r="BK15" s="4" t="n">
        <f aca="false">DemClcs!$A$47*(Populations!$R14+3*Populations!$S14)*Capacity!CE15/(BK72*SUM(Capacity!$CA15:$CC15,Capacity!$CE15))</f>
        <v>0.00750722786458053</v>
      </c>
      <c r="BL15" s="4" t="n">
        <f aca="false">BL42/$CP42</f>
        <v>0.0836227942898514</v>
      </c>
      <c r="BM15" s="4" t="n">
        <f aca="false">BM42/$CP42</f>
        <v>0.0112161797255261</v>
      </c>
      <c r="BN15" s="4" t="n">
        <v>0</v>
      </c>
      <c r="BO15" s="4" t="n">
        <f aca="false">Flows!BT15*16/(25*BR72)</f>
        <v>0.00481415415132669</v>
      </c>
      <c r="BP15" s="4" t="n">
        <f aca="false">SUM(Flows!$AF15:$AS15,Flows!$AV15)/BP72</f>
        <v>4.58765206838205E-005</v>
      </c>
      <c r="BQ15" s="4" t="n">
        <v>0</v>
      </c>
      <c r="BR15" s="4" t="n">
        <f aca="false">Flows!BU15*16/(25*BR72)</f>
        <v>0.000481415415132669</v>
      </c>
      <c r="BS15" s="4" t="n">
        <f aca="false">Flows!BV15*16/(25*BS72)</f>
        <v>9.62829403269066E-005</v>
      </c>
      <c r="BT15" s="4" t="n">
        <f aca="false">PRODUCT(Flows!$D43,DemClcs!$A$29:$A$32,$BT$27)/(0.75*BT72)</f>
        <v>1.58224789182681E-005</v>
      </c>
      <c r="BU15" s="4" t="n">
        <f aca="false">PRODUCT(Flows!$D43,DemClcs!$A$29:$A$32,$BT$27)/(0.75*BU72*10)</f>
        <v>1.45039390084124E-005</v>
      </c>
      <c r="BV15" s="4" t="n">
        <f aca="false">PRODUCT(Flows!$D43,DemClcs!$A$29:$A$32,$BT$27)/(0.75*BV72*100)</f>
        <v>1.24319477214964E-005</v>
      </c>
      <c r="BW15" s="4" t="n">
        <v>0</v>
      </c>
      <c r="BX15" s="4" t="n">
        <f aca="false">BX42/$CP42</f>
        <v>0.112501670434966</v>
      </c>
      <c r="BY15" s="4" t="n">
        <f aca="false">BY42/$CP42</f>
        <v>0.0692444291201162</v>
      </c>
      <c r="BZ15" s="4" t="n">
        <f aca="false">BZ42/$CO42</f>
        <v>0.104346274153183</v>
      </c>
      <c r="CA15" s="4" t="n">
        <f aca="false">CA42/$CO42</f>
        <v>0.139318970486178</v>
      </c>
      <c r="CB15" s="4" t="n">
        <f aca="false">CB42/$CP42</f>
        <v>0.18374702733966</v>
      </c>
      <c r="CC15" s="4" t="n">
        <f aca="false">CC42/$CO42</f>
        <v>0.135619249394471</v>
      </c>
      <c r="CD15" s="4" t="n">
        <v>0</v>
      </c>
      <c r="CE15" s="4" t="n">
        <f aca="false">IF(SUM(Flows!$CJ15:$CK15)&gt;Flows!$BA15,(SUM(Flows!$CJ15:$CK15)-Flows!$BA15)/CE72)</f>
        <v>0.0194057157075723</v>
      </c>
      <c r="CF15" s="4" t="n">
        <f aca="false">CF42/$CO42</f>
        <v>0.0406743842782013</v>
      </c>
      <c r="CG15" s="4" t="n">
        <f aca="false">CG42/$CO42</f>
        <v>0.150074126353744</v>
      </c>
      <c r="CH15" s="4" t="n">
        <f aca="false">CH42/$CO42</f>
        <v>0.00150507623960169</v>
      </c>
      <c r="CI15" s="4" t="n">
        <f aca="false">CI42/$CP42</f>
        <v>0.0254317054874424</v>
      </c>
      <c r="CJ15" s="4" t="n">
        <f aca="false">CJ$27*CJ42*(1/COUNTIF($C$26:$CK$26,1))/(MAX(CJ$30:CJ$52)-MIN(CJ$30:CJ$52))</f>
        <v>0.000560576343061988</v>
      </c>
      <c r="CK15" s="4" t="n">
        <f aca="false">CK$27*CK42*(1/COUNTIF($C$26:$CK$26,1))/(MAX(CK$30:CK$52)-MIN(CK$30:CK$52))</f>
        <v>0.00089893569895057</v>
      </c>
      <c r="CL15" s="4" t="n">
        <v>0</v>
      </c>
      <c r="CN15" s="4" t="n">
        <f aca="false">SUM(C15:CK15)</f>
        <v>3</v>
      </c>
    </row>
    <row r="16" customFormat="false" ht="12.8" hidden="false" customHeight="false" outlineLevel="0" collapsed="false">
      <c r="A16" s="4" t="s">
        <v>150</v>
      </c>
      <c r="B16" s="7" t="s">
        <v>39</v>
      </c>
      <c r="C16" s="4" t="n">
        <f aca="false">Flows!$BG16*2*Capacity!$S16/(5*15*C73*(Capacity!$S16+Capacity!$BZ16))</f>
        <v>3.17525718806656E-006</v>
      </c>
      <c r="D16" s="4" t="n">
        <f aca="false">(DemClcs!$A$34*(Populations!$R15+3*Populations!$S15)/D73)+MAX((Flows!K16+Flows!M16)/1826.484018+Flows!L16/1111.111111-Flows!$F16,0)/D73</f>
        <v>0.169721047180817</v>
      </c>
      <c r="E16" s="4" t="n">
        <f aca="false">DemClcs!$A$42*(Populations!$R15+3*Populations!$S15)/E73</f>
        <v>0.024252677819453</v>
      </c>
      <c r="F16" s="4" t="n">
        <v>0</v>
      </c>
      <c r="G16" s="4" t="n">
        <f aca="false">Flows!Q16*40/G73</f>
        <v>0.00275657172617667</v>
      </c>
      <c r="H16" s="4" t="n">
        <f aca="false">IF(Flows!$AW16&gt;Flows!$Y16,(Flows!$AW16-Flows!$Y16)/H73)</f>
        <v>0</v>
      </c>
      <c r="I16" s="4" t="n">
        <f aca="false">I43/$CN43</f>
        <v>0.439496613797919</v>
      </c>
      <c r="J16" s="4" t="n">
        <f aca="false">J43/$CN43</f>
        <v>0.560503386202081</v>
      </c>
      <c r="K16" s="4" t="n">
        <v>0</v>
      </c>
      <c r="L16" s="4" t="n">
        <v>0</v>
      </c>
      <c r="M16" s="4" t="n">
        <v>0</v>
      </c>
      <c r="N16" s="4" t="n">
        <f aca="false">SUM(Flows!$V16,Flows!$W16)/$N73</f>
        <v>0.00471146191080723</v>
      </c>
      <c r="O16" s="4" t="n">
        <v>0</v>
      </c>
      <c r="P16" s="4" t="n">
        <v>0</v>
      </c>
      <c r="Q16" s="4" t="n">
        <f aca="false">$Q$27*Q43*(1/COUNTIF($C$26:$CK$26,1))/(MAX(Q$30:Q$52)-MIN(Q$30:Q$52))</f>
        <v>0.00227725516141878</v>
      </c>
      <c r="R16" s="4" t="n">
        <f aca="false">$R$27*R43*(1/COUNTIF($C$26:$CK$26,1))/(MAX(R$30:R$52)-MIN(R$30:R$52))+0.5/COUNTIF($C$26:$CK$26,1)</f>
        <v>0.0319629240451294</v>
      </c>
      <c r="S16" s="4" t="n">
        <v>0</v>
      </c>
      <c r="T16" s="4" t="n">
        <v>0</v>
      </c>
      <c r="U16" s="4" t="n">
        <v>0</v>
      </c>
      <c r="V16" s="4" t="n">
        <f aca="false">$V$27*V43*(1/COUNTIF($C$26:$CK$26,1))/(MAX(V$30:V$52)-MIN(V$30:V$52))</f>
        <v>0.0192284760165787</v>
      </c>
      <c r="W16" s="4" t="n">
        <f aca="false">$V$27*W43*(1/COUNTIF($C$26:$CK$26,1))/(MAX(W$30:W$52)-MIN(W$30:W$52))</f>
        <v>0.0191187011742286</v>
      </c>
      <c r="X16" s="4" t="n">
        <f aca="false">X43/$CO43</f>
        <v>0.187823171547381</v>
      </c>
      <c r="Y16" s="4" t="n">
        <v>0</v>
      </c>
      <c r="Z16" s="4" t="n">
        <f aca="false">Flows!$AA16/$Z73</f>
        <v>0.000107433368778416</v>
      </c>
      <c r="AA16" s="4" t="n">
        <f aca="false">Flows!$AB16/$AA73</f>
        <v>0.00161616445785891</v>
      </c>
      <c r="AB16" s="4" t="n">
        <f aca="false">DemClcs!$A$20*(Populations!$R15+3*Populations!$S15)/AB73</f>
        <v>0.00466516555876541</v>
      </c>
      <c r="AC16" s="4" t="n">
        <f aca="false">Flows!$AD16/$AC73</f>
        <v>0.0174106740823185</v>
      </c>
      <c r="AD16" s="4" t="n">
        <f aca="false">DemClcs!$A$25*(Populations!$R15+3*Populations!$S15)/AD73</f>
        <v>0.0462871116288899</v>
      </c>
      <c r="AE16" s="4" t="n">
        <f aca="false">AE43/$CP43</f>
        <v>0.0494481858262609</v>
      </c>
      <c r="AF16" s="4" t="n">
        <f aca="false">$AF$27*AF43*(1/COUNTIF($C$26:$CK$26,1))/(MAX(AF$30:AF$52)-MIN(AF$30:AF$52))</f>
        <v>0.00683786551471496</v>
      </c>
      <c r="AG16" s="4" t="n">
        <f aca="false">$AF$27*AG43*(1/COUNTIF($C$26:$CK$26,1))/(MAX(AG$30:AG$52)-MIN(AG$30:AG$52))</f>
        <v>0.023208179662011</v>
      </c>
      <c r="AH16" s="4" t="n">
        <f aca="false">$AF$27*AH43*(1/COUNTIF($C$26:$CK$26,1))/(MAX(AH$30:AH$52)-MIN(AH$30:AH$52))</f>
        <v>0.0228205087117787</v>
      </c>
      <c r="AI16" s="4" t="n">
        <f aca="false">$AF$27*AI43*(1/COUNTIF($C$26:$CK$26,1))/(MAX(AI$30:AI$52)-MIN(AI$30:AI$52))</f>
        <v>0.0152771138408021</v>
      </c>
      <c r="AJ16" s="4" t="n">
        <f aca="false">$AF$27*AJ43*(1/COUNTIF($C$26:$CK$26,1))/(MAX(AJ$30:AJ$52)-MIN(AJ$30:AJ$52))</f>
        <v>0.016261637239373</v>
      </c>
      <c r="AK16" s="4" t="n">
        <f aca="false">$AF$27*AK43*(1/COUNTIF($C$26:$CK$26,1))/(MAX(AK$30:AK$52)-MIN(AK$30:AK$52))</f>
        <v>0.0181911903887946</v>
      </c>
      <c r="AL16" s="4" t="n">
        <f aca="false">$AF$27*AL43*(1/COUNTIF($C$26:$CK$26,1))/(MAX(AL$30:AL$52)-MIN(AL$30:AL$52))</f>
        <v>0.0159801757681414</v>
      </c>
      <c r="AM16" s="4" t="n">
        <f aca="false">$AF$27*AM43*(1/COUNTIF($C$26:$CK$26,1))/(MAX(AM$30:AM$52)-MIN(AM$30:AM$52))</f>
        <v>0.0238556353157561</v>
      </c>
      <c r="AN16" s="4" t="n">
        <f aca="false">$AF$27*AN43*(1/COUNTIF($C$26:$CK$26,1))/(MAX(AN$30:AN$52)-MIN(AN$30:AN$52))</f>
        <v>0.00705614122449454</v>
      </c>
      <c r="AO16" s="4" t="n">
        <f aca="false">$AF$27*AO43*(1/COUNTIF($C$26:$CK$26,1))/(MAX(AO$30:AO$52)-MIN(AO$30:AO$52))</f>
        <v>0.0214846584064224</v>
      </c>
      <c r="AP16" s="4" t="n">
        <f aca="false">$AF$27*AP43*(1/COUNTIF($C$26:$CK$26,1))/(MAX(AP$30:AP$52)-MIN(AP$30:AP$52))</f>
        <v>0.0236310686071978</v>
      </c>
      <c r="AQ16" s="4" t="n">
        <f aca="false">$AF$27*AQ43*(1/COUNTIF($C$26:$CK$26,1))/(MAX(AQ$30:AQ$52)-MIN(AQ$30:AQ$52))</f>
        <v>0.0143018842304781</v>
      </c>
      <c r="AR16" s="4" t="n">
        <f aca="false">$AF$27*AR43*(1/COUNTIF($C$26:$CK$26,1))/(MAX(AR$30:AR$52)-MIN(AR$30:AR$52))</f>
        <v>0.00902041715192162</v>
      </c>
      <c r="AS16" s="4" t="n">
        <f aca="false">$AF$27*AS43*(1/COUNTIF($C$26:$CK$26,1))/(MAX(AS$30:AS$52)-MIN(AS$30:AS$52))</f>
        <v>0.00767871343012997</v>
      </c>
      <c r="AT16" s="4" t="n">
        <f aca="false">AT43/$CP43</f>
        <v>0.0615581907797594</v>
      </c>
      <c r="AU16" s="4" t="n">
        <f aca="false">AU43/$CP43</f>
        <v>0.039133380580597</v>
      </c>
      <c r="AV16" s="4" t="n">
        <f aca="false">$AF$27*AV43*(1/COUNTIF($C$26:$CK$26,1))/(MAX(AV$30:AV$52)-MIN(AV$30:AV$52))</f>
        <v>0.0171976651901434</v>
      </c>
      <c r="AW16" s="4" t="n">
        <f aca="false">SUM(Flows!AX16,Flows!$AZ16)/$AW73</f>
        <v>0.00263976490251904</v>
      </c>
      <c r="AX16" s="4" t="n">
        <f aca="false">$AX$27*AX43*(1/COUNTIF($C$26:$CK$26,1))/(MAX(AX$30:AX$52)-MIN(AX$30:AX$52))</f>
        <v>0.00375964408139071</v>
      </c>
      <c r="AY16" s="4" t="n">
        <f aca="false">SUM(Flows!$BB16:$BE16)*Capacity!BS16/(AY73*SUM(Capacity!$BS16:$BT16))</f>
        <v>0.0146104430520281</v>
      </c>
      <c r="AZ16" s="4" t="n">
        <f aca="false">SUM(Flows!$BB16:$BE16)*Capacity!BT16/(AZ73*SUM(Capacity!$BS16:$BT16))+(DemClcs!$A$56*Populations!$Q15/AZ73)</f>
        <v>0.0724147230069354</v>
      </c>
      <c r="BA16" s="4" t="n">
        <v>0</v>
      </c>
      <c r="BB16" s="4" t="n">
        <f aca="false">$BB$27*BB43*(1/COUNTIF($C$26:$CK$26,1))/(MAX(BB$30:BB$52)-MIN(BB$30:BB$52))</f>
        <v>0.00211405873513884</v>
      </c>
      <c r="BC16" s="4" t="n">
        <f aca="false">$BB$27*BC43*(1/COUNTIF($C$26:$CK$26,1))/(MAX(BC$30:BC$52)-MIN(BC$30:BC$52))</f>
        <v>0.00209501813135139</v>
      </c>
      <c r="BD16" s="4" t="n">
        <f aca="false">$BB$27*BD43*(1/COUNTIF($C$26:$CK$26,1))/(MAX(BD$30:BD$52)-MIN(BD$30:BD$52))</f>
        <v>0.00265231673415998</v>
      </c>
      <c r="BE16" s="4" t="n">
        <f aca="false">$BB$27*BE43*(1/COUNTIF($C$26:$CK$26,1))/(MAX(BE$30:BE$52)-MIN(BE$30:BE$52))</f>
        <v>0.00267684621475744</v>
      </c>
      <c r="BF16" s="4" t="n">
        <f aca="false">(Flows!$BG16+Flows!$BI16)*1.5*Capacity!$BZ17/(15*$BF73*(Capacity!$S16+Capacity!$BZ16))</f>
        <v>0.00011044181476836</v>
      </c>
      <c r="BG16" s="4" t="n">
        <f aca="false">DemClcs!$A$47*(Populations!$R15+3*Populations!$S15)*Capacity!CA16/(BG73*SUM(Capacity!$CA16:$CC16,Capacity!$CE16))</f>
        <v>0.00471343952201804</v>
      </c>
      <c r="BH16" s="4" t="n">
        <f aca="false">DemClcs!$A$47*(Populations!$R15+3*Populations!$S15)*Capacity!CB16/(BH73*SUM(Capacity!$CA16:$CC16,Capacity!$CE16))</f>
        <v>0.00595607841452048</v>
      </c>
      <c r="BI16" s="4" t="n">
        <f aca="false">DemClcs!$A$47*(Populations!$R15+3*Populations!$S15)*Capacity!CC16/(BI73*SUM(Capacity!$CA16:$CC16,Capacity!$CE16))</f>
        <v>0.00471343952201804</v>
      </c>
      <c r="BJ16" s="4" t="n">
        <f aca="false">BJ43/$CP43</f>
        <v>0.109104077712461</v>
      </c>
      <c r="BK16" s="4" t="n">
        <f aca="false">DemClcs!$A$47*(Populations!$R15+3*Populations!$S15)*Capacity!CE16/(BK73*SUM(Capacity!$CA16:$CC16,Capacity!$CE16))</f>
        <v>0.00471343952201804</v>
      </c>
      <c r="BL16" s="4" t="n">
        <f aca="false">BL43/$CP43</f>
        <v>0.0890142284806814</v>
      </c>
      <c r="BM16" s="4" t="n">
        <f aca="false">BM43/$CP43</f>
        <v>0.0684941041010494</v>
      </c>
      <c r="BN16" s="4" t="n">
        <v>0</v>
      </c>
      <c r="BO16" s="4" t="n">
        <f aca="false">Flows!BT16*16/(25*BR73)</f>
        <v>0.00138463273585299</v>
      </c>
      <c r="BP16" s="4" t="n">
        <f aca="false">SUM(Flows!$AF16:$AS16,Flows!$AV16)/BP73</f>
        <v>2.16726850508547E-005</v>
      </c>
      <c r="BQ16" s="4" t="n">
        <v>0</v>
      </c>
      <c r="BR16" s="4" t="n">
        <f aca="false">Flows!BU16*16/(25*BR73)</f>
        <v>0.000138463273585299</v>
      </c>
      <c r="BS16" s="4" t="n">
        <f aca="false">Flows!BV16*16/(25*BS73)</f>
        <v>2.76926418786311E-005</v>
      </c>
      <c r="BT16" s="4" t="n">
        <f aca="false">PRODUCT(Flows!$D44,DemClcs!$A$29:$A$32,$BT$27)/(0.75*BT73)</f>
        <v>9.40215978156243E-006</v>
      </c>
      <c r="BU16" s="4" t="n">
        <f aca="false">PRODUCT(Flows!$D44,DemClcs!$A$29:$A$32,$BT$27)/(0.75*BU73*10)</f>
        <v>8.61864646643222E-006</v>
      </c>
      <c r="BV16" s="4" t="n">
        <f aca="false">PRODUCT(Flows!$D44,DemClcs!$A$29:$A$32,$BT$27)/(0.75*BV73*100)</f>
        <v>7.3874112569419E-006</v>
      </c>
      <c r="BW16" s="4" t="n">
        <v>0</v>
      </c>
      <c r="BX16" s="4" t="n">
        <f aca="false">BX43/$CP43</f>
        <v>0.0950038892612458</v>
      </c>
      <c r="BY16" s="4" t="n">
        <f aca="false">BY43/$CP43</f>
        <v>0.0127792233385115</v>
      </c>
      <c r="BZ16" s="4" t="n">
        <f aca="false">BZ43/$CO43</f>
        <v>0.0838291069947774</v>
      </c>
      <c r="CA16" s="4" t="n">
        <f aca="false">CA43/$CO43</f>
        <v>0.0460565148328022</v>
      </c>
      <c r="CB16" s="4" t="n">
        <f aca="false">CB43/$CP43</f>
        <v>0.0406323368369418</v>
      </c>
      <c r="CC16" s="4" t="n">
        <f aca="false">CC43/$CO43</f>
        <v>0.00978970760423782</v>
      </c>
      <c r="CD16" s="4" t="n">
        <v>0</v>
      </c>
      <c r="CE16" s="4" t="n">
        <f aca="false">IF(SUM(Flows!$CJ16:$CK16)&gt;Flows!$BA16,(SUM(Flows!$CJ16:$CK16)-Flows!$BA16)/CE73)</f>
        <v>0.0347875079952007</v>
      </c>
      <c r="CF16" s="4" t="n">
        <f aca="false">CF43/$CO43</f>
        <v>0.0332506052498649</v>
      </c>
      <c r="CG16" s="4" t="n">
        <f aca="false">CG43/$CO43</f>
        <v>0.193799398928504</v>
      </c>
      <c r="CH16" s="4" t="n">
        <f aca="false">CH43/$CO43</f>
        <v>0.0646305432625534</v>
      </c>
      <c r="CI16" s="4" t="n">
        <f aca="false">CI43/$CP43</f>
        <v>0.0670839396134307</v>
      </c>
      <c r="CJ16" s="4" t="n">
        <f aca="false">CJ$27*CJ43*(1/COUNTIF($C$26:$CK$26,1))/(MAX(CJ$30:CJ$52)-MIN(CJ$30:CJ$52))</f>
        <v>0.000740379920615544</v>
      </c>
      <c r="CK16" s="4" t="n">
        <f aca="false">CK$27*CK43*(1/COUNTIF($C$26:$CK$26,1))/(MAX(CK$30:CK$52)-MIN(CK$30:CK$52))</f>
        <v>0.00135228985505908</v>
      </c>
      <c r="CL16" s="4" t="n">
        <v>0</v>
      </c>
      <c r="CN16" s="4" t="n">
        <f aca="false">SUM(C16:CK16)</f>
        <v>3</v>
      </c>
    </row>
    <row r="17" customFormat="false" ht="12.8" hidden="false" customHeight="false" outlineLevel="0" collapsed="false">
      <c r="A17" s="4" t="s">
        <v>151</v>
      </c>
      <c r="B17" s="7" t="s">
        <v>39</v>
      </c>
      <c r="C17" s="4" t="n">
        <f aca="false">Flows!$BG17*2*Capacity!$S17/(5*15*C74*(Capacity!$S17+Capacity!$BZ17))</f>
        <v>7.34814511214715E-006</v>
      </c>
      <c r="D17" s="4" t="n">
        <f aca="false">(DemClcs!$A$34*(Populations!$R16+3*Populations!$S16)/D74)+MAX((Flows!K17+Flows!M17)/1826.484018+Flows!L17/1111.111111-Flows!$F17,0)/D74</f>
        <v>0.280544812841619</v>
      </c>
      <c r="E17" s="4" t="n">
        <f aca="false">DemClcs!$A$42*(Populations!$R16+3*Populations!$S16)/E74</f>
        <v>0.0390969838173463</v>
      </c>
      <c r="F17" s="4" t="n">
        <v>0</v>
      </c>
      <c r="G17" s="4" t="n">
        <f aca="false">Flows!Q17*40/G74</f>
        <v>0.00789794723186611</v>
      </c>
      <c r="H17" s="4" t="n">
        <f aca="false">IF(Flows!$AW17&gt;Flows!$Y17,(Flows!$AW17-Flows!$Y17)/H74)</f>
        <v>0</v>
      </c>
      <c r="I17" s="4" t="n">
        <f aca="false">I44/$CN44</f>
        <v>0.50610930897576</v>
      </c>
      <c r="J17" s="4" t="n">
        <f aca="false">J44/$CN44</f>
        <v>0.49389069102424</v>
      </c>
      <c r="K17" s="4" t="n">
        <v>0</v>
      </c>
      <c r="L17" s="4" t="n">
        <v>0</v>
      </c>
      <c r="M17" s="4" t="n">
        <v>0</v>
      </c>
      <c r="N17" s="4" t="n">
        <f aca="false">SUM(Flows!$V17,Flows!$W17)/$N74</f>
        <v>0.00793023459055294</v>
      </c>
      <c r="O17" s="4" t="n">
        <v>0</v>
      </c>
      <c r="P17" s="4" t="n">
        <v>0</v>
      </c>
      <c r="Q17" s="4" t="n">
        <f aca="false">$Q$27*Q44*(1/COUNTIF($C$26:$CK$26,1))/(MAX(Q$30:Q$52)-MIN(Q$30:Q$52))</f>
        <v>0.00331518944235552</v>
      </c>
      <c r="R17" s="4" t="n">
        <f aca="false">$R$27*R44*(1/COUNTIF($C$26:$CK$26,1))/(MAX(R$30:R$52)-MIN(R$30:R$52))+0.5/COUNTIF($C$26:$CK$26,1)</f>
        <v>0.0272111538544385</v>
      </c>
      <c r="S17" s="4" t="n">
        <v>0</v>
      </c>
      <c r="T17" s="4" t="n">
        <v>0</v>
      </c>
      <c r="U17" s="4" t="n">
        <v>0</v>
      </c>
      <c r="V17" s="4" t="n">
        <f aca="false">$V$27*V44*(1/COUNTIF($C$26:$CK$26,1))/(MAX(V$30:V$52)-MIN(V$30:V$52))</f>
        <v>0.0279146954842446</v>
      </c>
      <c r="W17" s="4" t="n">
        <f aca="false">$V$27*W44*(1/COUNTIF($C$26:$CK$26,1))/(MAX(W$30:W$52)-MIN(W$30:W$52))</f>
        <v>0.000989217568346464</v>
      </c>
      <c r="X17" s="4" t="n">
        <f aca="false">X44/$CO44</f>
        <v>0.0528242917032078</v>
      </c>
      <c r="Y17" s="4" t="n">
        <v>0</v>
      </c>
      <c r="Z17" s="4" t="n">
        <f aca="false">Flows!$AA17/$Z74</f>
        <v>0.000196871348804469</v>
      </c>
      <c r="AA17" s="4" t="n">
        <f aca="false">Flows!$AB17/$AA74</f>
        <v>0.00382273584091979</v>
      </c>
      <c r="AB17" s="4" t="n">
        <f aca="false">DemClcs!$A$20*(Populations!$R16+3*Populations!$S16)/AB74</f>
        <v>0.00860772462567446</v>
      </c>
      <c r="AC17" s="4" t="n">
        <f aca="false">Flows!$AD17/$AC74</f>
        <v>0.0356384121870669</v>
      </c>
      <c r="AD17" s="4" t="n">
        <f aca="false">DemClcs!$A$25*(Populations!$R16+3*Populations!$S16)/AD74</f>
        <v>0.0854046240375611</v>
      </c>
      <c r="AE17" s="4" t="n">
        <f aca="false">AE44/$CP44</f>
        <v>0.053118771140557</v>
      </c>
      <c r="AF17" s="4" t="n">
        <f aca="false">$AF$27*AF44*(1/COUNTIF($C$26:$CK$26,1))/(MAX(AF$30:AF$52)-MIN(AF$30:AF$52))</f>
        <v>0.0234508235971346</v>
      </c>
      <c r="AG17" s="4" t="n">
        <f aca="false">$AF$27*AG44*(1/COUNTIF($C$26:$CK$26,1))/(MAX(AG$30:AG$52)-MIN(AG$30:AG$52))</f>
        <v>0.0119223107041199</v>
      </c>
      <c r="AH17" s="4" t="n">
        <f aca="false">$AF$27*AH44*(1/COUNTIF($C$26:$CK$26,1))/(MAX(AH$30:AH$52)-MIN(AH$30:AH$52))</f>
        <v>0.0105758439206718</v>
      </c>
      <c r="AI17" s="4" t="n">
        <f aca="false">$AF$27*AI44*(1/COUNTIF($C$26:$CK$26,1))/(MAX(AI$30:AI$52)-MIN(AI$30:AI$52))</f>
        <v>0.0263359148248378</v>
      </c>
      <c r="AJ17" s="4" t="n">
        <f aca="false">$AF$27*AJ44*(1/COUNTIF($C$26:$CK$26,1))/(MAX(AJ$30:AJ$52)-MIN(AJ$30:AJ$52))</f>
        <v>0.0109717912469761</v>
      </c>
      <c r="AK17" s="4" t="n">
        <f aca="false">$AF$27*AK44*(1/COUNTIF($C$26:$CK$26,1))/(MAX(AK$30:AK$52)-MIN(AK$30:AK$52))</f>
        <v>0.0118008495861367</v>
      </c>
      <c r="AL17" s="4" t="n">
        <f aca="false">$AF$27*AL44*(1/COUNTIF($C$26:$CK$26,1))/(MAX(AL$30:AL$52)-MIN(AL$30:AL$52))</f>
        <v>0.0190804938065266</v>
      </c>
      <c r="AM17" s="4" t="n">
        <f aca="false">$AF$27*AM44*(1/COUNTIF($C$26:$CK$26,1))/(MAX(AM$30:AM$52)-MIN(AM$30:AM$52))</f>
        <v>0.0217027778768731</v>
      </c>
      <c r="AN17" s="4" t="n">
        <f aca="false">$AF$27*AN44*(1/COUNTIF($C$26:$CK$26,1))/(MAX(AN$30:AN$52)-MIN(AN$30:AN$52))</f>
        <v>0.00390619171376387</v>
      </c>
      <c r="AO17" s="4" t="n">
        <f aca="false">$AF$27*AO44*(1/COUNTIF($C$26:$CK$26,1))/(MAX(AO$30:AO$52)-MIN(AO$30:AO$52))</f>
        <v>0.014142449654191</v>
      </c>
      <c r="AP17" s="4" t="n">
        <f aca="false">$AF$27*AP44*(1/COUNTIF($C$26:$CK$26,1))/(MAX(AP$30:AP$52)-MIN(AP$30:AP$52))</f>
        <v>0.00348623170168017</v>
      </c>
      <c r="AQ17" s="4" t="n">
        <f aca="false">$AF$27*AQ44*(1/COUNTIF($C$26:$CK$26,1))/(MAX(AQ$30:AQ$52)-MIN(AQ$30:AQ$52))</f>
        <v>0.00548571426248871</v>
      </c>
      <c r="AR17" s="4" t="n">
        <f aca="false">$AF$27*AR44*(1/COUNTIF($C$26:$CK$26,1))/(MAX(AR$30:AR$52)-MIN(AR$30:AR$52))</f>
        <v>0.025656778876576</v>
      </c>
      <c r="AS17" s="4" t="n">
        <f aca="false">$AF$27*AS44*(1/COUNTIF($C$26:$CK$26,1))/(MAX(AS$30:AS$52)-MIN(AS$30:AS$52))</f>
        <v>0.00883243545868623</v>
      </c>
      <c r="AT17" s="4" t="n">
        <f aca="false">AT44/$CP44</f>
        <v>0.102507820283843</v>
      </c>
      <c r="AU17" s="4" t="n">
        <f aca="false">AU44/$CP44</f>
        <v>0.11766762737676</v>
      </c>
      <c r="AV17" s="4" t="n">
        <f aca="false">$AF$27*AV44*(1/COUNTIF($C$26:$CK$26,1))/(MAX(AV$30:AV$52)-MIN(AV$30:AV$52))</f>
        <v>0.016803601385358</v>
      </c>
      <c r="AW17" s="4" t="n">
        <f aca="false">SUM(Flows!AX17,Flows!$AZ17)/$AW74</f>
        <v>0.00560232560211657</v>
      </c>
      <c r="AX17" s="4" t="n">
        <f aca="false">$AX$27*AX44*(1/COUNTIF($C$26:$CK$26,1))/(MAX(AX$30:AX$52)-MIN(AX$30:AX$52))</f>
        <v>0.0089368313060579</v>
      </c>
      <c r="AY17" s="4" t="n">
        <f aca="false">SUM(Flows!$BB17:$BE17)*Capacity!BS17/(AY74*SUM(Capacity!$BS17:$BT17))</f>
        <v>0.0288382009075403</v>
      </c>
      <c r="AZ17" s="4" t="n">
        <f aca="false">SUM(Flows!$BB17:$BE17)*Capacity!BT17/(AZ74*SUM(Capacity!$BS17:$BT17))+(DemClcs!$A$56*Populations!$Q16/AZ74)</f>
        <v>0.12669169633333</v>
      </c>
      <c r="BA17" s="4" t="n">
        <v>0</v>
      </c>
      <c r="BB17" s="4" t="n">
        <f aca="false">$BB$27*BB44*(1/COUNTIF($C$26:$CK$26,1))/(MAX(BB$30:BB$52)-MIN(BB$30:BB$52))</f>
        <v>0.00160492593000431</v>
      </c>
      <c r="BC17" s="4" t="n">
        <f aca="false">$BB$27*BC44*(1/COUNTIF($C$26:$CK$26,1))/(MAX(BC$30:BC$52)-MIN(BC$30:BC$52))</f>
        <v>0.00144944790742341</v>
      </c>
      <c r="BD17" s="4" t="n">
        <f aca="false">$BB$27*BD44*(1/COUNTIF($C$26:$CK$26,1))/(MAX(BD$30:BD$52)-MIN(BD$30:BD$52))</f>
        <v>0.000242320249706901</v>
      </c>
      <c r="BE17" s="4" t="n">
        <f aca="false">$BB$27*BE44*(1/COUNTIF($C$26:$CK$26,1))/(MAX(BE$30:BE$52)-MIN(BE$30:BE$52))</f>
        <v>0.00181402560252737</v>
      </c>
      <c r="BF17" s="4" t="n">
        <f aca="false">(Flows!$BG17+Flows!$BI17)*1.5*Capacity!$BZ18/(15*$BF74*(Capacity!$S17+Capacity!$BZ17))</f>
        <v>0.00011774384214508</v>
      </c>
      <c r="BG17" s="4" t="n">
        <f aca="false">DemClcs!$A$47*(Populations!$R16+3*Populations!$S16)*Capacity!CA17/(BG74*SUM(Capacity!$CA17:$CC17,Capacity!$CE17))</f>
        <v>0.00822061939615878</v>
      </c>
      <c r="BH17" s="4" t="n">
        <f aca="false">DemClcs!$A$47*(Populations!$R16+3*Populations!$S16)*Capacity!CB17/(BH74*SUM(Capacity!$CA17:$CC17,Capacity!$CE17))</f>
        <v>0.00969337096394877</v>
      </c>
      <c r="BI17" s="4" t="n">
        <f aca="false">DemClcs!$A$47*(Populations!$R16+3*Populations!$S16)*Capacity!CC17/(BI74*SUM(Capacity!$CA17:$CC17,Capacity!$CE17))</f>
        <v>0.00822061939615878</v>
      </c>
      <c r="BJ17" s="4" t="n">
        <f aca="false">BJ44/$CP44</f>
        <v>0.0290926255826833</v>
      </c>
      <c r="BK17" s="4" t="n">
        <f aca="false">DemClcs!$A$47*(Populations!$R16+3*Populations!$S16)*Capacity!CE17/(BK74*SUM(Capacity!$CA17:$CC17,Capacity!$CE17))</f>
        <v>0.00822061939615878</v>
      </c>
      <c r="BL17" s="4" t="n">
        <f aca="false">BL44/$CP44</f>
        <v>0.0604068128324977</v>
      </c>
      <c r="BM17" s="4" t="n">
        <f aca="false">BM44/$CP44</f>
        <v>0.0198628545409062</v>
      </c>
      <c r="BN17" s="4" t="n">
        <v>0</v>
      </c>
      <c r="BO17" s="4" t="n">
        <f aca="false">Flows!BT17*16/(25*BR74)</f>
        <v>0.010469037364353</v>
      </c>
      <c r="BP17" s="4" t="n">
        <f aca="false">SUM(Flows!$AF17:$AS17,Flows!$AV17)/BP74</f>
        <v>8.37461753996144E-005</v>
      </c>
      <c r="BQ17" s="4" t="n">
        <v>0</v>
      </c>
      <c r="BR17" s="4" t="n">
        <f aca="false">Flows!BU17*16/(25*BR74)</f>
        <v>0.0010469037364353</v>
      </c>
      <c r="BS17" s="4" t="n">
        <f aca="false">Flows!BV17*16/(25*BS74)</f>
        <v>0.000209380518286213</v>
      </c>
      <c r="BT17" s="4" t="n">
        <f aca="false">PRODUCT(Flows!$D45,DemClcs!$A$29:$A$32,$BT$27)/(0.75*BT74)</f>
        <v>1.83715351461887E-005</v>
      </c>
      <c r="BU17" s="4" t="n">
        <f aca="false">PRODUCT(Flows!$D45,DemClcs!$A$29:$A$32,$BT$27)/(0.75*BU74*10)</f>
        <v>1.68405738840063E-005</v>
      </c>
      <c r="BV17" s="4" t="n">
        <f aca="false">PRODUCT(Flows!$D45,DemClcs!$A$29:$A$32,$BT$27)/(0.75*BV74*100)</f>
        <v>1.44347776148625E-005</v>
      </c>
      <c r="BW17" s="4" t="n">
        <v>0</v>
      </c>
      <c r="BX17" s="4" t="n">
        <f aca="false">BX44/$CP44</f>
        <v>0.0132324610174515</v>
      </c>
      <c r="BY17" s="4" t="n">
        <f aca="false">BY44/$CP44</f>
        <v>0.0581591855420667</v>
      </c>
      <c r="BZ17" s="4" t="n">
        <f aca="false">BZ44/$CO44</f>
        <v>0.022424514182079</v>
      </c>
      <c r="CA17" s="4" t="n">
        <f aca="false">CA44/$CO44</f>
        <v>0.100477551610562</v>
      </c>
      <c r="CB17" s="4" t="n">
        <f aca="false">CB44/$CP44</f>
        <v>0.112372367766563</v>
      </c>
      <c r="CC17" s="4" t="n">
        <f aca="false">CC44/$CO44</f>
        <v>0.0852522922327646</v>
      </c>
      <c r="CD17" s="4" t="n">
        <v>0</v>
      </c>
      <c r="CE17" s="4" t="n">
        <f aca="false">IF(SUM(Flows!$CJ17:$CK17)&gt;Flows!$BA17,(SUM(Flows!$CJ17:$CK17)-Flows!$BA17)/CE74)</f>
        <v>0.00705140673042302</v>
      </c>
      <c r="CF17" s="4" t="n">
        <f aca="false">CF44/$CO44</f>
        <v>0.0384271448582762</v>
      </c>
      <c r="CG17" s="4" t="n">
        <f aca="false">CG44/$CO44</f>
        <v>0.105962517966949</v>
      </c>
      <c r="CH17" s="4" t="n">
        <f aca="false">CH44/$CO44</f>
        <v>0.0070606509132679</v>
      </c>
      <c r="CI17" s="4" t="n">
        <f aca="false">CI44/$CP44</f>
        <v>0.0482923660937162</v>
      </c>
      <c r="CJ17" s="4" t="n">
        <f aca="false">CJ$27*CJ44*(1/COUNTIF($C$26:$CK$26,1))/(MAX(CJ$30:CJ$52)-MIN(CJ$30:CJ$52))</f>
        <v>0.00142244327208212</v>
      </c>
      <c r="CK17" s="4" t="n">
        <f aca="false">CK$27*CK44*(1/COUNTIF($C$26:$CK$26,1))/(MAX(CK$30:CK$52)-MIN(CK$30:CK$52))</f>
        <v>0.000140673207018975</v>
      </c>
      <c r="CL17" s="4" t="n">
        <v>0</v>
      </c>
      <c r="CN17" s="4" t="n">
        <f aca="false">SUM(C17:CK17)</f>
        <v>3</v>
      </c>
    </row>
    <row r="18" customFormat="false" ht="12.8" hidden="false" customHeight="false" outlineLevel="0" collapsed="false">
      <c r="A18" s="4" t="s">
        <v>152</v>
      </c>
      <c r="B18" s="7" t="s">
        <v>39</v>
      </c>
      <c r="C18" s="4" t="n">
        <f aca="false">Flows!$BG18*2*Capacity!$S18/(5*15*C75*(Capacity!$S18+Capacity!$BZ18))</f>
        <v>4.41322441345814E-006</v>
      </c>
      <c r="D18" s="4" t="n">
        <f aca="false">(DemClcs!$A$34*(Populations!$R17+3*Populations!$S17)/D75)+MAX((Flows!K18+Flows!M18)/1826.484018+Flows!L18/1111.111111-Flows!$F18,0)/D75</f>
        <v>0.18064536701996</v>
      </c>
      <c r="E18" s="4" t="n">
        <f aca="false">DemClcs!$A$42*(Populations!$R17+3*Populations!$S17)/E75</f>
        <v>0.0234786437011046</v>
      </c>
      <c r="F18" s="4" t="n">
        <v>0</v>
      </c>
      <c r="G18" s="4" t="n">
        <f aca="false">Flows!Q18*40/G75</f>
        <v>0.000174123899467655</v>
      </c>
      <c r="H18" s="4" t="n">
        <f aca="false">IF(Flows!$AW18&gt;Flows!$Y18,(Flows!$AW18-Flows!$Y18)/H75)</f>
        <v>0</v>
      </c>
      <c r="I18" s="4" t="n">
        <f aca="false">I45/$CN45</f>
        <v>0.838042781738809</v>
      </c>
      <c r="J18" s="4" t="n">
        <f aca="false">J45/$CN45</f>
        <v>0.161957218261191</v>
      </c>
      <c r="K18" s="4" t="n">
        <v>0</v>
      </c>
      <c r="L18" s="4" t="n">
        <v>0</v>
      </c>
      <c r="M18" s="4" t="n">
        <v>0</v>
      </c>
      <c r="N18" s="4" t="n">
        <f aca="false">SUM(Flows!$V18,Flows!$W18)/$N75</f>
        <v>0.0064542291990449</v>
      </c>
      <c r="O18" s="4" t="n">
        <v>0</v>
      </c>
      <c r="P18" s="4" t="n">
        <v>0</v>
      </c>
      <c r="Q18" s="4" t="n">
        <f aca="false">$Q$27*Q45*(1/COUNTIF($C$26:$CK$26,1))/(MAX(Q$30:Q$52)-MIN(Q$30:Q$52))</f>
        <v>0.000103085126545431</v>
      </c>
      <c r="R18" s="4" t="n">
        <f aca="false">$R$27*R45*(1/COUNTIF($C$26:$CK$26,1))/(MAX(R$30:R$52)-MIN(R$30:R$52))+0.5/COUNTIF($C$26:$CK$26,1)</f>
        <v>0.0291768518846548</v>
      </c>
      <c r="S18" s="4" t="n">
        <v>0</v>
      </c>
      <c r="T18" s="4" t="n">
        <v>0</v>
      </c>
      <c r="U18" s="4" t="n">
        <v>0</v>
      </c>
      <c r="V18" s="4" t="n">
        <f aca="false">$V$27*V45*(1/COUNTIF($C$26:$CK$26,1))/(MAX(V$30:V$52)-MIN(V$30:V$52))</f>
        <v>0.0225318005941809</v>
      </c>
      <c r="W18" s="4" t="n">
        <f aca="false">$V$27*W45*(1/COUNTIF($C$26:$CK$26,1))/(MAX(W$30:W$52)-MIN(W$30:W$52))</f>
        <v>0.00960664924415402</v>
      </c>
      <c r="X18" s="4" t="n">
        <f aca="false">X45/$CO45</f>
        <v>0.134009976127712</v>
      </c>
      <c r="Y18" s="4" t="n">
        <v>0</v>
      </c>
      <c r="Z18" s="4" t="n">
        <f aca="false">Flows!$AA18/$Z75</f>
        <v>0.000154034008020037</v>
      </c>
      <c r="AA18" s="4" t="n">
        <f aca="false">Flows!$AB18/$AA75</f>
        <v>0.00377648917050662</v>
      </c>
      <c r="AB18" s="4" t="n">
        <f aca="false">DemClcs!$A$20*(Populations!$R17+3*Populations!$S17)/AB75</f>
        <v>0.00741017205369817</v>
      </c>
      <c r="AC18" s="4" t="n">
        <f aca="false">Flows!$AD18/$AC75</f>
        <v>0.0241808881018404</v>
      </c>
      <c r="AD18" s="4" t="n">
        <f aca="false">DemClcs!$A$25*(Populations!$R17+3*Populations!$S17)/AD75</f>
        <v>0.0735226771093582</v>
      </c>
      <c r="AE18" s="4" t="n">
        <f aca="false">AE45/$CP45</f>
        <v>0.0120255609560674</v>
      </c>
      <c r="AF18" s="4" t="n">
        <f aca="false">$AF$27*AF45*(1/COUNTIF($C$26:$CK$26,1))/(MAX(AF$30:AF$52)-MIN(AF$30:AF$52))</f>
        <v>0.0167580337922444</v>
      </c>
      <c r="AG18" s="4" t="n">
        <f aca="false">$AF$27*AG45*(1/COUNTIF($C$26:$CK$26,1))/(MAX(AG$30:AG$52)-MIN(AG$30:AG$52))</f>
        <v>0.023380114319621</v>
      </c>
      <c r="AH18" s="4" t="n">
        <f aca="false">$AF$27*AH45*(1/COUNTIF($C$26:$CK$26,1))/(MAX(AH$30:AH$52)-MIN(AH$30:AH$52))</f>
        <v>0.00452092508472355</v>
      </c>
      <c r="AI18" s="4" t="n">
        <f aca="false">$AF$27*AI45*(1/COUNTIF($C$26:$CK$26,1))/(MAX(AI$30:AI$52)-MIN(AI$30:AI$52))</f>
        <v>0.0113064356889445</v>
      </c>
      <c r="AJ18" s="4" t="n">
        <f aca="false">$AF$27*AJ45*(1/COUNTIF($C$26:$CK$26,1))/(MAX(AJ$30:AJ$52)-MIN(AJ$30:AJ$52))</f>
        <v>0.0219176716786044</v>
      </c>
      <c r="AK18" s="4" t="n">
        <f aca="false">$AF$27*AK45*(1/COUNTIF($C$26:$CK$26,1))/(MAX(AK$30:AK$52)-MIN(AK$30:AK$52))</f>
        <v>0.0190821942449197</v>
      </c>
      <c r="AL18" s="4" t="n">
        <f aca="false">$AF$27*AL45*(1/COUNTIF($C$26:$CK$26,1))/(MAX(AL$30:AL$52)-MIN(AL$30:AL$52))</f>
        <v>0.00985079822242684</v>
      </c>
      <c r="AM18" s="4" t="n">
        <f aca="false">$AF$27*AM45*(1/COUNTIF($C$26:$CK$26,1))/(MAX(AM$30:AM$52)-MIN(AM$30:AM$52))</f>
        <v>0.00876991962454195</v>
      </c>
      <c r="AN18" s="4" t="n">
        <f aca="false">$AF$27*AN45*(1/COUNTIF($C$26:$CK$26,1))/(MAX(AN$30:AN$52)-MIN(AN$30:AN$52))</f>
        <v>0.00798541411734954</v>
      </c>
      <c r="AO18" s="4" t="n">
        <f aca="false">$AF$27*AO45*(1/COUNTIF($C$26:$CK$26,1))/(MAX(AO$30:AO$52)-MIN(AO$30:AO$52))</f>
        <v>0.0154331316437899</v>
      </c>
      <c r="AP18" s="4" t="n">
        <f aca="false">$AF$27*AP45*(1/COUNTIF($C$26:$CK$26,1))/(MAX(AP$30:AP$52)-MIN(AP$30:AP$52))</f>
        <v>0.0130887241928398</v>
      </c>
      <c r="AQ18" s="4" t="n">
        <f aca="false">$AF$27*AQ45*(1/COUNTIF($C$26:$CK$26,1))/(MAX(AQ$30:AQ$52)-MIN(AQ$30:AQ$52))</f>
        <v>0.0270508501462382</v>
      </c>
      <c r="AR18" s="4" t="n">
        <f aca="false">$AF$27*AR45*(1/COUNTIF($C$26:$CK$26,1))/(MAX(AR$30:AR$52)-MIN(AR$30:AR$52))</f>
        <v>0.011607692383498</v>
      </c>
      <c r="AS18" s="4" t="n">
        <f aca="false">$AF$27*AS45*(1/COUNTIF($C$26:$CK$26,1))/(MAX(AS$30:AS$52)-MIN(AS$30:AS$52))</f>
        <v>0.011991050493857</v>
      </c>
      <c r="AT18" s="4" t="n">
        <f aca="false">AT45/$CP45</f>
        <v>0.0375293530852098</v>
      </c>
      <c r="AU18" s="4" t="n">
        <f aca="false">AU45/$CP45</f>
        <v>0.00660135660797725</v>
      </c>
      <c r="AV18" s="4" t="n">
        <f aca="false">$AF$27*AV45*(1/COUNTIF($C$26:$CK$26,1))/(MAX(AV$30:AV$52)-MIN(AV$30:AV$52))</f>
        <v>0.00509296930317488</v>
      </c>
      <c r="AW18" s="4" t="n">
        <f aca="false">SUM(Flows!AX18,Flows!$AZ18)/$AW75</f>
        <v>0.00364217923067801</v>
      </c>
      <c r="AX18" s="4" t="n">
        <f aca="false">$AX$27*AX45*(1/COUNTIF($C$26:$CK$26,1))/(MAX(AX$30:AX$52)-MIN(AX$30:AX$52))</f>
        <v>0.00382088585494589</v>
      </c>
      <c r="AY18" s="4" t="n">
        <f aca="false">SUM(Flows!$BB18:$BE18)*Capacity!BS18/(AY75*SUM(Capacity!$BS18:$BT18))</f>
        <v>0.0193160701504909</v>
      </c>
      <c r="AZ18" s="4" t="n">
        <f aca="false">SUM(Flows!$BB18:$BE18)*Capacity!BT18/(AZ75*SUM(Capacity!$BS18:$BT18))+(DemClcs!$A$56*Populations!$Q17/AZ75)</f>
        <v>0.0710469119107049</v>
      </c>
      <c r="BA18" s="4" t="n">
        <v>0</v>
      </c>
      <c r="BB18" s="4" t="n">
        <f aca="false">$BB$27*BB45*(1/COUNTIF($C$26:$CK$26,1))/(MAX(BB$30:BB$52)-MIN(BB$30:BB$52))</f>
        <v>0.000646555904573711</v>
      </c>
      <c r="BC18" s="4" t="n">
        <f aca="false">$BB$27*BC45*(1/COUNTIF($C$26:$CK$26,1))/(MAX(BC$30:BC$52)-MIN(BC$30:BC$52))</f>
        <v>0.0013790993924538</v>
      </c>
      <c r="BD18" s="4" t="n">
        <f aca="false">$BB$27*BD45*(1/COUNTIF($C$26:$CK$26,1))/(MAX(BD$30:BD$52)-MIN(BD$30:BD$52))</f>
        <v>0.00184037148002909</v>
      </c>
      <c r="BE18" s="4" t="n">
        <f aca="false">$BB$27*BE45*(1/COUNTIF($C$26:$CK$26,1))/(MAX(BE$30:BE$52)-MIN(BE$30:BE$52))</f>
        <v>0.00238615559364208</v>
      </c>
      <c r="BF18" s="4" t="n">
        <f aca="false">(Flows!$BG18+Flows!$BI18)*1.5*Capacity!$BZ19/(15*$BF75*(Capacity!$S18+Capacity!$BZ18))</f>
        <v>3.81964346285748E-005</v>
      </c>
      <c r="BG18" s="4" t="n">
        <f aca="false">DemClcs!$A$47*(Populations!$R17+3*Populations!$S17)*Capacity!CA18/(BG75*SUM(Capacity!$CA18:$CC18,Capacity!$CE18))</f>
        <v>0.00762777173666457</v>
      </c>
      <c r="BH18" s="4" t="n">
        <f aca="false">DemClcs!$A$47*(Populations!$R17+3*Populations!$S17)*Capacity!CB18/(BH75*SUM(Capacity!$CA18:$CC18,Capacity!$CE18))</f>
        <v>0.00932985822534092</v>
      </c>
      <c r="BI18" s="4" t="n">
        <f aca="false">DemClcs!$A$47*(Populations!$R17+3*Populations!$S17)*Capacity!CC18/(BI75*SUM(Capacity!$CA18:$CC18,Capacity!$CE18))</f>
        <v>0.00762777173666457</v>
      </c>
      <c r="BJ18" s="4" t="n">
        <f aca="false">BJ45/$CP45</f>
        <v>0.0930793866587986</v>
      </c>
      <c r="BK18" s="4" t="n">
        <f aca="false">DemClcs!$A$47*(Populations!$R17+3*Populations!$S17)*Capacity!CE18/(BK75*SUM(Capacity!$CA18:$CC18,Capacity!$CE18))</f>
        <v>0.00762777173666457</v>
      </c>
      <c r="BL18" s="4" t="n">
        <f aca="false">BL45/$CP45</f>
        <v>0.0955909624494726</v>
      </c>
      <c r="BM18" s="4" t="n">
        <f aca="false">BM45/$CP45</f>
        <v>0.0480413424637935</v>
      </c>
      <c r="BN18" s="4" t="n">
        <v>0</v>
      </c>
      <c r="BO18" s="4" t="n">
        <f aca="false">Flows!BT18*16/(25*BR75)</f>
        <v>0.0033598803590039</v>
      </c>
      <c r="BP18" s="4" t="n">
        <f aca="false">SUM(Flows!$AF18:$AS18,Flows!$AV18)/BP75</f>
        <v>3.02006587343936E-005</v>
      </c>
      <c r="BQ18" s="4" t="n">
        <v>0</v>
      </c>
      <c r="BR18" s="4" t="n">
        <f aca="false">Flows!BU18*16/(25*BR75)</f>
        <v>0.00033598803590039</v>
      </c>
      <c r="BS18" s="4" t="n">
        <f aca="false">Flows!BV18*16/(25*BS75)</f>
        <v>6.7197575942222E-005</v>
      </c>
      <c r="BT18" s="4" t="n">
        <f aca="false">PRODUCT(Flows!$D46,DemClcs!$A$29:$A$32,$BT$27)/(0.75*BT75)</f>
        <v>1.66258176791079E-005</v>
      </c>
      <c r="BU18" s="4" t="n">
        <f aca="false">PRODUCT(Flows!$D46,DemClcs!$A$29:$A$32,$BT$27)/(0.75*BU75*10)</f>
        <v>1.52403328725155E-005</v>
      </c>
      <c r="BV18" s="4" t="n">
        <f aca="false">PRODUCT(Flows!$D46,DemClcs!$A$29:$A$32,$BT$27)/(0.75*BV75*100)</f>
        <v>1.30631424621562E-005</v>
      </c>
      <c r="BW18" s="4" t="n">
        <v>0</v>
      </c>
      <c r="BX18" s="4" t="n">
        <f aca="false">BX45/$CP45</f>
        <v>0.101115504253342</v>
      </c>
      <c r="BY18" s="4" t="n">
        <f aca="false">BY45/$CP45</f>
        <v>0.0628141719180609</v>
      </c>
      <c r="BZ18" s="4" t="n">
        <f aca="false">BZ45/$CO45</f>
        <v>0.0742483374639093</v>
      </c>
      <c r="CA18" s="4" t="n">
        <f aca="false">CA45/$CO45</f>
        <v>0.0241620631758138</v>
      </c>
      <c r="CB18" s="4" t="n">
        <f aca="false">CB45/$CP45</f>
        <v>0.0727884419069436</v>
      </c>
      <c r="CC18" s="4" t="n">
        <f aca="false">CC45/$CO45</f>
        <v>0.0610171579725269</v>
      </c>
      <c r="CD18" s="4" t="n">
        <v>0</v>
      </c>
      <c r="CE18" s="4" t="n">
        <f aca="false">IF(SUM(Flows!$CJ18:$CK18)&gt;Flows!$BA18,(SUM(Flows!$CJ18:$CK18)-Flows!$BA18)/CE75)</f>
        <v>0.0361528130795708</v>
      </c>
      <c r="CF18" s="4" t="n">
        <f aca="false">CF45/$CO45</f>
        <v>0.067877630698923</v>
      </c>
      <c r="CG18" s="4" t="n">
        <f aca="false">CG45/$CO45</f>
        <v>0.100990752757035</v>
      </c>
      <c r="CH18" s="4" t="n">
        <f aca="false">CH45/$CO45</f>
        <v>0.135615207474974</v>
      </c>
      <c r="CI18" s="4" t="n">
        <f aca="false">CI45/$CP45</f>
        <v>0.104589484415579</v>
      </c>
      <c r="CJ18" s="4" t="n">
        <f aca="false">CJ$27*CJ45*(1/COUNTIF($C$26:$CK$26,1))/(MAX(CJ$30:CJ$52)-MIN(CJ$30:CJ$52))</f>
        <v>0.00151558494910217</v>
      </c>
      <c r="CK18" s="4" t="n">
        <f aca="false">CK$27*CK45*(1/COUNTIF($C$26:$CK$26,1))/(MAX(CK$30:CK$52)-MIN(CK$30:CK$52))</f>
        <v>0.0010117670013896</v>
      </c>
      <c r="CL18" s="4" t="n">
        <v>0</v>
      </c>
      <c r="CN18" s="4" t="n">
        <f aca="false">SUM(C18:CK18)</f>
        <v>3</v>
      </c>
    </row>
    <row r="19" customFormat="false" ht="12.8" hidden="false" customHeight="false" outlineLevel="0" collapsed="false">
      <c r="A19" s="4" t="s">
        <v>153</v>
      </c>
      <c r="B19" s="7" t="s">
        <v>39</v>
      </c>
      <c r="C19" s="4" t="n">
        <f aca="false">Flows!$BG19*2*Capacity!$S19/(5*15*C76*(Capacity!$S19+Capacity!$BZ19))</f>
        <v>3.18486328491593E-006</v>
      </c>
      <c r="D19" s="4" t="n">
        <f aca="false">(DemClcs!$A$34*(Populations!$R18+3*Populations!$S18)/D76)+MAX((Flows!K19+Flows!M19)/1826.484018+Flows!L19/1111.111111-Flows!$F19,0)/D76</f>
        <v>0.184270237760057</v>
      </c>
      <c r="E19" s="4" t="n">
        <f aca="false">DemClcs!$A$42*(Populations!$R18+3*Populations!$S18)/E76</f>
        <v>0.0255623111225535</v>
      </c>
      <c r="F19" s="4" t="n">
        <v>0</v>
      </c>
      <c r="G19" s="4" t="n">
        <f aca="false">Flows!Q19*40/G76</f>
        <v>0.00140272900828458</v>
      </c>
      <c r="H19" s="4" t="n">
        <f aca="false">IF(Flows!$AW19&gt;Flows!$Y19,(Flows!$AW19-Flows!$Y19)/H76)</f>
        <v>0</v>
      </c>
      <c r="I19" s="4" t="n">
        <f aca="false">I46/$CN46</f>
        <v>0.69530543519121</v>
      </c>
      <c r="J19" s="4" t="n">
        <f aca="false">J46/$CN46</f>
        <v>0.30469456480879</v>
      </c>
      <c r="K19" s="4" t="n">
        <v>0</v>
      </c>
      <c r="L19" s="4" t="n">
        <v>0</v>
      </c>
      <c r="M19" s="4" t="n">
        <v>0</v>
      </c>
      <c r="N19" s="4" t="n">
        <f aca="false">SUM(Flows!$V19,Flows!$W19)/$N76</f>
        <v>0.00772257331001017</v>
      </c>
      <c r="O19" s="4" t="n">
        <v>0</v>
      </c>
      <c r="P19" s="4" t="n">
        <v>0</v>
      </c>
      <c r="Q19" s="4" t="n">
        <f aca="false">$Q$27*Q46*(1/COUNTIF($C$26:$CK$26,1))/(MAX(Q$30:Q$52)-MIN(Q$30:Q$52))</f>
        <v>0.000736750035840306</v>
      </c>
      <c r="R19" s="4" t="n">
        <f aca="false">$R$27*R46*(1/COUNTIF($C$26:$CK$26,1))/(MAX(R$30:R$52)-MIN(R$30:R$52))+0.5/COUNTIF($C$26:$CK$26,1)</f>
        <v>0.0318329348197137</v>
      </c>
      <c r="S19" s="4" t="n">
        <v>0</v>
      </c>
      <c r="T19" s="4" t="n">
        <v>0</v>
      </c>
      <c r="U19" s="4" t="n">
        <v>0</v>
      </c>
      <c r="V19" s="4" t="n">
        <f aca="false">$V$27*V46*(1/COUNTIF($C$26:$CK$26,1))/(MAX(V$30:V$52)-MIN(V$30:V$52))</f>
        <v>0.00323702330041365</v>
      </c>
      <c r="W19" s="4" t="n">
        <f aca="false">$V$27*W46*(1/COUNTIF($C$26:$CK$26,1))/(MAX(W$30:W$52)-MIN(W$30:W$52))</f>
        <v>0.018440305455611</v>
      </c>
      <c r="X19" s="4" t="n">
        <f aca="false">X46/$CO46</f>
        <v>0.065167365993501</v>
      </c>
      <c r="Y19" s="4" t="n">
        <v>0</v>
      </c>
      <c r="Z19" s="4" t="n">
        <f aca="false">Flows!$AA19/$Z76</f>
        <v>0.000181153214394418</v>
      </c>
      <c r="AA19" s="4" t="n">
        <f aca="false">Flows!$AB19/$AA76</f>
        <v>0.00234586304760414</v>
      </c>
      <c r="AB19" s="4" t="n">
        <f aca="false">DemClcs!$A$20*(Populations!$R18+3*Populations!$S18)/AB76</f>
        <v>0.00473786556459432</v>
      </c>
      <c r="AC19" s="4" t="n">
        <f aca="false">Flows!$AD19/$AC76</f>
        <v>0.0260153214903937</v>
      </c>
      <c r="AD19" s="4" t="n">
        <f aca="false">DemClcs!$A$25*(Populations!$R18+3*Populations!$S18)/AD76</f>
        <v>0.0470084307852704</v>
      </c>
      <c r="AE19" s="4" t="n">
        <f aca="false">AE46/$CP46</f>
        <v>0.0900398254537308</v>
      </c>
      <c r="AF19" s="4" t="n">
        <f aca="false">$AF$27*AF46*(1/COUNTIF($C$26:$CK$26,1))/(MAX(AF$30:AF$52)-MIN(AF$30:AF$52))</f>
        <v>0.0288761486782928</v>
      </c>
      <c r="AG19" s="4" t="n">
        <f aca="false">$AF$27*AG46*(1/COUNTIF($C$26:$CK$26,1))/(MAX(AG$30:AG$52)-MIN(AG$30:AG$52))</f>
        <v>0.0108765058657468</v>
      </c>
      <c r="AH19" s="4" t="n">
        <f aca="false">$AF$27*AH46*(1/COUNTIF($C$26:$CK$26,1))/(MAX(AH$30:AH$52)-MIN(AH$30:AH$52))</f>
        <v>0.0308367145584078</v>
      </c>
      <c r="AI19" s="4" t="n">
        <f aca="false">$AF$27*AI46*(1/COUNTIF($C$26:$CK$26,1))/(MAX(AI$30:AI$52)-MIN(AI$30:AI$52))</f>
        <v>0.0208767844774775</v>
      </c>
      <c r="AJ19" s="4" t="n">
        <f aca="false">$AF$27*AJ46*(1/COUNTIF($C$26:$CK$26,1))/(MAX(AJ$30:AJ$52)-MIN(AJ$30:AJ$52))</f>
        <v>0.00968744159632054</v>
      </c>
      <c r="AK19" s="4" t="n">
        <f aca="false">$AF$27*AK46*(1/COUNTIF($C$26:$CK$26,1))/(MAX(AK$30:AK$52)-MIN(AK$30:AK$52))</f>
        <v>0.0252453152191903</v>
      </c>
      <c r="AL19" s="4" t="n">
        <f aca="false">$AF$27*AL46*(1/COUNTIF($C$26:$CK$26,1))/(MAX(AL$30:AL$52)-MIN(AL$30:AL$52))</f>
        <v>0.0183837164517717</v>
      </c>
      <c r="AM19" s="4" t="n">
        <f aca="false">$AF$27*AM46*(1/COUNTIF($C$26:$CK$26,1))/(MAX(AM$30:AM$52)-MIN(AM$30:AM$52))</f>
        <v>0.00183276225572223</v>
      </c>
      <c r="AN19" s="4" t="n">
        <f aca="false">$AF$27*AN46*(1/COUNTIF($C$26:$CK$26,1))/(MAX(AN$30:AN$52)-MIN(AN$30:AN$52))</f>
        <v>0.0179136546612695</v>
      </c>
      <c r="AO19" s="4" t="n">
        <f aca="false">$AF$27*AO46*(1/COUNTIF($C$26:$CK$26,1))/(MAX(AO$30:AO$52)-MIN(AO$30:AO$52))</f>
        <v>0.0258896351639482</v>
      </c>
      <c r="AP19" s="4" t="n">
        <f aca="false">$AF$27*AP46*(1/COUNTIF($C$26:$CK$26,1))/(MAX(AP$30:AP$52)-MIN(AP$30:AP$52))</f>
        <v>0.0070740307236447</v>
      </c>
      <c r="AQ19" s="4" t="n">
        <f aca="false">$AF$27*AQ46*(1/COUNTIF($C$26:$CK$26,1))/(MAX(AQ$30:AQ$52)-MIN(AQ$30:AQ$52))</f>
        <v>0.0141461456549405</v>
      </c>
      <c r="AR19" s="4" t="n">
        <f aca="false">$AF$27*AR46*(1/COUNTIF($C$26:$CK$26,1))/(MAX(AR$30:AR$52)-MIN(AR$30:AR$52))</f>
        <v>0.00558090671296413</v>
      </c>
      <c r="AS19" s="4" t="n">
        <f aca="false">$AF$27*AS46*(1/COUNTIF($C$26:$CK$26,1))/(MAX(AS$30:AS$52)-MIN(AS$30:AS$52))</f>
        <v>0.00565958819049766</v>
      </c>
      <c r="AT19" s="4" t="n">
        <f aca="false">AT46/$CP46</f>
        <v>0.109919452304931</v>
      </c>
      <c r="AU19" s="4" t="n">
        <f aca="false">AU46/$CP46</f>
        <v>0.0265111587361968</v>
      </c>
      <c r="AV19" s="4" t="n">
        <f aca="false">$AF$27*AV46*(1/COUNTIF($C$26:$CK$26,1))/(MAX(AV$30:AV$52)-MIN(AV$30:AV$52))</f>
        <v>0.00827608382266179</v>
      </c>
      <c r="AW19" s="4" t="n">
        <f aca="false">SUM(Flows!AX19,Flows!$AZ19)/$AW76</f>
        <v>0.00404503620910317</v>
      </c>
      <c r="AX19" s="4" t="n">
        <f aca="false">$AX$27*AX46*(1/COUNTIF($C$26:$CK$26,1))/(MAX(AX$30:AX$52)-MIN(AX$30:AX$52))</f>
        <v>0.0166355501981591</v>
      </c>
      <c r="AY19" s="4" t="n">
        <f aca="false">SUM(Flows!$BB19:$BE19)*Capacity!BS19/(AY76*SUM(Capacity!$BS19:$BT19))</f>
        <v>0.0214250970769101</v>
      </c>
      <c r="AZ19" s="4" t="n">
        <f aca="false">SUM(Flows!$BB19:$BE19)*Capacity!BT19/(AZ76*SUM(Capacity!$BS19:$BT19))+(DemClcs!$A$56*Populations!$Q18/AZ76)</f>
        <v>0.0791063118714808</v>
      </c>
      <c r="BA19" s="4" t="n">
        <v>0</v>
      </c>
      <c r="BB19" s="4" t="n">
        <f aca="false">$BB$27*BB46*(1/COUNTIF($C$26:$CK$26,1))/(MAX(BB$30:BB$52)-MIN(BB$30:BB$52))</f>
        <v>0.000676587906026578</v>
      </c>
      <c r="BC19" s="4" t="n">
        <f aca="false">$BB$27*BC46*(1/COUNTIF($C$26:$CK$26,1))/(MAX(BC$30:BC$52)-MIN(BC$30:BC$52))</f>
        <v>0.00236133880444979</v>
      </c>
      <c r="BD19" s="4" t="n">
        <f aca="false">$BB$27*BD46*(1/COUNTIF($C$26:$CK$26,1))/(MAX(BD$30:BD$52)-MIN(BD$30:BD$52))</f>
        <v>0.00226592519562827</v>
      </c>
      <c r="BE19" s="4" t="n">
        <f aca="false">$BB$27*BE46*(1/COUNTIF($C$26:$CK$26,1))/(MAX(BE$30:BE$52)-MIN(BE$30:BE$52))</f>
        <v>0.00170684967086195</v>
      </c>
      <c r="BF19" s="4" t="n">
        <f aca="false">(Flows!$BG19+Flows!$BI19)*1.5*Capacity!$BZ20/(15*$BF76*(Capacity!$S19+Capacity!$BZ19))</f>
        <v>7.98474708417876E-006</v>
      </c>
      <c r="BG19" s="4" t="n">
        <f aca="false">DemClcs!$A$47*(Populations!$R18+3*Populations!$S18)*Capacity!CA19/(BG76*SUM(Capacity!$CA19:$CC19,Capacity!$CE19))</f>
        <v>0.00482878538732518</v>
      </c>
      <c r="BH19" s="4" t="n">
        <f aca="false">DemClcs!$A$47*(Populations!$R18+3*Populations!$S18)*Capacity!CB19/(BH76*SUM(Capacity!$CA19:$CC19,Capacity!$CE19))</f>
        <v>0.00613933164195472</v>
      </c>
      <c r="BI19" s="4" t="n">
        <f aca="false">DemClcs!$A$47*(Populations!$R18+3*Populations!$S18)*Capacity!CC19/(BI76*SUM(Capacity!$CA19:$CC19,Capacity!$CE19))</f>
        <v>0.00482878538732518</v>
      </c>
      <c r="BJ19" s="4" t="n">
        <f aca="false">BJ46/$CP46</f>
        <v>0.00487913127694753</v>
      </c>
      <c r="BK19" s="4" t="n">
        <f aca="false">DemClcs!$A$47*(Populations!$R18+3*Populations!$S18)*Capacity!CE19/(BK76*SUM(Capacity!$CA19:$CC19,Capacity!$CE19))</f>
        <v>0.00482878538732518</v>
      </c>
      <c r="BL19" s="4" t="n">
        <f aca="false">BL46/$CP46</f>
        <v>0.0670342248914734</v>
      </c>
      <c r="BM19" s="4" t="n">
        <f aca="false">BM46/$CP46</f>
        <v>0.106085529064231</v>
      </c>
      <c r="BN19" s="4" t="n">
        <v>0</v>
      </c>
      <c r="BO19" s="4" t="n">
        <f aca="false">Flows!BT19*16/(25*BR76)</f>
        <v>0.00271720551654227</v>
      </c>
      <c r="BP19" s="4" t="n">
        <f aca="false">SUM(Flows!$AF19:$AS19,Flows!$AV19)/BP76</f>
        <v>4.14867336126794E-005</v>
      </c>
      <c r="BQ19" s="4" t="n">
        <v>0</v>
      </c>
      <c r="BR19" s="4" t="n">
        <f aca="false">Flows!BU19*16/(25*BR76)</f>
        <v>0.000271720551654227</v>
      </c>
      <c r="BS19" s="4" t="n">
        <f aca="false">Flows!BV19*16/(25*BS76)</f>
        <v>5.4344076910978E-005</v>
      </c>
      <c r="BT19" s="4" t="n">
        <f aca="false">PRODUCT(Flows!$D47,DemClcs!$A$29:$A$32,$BT$27)/(0.75*BT76)</f>
        <v>9.74099529459126E-006</v>
      </c>
      <c r="BU19" s="4" t="n">
        <f aca="false">PRODUCT(Flows!$D47,DemClcs!$A$29:$A$32,$BT$27)/(0.75*BU76*10)</f>
        <v>8.92924568670866E-006</v>
      </c>
      <c r="BV19" s="4" t="n">
        <f aca="false">PRODUCT(Flows!$D47,DemClcs!$A$29:$A$32,$BT$27)/(0.75*BV76*100)</f>
        <v>7.65363916003599E-006</v>
      </c>
      <c r="BW19" s="4" t="n">
        <v>0</v>
      </c>
      <c r="BX19" s="4" t="n">
        <f aca="false">BX46/$CP46</f>
        <v>0.00119666614710585</v>
      </c>
      <c r="BY19" s="4" t="n">
        <f aca="false">BY46/$CP46</f>
        <v>0.0794706347033975</v>
      </c>
      <c r="BZ19" s="4" t="n">
        <f aca="false">BZ46/$CO46</f>
        <v>0.0576454951600917</v>
      </c>
      <c r="CA19" s="4" t="n">
        <f aca="false">CA46/$CO46</f>
        <v>0.120213960169073</v>
      </c>
      <c r="CB19" s="4" t="n">
        <f aca="false">CB46/$CP46</f>
        <v>0.16226024590115</v>
      </c>
      <c r="CC19" s="4" t="n">
        <f aca="false">CC46/$CO46</f>
        <v>0.11218607842626</v>
      </c>
      <c r="CD19" s="4" t="n">
        <v>0</v>
      </c>
      <c r="CE19" s="4" t="n">
        <f aca="false">IF(SUM(Flows!$CJ19:$CK19)&gt;Flows!$BA19,(SUM(Flows!$CJ19:$CK19)-Flows!$BA19)/CE76)</f>
        <v>0.0376875359791486</v>
      </c>
      <c r="CF19" s="4" t="n">
        <f aca="false">CF46/$CO46</f>
        <v>0.0864234697791037</v>
      </c>
      <c r="CG19" s="4" t="n">
        <f aca="false">CG46/$CO46</f>
        <v>0.0869218590361727</v>
      </c>
      <c r="CH19" s="4" t="n">
        <f aca="false">CH46/$CO46</f>
        <v>0.0324590528865</v>
      </c>
      <c r="CI19" s="4" t="n">
        <f aca="false">CI46/$CP46</f>
        <v>0.014450603472459</v>
      </c>
      <c r="CJ19" s="4" t="n">
        <f aca="false">CJ$27*CJ46*(1/COUNTIF($C$26:$CK$26,1))/(MAX(CJ$30:CJ$52)-MIN(CJ$30:CJ$52))</f>
        <v>0.00189212803127735</v>
      </c>
      <c r="CK19" s="4" t="n">
        <f aca="false">CK$27*CK46*(1/COUNTIF($C$26:$CK$26,1))/(MAX(CK$30:CK$52)-MIN(CK$30:CK$52))</f>
        <v>0.000936014533870535</v>
      </c>
      <c r="CL19" s="4" t="n">
        <v>0</v>
      </c>
      <c r="CN19" s="4" t="n">
        <f aca="false">SUM(C19:CK19)</f>
        <v>3</v>
      </c>
    </row>
    <row r="20" customFormat="false" ht="12.8" hidden="false" customHeight="false" outlineLevel="0" collapsed="false">
      <c r="A20" s="4" t="s">
        <v>155</v>
      </c>
      <c r="B20" s="7" t="s">
        <v>39</v>
      </c>
      <c r="C20" s="4" t="n">
        <f aca="false">Flows!$BG20*2*Capacity!$S20/(5*15*C77*(Capacity!$S20+Capacity!$BZ20))</f>
        <v>9.41757863712173E-007</v>
      </c>
      <c r="D20" s="4" t="n">
        <f aca="false">(DemClcs!$A$34*(Populations!$R19+3*Populations!$S19)/D77)+MAX((Flows!K20+Flows!M20)/1826.484018+Flows!L20/1111.111111-Flows!$F20,0)/D77</f>
        <v>0.0365413328049955</v>
      </c>
      <c r="E20" s="4" t="n">
        <f aca="false">DemClcs!$A$42*(Populations!$R19+3*Populations!$S19)/E77</f>
        <v>0.00273077172150634</v>
      </c>
      <c r="F20" s="4" t="n">
        <v>0</v>
      </c>
      <c r="G20" s="4" t="n">
        <f aca="false">Flows!Q20*40/G77</f>
        <v>6.80501616592102E-005</v>
      </c>
      <c r="H20" s="4" t="n">
        <f aca="false">IF(Flows!$AW20&gt;Flows!$Y20,(Flows!$AW20-Flows!$Y20)/H77)</f>
        <v>0</v>
      </c>
      <c r="I20" s="4" t="n">
        <f aca="false">I47/$CN47</f>
        <v>0.888164491333706</v>
      </c>
      <c r="J20" s="4" t="n">
        <f aca="false">J47/$CN47</f>
        <v>0.111835508666293</v>
      </c>
      <c r="K20" s="4" t="n">
        <v>0</v>
      </c>
      <c r="L20" s="4" t="n">
        <v>0</v>
      </c>
      <c r="M20" s="4" t="n">
        <v>0</v>
      </c>
      <c r="N20" s="4" t="n">
        <f aca="false">SUM(Flows!$V20,Flows!$W20)/$N77</f>
        <v>0.000481595826639836</v>
      </c>
      <c r="O20" s="4" t="n">
        <v>0</v>
      </c>
      <c r="P20" s="4" t="n">
        <v>0</v>
      </c>
      <c r="Q20" s="4" t="n">
        <f aca="false">$Q$27*Q47*(1/COUNTIF($C$26:$CK$26,1))/(MAX(Q$30:Q$52)-MIN(Q$30:Q$52))</f>
        <v>0.000624513698494142</v>
      </c>
      <c r="R20" s="4" t="n">
        <f aca="false">$R$27*R47*(1/COUNTIF($C$26:$CK$26,1))/(MAX(R$30:R$52)-MIN(R$30:R$52))+0.5/COUNTIF($C$26:$CK$26,1)</f>
        <v>0.0271984908479349</v>
      </c>
      <c r="S20" s="4" t="n">
        <v>0</v>
      </c>
      <c r="T20" s="4" t="n">
        <v>0</v>
      </c>
      <c r="U20" s="4" t="n">
        <v>0</v>
      </c>
      <c r="V20" s="4" t="n">
        <f aca="false">$V$27*V47*(1/COUNTIF($C$26:$CK$26,1))/(MAX(V$30:V$52)-MIN(V$30:V$52))</f>
        <v>0.0233014147133803</v>
      </c>
      <c r="W20" s="4" t="n">
        <f aca="false">$V$27*W47*(1/COUNTIF($C$26:$CK$26,1))/(MAX(W$30:W$52)-MIN(W$30:W$52))</f>
        <v>0.0244009647688411</v>
      </c>
      <c r="X20" s="4" t="n">
        <f aca="false">X47/$CO47</f>
        <v>0.2377421616436</v>
      </c>
      <c r="Y20" s="4" t="n">
        <v>0</v>
      </c>
      <c r="Z20" s="4" t="n">
        <f aca="false">Flows!$AA20/$Z77</f>
        <v>8.2084705185804E-006</v>
      </c>
      <c r="AA20" s="4" t="n">
        <f aca="false">Flows!$AB20/$AA77</f>
        <v>0.000244838827557399</v>
      </c>
      <c r="AB20" s="4" t="n">
        <f aca="false">DemClcs!$A$20*(Populations!$R19+3*Populations!$S19)/AB77</f>
        <v>0.00132670667031086</v>
      </c>
      <c r="AC20" s="4" t="n">
        <f aca="false">Flows!$AD20/$AC77</f>
        <v>0.00117280409310505</v>
      </c>
      <c r="AD20" s="4" t="n">
        <f aca="false">DemClcs!$A$25*(Populations!$R19+3*Populations!$S19)/AD77</f>
        <v>0.0131633955909859</v>
      </c>
      <c r="AE20" s="4" t="n">
        <f aca="false">AE47/$CP47</f>
        <v>0.0395712040333944</v>
      </c>
      <c r="AF20" s="4" t="n">
        <f aca="false">$AF$27*AF47*(1/COUNTIF($C$26:$CK$26,1))/(MAX(AF$30:AF$52)-MIN(AF$30:AF$52))</f>
        <v>0.0295055782066655</v>
      </c>
      <c r="AG20" s="4" t="n">
        <f aca="false">$AF$27*AG47*(1/COUNTIF($C$26:$CK$26,1))/(MAX(AG$30:AG$52)-MIN(AG$30:AG$52))</f>
        <v>0.020531411103563</v>
      </c>
      <c r="AH20" s="4" t="n">
        <f aca="false">$AF$27*AH47*(1/COUNTIF($C$26:$CK$26,1))/(MAX(AH$30:AH$52)-MIN(AH$30:AH$52))</f>
        <v>0.00704808647193156</v>
      </c>
      <c r="AI20" s="4" t="n">
        <f aca="false">$AF$27*AI47*(1/COUNTIF($C$26:$CK$26,1))/(MAX(AI$30:AI$52)-MIN(AI$30:AI$52))</f>
        <v>0.0232016871233367</v>
      </c>
      <c r="AJ20" s="4" t="n">
        <f aca="false">$AF$27*AJ47*(1/COUNTIF($C$26:$CK$26,1))/(MAX(AJ$30:AJ$52)-MIN(AJ$30:AJ$52))</f>
        <v>0.00656778605343901</v>
      </c>
      <c r="AK20" s="4" t="n">
        <f aca="false">$AF$27*AK47*(1/COUNTIF($C$26:$CK$26,1))/(MAX(AK$30:AK$52)-MIN(AK$30:AK$52))</f>
        <v>0.0226127646300913</v>
      </c>
      <c r="AL20" s="4" t="n">
        <f aca="false">$AF$27*AL47*(1/COUNTIF($C$26:$CK$26,1))/(MAX(AL$30:AL$52)-MIN(AL$30:AL$52))</f>
        <v>0.0173407216943792</v>
      </c>
      <c r="AM20" s="4" t="n">
        <f aca="false">$AF$27*AM47*(1/COUNTIF($C$26:$CK$26,1))/(MAX(AM$30:AM$52)-MIN(AM$30:AM$52))</f>
        <v>0.025936065608107</v>
      </c>
      <c r="AN20" s="4" t="n">
        <f aca="false">$AF$27*AN47*(1/COUNTIF($C$26:$CK$26,1))/(MAX(AN$30:AN$52)-MIN(AN$30:AN$52))</f>
        <v>0.0136793881446131</v>
      </c>
      <c r="AO20" s="4" t="n">
        <f aca="false">$AF$27*AO47*(1/COUNTIF($C$26:$CK$26,1))/(MAX(AO$30:AO$52)-MIN(AO$30:AO$52))</f>
        <v>0.00954626325937974</v>
      </c>
      <c r="AP20" s="4" t="n">
        <f aca="false">$AF$27*AP47*(1/COUNTIF($C$26:$CK$26,1))/(MAX(AP$30:AP$52)-MIN(AP$30:AP$52))</f>
        <v>0.0088269308633313</v>
      </c>
      <c r="AQ20" s="4" t="n">
        <f aca="false">$AF$27*AQ47*(1/COUNTIF($C$26:$CK$26,1))/(MAX(AQ$30:AQ$52)-MIN(AQ$30:AQ$52))</f>
        <v>0.0218765725775313</v>
      </c>
      <c r="AR20" s="4" t="n">
        <f aca="false">$AF$27*AR47*(1/COUNTIF($C$26:$CK$26,1))/(MAX(AR$30:AR$52)-MIN(AR$30:AR$52))</f>
        <v>0.0267115776657041</v>
      </c>
      <c r="AS20" s="4" t="n">
        <f aca="false">$AF$27*AS47*(1/COUNTIF($C$26:$CK$26,1))/(MAX(AS$30:AS$52)-MIN(AS$30:AS$52))</f>
        <v>0.0129640180128129</v>
      </c>
      <c r="AT20" s="4" t="n">
        <f aca="false">AT47/$CP47</f>
        <v>0.0338294159572122</v>
      </c>
      <c r="AU20" s="4" t="n">
        <f aca="false">AU47/$CP47</f>
        <v>0.0623175397172255</v>
      </c>
      <c r="AV20" s="4" t="n">
        <f aca="false">$AF$27*AV47*(1/COUNTIF($C$26:$CK$26,1))/(MAX(AV$30:AV$52)-MIN(AV$30:AV$52))</f>
        <v>0.0169300464247007</v>
      </c>
      <c r="AW20" s="4" t="n">
        <f aca="false">SUM(Flows!AX20,Flows!$AZ20)/$AW77</f>
        <v>0.00022530802717093</v>
      </c>
      <c r="AX20" s="4" t="n">
        <f aca="false">$AX$27*AX47*(1/COUNTIF($C$26:$CK$26,1))/(MAX(AX$30:AX$52)-MIN(AX$30:AX$52))</f>
        <v>0.0249020442393083</v>
      </c>
      <c r="AY20" s="4" t="n">
        <f aca="false">SUM(Flows!$BB20:$BE20)*Capacity!BS20/(AY77*SUM(Capacity!$BS20:$BT20))</f>
        <v>0.00156783941254354</v>
      </c>
      <c r="AZ20" s="4" t="n">
        <f aca="false">SUM(Flows!$BB20:$BE20)*Capacity!BT20/(AZ77*SUM(Capacity!$BS20:$BT20))+(DemClcs!$A$56*Populations!$Q19/AZ77)</f>
        <v>0.0105811510499076</v>
      </c>
      <c r="BA20" s="4" t="n">
        <v>0</v>
      </c>
      <c r="BB20" s="4" t="n">
        <f aca="false">$BB$27*BB47*(1/COUNTIF($C$26:$CK$26,1))/(MAX(BB$30:BB$52)-MIN(BB$30:BB$52))</f>
        <v>0.00223978225555127</v>
      </c>
      <c r="BC20" s="4" t="n">
        <f aca="false">$BB$27*BC47*(1/COUNTIF($C$26:$CK$26,1))/(MAX(BC$30:BC$52)-MIN(BC$30:BC$52))</f>
        <v>0.00256574207324392</v>
      </c>
      <c r="BD20" s="4" t="n">
        <f aca="false">$BB$27*BD47*(1/COUNTIF($C$26:$CK$26,1))/(MAX(BD$30:BD$52)-MIN(BD$30:BD$52))</f>
        <v>0.00282539618538495</v>
      </c>
      <c r="BE20" s="4" t="n">
        <f aca="false">$BB$27*BE47*(1/COUNTIF($C$26:$CK$26,1))/(MAX(BE$30:BE$52)-MIN(BE$30:BE$52))</f>
        <v>0.00202835219929315</v>
      </c>
      <c r="BF20" s="4" t="n">
        <f aca="false">(Flows!$BG20+Flows!$BI20)*1.5*Capacity!$BZ21/(15*$BF77*(Capacity!$S20+Capacity!$BZ20))</f>
        <v>7.40208952043222E-005</v>
      </c>
      <c r="BG20" s="4" t="n">
        <f aca="false">DemClcs!$A$47*(Populations!$R19+3*Populations!$S19)*Capacity!CA20/(BG77*SUM(Capacity!$CA20:$CC20,Capacity!$CE20))</f>
        <v>0.00170802444091854</v>
      </c>
      <c r="BH20" s="4" t="n">
        <f aca="false">DemClcs!$A$47*(Populations!$R19+3*Populations!$S19)*Capacity!CB20/(BH77*SUM(Capacity!$CA20:$CC20,Capacity!$CE20))</f>
        <v>3.19106788892735E-006</v>
      </c>
      <c r="BI20" s="4" t="n">
        <f aca="false">DemClcs!$A$47*(Populations!$R19+3*Populations!$S19)*Capacity!CC20/(BI77*SUM(Capacity!$CA20:$CC20,Capacity!$CE20))</f>
        <v>0.00170802444091854</v>
      </c>
      <c r="BJ20" s="4" t="n">
        <f aca="false">BJ47/$CP47</f>
        <v>0.0958168534739366</v>
      </c>
      <c r="BK20" s="4" t="n">
        <f aca="false">DemClcs!$A$47*(Populations!$R19+3*Populations!$S19)*Capacity!CE20/(BK77*SUM(Capacity!$CA20:$CC20,Capacity!$CE20))</f>
        <v>0.00170802444091854</v>
      </c>
      <c r="BL20" s="4" t="n">
        <f aca="false">BL47/$CP47</f>
        <v>0.0997774575118632</v>
      </c>
      <c r="BM20" s="4" t="n">
        <f aca="false">BM47/$CP47</f>
        <v>0.0391127096332532</v>
      </c>
      <c r="BN20" s="4" t="n">
        <v>0</v>
      </c>
      <c r="BO20" s="4" t="n">
        <f aca="false">Flows!BT20*16/(25*BR77)</f>
        <v>5.72395969772711E-005</v>
      </c>
      <c r="BP20" s="4" t="n">
        <f aca="false">SUM(Flows!$AF20:$AS20,Flows!$AV20)/BP77</f>
        <v>1.84632046898811E-006</v>
      </c>
      <c r="BQ20" s="4" t="n">
        <v>0</v>
      </c>
      <c r="BR20" s="4" t="n">
        <f aca="false">Flows!BU20*16/(25*BR77)</f>
        <v>5.72395969772711E-006</v>
      </c>
      <c r="BS20" s="4" t="n">
        <f aca="false">Flows!BV20*16/(25*BS77)</f>
        <v>1.14479141820017E-006</v>
      </c>
      <c r="BT20" s="4" t="n">
        <f aca="false">PRODUCT(Flows!$D48,DemClcs!$A$29:$A$32,$BT$27)/(0.75*BT77)</f>
        <v>4.57132069583293E-006</v>
      </c>
      <c r="BU20" s="4" t="n">
        <f aca="false">PRODUCT(Flows!$D48,DemClcs!$A$29:$A$32,$BT$27)/(0.75*BU77*10)</f>
        <v>4.19037730451352E-006</v>
      </c>
      <c r="BV20" s="4" t="n">
        <f aca="false">PRODUCT(Flows!$D48,DemClcs!$A$29:$A$32,$BT$27)/(0.75*BV77*100)</f>
        <v>3.5917519752973E-006</v>
      </c>
      <c r="BW20" s="4" t="n">
        <v>0</v>
      </c>
      <c r="BX20" s="4" t="n">
        <f aca="false">BX47/$CP47</f>
        <v>0.0645063035484039</v>
      </c>
      <c r="BY20" s="4" t="n">
        <f aca="false">BY47/$CP47</f>
        <v>0.080147544466236</v>
      </c>
      <c r="BZ20" s="4" t="n">
        <f aca="false">BZ47/$CO47</f>
        <v>0.0288140220816165</v>
      </c>
      <c r="CA20" s="4" t="n">
        <f aca="false">CA47/$CO47</f>
        <v>0.0535324225055271</v>
      </c>
      <c r="CB20" s="4" t="n">
        <f aca="false">CB47/$CP47</f>
        <v>0.0721479929841424</v>
      </c>
      <c r="CC20" s="4" t="n">
        <f aca="false">CC47/$CO47</f>
        <v>0.120707492414112</v>
      </c>
      <c r="CD20" s="4" t="n">
        <v>0</v>
      </c>
      <c r="CE20" s="4" t="n">
        <f aca="false">IF(SUM(Flows!$CJ20:$CK20)&gt;Flows!$BA20,(SUM(Flows!$CJ20:$CK20)-Flows!$BA20)/CE77)</f>
        <v>0.00305807906776736</v>
      </c>
      <c r="CF20" s="4" t="n">
        <f aca="false">CF47/$CO47</f>
        <v>0.125074316777214</v>
      </c>
      <c r="CG20" s="4" t="n">
        <f aca="false">CG47/$CO47</f>
        <v>0.01734098398451</v>
      </c>
      <c r="CH20" s="4" t="n">
        <f aca="false">CH47/$CO47</f>
        <v>0.308112007548734</v>
      </c>
      <c r="CI20" s="4" t="n">
        <f aca="false">CI47/$CP47</f>
        <v>0.0699264989368337</v>
      </c>
      <c r="CJ20" s="4" t="n">
        <f aca="false">CJ$27*CJ47*(1/COUNTIF($C$26:$CK$26,1))/(MAX(CJ$30:CJ$52)-MIN(CJ$30:CJ$52))</f>
        <v>0.000330277195112914</v>
      </c>
      <c r="CK20" s="4" t="n">
        <f aca="false">CK$27*CK47*(1/COUNTIF($C$26:$CK$26,1))/(MAX(CK$30:CK$52)-MIN(CK$30:CK$52))</f>
        <v>0.00137657987913671</v>
      </c>
      <c r="CL20" s="4" t="n">
        <v>0</v>
      </c>
      <c r="CN20" s="4" t="n">
        <f aca="false">SUM(C20:CK20)</f>
        <v>3</v>
      </c>
    </row>
    <row r="21" customFormat="false" ht="12.8" hidden="false" customHeight="false" outlineLevel="0" collapsed="false">
      <c r="A21" s="4" t="s">
        <v>156</v>
      </c>
      <c r="B21" s="7" t="s">
        <v>39</v>
      </c>
      <c r="C21" s="4" t="n">
        <f aca="false">Flows!$BG21*2*Capacity!$S21/(5*15*C78*(Capacity!$S21+Capacity!$BZ21))</f>
        <v>6.45487241621181E-006</v>
      </c>
      <c r="D21" s="4" t="n">
        <f aca="false">(DemClcs!$A$34*(Populations!$R20+3*Populations!$S20)/D78)+MAX((Flows!K21+Flows!M21)/1826.484018+Flows!L21/1111.111111-Flows!$F21,0)/D78</f>
        <v>0.331548063807761</v>
      </c>
      <c r="E21" s="4" t="n">
        <f aca="false">DemClcs!$A$42*(Populations!$R20+3*Populations!$S20)/E78</f>
        <v>0.0508236327906374</v>
      </c>
      <c r="F21" s="4" t="n">
        <v>0</v>
      </c>
      <c r="G21" s="4" t="n">
        <f aca="false">Flows!Q21*40/G78</f>
        <v>0.0171056970392141</v>
      </c>
      <c r="H21" s="4" t="n">
        <f aca="false">IF(Flows!$AW21&gt;Flows!$Y21,(Flows!$AW21-Flows!$Y21)/H78)</f>
        <v>0</v>
      </c>
      <c r="I21" s="4" t="n">
        <f aca="false">I48/$CN48</f>
        <v>0.235961073748624</v>
      </c>
      <c r="J21" s="4" t="n">
        <f aca="false">J48/$CN48</f>
        <v>0.764038926251376</v>
      </c>
      <c r="K21" s="4" t="n">
        <v>0</v>
      </c>
      <c r="L21" s="4" t="n">
        <v>0</v>
      </c>
      <c r="M21" s="4" t="n">
        <v>0</v>
      </c>
      <c r="N21" s="4" t="n">
        <f aca="false">SUM(Flows!$V21,Flows!$W21)/$N78</f>
        <v>0.0145642684012296</v>
      </c>
      <c r="O21" s="4" t="n">
        <v>0</v>
      </c>
      <c r="P21" s="4" t="n">
        <v>0</v>
      </c>
      <c r="Q21" s="4" t="n">
        <f aca="false">$Q$27*Q48*(1/COUNTIF($C$26:$CK$26,1))/(MAX(Q$30:Q$52)-MIN(Q$30:Q$52))</f>
        <v>0.00449724339547032</v>
      </c>
      <c r="R21" s="4" t="n">
        <f aca="false">$R$27*R48*(1/COUNTIF($C$26:$CK$26,1))/(MAX(R$30:R$52)-MIN(R$30:R$52))+0.5/COUNTIF($C$26:$CK$26,1)</f>
        <v>0.0273304821657621</v>
      </c>
      <c r="S21" s="4" t="n">
        <v>0</v>
      </c>
      <c r="T21" s="4" t="n">
        <v>0</v>
      </c>
      <c r="U21" s="4" t="n">
        <v>0</v>
      </c>
      <c r="V21" s="4" t="n">
        <f aca="false">$V$27*V48*(1/COUNTIF($C$26:$CK$26,1))/(MAX(V$30:V$52)-MIN(V$30:V$52))</f>
        <v>0.00416474025462366</v>
      </c>
      <c r="W21" s="4" t="n">
        <f aca="false">$V$27*W48*(1/COUNTIF($C$26:$CK$26,1))/(MAX(W$30:W$52)-MIN(W$30:W$52))</f>
        <v>0.0156794948196394</v>
      </c>
      <c r="X21" s="4" t="n">
        <f aca="false">X48/$CO48</f>
        <v>0.0369187332854738</v>
      </c>
      <c r="Y21" s="4" t="n">
        <v>0</v>
      </c>
      <c r="Z21" s="4" t="n">
        <f aca="false">Flows!$AA21/$Z78</f>
        <v>0.000397061333846643</v>
      </c>
      <c r="AA21" s="4" t="n">
        <f aca="false">Flows!$AB21/$AA78</f>
        <v>0.00493752444306602</v>
      </c>
      <c r="AB21" s="4" t="n">
        <f aca="false">DemClcs!$A$20*(Populations!$R20+3*Populations!$S20)/AB78</f>
        <v>0.00908775727481331</v>
      </c>
      <c r="AC21" s="4" t="n">
        <f aca="false">Flows!$AD21/$AC78</f>
        <v>0.0541527614349952</v>
      </c>
      <c r="AD21" s="4" t="n">
        <f aca="false">DemClcs!$A$25*(Populations!$R20+3*Populations!$S20)/AD78</f>
        <v>0.0901674399625937</v>
      </c>
      <c r="AE21" s="4" t="n">
        <f aca="false">AE48/$CP48</f>
        <v>0.10862103940959</v>
      </c>
      <c r="AF21" s="4" t="n">
        <f aca="false">$AF$27*AF48*(1/COUNTIF($C$26:$CK$26,1))/(MAX(AF$30:AF$52)-MIN(AF$30:AF$52))</f>
        <v>0.0106945548577682</v>
      </c>
      <c r="AG21" s="4" t="n">
        <f aca="false">$AF$27*AG48*(1/COUNTIF($C$26:$CK$26,1))/(MAX(AG$30:AG$52)-MIN(AG$30:AG$52))</f>
        <v>0.0255235385494408</v>
      </c>
      <c r="AH21" s="4" t="n">
        <f aca="false">$AF$27*AH48*(1/COUNTIF($C$26:$CK$26,1))/(MAX(AH$30:AH$52)-MIN(AH$30:AH$52))</f>
        <v>0.0275994641636595</v>
      </c>
      <c r="AI21" s="4" t="n">
        <f aca="false">$AF$27*AI48*(1/COUNTIF($C$26:$CK$26,1))/(MAX(AI$30:AI$52)-MIN(AI$30:AI$52))</f>
        <v>0.00910668788093346</v>
      </c>
      <c r="AJ21" s="4" t="n">
        <f aca="false">$AF$27*AJ48*(1/COUNTIF($C$26:$CK$26,1))/(MAX(AJ$30:AJ$52)-MIN(AJ$30:AJ$52))</f>
        <v>0.0209076627016955</v>
      </c>
      <c r="AK21" s="4" t="n">
        <f aca="false">$AF$27*AK48*(1/COUNTIF($C$26:$CK$26,1))/(MAX(AK$30:AK$52)-MIN(AK$30:AK$52))</f>
        <v>0.0181439038676877</v>
      </c>
      <c r="AL21" s="4" t="n">
        <f aca="false">$AF$27*AL48*(1/COUNTIF($C$26:$CK$26,1))/(MAX(AL$30:AL$52)-MIN(AL$30:AL$52))</f>
        <v>0.00939025680805675</v>
      </c>
      <c r="AM21" s="4" t="n">
        <f aca="false">$AF$27*AM48*(1/COUNTIF($C$26:$CK$26,1))/(MAX(AM$30:AM$52)-MIN(AM$30:AM$52))</f>
        <v>0.0140776249088524</v>
      </c>
      <c r="AN21" s="4" t="n">
        <f aca="false">$AF$27*AN48*(1/COUNTIF($C$26:$CK$26,1))/(MAX(AN$30:AN$52)-MIN(AN$30:AN$52))</f>
        <v>0.0158871681929438</v>
      </c>
      <c r="AO21" s="4" t="n">
        <f aca="false">$AF$27*AO48*(1/COUNTIF($C$26:$CK$26,1))/(MAX(AO$30:AO$52)-MIN(AO$30:AO$52))</f>
        <v>0.0112548792641384</v>
      </c>
      <c r="AP21" s="4" t="n">
        <f aca="false">$AF$27*AP48*(1/COUNTIF($C$26:$CK$26,1))/(MAX(AP$30:AP$52)-MIN(AP$30:AP$52))</f>
        <v>0.027802280143582</v>
      </c>
      <c r="AQ21" s="4" t="n">
        <f aca="false">$AF$27*AQ48*(1/COUNTIF($C$26:$CK$26,1))/(MAX(AQ$30:AQ$52)-MIN(AQ$30:AQ$52))</f>
        <v>0.0196822434160017</v>
      </c>
      <c r="AR21" s="4" t="n">
        <f aca="false">$AF$27*AR48*(1/COUNTIF($C$26:$CK$26,1))/(MAX(AR$30:AR$52)-MIN(AR$30:AR$52))</f>
        <v>0.0165602881554959</v>
      </c>
      <c r="AS21" s="4" t="n">
        <f aca="false">$AF$27*AS48*(1/COUNTIF($C$26:$CK$26,1))/(MAX(AS$30:AS$52)-MIN(AS$30:AS$52))</f>
        <v>0.0116403959185904</v>
      </c>
      <c r="AT21" s="4" t="n">
        <f aca="false">AT48/$CP48</f>
        <v>0.0214343529583352</v>
      </c>
      <c r="AU21" s="4" t="n">
        <f aca="false">AU48/$CP48</f>
        <v>0.11187594341042</v>
      </c>
      <c r="AV21" s="4" t="n">
        <f aca="false">$AF$27*AV48*(1/COUNTIF($C$26:$CK$26,1))/(MAX(AV$30:AV$52)-MIN(AV$30:AV$52))</f>
        <v>0.00770865424311032</v>
      </c>
      <c r="AW21" s="4" t="n">
        <f aca="false">SUM(Flows!AX21,Flows!$AZ21)/$AW78</f>
        <v>0.0084087882648611</v>
      </c>
      <c r="AX21" s="4" t="n">
        <f aca="false">$AX$27*AX48*(1/COUNTIF($C$26:$CK$26,1))/(MAX(AX$30:AX$52)-MIN(AX$30:AX$52))</f>
        <v>0.026344049282344</v>
      </c>
      <c r="AY21" s="4" t="n">
        <f aca="false">SUM(Flows!$BB21:$BE21)*Capacity!BS21/(AY78*SUM(Capacity!$BS21:$BT21))</f>
        <v>0.0404711661988092</v>
      </c>
      <c r="AZ21" s="4" t="n">
        <f aca="false">SUM(Flows!$BB21:$BE21)*Capacity!BT21/(AZ78*SUM(Capacity!$BS21:$BT21))+(DemClcs!$A$56*Populations!$Q20/AZ78)</f>
        <v>0.148122888312248</v>
      </c>
      <c r="BA21" s="4" t="n">
        <v>0</v>
      </c>
      <c r="BB21" s="4" t="n">
        <f aca="false">$BB$27*BB48*(1/COUNTIF($C$26:$CK$26,1))/(MAX(BB$30:BB$52)-MIN(BB$30:BB$52))</f>
        <v>0.00205410585617015</v>
      </c>
      <c r="BC21" s="4" t="n">
        <f aca="false">$BB$27*BC48*(1/COUNTIF($C$26:$CK$26,1))/(MAX(BC$30:BC$52)-MIN(BC$30:BC$52))</f>
        <v>0.00100683510887933</v>
      </c>
      <c r="BD21" s="4" t="n">
        <f aca="false">$BB$27*BD48*(1/COUNTIF($C$26:$CK$26,1))/(MAX(BD$30:BD$52)-MIN(BD$30:BD$52))</f>
        <v>0.000828629055719394</v>
      </c>
      <c r="BE21" s="4" t="n">
        <f aca="false">$BB$27*BE48*(1/COUNTIF($C$26:$CK$26,1))/(MAX(BE$30:BE$52)-MIN(BE$30:BE$52))</f>
        <v>0.0020281999719916</v>
      </c>
      <c r="BF21" s="4" t="n">
        <f aca="false">(Flows!$BG21+Flows!$BI21)*1.5*Capacity!$BZ22/(15*$BF78*(Capacity!$S21+Capacity!$BZ21))</f>
        <v>2.96859344501477E-005</v>
      </c>
      <c r="BG21" s="4" t="n">
        <f aca="false">DemClcs!$A$47*(Populations!$R20+3*Populations!$S20)*Capacity!CA21/(BG78*SUM(Capacity!$CA21:$CC21,Capacity!$CE21))</f>
        <v>0.00930134593831326</v>
      </c>
      <c r="BH21" s="4" t="n">
        <f aca="false">DemClcs!$A$47*(Populations!$R20+3*Populations!$S20)*Capacity!CB21/(BH78*SUM(Capacity!$CA21:$CC21,Capacity!$CE21))</f>
        <v>0.0109860494648888</v>
      </c>
      <c r="BI21" s="4" t="n">
        <f aca="false">DemClcs!$A$47*(Populations!$R20+3*Populations!$S20)*Capacity!CC21/(BI78*SUM(Capacity!$CA21:$CC21,Capacity!$CE21))</f>
        <v>0.00930134593831326</v>
      </c>
      <c r="BJ21" s="4" t="n">
        <f aca="false">BJ48/$CP48</f>
        <v>0.0510424432950554</v>
      </c>
      <c r="BK21" s="4" t="n">
        <f aca="false">DemClcs!$A$47*(Populations!$R20+3*Populations!$S20)*Capacity!CE21/(BK78*SUM(Capacity!$CA21:$CC21,Capacity!$CE21))</f>
        <v>0.00930134593831326</v>
      </c>
      <c r="BL21" s="4" t="n">
        <f aca="false">BL48/$CP48</f>
        <v>0.00163322777111087</v>
      </c>
      <c r="BM21" s="4" t="n">
        <f aca="false">BM48/$CP48</f>
        <v>0.0927498894220824</v>
      </c>
      <c r="BN21" s="4" t="n">
        <v>0</v>
      </c>
      <c r="BO21" s="4" t="n">
        <f aca="false">Flows!BT21*16/(25*BR78)</f>
        <v>0.0108010775647676</v>
      </c>
      <c r="BP21" s="4" t="n">
        <f aca="false">SUM(Flows!$AF21:$AS21,Flows!$AV21)/BP78</f>
        <v>9.53657431546898E-005</v>
      </c>
      <c r="BQ21" s="4" t="n">
        <v>0</v>
      </c>
      <c r="BR21" s="4" t="n">
        <f aca="false">Flows!BU21*16/(25*BR78)</f>
        <v>0.00108010775647676</v>
      </c>
      <c r="BS21" s="4" t="n">
        <f aca="false">Flows!BV21*16/(25*BS78)</f>
        <v>0.000216021406977976</v>
      </c>
      <c r="BT21" s="4" t="n">
        <f aca="false">PRODUCT(Flows!$D49,DemClcs!$A$29:$A$32,$BT$27)/(0.75*BT78)</f>
        <v>1.74653372833882E-005</v>
      </c>
      <c r="BU21" s="4" t="n">
        <f aca="false">PRODUCT(Flows!$D49,DemClcs!$A$29:$A$32,$BT$27)/(0.75*BU78*10)</f>
        <v>1.60098925097725E-005</v>
      </c>
      <c r="BV21" s="4" t="n">
        <f aca="false">PRODUCT(Flows!$D49,DemClcs!$A$29:$A$32,$BT$27)/(0.75*BV78*100)</f>
        <v>1.37227650083764E-005</v>
      </c>
      <c r="BW21" s="4" t="n">
        <v>0</v>
      </c>
      <c r="BX21" s="4" t="n">
        <f aca="false">BX48/$CP48</f>
        <v>0.102292340230019</v>
      </c>
      <c r="BY21" s="4" t="n">
        <f aca="false">BY48/$CP48</f>
        <v>0.0159048365775344</v>
      </c>
      <c r="BZ21" s="4" t="n">
        <f aca="false">BZ48/$CO48</f>
        <v>0.0112338452888411</v>
      </c>
      <c r="CA21" s="4" t="n">
        <f aca="false">CA48/$CO48</f>
        <v>0.0135479382636393</v>
      </c>
      <c r="CB21" s="4" t="n">
        <f aca="false">CB48/$CP48</f>
        <v>0.00615820636837114</v>
      </c>
      <c r="CC21" s="4" t="n">
        <f aca="false">CC48/$CO48</f>
        <v>0.0148209979065206</v>
      </c>
      <c r="CD21" s="4" t="n">
        <v>0</v>
      </c>
      <c r="CE21" s="4" t="n">
        <f aca="false">IF(SUM(Flows!$CJ21:$CK21)&gt;Flows!$BA21,(SUM(Flows!$CJ21:$CK21)-Flows!$BA21)/CE78)</f>
        <v>0.119455450878929</v>
      </c>
      <c r="CF21" s="4" t="n">
        <f aca="false">CF48/$CO48</f>
        <v>0.00361348144025137</v>
      </c>
      <c r="CG21" s="4" t="n">
        <f aca="false">CG48/$CO48</f>
        <v>0.0344250151140444</v>
      </c>
      <c r="CH21" s="4" t="n">
        <f aca="false">CH48/$CO48</f>
        <v>0.0344869655123484</v>
      </c>
      <c r="CI21" s="4" t="n">
        <f aca="false">CI48/$CP48</f>
        <v>0.0661723988136526</v>
      </c>
      <c r="CJ21" s="4" t="n">
        <f aca="false">CJ$27*CJ48*(1/COUNTIF($C$26:$CK$26,1))/(MAX(CJ$30:CJ$52)-MIN(CJ$30:CJ$52))</f>
        <v>0.0012391849856455</v>
      </c>
      <c r="CK21" s="4" t="n">
        <f aca="false">CK$27*CK48*(1/COUNTIF($C$26:$CK$26,1))/(MAX(CK$30:CK$52)-MIN(CK$30:CK$52))</f>
        <v>0.00150727826863026</v>
      </c>
      <c r="CL21" s="4" t="n">
        <v>0</v>
      </c>
      <c r="CN21" s="4" t="n">
        <f aca="false">SUM(C21:CK21)</f>
        <v>3</v>
      </c>
    </row>
    <row r="22" customFormat="false" ht="12.8" hidden="false" customHeight="false" outlineLevel="0" collapsed="false">
      <c r="A22" s="4" t="s">
        <v>157</v>
      </c>
      <c r="B22" s="7" t="s">
        <v>39</v>
      </c>
      <c r="C22" s="4" t="n">
        <f aca="false">Flows!$BG22*2*Capacity!$S22/(5*15*C79*(Capacity!$S22+Capacity!$BZ22))</f>
        <v>2.05475918019675E-006</v>
      </c>
      <c r="D22" s="4" t="n">
        <f aca="false">(DemClcs!$A$34*(Populations!$R21+3*Populations!$S21)/D79)+MAX((Flows!K22+Flows!M22)/1826.484018+Flows!L22/1111.111111-Flows!$F22,0)/D79</f>
        <v>0.07237084525731</v>
      </c>
      <c r="E22" s="4" t="n">
        <f aca="false">DemClcs!$A$42*(Populations!$R21+3*Populations!$S21)/E79</f>
        <v>0.00534850555280854</v>
      </c>
      <c r="F22" s="4" t="n">
        <v>0</v>
      </c>
      <c r="G22" s="4" t="n">
        <f aca="false">Flows!Q22*40/G79</f>
        <v>0.00146200688332926</v>
      </c>
      <c r="H22" s="4" t="n">
        <f aca="false">IF(Flows!$AW22&gt;Flows!$Y22,(Flows!$AW22-Flows!$Y22)/H79)</f>
        <v>0</v>
      </c>
      <c r="I22" s="4" t="n">
        <f aca="false">I49/$CN49</f>
        <v>0.433221193262673</v>
      </c>
      <c r="J22" s="4" t="n">
        <f aca="false">J49/$CN49</f>
        <v>0.566778806737327</v>
      </c>
      <c r="K22" s="4" t="n">
        <v>0</v>
      </c>
      <c r="L22" s="4" t="n">
        <v>0</v>
      </c>
      <c r="M22" s="4" t="n">
        <v>0</v>
      </c>
      <c r="N22" s="4" t="n">
        <f aca="false">SUM(Flows!$V22,Flows!$W22)/$N79</f>
        <v>0.000888680555393238</v>
      </c>
      <c r="O22" s="4" t="n">
        <v>0</v>
      </c>
      <c r="P22" s="4" t="n">
        <v>0</v>
      </c>
      <c r="Q22" s="4" t="n">
        <f aca="false">$Q$27*Q49*(1/COUNTIF($C$26:$CK$26,1))/(MAX(Q$30:Q$52)-MIN(Q$30:Q$52))</f>
        <v>0.00530118752098739</v>
      </c>
      <c r="R22" s="4" t="n">
        <f aca="false">$R$27*R49*(1/COUNTIF($C$26:$CK$26,1))/(MAX(R$30:R$52)-MIN(R$30:R$52))+0.5/COUNTIF($C$26:$CK$26,1)</f>
        <v>0.029402830822274</v>
      </c>
      <c r="S22" s="4" t="n">
        <v>0</v>
      </c>
      <c r="T22" s="4" t="n">
        <v>0</v>
      </c>
      <c r="U22" s="4" t="n">
        <v>0</v>
      </c>
      <c r="V22" s="4" t="n">
        <f aca="false">$V$27*V49*(1/COUNTIF($C$26:$CK$26,1))/(MAX(V$30:V$52)-MIN(V$30:V$52))</f>
        <v>0.0015989060105604</v>
      </c>
      <c r="W22" s="4" t="n">
        <f aca="false">$V$27*W49*(1/COUNTIF($C$26:$CK$26,1))/(MAX(W$30:W$52)-MIN(W$30:W$52))</f>
        <v>0.00849208401849653</v>
      </c>
      <c r="X22" s="4" t="n">
        <f aca="false">X49/$CO49</f>
        <v>0.140338279928631</v>
      </c>
      <c r="Y22" s="4" t="n">
        <v>0</v>
      </c>
      <c r="Z22" s="4" t="n">
        <f aca="false">Flows!$AA22/$Z79</f>
        <v>2.2032049186269E-005</v>
      </c>
      <c r="AA22" s="4" t="n">
        <f aca="false">Flows!$AB22/$AA79</f>
        <v>0.000687692574427596</v>
      </c>
      <c r="AB22" s="4" t="n">
        <f aca="false">DemClcs!$A$20*(Populations!$R21+3*Populations!$S21)/AB79</f>
        <v>0.00249755319409519</v>
      </c>
      <c r="AC22" s="4" t="n">
        <f aca="false">Flows!$AD22/$AC79</f>
        <v>0.00342464264406073</v>
      </c>
      <c r="AD22" s="4" t="n">
        <f aca="false">DemClcs!$A$25*(Populations!$R21+3*Populations!$S21)/AD79</f>
        <v>0.0247803688932249</v>
      </c>
      <c r="AE22" s="4" t="n">
        <f aca="false">AE49/$CP49</f>
        <v>0.0468707842288316</v>
      </c>
      <c r="AF22" s="4" t="n">
        <f aca="false">$AF$27*AF49*(1/COUNTIF($C$26:$CK$26,1))/(MAX(AF$30:AF$52)-MIN(AF$30:AF$52))</f>
        <v>0.0315803290169241</v>
      </c>
      <c r="AG22" s="4" t="n">
        <f aca="false">$AF$27*AG49*(1/COUNTIF($C$26:$CK$26,1))/(MAX(AG$30:AG$52)-MIN(AG$30:AG$52))</f>
        <v>0.0174059163843507</v>
      </c>
      <c r="AH22" s="4" t="n">
        <f aca="false">$AF$27*AH49*(1/COUNTIF($C$26:$CK$26,1))/(MAX(AH$30:AH$52)-MIN(AH$30:AH$52))</f>
        <v>0.0170380129661409</v>
      </c>
      <c r="AI22" s="4" t="n">
        <f aca="false">$AF$27*AI49*(1/COUNTIF($C$26:$CK$26,1))/(MAX(AI$30:AI$52)-MIN(AI$30:AI$52))</f>
        <v>0.0104538551021219</v>
      </c>
      <c r="AJ22" s="4" t="n">
        <f aca="false">$AF$27*AJ49*(1/COUNTIF($C$26:$CK$26,1))/(MAX(AJ$30:AJ$52)-MIN(AJ$30:AJ$52))</f>
        <v>0.00398994450818189</v>
      </c>
      <c r="AK22" s="4" t="n">
        <f aca="false">$AF$27*AK49*(1/COUNTIF($C$26:$CK$26,1))/(MAX(AK$30:AK$52)-MIN(AK$30:AK$52))</f>
        <v>0.00259161091448266</v>
      </c>
      <c r="AL22" s="4" t="n">
        <f aca="false">$AF$27*AL49*(1/COUNTIF($C$26:$CK$26,1))/(MAX(AL$30:AL$52)-MIN(AL$30:AL$52))</f>
        <v>0.00964754413565361</v>
      </c>
      <c r="AM22" s="4" t="n">
        <f aca="false">$AF$27*AM49*(1/COUNTIF($C$26:$CK$26,1))/(MAX(AM$30:AM$52)-MIN(AM$30:AM$52))</f>
        <v>0.0106369885283839</v>
      </c>
      <c r="AN22" s="4" t="n">
        <f aca="false">$AF$27*AN49*(1/COUNTIF($C$26:$CK$26,1))/(MAX(AN$30:AN$52)-MIN(AN$30:AN$52))</f>
        <v>0.00406865944929639</v>
      </c>
      <c r="AO22" s="4" t="n">
        <f aca="false">$AF$27*AO49*(1/COUNTIF($C$26:$CK$26,1))/(MAX(AO$30:AO$52)-MIN(AO$30:AO$52))</f>
        <v>0.00829956572292854</v>
      </c>
      <c r="AP22" s="4" t="n">
        <f aca="false">$AF$27*AP49*(1/COUNTIF($C$26:$CK$26,1))/(MAX(AP$30:AP$52)-MIN(AP$30:AP$52))</f>
        <v>0.00939576268603824</v>
      </c>
      <c r="AQ22" s="4" t="n">
        <f aca="false">$AF$27*AQ49*(1/COUNTIF($C$26:$CK$26,1))/(MAX(AQ$30:AQ$52)-MIN(AQ$30:AQ$52))</f>
        <v>0.0120698447392054</v>
      </c>
      <c r="AR22" s="4" t="n">
        <f aca="false">$AF$27*AR49*(1/COUNTIF($C$26:$CK$26,1))/(MAX(AR$30:AR$52)-MIN(AR$30:AR$52))</f>
        <v>0.0166070717213977</v>
      </c>
      <c r="AS22" s="4" t="n">
        <f aca="false">$AF$27*AS49*(1/COUNTIF($C$26:$CK$26,1))/(MAX(AS$30:AS$52)-MIN(AS$30:AS$52))</f>
        <v>0.0188344470224053</v>
      </c>
      <c r="AT22" s="4" t="n">
        <f aca="false">AT49/$CP49</f>
        <v>0.0561333000523551</v>
      </c>
      <c r="AU22" s="4" t="n">
        <f aca="false">AU49/$CP49</f>
        <v>0.0189767884575715</v>
      </c>
      <c r="AV22" s="4" t="n">
        <f aca="false">$AF$27*AV49*(1/COUNTIF($C$26:$CK$26,1))/(MAX(AV$30:AV$52)-MIN(AV$30:AV$52))</f>
        <v>0.0154522206428589</v>
      </c>
      <c r="AW22" s="4" t="n">
        <f aca="false">SUM(Flows!AX22,Flows!$AZ22)/$AW79</f>
        <v>0.000583680651868125</v>
      </c>
      <c r="AX22" s="4" t="n">
        <f aca="false">$AX$27*AX49*(1/COUNTIF($C$26:$CK$26,1))/(MAX(AX$30:AX$52)-MIN(AX$30:AX$52))</f>
        <v>0.0160745167585</v>
      </c>
      <c r="AY22" s="4" t="n">
        <f aca="false">SUM(Flows!$BB22:$BE22)*Capacity!BS22/(AY79*SUM(Capacity!$BS22:$BT22))</f>
        <v>0.00369974359021344</v>
      </c>
      <c r="AZ22" s="4" t="n">
        <f aca="false">SUM(Flows!$BB22:$BE22)*Capacity!BT22/(AZ79*SUM(Capacity!$BS22:$BT22))+(DemClcs!$A$56*Populations!$Q21/AZ79)</f>
        <v>0.0208029625932793</v>
      </c>
      <c r="BA22" s="4" t="n">
        <v>0</v>
      </c>
      <c r="BB22" s="4" t="n">
        <f aca="false">$BB$27*BB49*(1/COUNTIF($C$26:$CK$26,1))/(MAX(BB$30:BB$52)-MIN(BB$30:BB$52))</f>
        <v>0.00288679678463992</v>
      </c>
      <c r="BC22" s="4" t="n">
        <f aca="false">$BB$27*BC49*(1/COUNTIF($C$26:$CK$26,1))/(MAX(BC$30:BC$52)-MIN(BC$30:BC$52))</f>
        <v>0.00289175383093556</v>
      </c>
      <c r="BD22" s="4" t="n">
        <f aca="false">$BB$27*BD49*(1/COUNTIF($C$26:$CK$26,1))/(MAX(BD$30:BD$52)-MIN(BD$30:BD$52))</f>
        <v>0.00181480859143779</v>
      </c>
      <c r="BE22" s="4" t="n">
        <f aca="false">$BB$27*BE49*(1/COUNTIF($C$26:$CK$26,1))/(MAX(BE$30:BE$52)-MIN(BE$30:BE$52))</f>
        <v>0.000698667553053427</v>
      </c>
      <c r="BF22" s="4" t="n">
        <f aca="false">(Flows!$BG22+Flows!$BI22)*1.5*Capacity!$BZ23/(15*$BF79*(Capacity!$S22+Capacity!$BZ22))</f>
        <v>5.57909929203497E-005</v>
      </c>
      <c r="BG22" s="4" t="n">
        <f aca="false">DemClcs!$A$47*(Populations!$R21+3*Populations!$S21)*Capacity!CA22/(BG79*SUM(Capacity!$CA22:$CC22,Capacity!$CE22))</f>
        <v>0.00322373583706307</v>
      </c>
      <c r="BH22" s="4" t="n">
        <f aca="false">DemClcs!$A$47*(Populations!$R21+3*Populations!$S21)*Capacity!CB22/(BH79*SUM(Capacity!$CA22:$CC22,Capacity!$CE22))</f>
        <v>2.07144041359872E-006</v>
      </c>
      <c r="BI22" s="4" t="n">
        <f aca="false">DemClcs!$A$47*(Populations!$R21+3*Populations!$S21)*Capacity!CC22/(BI79*SUM(Capacity!$CA22:$CC22,Capacity!$CE22))</f>
        <v>0.00322373583706307</v>
      </c>
      <c r="BJ22" s="4" t="n">
        <f aca="false">BJ49/$CP49</f>
        <v>0.0557760908332898</v>
      </c>
      <c r="BK22" s="4" t="n">
        <f aca="false">DemClcs!$A$47*(Populations!$R21+3*Populations!$S21)*Capacity!CE22/(BK79*SUM(Capacity!$CA22:$CC22,Capacity!$CE22))</f>
        <v>0.00322373583706307</v>
      </c>
      <c r="BL22" s="4" t="n">
        <f aca="false">BL49/$CP49</f>
        <v>0.183497728847146</v>
      </c>
      <c r="BM22" s="4" t="n">
        <f aca="false">BM49/$CP49</f>
        <v>0.0927537639915068</v>
      </c>
      <c r="BN22" s="4" t="n">
        <v>0</v>
      </c>
      <c r="BO22" s="4" t="n">
        <f aca="false">Flows!BT22*16/(25*BR79)</f>
        <v>0.000277835301657056</v>
      </c>
      <c r="BP22" s="4" t="n">
        <f aca="false">SUM(Flows!$AF22:$AS22,Flows!$AV22)/BP79</f>
        <v>4.68063238184585E-006</v>
      </c>
      <c r="BQ22" s="4" t="n">
        <v>0</v>
      </c>
      <c r="BR22" s="4" t="n">
        <f aca="false">Flows!BU22*16/(25*BR79)</f>
        <v>2.77835301657057E-005</v>
      </c>
      <c r="BS22" s="4" t="n">
        <f aca="false">Flows!BV22*16/(25*BS79)</f>
        <v>5.55670317547573E-006</v>
      </c>
      <c r="BT22" s="4" t="n">
        <f aca="false">PRODUCT(Flows!$D50,DemClcs!$A$29:$A$32,$BT$27)/(0.75*BT79)</f>
        <v>8.62224158101388E-006</v>
      </c>
      <c r="BU22" s="4" t="n">
        <f aca="false">PRODUCT(Flows!$D50,DemClcs!$A$29:$A$32,$BT$27)/(0.75*BU79*10)</f>
        <v>7.90372144926273E-006</v>
      </c>
      <c r="BV22" s="4" t="n">
        <f aca="false">PRODUCT(Flows!$D50,DemClcs!$A$29:$A$32,$BT$27)/(0.75*BV79*100)</f>
        <v>6.77461838508233E-006</v>
      </c>
      <c r="BW22" s="4" t="n">
        <v>0</v>
      </c>
      <c r="BX22" s="4" t="n">
        <f aca="false">BX49/$CP49</f>
        <v>0.0313736445053878</v>
      </c>
      <c r="BY22" s="4" t="n">
        <f aca="false">BY49/$CP49</f>
        <v>0.00775147286912472</v>
      </c>
      <c r="BZ22" s="4" t="n">
        <f aca="false">BZ49/$CO49</f>
        <v>0.128592707888241</v>
      </c>
      <c r="CA22" s="4" t="n">
        <f aca="false">CA49/$CO49</f>
        <v>0.0253169662610867</v>
      </c>
      <c r="CB22" s="4" t="n">
        <f aca="false">CB49/$CP49</f>
        <v>0.107301053237214</v>
      </c>
      <c r="CC22" s="4" t="n">
        <f aca="false">CC49/$CO49</f>
        <v>0.118739205526664</v>
      </c>
      <c r="CD22" s="4" t="n">
        <v>0</v>
      </c>
      <c r="CE22" s="4" t="n">
        <f aca="false">IF(SUM(Flows!$CJ22:$CK22)&gt;Flows!$BA22,(SUM(Flows!$CJ22:$CK22)-Flows!$BA22)/CE79)</f>
        <v>0.0150921915886189</v>
      </c>
      <c r="CF22" s="4" t="n">
        <f aca="false">CF49/$CO49</f>
        <v>0.195031306808376</v>
      </c>
      <c r="CG22" s="4" t="n">
        <f aca="false">CG49/$CO49</f>
        <v>0.0636463356825977</v>
      </c>
      <c r="CH22" s="4" t="n">
        <f aca="false">CH49/$CO49</f>
        <v>0.158788857038082</v>
      </c>
      <c r="CI22" s="4" t="n">
        <f aca="false">CI49/$CP49</f>
        <v>0.147079940318015</v>
      </c>
      <c r="CJ22" s="4" t="n">
        <f aca="false">CJ$27*CJ49*(1/COUNTIF($C$26:$CK$26,1))/(MAX(CJ$30:CJ$52)-MIN(CJ$30:CJ$52))</f>
        <v>0.000425587868811791</v>
      </c>
      <c r="CK22" s="4" t="n">
        <f aca="false">CK$27*CK49*(1/COUNTIF($C$26:$CK$26,1))/(MAX(CK$30:CK$52)-MIN(CK$30:CK$52))</f>
        <v>0.00264167274549923</v>
      </c>
      <c r="CL22" s="4" t="n">
        <v>0</v>
      </c>
      <c r="CN22" s="4" t="n">
        <f aca="false">SUM(C22:CK22)</f>
        <v>3</v>
      </c>
    </row>
    <row r="23" customFormat="false" ht="12.8" hidden="false" customHeight="false" outlineLevel="0" collapsed="false">
      <c r="A23" s="4" t="s">
        <v>158</v>
      </c>
      <c r="B23" s="7" t="s">
        <v>39</v>
      </c>
      <c r="C23" s="4" t="n">
        <f aca="false">Flows!$BG23*2*Capacity!$S23/(5*15*C80*(Capacity!$S23+Capacity!$BZ23))</f>
        <v>6.45481868567596E-006</v>
      </c>
      <c r="D23" s="4" t="n">
        <f aca="false">(DemClcs!$A$34*(Populations!$R22+3*Populations!$S22)/D80)+MAX((Flows!K23+Flows!M23)/1826.484018+Flows!L23/1111.111111-Flows!$F23,0)/D80</f>
        <v>0.219710083485826</v>
      </c>
      <c r="E23" s="4" t="n">
        <f aca="false">DemClcs!$A$42*(Populations!$R22+3*Populations!$S22)/E80</f>
        <v>0.0310128681713411</v>
      </c>
      <c r="F23" s="4" t="n">
        <v>0</v>
      </c>
      <c r="G23" s="4" t="n">
        <f aca="false">Flows!Q23*40/G80</f>
        <v>0.00314497560582911</v>
      </c>
      <c r="H23" s="4" t="n">
        <f aca="false">IF(Flows!$AW23&gt;Flows!$Y23,(Flows!$AW23-Flows!$Y23)/H80)</f>
        <v>0</v>
      </c>
      <c r="I23" s="4" t="n">
        <f aca="false">I50/$CN50</f>
        <v>0.104354016400502</v>
      </c>
      <c r="J23" s="4" t="n">
        <f aca="false">J50/$CN50</f>
        <v>0.895645983599498</v>
      </c>
      <c r="K23" s="4" t="n">
        <v>0</v>
      </c>
      <c r="L23" s="4" t="n">
        <v>0</v>
      </c>
      <c r="M23" s="4" t="n">
        <v>0</v>
      </c>
      <c r="N23" s="4" t="n">
        <f aca="false">SUM(Flows!$V23,Flows!$W23)/$N80</f>
        <v>0.00636984261239232</v>
      </c>
      <c r="O23" s="4" t="n">
        <v>0</v>
      </c>
      <c r="P23" s="4" t="n">
        <v>0</v>
      </c>
      <c r="Q23" s="4" t="n">
        <f aca="false">$Q$27*Q50*(1/COUNTIF($C$26:$CK$26,1))/(MAX(Q$30:Q$52)-MIN(Q$30:Q$52))</f>
        <v>0.00190497341653742</v>
      </c>
      <c r="R23" s="4" t="n">
        <f aca="false">$R$27*R50*(1/COUNTIF($C$26:$CK$26,1))/(MAX(R$30:R$52)-MIN(R$30:R$52))+0.5/COUNTIF($C$26:$CK$26,1)</f>
        <v>0.0276231904746912</v>
      </c>
      <c r="S23" s="4" t="n">
        <v>0</v>
      </c>
      <c r="T23" s="4" t="n">
        <v>0</v>
      </c>
      <c r="U23" s="4" t="n">
        <v>0</v>
      </c>
      <c r="V23" s="4" t="n">
        <f aca="false">$V$27*V50*(1/COUNTIF($C$26:$CK$26,1))/(MAX(V$30:V$52)-MIN(V$30:V$52))</f>
        <v>0.0120749314388589</v>
      </c>
      <c r="W23" s="4" t="n">
        <f aca="false">$V$27*W50*(1/COUNTIF($C$26:$CK$26,1))/(MAX(W$30:W$52)-MIN(W$30:W$52))</f>
        <v>0.0222588462883019</v>
      </c>
      <c r="X23" s="4" t="n">
        <f aca="false">X50/$CO50</f>
        <v>0.0883137592038212</v>
      </c>
      <c r="Y23" s="4" t="n">
        <v>0</v>
      </c>
      <c r="Z23" s="4" t="n">
        <f aca="false">Flows!$AA23/$Z80</f>
        <v>0.000184276508414659</v>
      </c>
      <c r="AA23" s="4" t="n">
        <f aca="false">Flows!$AB23/$AA80</f>
        <v>0.00244278416974555</v>
      </c>
      <c r="AB23" s="4" t="n">
        <f aca="false">DemClcs!$A$20*(Populations!$R22+3*Populations!$S22)/AB80</f>
        <v>0.00606471278195028</v>
      </c>
      <c r="AC23" s="4" t="n">
        <f aca="false">Flows!$AD23/$AC80</f>
        <v>0.0239317652485322</v>
      </c>
      <c r="AD23" s="4" t="n">
        <f aca="false">DemClcs!$A$25*(Populations!$R22+3*Populations!$S22)/AD80</f>
        <v>0.0601732208641224</v>
      </c>
      <c r="AE23" s="4" t="n">
        <f aca="false">AE50/$CP50</f>
        <v>0.10382239034732</v>
      </c>
      <c r="AF23" s="4" t="n">
        <f aca="false">$AF$27*AF50*(1/COUNTIF($C$26:$CK$26,1))/(MAX(AF$30:AF$52)-MIN(AF$30:AF$52))</f>
        <v>0.0188340651977668</v>
      </c>
      <c r="AG23" s="4" t="n">
        <f aca="false">$AF$27*AG50*(1/COUNTIF($C$26:$CK$26,1))/(MAX(AG$30:AG$52)-MIN(AG$30:AG$52))</f>
        <v>0.028552490105325</v>
      </c>
      <c r="AH23" s="4" t="n">
        <f aca="false">$AF$27*AH50*(1/COUNTIF($C$26:$CK$26,1))/(MAX(AH$30:AH$52)-MIN(AH$30:AH$52))</f>
        <v>0.00926801965616775</v>
      </c>
      <c r="AI23" s="4" t="n">
        <f aca="false">$AF$27*AI50*(1/COUNTIF($C$26:$CK$26,1))/(MAX(AI$30:AI$52)-MIN(AI$30:AI$52))</f>
        <v>0.0160492421305154</v>
      </c>
      <c r="AJ23" s="4" t="n">
        <f aca="false">$AF$27*AJ50*(1/COUNTIF($C$26:$CK$26,1))/(MAX(AJ$30:AJ$52)-MIN(AJ$30:AJ$52))</f>
        <v>0.0298618776564559</v>
      </c>
      <c r="AK23" s="4" t="n">
        <f aca="false">$AF$27*AK50*(1/COUNTIF($C$26:$CK$26,1))/(MAX(AK$30:AK$52)-MIN(AK$30:AK$52))</f>
        <v>0.00727954083495149</v>
      </c>
      <c r="AL23" s="4" t="n">
        <f aca="false">$AF$27*AL50*(1/COUNTIF($C$26:$CK$26,1))/(MAX(AL$30:AL$52)-MIN(AL$30:AL$52))</f>
        <v>0.0186949052466903</v>
      </c>
      <c r="AM23" s="4" t="n">
        <f aca="false">$AF$27*AM50*(1/COUNTIF($C$26:$CK$26,1))/(MAX(AM$30:AM$52)-MIN(AM$30:AM$52))</f>
        <v>0.0213793179839439</v>
      </c>
      <c r="AN23" s="4" t="n">
        <f aca="false">$AF$27*AN50*(1/COUNTIF($C$26:$CK$26,1))/(MAX(AN$30:AN$52)-MIN(AN$30:AN$52))</f>
        <v>0.0219615550241702</v>
      </c>
      <c r="AO23" s="4" t="n">
        <f aca="false">$AF$27*AO50*(1/COUNTIF($C$26:$CK$26,1))/(MAX(AO$30:AO$52)-MIN(AO$30:AO$52))</f>
        <v>0.0205741252134266</v>
      </c>
      <c r="AP23" s="4" t="n">
        <f aca="false">$AF$27*AP50*(1/COUNTIF($C$26:$CK$26,1))/(MAX(AP$30:AP$52)-MIN(AP$30:AP$52))</f>
        <v>0.0284228026979948</v>
      </c>
      <c r="AQ23" s="4" t="n">
        <f aca="false">$AF$27*AQ50*(1/COUNTIF($C$26:$CK$26,1))/(MAX(AQ$30:AQ$52)-MIN(AQ$30:AQ$52))</f>
        <v>0.0202678173975037</v>
      </c>
      <c r="AR23" s="4" t="n">
        <f aca="false">$AF$27*AR50*(1/COUNTIF($C$26:$CK$26,1))/(MAX(AR$30:AR$52)-MIN(AR$30:AR$52))</f>
        <v>0.0171033009749499</v>
      </c>
      <c r="AS23" s="4" t="n">
        <f aca="false">$AF$27*AS50*(1/COUNTIF($C$26:$CK$26,1))/(MAX(AS$30:AS$52)-MIN(AS$30:AS$52))</f>
        <v>0.00155494963399254</v>
      </c>
      <c r="AT23" s="4" t="n">
        <f aca="false">AT50/$CP50</f>
        <v>0.0282479077879144</v>
      </c>
      <c r="AU23" s="4" t="n">
        <f aca="false">AU50/$CP50</f>
        <v>0.0240421910597007</v>
      </c>
      <c r="AV23" s="4" t="n">
        <f aca="false">$AF$27*AV50*(1/COUNTIF($C$26:$CK$26,1))/(MAX(AV$30:AV$52)-MIN(AV$30:AV$52))</f>
        <v>0.00997244440264173</v>
      </c>
      <c r="AW23" s="4" t="n">
        <f aca="false">SUM(Flows!AX23,Flows!$AZ23)/$AW80</f>
        <v>0.00394128245733641</v>
      </c>
      <c r="AX23" s="4" t="n">
        <f aca="false">$AX$27*AX50*(1/COUNTIF($C$26:$CK$26,1))/(MAX(AX$30:AX$52)-MIN(AX$30:AX$52))</f>
        <v>0.0207845490912478</v>
      </c>
      <c r="AY23" s="4" t="n">
        <f aca="false">SUM(Flows!$BB23:$BE23)*Capacity!BS23/(AY80*SUM(Capacity!$BS23:$BT23))</f>
        <v>0.016972744189096</v>
      </c>
      <c r="AZ23" s="4" t="n">
        <f aca="false">SUM(Flows!$BB23:$BE23)*Capacity!BT23/(AZ80*SUM(Capacity!$BS23:$BT23))+(DemClcs!$A$56*Populations!$Q22/AZ80)</f>
        <v>0.0870909544431053</v>
      </c>
      <c r="BA23" s="4" t="n">
        <v>0</v>
      </c>
      <c r="BB23" s="4" t="n">
        <f aca="false">$BB$27*BB50*(1/COUNTIF($C$26:$CK$26,1))/(MAX(BB$30:BB$52)-MIN(BB$30:BB$52))</f>
        <v>0.00073315334295469</v>
      </c>
      <c r="BC23" s="4" t="n">
        <f aca="false">$BB$27*BC50*(1/COUNTIF($C$26:$CK$26,1))/(MAX(BC$30:BC$52)-MIN(BC$30:BC$52))</f>
        <v>0.000840528050286737</v>
      </c>
      <c r="BD23" s="4" t="n">
        <f aca="false">$BB$27*BD50*(1/COUNTIF($C$26:$CK$26,1))/(MAX(BD$30:BD$52)-MIN(BD$30:BD$52))</f>
        <v>0.00138405636532077</v>
      </c>
      <c r="BE23" s="4" t="n">
        <f aca="false">$BB$27*BE50*(1/COUNTIF($C$26:$CK$26,1))/(MAX(BE$30:BE$52)-MIN(BE$30:BE$52))</f>
        <v>0.00145707463864937</v>
      </c>
      <c r="BF23" s="4" t="n">
        <f aca="false">(Flows!$BG23+Flows!$BI23)*1.5*Capacity!$BZ24/(15*$BF80*(Capacity!$S23+Capacity!$BZ23))</f>
        <v>1.19252743189388E-005</v>
      </c>
      <c r="BG23" s="4" t="n">
        <f aca="false">DemClcs!$A$47*(Populations!$R22+3*Populations!$S22)*Capacity!CA23/(BG80*SUM(Capacity!$CA23:$CC23,Capacity!$CE23))</f>
        <v>0.00620183363558228</v>
      </c>
      <c r="BH23" s="4" t="n">
        <f aca="false">DemClcs!$A$47*(Populations!$R22+3*Populations!$S22)*Capacity!CB23/(BH80*SUM(Capacity!$CA23:$CC23,Capacity!$CE23))</f>
        <v>0.00718864632890424</v>
      </c>
      <c r="BI23" s="4" t="n">
        <f aca="false">DemClcs!$A$47*(Populations!$R22+3*Populations!$S22)*Capacity!CC23/(BI80*SUM(Capacity!$CA23:$CC23,Capacity!$CE23))</f>
        <v>0.00620183363558228</v>
      </c>
      <c r="BJ23" s="4" t="n">
        <f aca="false">BJ50/$CP50</f>
        <v>0.115495144655806</v>
      </c>
      <c r="BK23" s="4" t="n">
        <f aca="false">DemClcs!$A$47*(Populations!$R22+3*Populations!$S22)*Capacity!CE23/(BK80*SUM(Capacity!$CA23:$CC23,Capacity!$CE23))</f>
        <v>0.00620183363558228</v>
      </c>
      <c r="BL23" s="4" t="n">
        <f aca="false">BL50/$CP50</f>
        <v>0.059326237619781</v>
      </c>
      <c r="BM23" s="4" t="n">
        <f aca="false">BM50/$CP50</f>
        <v>0.082455308392358</v>
      </c>
      <c r="BN23" s="4" t="n">
        <v>0</v>
      </c>
      <c r="BO23" s="4" t="n">
        <f aca="false">Flows!BT23*16/(25*BR80)</f>
        <v>0.00443955898844852</v>
      </c>
      <c r="BP23" s="4" t="n">
        <f aca="false">SUM(Flows!$AF23:$AS23,Flows!$AV23)/BP80</f>
        <v>5.38673814854554E-005</v>
      </c>
      <c r="BQ23" s="4" t="n">
        <v>0</v>
      </c>
      <c r="BR23" s="4" t="n">
        <f aca="false">Flows!BU23*16/(25*BR80)</f>
        <v>0.000443955898844851</v>
      </c>
      <c r="BS23" s="4" t="n">
        <f aca="false">Flows!BV23*16/(25*BS80)</f>
        <v>8.87911023302725E-005</v>
      </c>
      <c r="BT23" s="4" t="n">
        <f aca="false">PRODUCT(Flows!$D51,DemClcs!$A$29:$A$32,$BT$27)/(0.75*BT80)</f>
        <v>1.28706502945703E-005</v>
      </c>
      <c r="BU23" s="4" t="n">
        <f aca="false">PRODUCT(Flows!$D51,DemClcs!$A$29:$A$32,$BT$27)/(0.75*BU80*10)</f>
        <v>1.17980961033561E-005</v>
      </c>
      <c r="BV23" s="4" t="n">
        <f aca="false">PRODUCT(Flows!$D51,DemClcs!$A$29:$A$32,$BT$27)/(0.75*BV80*100)</f>
        <v>1.01126538028767E-005</v>
      </c>
      <c r="BW23" s="4" t="n">
        <v>0</v>
      </c>
      <c r="BX23" s="4" t="n">
        <f aca="false">BX50/$CP50</f>
        <v>0.0353968000933782</v>
      </c>
      <c r="BY23" s="4" t="n">
        <f aca="false">BY50/$CP50</f>
        <v>0.0283939237482107</v>
      </c>
      <c r="BZ23" s="4" t="n">
        <f aca="false">BZ50/$CO50</f>
        <v>0.0932229174316257</v>
      </c>
      <c r="CA23" s="4" t="n">
        <f aca="false">CA50/$CO50</f>
        <v>0.035796007744911</v>
      </c>
      <c r="CB23" s="4" t="n">
        <f aca="false">CB50/$CP50</f>
        <v>0.0254632846007436</v>
      </c>
      <c r="CC23" s="4" t="n">
        <f aca="false">CC50/$CO50</f>
        <v>0.0978109411197718</v>
      </c>
      <c r="CD23" s="4" t="n">
        <v>0</v>
      </c>
      <c r="CE23" s="4" t="n">
        <f aca="false">IF(SUM(Flows!$CJ23:$CK23)&gt;Flows!$BA23,(SUM(Flows!$CJ23:$CK23)-Flows!$BA23)/CE80)</f>
        <v>0.00286633409943943</v>
      </c>
      <c r="CF23" s="4" t="n">
        <f aca="false">CF50/$CO50</f>
        <v>0.0733633921029224</v>
      </c>
      <c r="CG23" s="4" t="n">
        <f aca="false">CG50/$CO50</f>
        <v>0.100681791697449</v>
      </c>
      <c r="CH23" s="4" t="n">
        <f aca="false">CH50/$CO50</f>
        <v>0.0621337708481339</v>
      </c>
      <c r="CI23" s="4" t="n">
        <f aca="false">CI50/$CP50</f>
        <v>0.0895834095000221</v>
      </c>
      <c r="CJ23" s="4" t="n">
        <f aca="false">CJ$27*CJ50*(1/COUNTIF($C$26:$CK$26,1))/(MAX(CJ$30:CJ$52)-MIN(CJ$30:CJ$52))</f>
        <v>0.00275332861324242</v>
      </c>
      <c r="CK23" s="4" t="n">
        <f aca="false">CK$27*CK50*(1/COUNTIF($C$26:$CK$26,1))/(MAX(CK$30:CK$52)-MIN(CK$30:CK$52))</f>
        <v>8.04094324471452E-005</v>
      </c>
      <c r="CL23" s="4" t="n">
        <v>0</v>
      </c>
      <c r="CN23" s="4" t="n">
        <f aca="false">SUM(C23:CK23)</f>
        <v>3</v>
      </c>
    </row>
    <row r="24" customFormat="false" ht="12.8" hidden="false" customHeight="false" outlineLevel="0" collapsed="false">
      <c r="A24" s="4" t="s">
        <v>159</v>
      </c>
      <c r="B24" s="7" t="s">
        <v>39</v>
      </c>
      <c r="C24" s="4" t="n">
        <f aca="false">Flows!$BG24*2*Capacity!$S24/(5*15*C81*(Capacity!$S24+Capacity!$BZ24))</f>
        <v>2.54947139037273E-006</v>
      </c>
      <c r="D24" s="4" t="n">
        <f aca="false">(DemClcs!$A$34*(Populations!$R23+3*Populations!$S23)/D81)+MAX((Flows!K24+Flows!M24)/1826.484018+Flows!L24/1111.111111-Flows!$F24,0)/D81</f>
        <v>0.0661948969828068</v>
      </c>
      <c r="E24" s="4" t="n">
        <f aca="false">DemClcs!$A$42*(Populations!$R23+3*Populations!$S23)/E81</f>
        <v>0.00538039300766887</v>
      </c>
      <c r="F24" s="4" t="n">
        <v>0</v>
      </c>
      <c r="G24" s="4" t="n">
        <f aca="false">Flows!Q24*40/G81</f>
        <v>0.000732509337719807</v>
      </c>
      <c r="H24" s="4" t="n">
        <f aca="false">IF(Flows!$AW24&gt;Flows!$Y24,(Flows!$AW24-Flows!$Y24)/H81)</f>
        <v>0</v>
      </c>
      <c r="I24" s="4" t="n">
        <f aca="false">I51/$CN51</f>
        <v>0.471114529494781</v>
      </c>
      <c r="J24" s="4" t="n">
        <f aca="false">J51/$CN51</f>
        <v>0.528885470505219</v>
      </c>
      <c r="K24" s="4" t="n">
        <v>0</v>
      </c>
      <c r="L24" s="4" t="n">
        <v>0</v>
      </c>
      <c r="M24" s="4" t="n">
        <v>0</v>
      </c>
      <c r="N24" s="4" t="n">
        <f aca="false">SUM(Flows!$V24,Flows!$W24)/$N81</f>
        <v>0.000948515477023224</v>
      </c>
      <c r="O24" s="4" t="n">
        <v>0</v>
      </c>
      <c r="P24" s="4" t="n">
        <v>0</v>
      </c>
      <c r="Q24" s="4" t="n">
        <f aca="false">$Q$27*Q51*(1/COUNTIF($C$26:$CK$26,1))/(MAX(Q$30:Q$52)-MIN(Q$30:Q$52))</f>
        <v>0.00261444378214606</v>
      </c>
      <c r="R24" s="4" t="n">
        <f aca="false">$R$27*R51*(1/COUNTIF($C$26:$CK$26,1))/(MAX(R$30:R$52)-MIN(R$30:R$52))+0.5/COUNTIF($C$26:$CK$26,1)</f>
        <v>0.0295503111171205</v>
      </c>
      <c r="S24" s="4" t="n">
        <v>0</v>
      </c>
      <c r="T24" s="4" t="n">
        <v>0</v>
      </c>
      <c r="U24" s="4" t="n">
        <v>0</v>
      </c>
      <c r="V24" s="4" t="n">
        <f aca="false">$V$27*V51*(1/COUNTIF($C$26:$CK$26,1))/(MAX(V$30:V$52)-MIN(V$30:V$52))</f>
        <v>0.0173290674791224</v>
      </c>
      <c r="W24" s="4" t="n">
        <f aca="false">$V$27*W51*(1/COUNTIF($C$26:$CK$26,1))/(MAX(W$30:W$52)-MIN(W$30:W$52))</f>
        <v>0.00637164375775517</v>
      </c>
      <c r="X24" s="4" t="n">
        <f aca="false">X51/$CO51</f>
        <v>0.055006450030174</v>
      </c>
      <c r="Y24" s="4" t="n">
        <v>0</v>
      </c>
      <c r="Z24" s="4" t="n">
        <f aca="false">Flows!$AA24/$Z81</f>
        <v>2.43867718562295E-005</v>
      </c>
      <c r="AA24" s="4" t="n">
        <f aca="false">Flows!$AB24/$AA81</f>
        <v>0.0004531700889929</v>
      </c>
      <c r="AB24" s="4" t="n">
        <f aca="false">DemClcs!$A$20*(Populations!$R23+3*Populations!$S23)/AB81</f>
        <v>0.00149916547201687</v>
      </c>
      <c r="AC24" s="4" t="n">
        <f aca="false">Flows!$AD24/$AC81</f>
        <v>0.00360521101641448</v>
      </c>
      <c r="AD24" s="4" t="n">
        <f aca="false">DemClcs!$A$25*(Populations!$R23+3*Populations!$S23)/AD81</f>
        <v>0.0148745073844252</v>
      </c>
      <c r="AE24" s="4" t="n">
        <f aca="false">AE51/$CP51</f>
        <v>0.00875372959322332</v>
      </c>
      <c r="AF24" s="4" t="n">
        <f aca="false">$AF$27*AF51*(1/COUNTIF($C$26:$CK$26,1))/(MAX(AF$30:AF$52)-MIN(AF$30:AF$52))</f>
        <v>0.0189074222039507</v>
      </c>
      <c r="AG24" s="4" t="n">
        <f aca="false">$AF$27*AG51*(1/COUNTIF($C$26:$CK$26,1))/(MAX(AG$30:AG$52)-MIN(AG$30:AG$52))</f>
        <v>0.0257311533277195</v>
      </c>
      <c r="AH24" s="4" t="n">
        <f aca="false">$AF$27*AH51*(1/COUNTIF($C$26:$CK$26,1))/(MAX(AH$30:AH$52)-MIN(AH$30:AH$52))</f>
        <v>0.0237215381571767</v>
      </c>
      <c r="AI24" s="4" t="n">
        <f aca="false">$AF$27*AI51*(1/COUNTIF($C$26:$CK$26,1))/(MAX(AI$30:AI$52)-MIN(AI$30:AI$52))</f>
        <v>0.00126431674713292</v>
      </c>
      <c r="AJ24" s="4" t="n">
        <f aca="false">$AF$27*AJ51*(1/COUNTIF($C$26:$CK$26,1))/(MAX(AJ$30:AJ$52)-MIN(AJ$30:AJ$52))</f>
        <v>0.00894373158766762</v>
      </c>
      <c r="AK24" s="4" t="n">
        <f aca="false">$AF$27*AK51*(1/COUNTIF($C$26:$CK$26,1))/(MAX(AK$30:AK$52)-MIN(AK$30:AK$52))</f>
        <v>0.00333214402600523</v>
      </c>
      <c r="AL24" s="4" t="n">
        <f aca="false">$AF$27*AL51*(1/COUNTIF($C$26:$CK$26,1))/(MAX(AL$30:AL$52)-MIN(AL$30:AL$52))</f>
        <v>0.00509933018052301</v>
      </c>
      <c r="AM24" s="4" t="n">
        <f aca="false">$AF$27*AM51*(1/COUNTIF($C$26:$CK$26,1))/(MAX(AM$30:AM$52)-MIN(AM$30:AM$52))</f>
        <v>0.0011664962269328</v>
      </c>
      <c r="AN24" s="4" t="n">
        <f aca="false">$AF$27*AN51*(1/COUNTIF($C$26:$CK$26,1))/(MAX(AN$30:AN$52)-MIN(AN$30:AN$52))</f>
        <v>0.0256657045625096</v>
      </c>
      <c r="AO24" s="4" t="n">
        <f aca="false">$AF$27*AO51*(1/COUNTIF($C$26:$CK$26,1))/(MAX(AO$30:AO$52)-MIN(AO$30:AO$52))</f>
        <v>0.0123628323327027</v>
      </c>
      <c r="AP24" s="4" t="n">
        <f aca="false">$AF$27*AP51*(1/COUNTIF($C$26:$CK$26,1))/(MAX(AP$30:AP$52)-MIN(AP$30:AP$52))</f>
        <v>0.021432952784241</v>
      </c>
      <c r="AQ24" s="4" t="n">
        <f aca="false">$AF$27*AQ51*(1/COUNTIF($C$26:$CK$26,1))/(MAX(AQ$30:AQ$52)-MIN(AQ$30:AQ$52))</f>
        <v>0.0118711896694979</v>
      </c>
      <c r="AR24" s="4" t="n">
        <f aca="false">$AF$27*AR51*(1/COUNTIF($C$26:$CK$26,1))/(MAX(AR$30:AR$52)-MIN(AR$30:AR$52))</f>
        <v>0.00414541210321078</v>
      </c>
      <c r="AS24" s="4" t="n">
        <f aca="false">$AF$27*AS51*(1/COUNTIF($C$26:$CK$26,1))/(MAX(AS$30:AS$52)-MIN(AS$30:AS$52))</f>
        <v>0.0125252323006309</v>
      </c>
      <c r="AT24" s="4" t="n">
        <f aca="false">AT51/$CP51</f>
        <v>0.0695378789510415</v>
      </c>
      <c r="AU24" s="4" t="n">
        <f aca="false">AU51/$CP51</f>
        <v>0.131145134775801</v>
      </c>
      <c r="AV24" s="4" t="n">
        <f aca="false">$AF$27*AV51*(1/COUNTIF($C$26:$CK$26,1))/(MAX(AV$30:AV$52)-MIN(AV$30:AV$52))</f>
        <v>0.00294795601617931</v>
      </c>
      <c r="AW24" s="4" t="n">
        <f aca="false">SUM(Flows!AX24,Flows!$AZ24)/$AW81</f>
        <v>0.000617802541169392</v>
      </c>
      <c r="AX24" s="4" t="n">
        <f aca="false">$AX$27*AX51*(1/COUNTIF($C$26:$CK$26,1))/(MAX(AX$30:AX$52)-MIN(AX$30:AX$52))</f>
        <v>0.0221421807507921</v>
      </c>
      <c r="AY24" s="4" t="n">
        <f aca="false">SUM(Flows!$BB24:$BE24)*Capacity!BS24/(AY81*SUM(Capacity!$BS24:$BT24))</f>
        <v>0.00345913229496389</v>
      </c>
      <c r="AZ24" s="4" t="n">
        <f aca="false">SUM(Flows!$BB24:$BE24)*Capacity!BT24/(AZ81*SUM(Capacity!$BS24:$BT24))+(DemClcs!$A$56*Populations!$Q23/AZ81)</f>
        <v>0.0192612155013629</v>
      </c>
      <c r="BA24" s="4" t="n">
        <v>0</v>
      </c>
      <c r="BB24" s="4" t="n">
        <f aca="false">$BB$27*BB51*(1/COUNTIF($C$26:$CK$26,1))/(MAX(BB$30:BB$52)-MIN(BB$30:BB$52))</f>
        <v>0.000677882851904029</v>
      </c>
      <c r="BC24" s="4" t="n">
        <f aca="false">$BB$27*BC51*(1/COUNTIF($C$26:$CK$26,1))/(MAX(BC$30:BC$52)-MIN(BC$30:BC$52))</f>
        <v>0.00149813848901219</v>
      </c>
      <c r="BD24" s="4" t="n">
        <f aca="false">$BB$27*BD51*(1/COUNTIF($C$26:$CK$26,1))/(MAX(BD$30:BD$52)-MIN(BD$30:BD$52))</f>
        <v>0.000657710579893352</v>
      </c>
      <c r="BE24" s="4" t="n">
        <f aca="false">$BB$27*BE51*(1/COUNTIF($C$26:$CK$26,1))/(MAX(BE$30:BE$52)-MIN(BE$30:BE$52))</f>
        <v>0.00276976375969477</v>
      </c>
      <c r="BF24" s="4" t="n">
        <f aca="false">(Flows!$BG24+Flows!$BI24)*1.5*Capacity!$BZ25/(15*$BF81*(Capacity!$S24+Capacity!$BZ24))</f>
        <v>1.10332460043015E-005</v>
      </c>
      <c r="BG24" s="4" t="n">
        <f aca="false">DemClcs!$A$47*(Populations!$R23+3*Populations!$S23)*Capacity!CA24/(BG81*SUM(Capacity!$CA24:$CC24,Capacity!$CE24))</f>
        <v>0.00140621916319642</v>
      </c>
      <c r="BH24" s="4" t="n">
        <f aca="false">DemClcs!$A$47*(Populations!$R23+3*Populations!$S23)*Capacity!CB24/(BH81*SUM(Capacity!$CA24:$CC24,Capacity!$CE24))</f>
        <v>0.00176499170225444</v>
      </c>
      <c r="BI24" s="4" t="n">
        <f aca="false">DemClcs!$A$47*(Populations!$R23+3*Populations!$S23)*Capacity!CC24/(BI81*SUM(Capacity!$CA24:$CC24,Capacity!$CE24))</f>
        <v>0.00140621916319642</v>
      </c>
      <c r="BJ24" s="4" t="n">
        <f aca="false">BJ51/$CP51</f>
        <v>0.0544805557264286</v>
      </c>
      <c r="BK24" s="4" t="n">
        <f aca="false">DemClcs!$A$47*(Populations!$R23+3*Populations!$S23)*Capacity!CE24/(BK81*SUM(Capacity!$CA24:$CC24,Capacity!$CE24))</f>
        <v>0.00140621916319642</v>
      </c>
      <c r="BL24" s="4" t="n">
        <f aca="false">BL51/$CP51</f>
        <v>0.117663728254945</v>
      </c>
      <c r="BM24" s="4" t="n">
        <f aca="false">BM51/$CP51</f>
        <v>0.026493232972511</v>
      </c>
      <c r="BN24" s="4" t="n">
        <v>0</v>
      </c>
      <c r="BO24" s="4" t="n">
        <f aca="false">Flows!BT24*16/(25*BR81)</f>
        <v>0.000304860514976623</v>
      </c>
      <c r="BP24" s="4" t="n">
        <f aca="false">SUM(Flows!$AF24:$AS24,Flows!$AV24)/BP81</f>
        <v>8.59116040623811E-006</v>
      </c>
      <c r="BQ24" s="4" t="n">
        <v>0</v>
      </c>
      <c r="BR24" s="4" t="n">
        <f aca="false">Flows!BU24*16/(25*BR81)</f>
        <v>3.04860514976623E-005</v>
      </c>
      <c r="BS24" s="4" t="n">
        <f aca="false">Flows!BV24*16/(25*BS81)</f>
        <v>6.09720344604757E-006</v>
      </c>
      <c r="BT24" s="4" t="n">
        <f aca="false">PRODUCT(Flows!$D52,DemClcs!$A$29:$A$32,$BT$27)/(0.75*BT81)</f>
        <v>5.30633419857193E-006</v>
      </c>
      <c r="BU24" s="4" t="n">
        <f aca="false">PRODUCT(Flows!$D52,DemClcs!$A$29:$A$32,$BT$27)/(0.75*BU81*10)</f>
        <v>4.86413968202427E-006</v>
      </c>
      <c r="BV24" s="4" t="n">
        <f aca="false">PRODUCT(Flows!$D52,DemClcs!$A$29:$A$32,$BT$27)/(0.75*BV81*100)</f>
        <v>4.16926258459223E-006</v>
      </c>
      <c r="BW24" s="4" t="n">
        <v>0</v>
      </c>
      <c r="BX24" s="4" t="n">
        <f aca="false">BX51/$CP51</f>
        <v>0.0848225911726635</v>
      </c>
      <c r="BY24" s="4" t="n">
        <f aca="false">BY51/$CP51</f>
        <v>0.0812258462598351</v>
      </c>
      <c r="BZ24" s="4" t="n">
        <f aca="false">BZ51/$CO51</f>
        <v>0.0854498321175901</v>
      </c>
      <c r="CA24" s="4" t="n">
        <f aca="false">CA51/$CO51</f>
        <v>0.114006907655418</v>
      </c>
      <c r="CB24" s="4" t="n">
        <f aca="false">CB51/$CP51</f>
        <v>0.0848721056674085</v>
      </c>
      <c r="CC24" s="4" t="n">
        <f aca="false">CC51/$CO51</f>
        <v>0.216204020068425</v>
      </c>
      <c r="CD24" s="4" t="n">
        <v>0</v>
      </c>
      <c r="CE24" s="4" t="n">
        <f aca="false">IF(SUM(Flows!$CJ24:$CK24)&gt;Flows!$BA24,(SUM(Flows!$CJ24:$CK24)-Flows!$BA24)/CE81)</f>
        <v>0.000564407341517847</v>
      </c>
      <c r="CF24" s="4" t="n">
        <f aca="false">CF51/$CO51</f>
        <v>0.311684247816295</v>
      </c>
      <c r="CG24" s="4" t="n">
        <f aca="false">CG51/$CO51</f>
        <v>0.0137011984472242</v>
      </c>
      <c r="CH24" s="4" t="n">
        <f aca="false">CH51/$CO51</f>
        <v>0.0511027640767363</v>
      </c>
      <c r="CI24" s="4" t="n">
        <f aca="false">CI51/$CP51</f>
        <v>0.104216167645054</v>
      </c>
      <c r="CJ24" s="4" t="n">
        <f aca="false">CJ$27*CJ51*(1/COUNTIF($C$26:$CK$26,1))/(MAX(CJ$30:CJ$52)-MIN(CJ$30:CJ$52))</f>
        <v>0.00282783883373629</v>
      </c>
      <c r="CK24" s="4" t="n">
        <f aca="false">CK$27*CK51*(1/COUNTIF($C$26:$CK$26,1))/(MAX(CK$30:CK$52)-MIN(CK$30:CK$52))</f>
        <v>0.000100295348000068</v>
      </c>
      <c r="CL24" s="4" t="n">
        <v>0</v>
      </c>
      <c r="CN24" s="4" t="n">
        <f aca="false">SUM(C24:CK24)</f>
        <v>3</v>
      </c>
    </row>
    <row r="25" customFormat="false" ht="12.8" hidden="false" customHeight="false" outlineLevel="0" collapsed="false">
      <c r="A25" s="4" t="s">
        <v>160</v>
      </c>
      <c r="B25" s="7" t="s">
        <v>39</v>
      </c>
      <c r="C25" s="4" t="n">
        <f aca="false">Flows!$BG25*2*Capacity!$S25/(5*15*C82*(Capacity!$S25+Capacity!$BZ25))</f>
        <v>3.68500995324275E-006</v>
      </c>
      <c r="D25" s="4" t="n">
        <f aca="false">(DemClcs!$A$34*(Populations!$R24+3*Populations!$S24)/D82)+MAX((Flows!K25+Flows!M25)/1826.484018+Flows!L25/1111.111111-Flows!$F25,0)/D82</f>
        <v>0.0950135944051927</v>
      </c>
      <c r="E25" s="4" t="n">
        <f aca="false">DemClcs!$A$42*(Populations!$R24+3*Populations!$S24)/E82</f>
        <v>0.00757084607462805</v>
      </c>
      <c r="F25" s="4" t="n">
        <v>0</v>
      </c>
      <c r="G25" s="4" t="n">
        <f aca="false">Flows!Q25*40/G82</f>
        <v>0.00129557145392136</v>
      </c>
      <c r="H25" s="4" t="n">
        <f aca="false">IF(Flows!$AW25&gt;Flows!$Y25,(Flows!$AW25-Flows!$Y25)/H82)</f>
        <v>0</v>
      </c>
      <c r="I25" s="4" t="n">
        <f aca="false">I52/$CN52</f>
        <v>0.0267555231678908</v>
      </c>
      <c r="J25" s="4" t="n">
        <f aca="false">J52/$CN52</f>
        <v>0.973244476832109</v>
      </c>
      <c r="K25" s="4" t="n">
        <v>0</v>
      </c>
      <c r="L25" s="4" t="n">
        <v>0</v>
      </c>
      <c r="M25" s="4" t="n">
        <v>0</v>
      </c>
      <c r="N25" s="4" t="n">
        <f aca="false">SUM(Flows!$V25,Flows!$W25)/$N82</f>
        <v>0.0015158249683959</v>
      </c>
      <c r="O25" s="4" t="n">
        <v>0</v>
      </c>
      <c r="P25" s="4" t="n">
        <v>0</v>
      </c>
      <c r="Q25" s="4" t="n">
        <f aca="false">$Q$27*Q52*(1/COUNTIF($C$26:$CK$26,1))/(MAX(Q$30:Q$52)-MIN(Q$30:Q$52))</f>
        <v>0.00299121789138039</v>
      </c>
      <c r="R25" s="4" t="n">
        <f aca="false">$R$27*R52*(1/COUNTIF($C$26:$CK$26,1))/(MAX(R$30:R$52)-MIN(R$30:R$52))+0.5/COUNTIF($C$26:$CK$26,1)</f>
        <v>0.0302897085022765</v>
      </c>
      <c r="S25" s="4" t="n">
        <v>0</v>
      </c>
      <c r="T25" s="4" t="n">
        <v>0</v>
      </c>
      <c r="U25" s="4" t="n">
        <v>0</v>
      </c>
      <c r="V25" s="4" t="n">
        <f aca="false">$V$27*V52*(1/COUNTIF($C$26:$CK$26,1))/(MAX(V$30:V$52)-MIN(V$30:V$52))</f>
        <v>0.0206128966193082</v>
      </c>
      <c r="W25" s="4" t="n">
        <f aca="false">$V$27*W52*(1/COUNTIF($C$26:$CK$26,1))/(MAX(W$30:W$52)-MIN(W$30:W$52))</f>
        <v>0.0156029315948268</v>
      </c>
      <c r="X25" s="4" t="n">
        <f aca="false">X52/$CO52</f>
        <v>0.0257264587279356</v>
      </c>
      <c r="Y25" s="4" t="n">
        <v>0</v>
      </c>
      <c r="Z25" s="4" t="n">
        <f aca="false">Flows!$AA25/$Z82</f>
        <v>3.24556687357504E-005</v>
      </c>
      <c r="AA25" s="4" t="n">
        <f aca="false">Flows!$AB25/$AA82</f>
        <v>0.000743331249927932</v>
      </c>
      <c r="AB25" s="4" t="n">
        <f aca="false">DemClcs!$A$20*(Populations!$R24+3*Populations!$S24)/AB82</f>
        <v>0.0021764545169488</v>
      </c>
      <c r="AC25" s="4" t="n">
        <f aca="false">Flows!$AD25/$AC82</f>
        <v>0.00597449866733977</v>
      </c>
      <c r="AD25" s="4" t="n">
        <f aca="false">DemClcs!$A$25*(Populations!$R24+3*Populations!$S24)/AD82</f>
        <v>0.0215944733176567</v>
      </c>
      <c r="AE25" s="4" t="n">
        <f aca="false">AE52/$CP52</f>
        <v>0.0539114185336077</v>
      </c>
      <c r="AF25" s="4" t="n">
        <f aca="false">$AF$27*AF52*(1/COUNTIF($C$26:$CK$26,1))/(MAX(AF$30:AF$52)-MIN(AF$30:AF$52))</f>
        <v>0.00940706594849453</v>
      </c>
      <c r="AG25" s="4" t="n">
        <f aca="false">$AF$27*AG52*(1/COUNTIF($C$26:$CK$26,1))/(MAX(AG$30:AG$52)-MIN(AG$30:AG$52))</f>
        <v>0.0227942924302306</v>
      </c>
      <c r="AH25" s="4" t="n">
        <f aca="false">$AF$27*AH52*(1/COUNTIF($C$26:$CK$26,1))/(MAX(AH$30:AH$52)-MIN(AH$30:AH$52))</f>
        <v>0.0298781334932789</v>
      </c>
      <c r="AI25" s="4" t="n">
        <f aca="false">$AF$27*AI52*(1/COUNTIF($C$26:$CK$26,1))/(MAX(AI$30:AI$52)-MIN(AI$30:AI$52))</f>
        <v>0.00551131609656142</v>
      </c>
      <c r="AJ25" s="4" t="n">
        <f aca="false">$AF$27*AJ52*(1/COUNTIF($C$26:$CK$26,1))/(MAX(AJ$30:AJ$52)-MIN(AJ$30:AJ$52))</f>
        <v>0.0298297629785522</v>
      </c>
      <c r="AK25" s="4" t="n">
        <f aca="false">$AF$27*AK52*(1/COUNTIF($C$26:$CK$26,1))/(MAX(AK$30:AK$52)-MIN(AK$30:AK$52))</f>
        <v>0.0273855048615367</v>
      </c>
      <c r="AL25" s="4" t="n">
        <f aca="false">$AF$27*AL52*(1/COUNTIF($C$26:$CK$26,1))/(MAX(AL$30:AL$52)-MIN(AL$30:AL$52))</f>
        <v>0.00451045454750191</v>
      </c>
      <c r="AM25" s="4" t="n">
        <f aca="false">$AF$27*AM52*(1/COUNTIF($C$26:$CK$26,1))/(MAX(AM$30:AM$52)-MIN(AM$30:AM$52))</f>
        <v>0.0220878724855549</v>
      </c>
      <c r="AN25" s="4" t="n">
        <f aca="false">$AF$27*AN52*(1/COUNTIF($C$26:$CK$26,1))/(MAX(AN$30:AN$52)-MIN(AN$30:AN$52))</f>
        <v>0.0282767078690108</v>
      </c>
      <c r="AO25" s="4" t="n">
        <f aca="false">$AF$27*AO52*(1/COUNTIF($C$26:$CK$26,1))/(MAX(AO$30:AO$52)-MIN(AO$30:AO$52))</f>
        <v>0.011167317139</v>
      </c>
      <c r="AP25" s="4" t="n">
        <f aca="false">$AF$27*AP52*(1/COUNTIF($C$26:$CK$26,1))/(MAX(AP$30:AP$52)-MIN(AP$30:AP$52))</f>
        <v>0.00638446373361983</v>
      </c>
      <c r="AQ25" s="4" t="n">
        <f aca="false">$AF$27*AQ52*(1/COUNTIF($C$26:$CK$26,1))/(MAX(AQ$30:AQ$52)-MIN(AQ$30:AQ$52))</f>
        <v>0.0229085023497723</v>
      </c>
      <c r="AR25" s="4" t="n">
        <f aca="false">$AF$27*AR52*(1/COUNTIF($C$26:$CK$26,1))/(MAX(AR$30:AR$52)-MIN(AR$30:AR$52))</f>
        <v>0.001967834611128</v>
      </c>
      <c r="AS25" s="4" t="n">
        <f aca="false">$AF$27*AS52*(1/COUNTIF($C$26:$CK$26,1))/(MAX(AS$30:AS$52)-MIN(AS$30:AS$52))</f>
        <v>0.0149976194799602</v>
      </c>
      <c r="AT25" s="4" t="n">
        <f aca="false">AT52/$CP52</f>
        <v>0.0921154853918439</v>
      </c>
      <c r="AU25" s="4" t="n">
        <f aca="false">AU52/$CP52</f>
        <v>0.0650369954596473</v>
      </c>
      <c r="AV25" s="4" t="n">
        <f aca="false">$AF$27*AV52*(1/COUNTIF($C$26:$CK$26,1))/(MAX(AV$30:AV$52)-MIN(AV$30:AV$52))</f>
        <v>0.0264983333084296</v>
      </c>
      <c r="AW25" s="4" t="n">
        <f aca="false">SUM(Flows!AX25,Flows!$AZ25)/$AW82</f>
        <v>0.000993660130987297</v>
      </c>
      <c r="AX25" s="4" t="n">
        <f aca="false">$AX$27*AX52*(1/COUNTIF($C$26:$CK$26,1))/(MAX(AX$30:AX$52)-MIN(AX$30:AX$52))</f>
        <v>0.0208564210279317</v>
      </c>
      <c r="AY25" s="4" t="n">
        <f aca="false">SUM(Flows!$BB25:$BE25)*Capacity!BS25/(AY82*SUM(Capacity!$BS25:$BT25))</f>
        <v>0.0062457879884025</v>
      </c>
      <c r="AZ25" s="4" t="n">
        <f aca="false">SUM(Flows!$BB25:$BE25)*Capacity!BT25/(AZ82*SUM(Capacity!$BS25:$BT25))+(DemClcs!$A$56*Populations!$Q24/AZ82)</f>
        <v>0.0299654635211112</v>
      </c>
      <c r="BA25" s="4" t="n">
        <v>0</v>
      </c>
      <c r="BB25" s="4" t="n">
        <f aca="false">$BB$27*BB52*(1/COUNTIF($C$26:$CK$26,1))/(MAX(BB$30:BB$52)-MIN(BB$30:BB$52))</f>
        <v>0.00302984680601457</v>
      </c>
      <c r="BC25" s="4" t="n">
        <f aca="false">$BB$27*BC52*(1/COUNTIF($C$26:$CK$26,1))/(MAX(BC$30:BC$52)-MIN(BC$30:BC$52))</f>
        <v>0.00151666001713611</v>
      </c>
      <c r="BD25" s="4" t="n">
        <f aca="false">$BB$27*BD52*(1/COUNTIF($C$26:$CK$26,1))/(MAX(BD$30:BD$52)-MIN(BD$30:BD$52))</f>
        <v>0.00047535461171455</v>
      </c>
      <c r="BE25" s="4" t="n">
        <f aca="false">$BB$27*BE52*(1/COUNTIF($C$26:$CK$26,1))/(MAX(BE$30:BE$52)-MIN(BE$30:BE$52))</f>
        <v>0.00209454640820193</v>
      </c>
      <c r="BF25" s="4" t="n">
        <f aca="false">(Flows!$BG25+Flows!$BI25)*1.5*Capacity!$BZ26/(15*$BF82*(Capacity!$S25+Capacity!$BZ25))</f>
        <v>0</v>
      </c>
      <c r="BG25" s="4" t="n">
        <f aca="false">DemClcs!$A$47*(Populations!$R24+3*Populations!$S24)*Capacity!CA25/(BG82*SUM(Capacity!$CA25:$CC25,Capacity!$CE25))</f>
        <v>0.00197210500525988</v>
      </c>
      <c r="BH25" s="4" t="n">
        <f aca="false">DemClcs!$A$47*(Populations!$R24+3*Populations!$S24)*Capacity!CB25/(BH82*SUM(Capacity!$CA25:$CC25,Capacity!$CE25))</f>
        <v>0.00250960036414573</v>
      </c>
      <c r="BI25" s="4" t="n">
        <f aca="false">DemClcs!$A$47*(Populations!$R24+3*Populations!$S24)*Capacity!CC25/(BI82*SUM(Capacity!$CA25:$CC25,Capacity!$CE25))</f>
        <v>0.00197210500525988</v>
      </c>
      <c r="BJ25" s="4" t="n">
        <f aca="false">BJ52/$CP52</f>
        <v>0.0739275593317854</v>
      </c>
      <c r="BK25" s="4" t="n">
        <f aca="false">DemClcs!$A$47*(Populations!$R24+3*Populations!$S24)*Capacity!CE25/(BK82*SUM(Capacity!$CA25:$CC25,Capacity!$CE25))</f>
        <v>0.00197210500525988</v>
      </c>
      <c r="BL25" s="4" t="n">
        <f aca="false">BL52/$CP52</f>
        <v>0.101844692340861</v>
      </c>
      <c r="BM25" s="4" t="n">
        <f aca="false">BM52/$CP52</f>
        <v>0.045473032600939</v>
      </c>
      <c r="BN25" s="4" t="n">
        <v>0</v>
      </c>
      <c r="BO25" s="4" t="n">
        <f aca="false">Flows!BT25*16/(25*BR82)</f>
        <v>0.000711861687946074</v>
      </c>
      <c r="BP25" s="4" t="n">
        <f aca="false">SUM(Flows!$AF25:$AS25,Flows!$AV25)/BP82</f>
        <v>1.39226269034768E-005</v>
      </c>
      <c r="BQ25" s="4" t="n">
        <v>0</v>
      </c>
      <c r="BR25" s="4" t="n">
        <f aca="false">Flows!BU25*16/(25*BR82)</f>
        <v>7.11861687946075E-005</v>
      </c>
      <c r="BS25" s="4" t="n">
        <f aca="false">Flows!BV25*16/(25*BS82)</f>
        <v>1.42372178657721E-005</v>
      </c>
      <c r="BT25" s="4" t="n">
        <f aca="false">PRODUCT(Flows!$D53,DemClcs!$A$29:$A$32,$BT$27)/(0.75*BT82)</f>
        <v>7.6891362645687E-006</v>
      </c>
      <c r="BU25" s="4" t="n">
        <f aca="false">PRODUCT(Flows!$D53,DemClcs!$A$29:$A$32,$BT$27)/(0.75*BU82*10)</f>
        <v>7.04837490918798E-006</v>
      </c>
      <c r="BV25" s="4" t="n">
        <f aca="false">PRODUCT(Flows!$D53,DemClcs!$A$29:$A$32,$BT$27)/(0.75*BV82*100)</f>
        <v>6.04146420787541E-006</v>
      </c>
      <c r="BW25" s="4" t="n">
        <v>0</v>
      </c>
      <c r="BX25" s="4" t="n">
        <f aca="false">BX52/$CP52</f>
        <v>0.0950432932312758</v>
      </c>
      <c r="BY25" s="4" t="n">
        <f aca="false">BY52/$CP52</f>
        <v>0.0365097744933888</v>
      </c>
      <c r="BZ25" s="4" t="n">
        <f aca="false">BZ52/$CO52</f>
        <v>0.123444964202378</v>
      </c>
      <c r="CA25" s="4" t="n">
        <f aca="false">CA52/$CO52</f>
        <v>0.0465183241733821</v>
      </c>
      <c r="CB25" s="4" t="n">
        <f aca="false">CB52/$CP52</f>
        <v>0.0485399090323707</v>
      </c>
      <c r="CC25" s="4" t="n">
        <f aca="false">CC52/$CO52</f>
        <v>0.12106129728539</v>
      </c>
      <c r="CD25" s="4" t="n">
        <v>0</v>
      </c>
      <c r="CE25" s="4" t="n">
        <f aca="false">IF(SUM(Flows!$CJ25:$CK25)&gt;Flows!$BA25,(SUM(Flows!$CJ25:$CK25)-Flows!$BA25)/CE82)</f>
        <v>0.00587088828619568</v>
      </c>
      <c r="CF25" s="4" t="n">
        <f aca="false">CF52/$CO52</f>
        <v>0.205034177406626</v>
      </c>
      <c r="CG25" s="4" t="n">
        <f aca="false">CG52/$CO52</f>
        <v>0.0710672516752166</v>
      </c>
      <c r="CH25" s="4" t="n">
        <f aca="false">CH52/$CO52</f>
        <v>0.20070791312249</v>
      </c>
      <c r="CI25" s="4" t="n">
        <f aca="false">CI52/$CP52</f>
        <v>0.0433156347238698</v>
      </c>
      <c r="CJ25" s="4" t="n">
        <f aca="false">CJ$27*CJ52*(1/COUNTIF($C$26:$CK$26,1))/(MAX(CJ$30:CJ$52)-MIN(CJ$30:CJ$52))</f>
        <v>0.000784235945286342</v>
      </c>
      <c r="CK25" s="4" t="n">
        <f aca="false">CK$27*CK52*(1/COUNTIF($C$26:$CK$26,1))/(MAX(CK$30:CK$52)-MIN(CK$30:CK$52))</f>
        <v>0.000608380194069783</v>
      </c>
      <c r="CL25" s="4" t="n">
        <v>0</v>
      </c>
      <c r="CN25" s="4" t="n">
        <f aca="false">SUM(C25:CK25)</f>
        <v>3</v>
      </c>
    </row>
    <row r="26" customFormat="false" ht="12.8" hidden="false" customHeight="false" outlineLevel="0" collapsed="false">
      <c r="A26" s="4" t="s">
        <v>276</v>
      </c>
      <c r="B26" s="7" t="s">
        <v>39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1</v>
      </c>
      <c r="J26" s="4" t="n">
        <v>1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1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1</v>
      </c>
      <c r="AU26" s="4" t="n">
        <v>1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1</v>
      </c>
      <c r="BK26" s="4" t="n">
        <v>0</v>
      </c>
      <c r="BL26" s="4" t="n">
        <v>1</v>
      </c>
      <c r="BM26" s="4" t="n">
        <v>1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1</v>
      </c>
      <c r="BY26" s="4" t="n">
        <v>1</v>
      </c>
      <c r="BZ26" s="4" t="n">
        <v>1</v>
      </c>
      <c r="CA26" s="4" t="n">
        <v>1</v>
      </c>
      <c r="CB26" s="4" t="n">
        <v>1</v>
      </c>
      <c r="CC26" s="4" t="n">
        <v>1</v>
      </c>
      <c r="CD26" s="4" t="n">
        <v>0</v>
      </c>
      <c r="CE26" s="4" t="n">
        <v>0</v>
      </c>
      <c r="CF26" s="4" t="n">
        <v>1</v>
      </c>
      <c r="CG26" s="4" t="n">
        <v>1</v>
      </c>
      <c r="CH26" s="4" t="n">
        <v>1</v>
      </c>
      <c r="CI26" s="4" t="n">
        <v>1</v>
      </c>
      <c r="CJ26" s="4" t="n">
        <v>0</v>
      </c>
      <c r="CK26" s="4" t="n">
        <v>0</v>
      </c>
      <c r="CL26" s="4" t="n">
        <v>0</v>
      </c>
    </row>
    <row r="27" customFormat="false" ht="12.8" hidden="false" customHeight="false" outlineLevel="0" collapsed="false">
      <c r="A27" s="4" t="s">
        <v>277</v>
      </c>
      <c r="B27" s="7" t="s">
        <v>39</v>
      </c>
      <c r="C27" s="14" t="n">
        <f aca="false" t="array" ref="C27:C27">MIN(IF(C3:CK25&lt;&gt;0,C3:CK25))</f>
        <v>9.41757863712173E-007</v>
      </c>
      <c r="D27" s="4" t="n">
        <v>1</v>
      </c>
      <c r="Q27" s="4" t="n">
        <v>0.1</v>
      </c>
      <c r="R27" s="4" t="n">
        <v>0.1</v>
      </c>
      <c r="V27" s="4" t="n">
        <v>0.5</v>
      </c>
      <c r="AF27" s="4" t="n">
        <v>0.5</v>
      </c>
      <c r="AX27" s="4" t="n">
        <v>0.5</v>
      </c>
      <c r="BB27" s="4" t="n">
        <v>0.05</v>
      </c>
      <c r="BC27" s="4" t="s">
        <v>278</v>
      </c>
      <c r="BT27" s="4" t="n">
        <f aca="false">1/(8*Cash!$BT$3)</f>
        <v>0.00625</v>
      </c>
      <c r="CJ27" s="4" t="n">
        <v>0.05</v>
      </c>
      <c r="CK27" s="4" t="n">
        <v>0.05</v>
      </c>
      <c r="CL27" s="4" t="n">
        <v>0</v>
      </c>
    </row>
    <row r="28" customFormat="false" ht="12.8" hidden="false" customHeight="false" outlineLevel="0" collapsed="false">
      <c r="B28" s="7" t="s">
        <v>39</v>
      </c>
      <c r="D28" s="15"/>
      <c r="Q28" s="4" t="s">
        <v>279</v>
      </c>
      <c r="R28" s="4" t="s">
        <v>279</v>
      </c>
      <c r="V28" s="4" t="s">
        <v>279</v>
      </c>
      <c r="AF28" s="4" t="s">
        <v>280</v>
      </c>
      <c r="AX28" s="4" t="s">
        <v>279</v>
      </c>
      <c r="BT28" s="4" t="s">
        <v>281</v>
      </c>
      <c r="CJ28" s="4" t="s">
        <v>279</v>
      </c>
      <c r="CK28" s="4" t="s">
        <v>279</v>
      </c>
      <c r="CL28" s="4" t="n">
        <v>0</v>
      </c>
    </row>
    <row r="29" customFormat="false" ht="12.8" hidden="false" customHeight="false" outlineLevel="0" collapsed="false">
      <c r="B29" s="7" t="s">
        <v>39</v>
      </c>
      <c r="CL29" s="4" t="n">
        <v>0</v>
      </c>
      <c r="CN29" s="4" t="s">
        <v>282</v>
      </c>
      <c r="CO29" s="4" t="s">
        <v>283</v>
      </c>
      <c r="CP29" s="4" t="s">
        <v>284</v>
      </c>
    </row>
    <row r="30" customFormat="false" ht="12.8" hidden="false" customHeight="false" outlineLevel="0" collapsed="false">
      <c r="A30" s="4" t="s">
        <v>131</v>
      </c>
      <c r="B30" s="7" t="s">
        <v>39</v>
      </c>
      <c r="C30" s="4" t="n">
        <v>0.629292986669907</v>
      </c>
      <c r="D30" s="4" t="n">
        <v>0.80320569437325</v>
      </c>
      <c r="E30" s="4" t="n">
        <v>0.19775014103592</v>
      </c>
      <c r="F30" s="4" t="n">
        <v>0.0832212911192912</v>
      </c>
      <c r="G30" s="4" t="n">
        <v>0.0224156767490553</v>
      </c>
      <c r="H30" s="4" t="n">
        <v>0.703763388979979</v>
      </c>
      <c r="I30" s="4" t="n">
        <v>0.293566380243149</v>
      </c>
      <c r="J30" s="4" t="n">
        <v>0.751581191917619</v>
      </c>
      <c r="K30" s="4" t="n">
        <v>0.450344603228003</v>
      </c>
      <c r="L30" s="4" t="n">
        <v>0.0968888728992028</v>
      </c>
      <c r="M30" s="4" t="n">
        <v>0.244841172960649</v>
      </c>
      <c r="N30" s="4" t="n">
        <v>0.13568133198582</v>
      </c>
      <c r="O30" s="4" t="n">
        <v>0.40882590559579</v>
      </c>
      <c r="P30" s="4" t="n">
        <v>0.169549638372935</v>
      </c>
      <c r="Q30" s="4" t="n">
        <v>0.00832274105642539</v>
      </c>
      <c r="R30" s="4" t="n">
        <v>0.335135520228765</v>
      </c>
      <c r="S30" s="4" t="n">
        <v>0.0270841290916124</v>
      </c>
      <c r="T30" s="4" t="n">
        <v>0.681405184818321</v>
      </c>
      <c r="U30" s="4" t="n">
        <v>0.37772679426849</v>
      </c>
      <c r="V30" s="4" t="n">
        <v>0.199228911524961</v>
      </c>
      <c r="W30" s="4" t="n">
        <v>0.134397864158325</v>
      </c>
      <c r="X30" s="4" t="n">
        <v>0.851884247523626</v>
      </c>
      <c r="Y30" s="4" t="n">
        <v>0.173540440144618</v>
      </c>
      <c r="Z30" s="4" t="n">
        <v>0.807757560677892</v>
      </c>
      <c r="AA30" s="4" t="n">
        <v>0.433412926388531</v>
      </c>
      <c r="AB30" s="4" t="n">
        <v>0.751674540924522</v>
      </c>
      <c r="AC30" s="4" t="n">
        <v>0.66108841953564</v>
      </c>
      <c r="AD30" s="4" t="n">
        <v>0.177192678303717</v>
      </c>
      <c r="AE30" s="4" t="n">
        <v>0.190008083008582</v>
      </c>
      <c r="AF30" s="4" t="n">
        <v>0.720160363628519</v>
      </c>
      <c r="AG30" s="4" t="n">
        <v>0.267077670396351</v>
      </c>
      <c r="AH30" s="4" t="n">
        <v>0.921364056762595</v>
      </c>
      <c r="AI30" s="4" t="n">
        <v>0.878477912891061</v>
      </c>
      <c r="AJ30" s="4" t="n">
        <v>0.695780821768751</v>
      </c>
      <c r="AK30" s="4" t="n">
        <v>0.500581310208593</v>
      </c>
      <c r="AL30" s="4" t="n">
        <v>0.546461701561239</v>
      </c>
      <c r="AM30" s="4" t="n">
        <v>0.108945478178555</v>
      </c>
      <c r="AN30" s="4" t="n">
        <v>0.0579900936075094</v>
      </c>
      <c r="AO30" s="4" t="n">
        <v>0.067073998872802</v>
      </c>
      <c r="AP30" s="4" t="n">
        <v>0.663788050893629</v>
      </c>
      <c r="AQ30" s="4" t="n">
        <v>0.15422738794159</v>
      </c>
      <c r="AR30" s="4" t="n">
        <v>0.279602652382881</v>
      </c>
      <c r="AS30" s="4" t="n">
        <v>0.0486861839293142</v>
      </c>
      <c r="AT30" s="4" t="n">
        <v>0.108589610936806</v>
      </c>
      <c r="AU30" s="4" t="n">
        <v>0.535232228783126</v>
      </c>
      <c r="AV30" s="4" t="n">
        <v>0.53626516187345</v>
      </c>
      <c r="AW30" s="4" t="n">
        <v>0.319468969572986</v>
      </c>
      <c r="AX30" s="4" t="n">
        <v>0.843984635950639</v>
      </c>
      <c r="AY30" s="4" t="n">
        <v>0.674158965207418</v>
      </c>
      <c r="AZ30" s="4" t="n">
        <v>0.41288837475739</v>
      </c>
      <c r="BA30" s="4" t="n">
        <v>0.213834317227809</v>
      </c>
      <c r="BB30" s="4" t="n">
        <v>0.643437527800846</v>
      </c>
      <c r="BC30" s="4" t="n">
        <v>0.66764738199289</v>
      </c>
      <c r="BD30" s="4" t="n">
        <v>0.768301148291715</v>
      </c>
      <c r="BE30" s="4" t="n">
        <v>0.287854328972581</v>
      </c>
      <c r="BF30" s="4" t="n">
        <v>0.113915990998493</v>
      </c>
      <c r="BG30" s="4" t="n">
        <v>0.944413931682734</v>
      </c>
      <c r="BH30" s="4" t="n">
        <v>0.876890545619558</v>
      </c>
      <c r="BI30" s="4" t="n">
        <v>0.850065750145351</v>
      </c>
      <c r="BJ30" s="4" t="n">
        <v>0.624040678129719</v>
      </c>
      <c r="BK30" s="4" t="n">
        <v>0.372793128086181</v>
      </c>
      <c r="BL30" s="4" t="n">
        <v>0.831963605797937</v>
      </c>
      <c r="BM30" s="4" t="n">
        <v>0.130149912994652</v>
      </c>
      <c r="BN30" s="4" t="n">
        <v>0.0976533228649393</v>
      </c>
      <c r="BO30" s="4" t="n">
        <v>0.0628574305755143</v>
      </c>
      <c r="BP30" s="4" t="n">
        <v>0.627194705644456</v>
      </c>
      <c r="BQ30" s="4" t="n">
        <v>0.581993949829759</v>
      </c>
      <c r="BR30" s="4" t="n">
        <v>0.672840651233342</v>
      </c>
      <c r="BS30" s="4" t="n">
        <v>0.0600169124084885</v>
      </c>
      <c r="BT30" s="4" t="n">
        <v>0.577279380939339</v>
      </c>
      <c r="BU30" s="4" t="n">
        <v>0.969143580326696</v>
      </c>
      <c r="BV30" s="4" t="n">
        <v>0.135440296019038</v>
      </c>
      <c r="BW30" s="4" t="n">
        <v>0.359611689661401</v>
      </c>
      <c r="BX30" s="4" t="n">
        <v>0.265701597934274</v>
      </c>
      <c r="BY30" s="4" t="n">
        <v>0.802130140467444</v>
      </c>
      <c r="BZ30" s="4" t="n">
        <v>0.46453273081661</v>
      </c>
      <c r="CA30" s="4" t="n">
        <v>0.718208671487015</v>
      </c>
      <c r="CB30" s="4" t="n">
        <v>0.367160025533285</v>
      </c>
      <c r="CC30" s="4" t="n">
        <v>0.446440823760651</v>
      </c>
      <c r="CD30" s="4" t="n">
        <v>0.316700404237064</v>
      </c>
      <c r="CE30" s="4" t="n">
        <v>0.699554645810985</v>
      </c>
      <c r="CF30" s="4" t="n">
        <v>0.0823869095266726</v>
      </c>
      <c r="CG30" s="4" t="n">
        <v>0.0279119138209303</v>
      </c>
      <c r="CH30" s="4" t="n">
        <v>0.152104336362642</v>
      </c>
      <c r="CI30" s="4" t="n">
        <v>0.584148744294397</v>
      </c>
      <c r="CJ30" s="4" t="n">
        <v>0.54547351372509</v>
      </c>
      <c r="CK30" s="4" t="n">
        <v>0.583668441802942</v>
      </c>
      <c r="CL30" s="4" t="n">
        <v>0</v>
      </c>
      <c r="CN30" s="0" t="n">
        <f aca="false" t="array" ref="CN30:CN30">SUM($I$26:$J$26*$I30:$J30)/(1-SUM(IF($I$26:$J$26=0,$I3:$J3,0)))</f>
        <v>1.04514757216077</v>
      </c>
      <c r="CO30" s="4" t="n">
        <f aca="false" t="array" ref="CO30:CO30">SUM($C$26:$H$26*$C30:$H30,$K$26:$N$26*$K30:$N30,$R$26:$U$26*$R30:$U30,$X$26:$Z$26*$X30:$Z30,$AC$26*$AC30,$AW$26:$BA$26*$AW30:$BA30,$BF$26*$BF30,$BN$26:$BS$26*$BN30:$BS30,$BZ$26:$CA$26*$BZ30:$CA30,$CC$26:$CH$26*$CC30:$CH30)/(1-SUM(IF($C$26:$H$26=0,$C3:$H3,0),IF($K$26:$N$26=0,$K3:$N3,0),IF($R$26:$U$26=0,$R3:$U3,0),IF($X$26:$Z$26=0,$X3:$Z3,0),IF($AC$26=0,$AC3,0),IF($AW$26:$BA$26=0,$AW3:$BA3,0),IF($BF$26=0,$BF3,0),IF($BN$26:$BS$26=0,$BN3:$BS3,0),IF($BZ$26:$CA$26=0,$BZ3:$CA3,0),IF($CC$26:$CH$26=0,$CC3:$CH3,0)))</f>
        <v>3.33176535083428</v>
      </c>
      <c r="CP30" s="4" t="n">
        <f aca="false" t="array" ref="CP30:CP30">SUM($O$26:$Q$26*$O30:$Q30,$V$26:$W$26*$V30:$W30,$AA$26:$AB$26*$AA30:$AB30,$AD$26:$AV$26*$AD30:$AV30,$BB$26:$BE$26*$BB30:$BE30,$BG$26:$BM$26*$BG30:$BM30,$BT$26:$BY$26*$BT30:$BY30,$CB$26*$CB30,$CI$26:$CK$26*$CI30:$CK30)/(1-SUM(IF($O$26:$Q$26=0,$O3:$Q3,0),IF($V$26:$W$26=0,$V3:$W3,0),IF($AA$26:$AB$26=0,$AA3:$AB3,0),IF($AD$26:$AV$26=0,$AD3:$AV3,0),IF($BB$26:$BE$26=0,$BB3:$BE3,0),IF($BG$26:$BM$26=0,$BG3:$BM3,0),IF($BT$26:$BY$26=0,$BT3:$BY3,0),IF($CB$26=0,$CB3,0),IF($CI$26:$CK$26=0,$CI3:$CK3,0)))</f>
        <v>5.84671084668812</v>
      </c>
    </row>
    <row r="31" customFormat="false" ht="12.8" hidden="false" customHeight="false" outlineLevel="0" collapsed="false">
      <c r="A31" s="4" t="s">
        <v>133</v>
      </c>
      <c r="B31" s="7" t="s">
        <v>39</v>
      </c>
      <c r="C31" s="4" t="n">
        <v>0.00529487473121889</v>
      </c>
      <c r="D31" s="4" t="n">
        <v>0.012660931549106</v>
      </c>
      <c r="E31" s="4" t="n">
        <v>0.106914889248937</v>
      </c>
      <c r="F31" s="4" t="n">
        <v>0.175110533761309</v>
      </c>
      <c r="G31" s="4" t="n">
        <v>0.511800764038806</v>
      </c>
      <c r="H31" s="4" t="n">
        <v>0.131507647244037</v>
      </c>
      <c r="I31" s="4" t="n">
        <v>0.949361186995814</v>
      </c>
      <c r="J31" s="4" t="n">
        <v>0.870814528378693</v>
      </c>
      <c r="K31" s="4" t="n">
        <v>0.217001169698687</v>
      </c>
      <c r="L31" s="4" t="n">
        <v>0.497131009120326</v>
      </c>
      <c r="M31" s="4" t="n">
        <v>0.523413411515342</v>
      </c>
      <c r="N31" s="4" t="n">
        <v>0.566922025383116</v>
      </c>
      <c r="O31" s="4" t="n">
        <v>0.0153194398715261</v>
      </c>
      <c r="P31" s="4" t="n">
        <v>0.499654693659389</v>
      </c>
      <c r="Q31" s="4" t="n">
        <v>0.496523059492522</v>
      </c>
      <c r="R31" s="4" t="n">
        <v>0.209304649107462</v>
      </c>
      <c r="S31" s="4" t="n">
        <v>0.000387186435656763</v>
      </c>
      <c r="T31" s="4" t="n">
        <v>0.374298737209063</v>
      </c>
      <c r="U31" s="4" t="n">
        <v>0.479087424946828</v>
      </c>
      <c r="V31" s="4" t="n">
        <v>0.736477869604588</v>
      </c>
      <c r="W31" s="4" t="n">
        <v>0.506763507391844</v>
      </c>
      <c r="X31" s="4" t="n">
        <v>0.588889828670517</v>
      </c>
      <c r="Y31" s="4" t="n">
        <v>0.320940498969796</v>
      </c>
      <c r="Z31" s="4" t="n">
        <v>0.88695585903107</v>
      </c>
      <c r="AA31" s="4" t="n">
        <v>0.900239773048632</v>
      </c>
      <c r="AB31" s="4" t="n">
        <v>0.419128320528068</v>
      </c>
      <c r="AC31" s="4" t="n">
        <v>0.520481029083563</v>
      </c>
      <c r="AD31" s="4" t="n">
        <v>0.291861545992279</v>
      </c>
      <c r="AE31" s="4" t="n">
        <v>0.880185293588343</v>
      </c>
      <c r="AF31" s="4" t="n">
        <v>0.378163096610663</v>
      </c>
      <c r="AG31" s="4" t="n">
        <v>0.797696415937594</v>
      </c>
      <c r="AH31" s="4" t="n">
        <v>0.447342809068512</v>
      </c>
      <c r="AI31" s="4" t="n">
        <v>0.988911388341852</v>
      </c>
      <c r="AJ31" s="4" t="n">
        <v>0.155013402232827</v>
      </c>
      <c r="AK31" s="4" t="n">
        <v>0.38654221297178</v>
      </c>
      <c r="AL31" s="4" t="n">
        <v>0.0323168359465103</v>
      </c>
      <c r="AM31" s="4" t="n">
        <v>0.551581336796145</v>
      </c>
      <c r="AN31" s="4" t="n">
        <v>0.672548608045334</v>
      </c>
      <c r="AO31" s="4" t="n">
        <v>0.0796391635831219</v>
      </c>
      <c r="AP31" s="4" t="n">
        <v>0.831203915933401</v>
      </c>
      <c r="AQ31" s="4" t="n">
        <v>0.753132903213326</v>
      </c>
      <c r="AR31" s="4" t="n">
        <v>0.346684655404493</v>
      </c>
      <c r="AS31" s="4" t="n">
        <v>0.347741852770988</v>
      </c>
      <c r="AT31" s="4" t="n">
        <v>0.528412345428609</v>
      </c>
      <c r="AU31" s="4" t="n">
        <v>0.00161437302048753</v>
      </c>
      <c r="AV31" s="4" t="n">
        <v>0.717416519294916</v>
      </c>
      <c r="AW31" s="4" t="n">
        <v>0.62411651984343</v>
      </c>
      <c r="AX31" s="4" t="n">
        <v>0.507889563150041</v>
      </c>
      <c r="AY31" s="4" t="n">
        <v>0.0403017552299589</v>
      </c>
      <c r="AZ31" s="4" t="n">
        <v>0.197462434890134</v>
      </c>
      <c r="BA31" s="4" t="n">
        <v>0.26207258277073</v>
      </c>
      <c r="BB31" s="4" t="n">
        <v>0.227182103334431</v>
      </c>
      <c r="BC31" s="4" t="n">
        <v>0.270198954931108</v>
      </c>
      <c r="BD31" s="4" t="n">
        <v>0.121952863714532</v>
      </c>
      <c r="BE31" s="4" t="n">
        <v>0.790016967181025</v>
      </c>
      <c r="BF31" s="4" t="n">
        <v>0.0892184771488661</v>
      </c>
      <c r="BG31" s="4" t="n">
        <v>0.613864965409949</v>
      </c>
      <c r="BH31" s="4" t="n">
        <v>0.880570067821195</v>
      </c>
      <c r="BI31" s="4" t="n">
        <v>0.933643135675584</v>
      </c>
      <c r="BJ31" s="4" t="n">
        <v>0.748752568635599</v>
      </c>
      <c r="BK31" s="4" t="n">
        <v>0.21689140496228</v>
      </c>
      <c r="BL31" s="4" t="n">
        <v>0.727168647269302</v>
      </c>
      <c r="BM31" s="4" t="n">
        <v>0.247950541213864</v>
      </c>
      <c r="BN31" s="4" t="n">
        <v>0.701723892334133</v>
      </c>
      <c r="BO31" s="4" t="n">
        <v>0.58129972005897</v>
      </c>
      <c r="BP31" s="4" t="n">
        <v>0.548750534495469</v>
      </c>
      <c r="BQ31" s="4" t="n">
        <v>0.992036785836164</v>
      </c>
      <c r="BR31" s="4" t="n">
        <v>0.285275427713754</v>
      </c>
      <c r="BS31" s="4" t="n">
        <v>0.92709836835354</v>
      </c>
      <c r="BT31" s="4" t="n">
        <v>0.592743785370996</v>
      </c>
      <c r="BU31" s="4" t="n">
        <v>0.758867683274577</v>
      </c>
      <c r="BV31" s="4" t="n">
        <v>0.908064781821976</v>
      </c>
      <c r="BW31" s="4" t="n">
        <v>0.402946554582516</v>
      </c>
      <c r="BX31" s="4" t="n">
        <v>0.767710042699673</v>
      </c>
      <c r="BY31" s="4" t="n">
        <v>0.382402132255391</v>
      </c>
      <c r="BZ31" s="4" t="n">
        <v>0.854968753473828</v>
      </c>
      <c r="CA31" s="4" t="n">
        <v>0.828557221393158</v>
      </c>
      <c r="CB31" s="4" t="n">
        <v>0.16359648137483</v>
      </c>
      <c r="CC31" s="4" t="n">
        <v>0.00231841343017894</v>
      </c>
      <c r="CD31" s="4" t="n">
        <v>0.433551753337752</v>
      </c>
      <c r="CE31" s="4" t="n">
        <v>0.302117500251176</v>
      </c>
      <c r="CF31" s="4" t="n">
        <v>0.738688906671775</v>
      </c>
      <c r="CG31" s="4" t="n">
        <v>0.99161320428786</v>
      </c>
      <c r="CH31" s="4" t="n">
        <v>0.424037811738972</v>
      </c>
      <c r="CI31" s="4" t="n">
        <v>0.408712965484785</v>
      </c>
      <c r="CJ31" s="4" t="n">
        <v>0.314368607194302</v>
      </c>
      <c r="CK31" s="4" t="n">
        <v>0.823928606151984</v>
      </c>
      <c r="CL31" s="4" t="n">
        <v>0</v>
      </c>
      <c r="CN31" s="0" t="n">
        <f aca="false" t="array" ref="CN31:CN31">SUM($I$26:$J$26*$I31:$J31)/(1-SUM(IF($I$26:$J$26=0,$I4:$J4,0)))</f>
        <v>1.82017571537451</v>
      </c>
      <c r="CO31" s="4" t="n">
        <f aca="false" t="array" ref="CO31:CO31">SUM($C$26:$H$26*$C31:$H31,$K$26:$N$26*$K31:$N31,$R$26:$U$26*$R31:$U31,$X$26:$Z$26*$X31:$Z31,$AC$26*$AC31,$AW$26:$BA$26*$AW31:$BA31,$BF$26*$BF31,$BN$26:$BS$26*$BN31:$BS31,$BZ$26:$CA$26*$BZ31:$CA31,$CC$26:$CH$26*$CC31:$CH31)/(1-SUM(IF($C$26:$H$26=0,$C4:$H4,0),IF($K$26:$N$26=0,$K4:$N4,0),IF($R$26:$U$26=0,$R4:$U4,0),IF($X$26:$Z$26=0,$X4:$Z4,0),IF($AC$26=0,$AC4,0),IF($AW$26:$BA$26=0,$AW4:$BA4,0),IF($BF$26=0,$BF4,0),IF($BN$26:$BS$26=0,$BN4:$BS4,0),IF($BZ$26:$CA$26=0,$BZ4:$CA4,0),IF($CC$26:$CH$26=0,$CC4:$CH4,0)))</f>
        <v>5.76695281677469</v>
      </c>
      <c r="CP31" s="4" t="n">
        <f aca="false" t="array" ref="CP31:CP31">SUM($O$26:$Q$26*$O31:$Q31,$V$26:$W$26*$V31:$W31,$AA$26:$AB$26*$AA31:$AB31,$AD$26:$AV$26*$AD31:$AV31,$BB$26:$BE$26*$BB31:$BE31,$BG$26:$BM$26*$BG31:$BM31,$BT$26:$BY$26*$BT31:$BY31,$CB$26*$CB31,$CI$26:$CK$26*$CI31:$CK31)/(1-SUM(IF($O$26:$Q$26=0,$O4:$Q4,0),IF($V$26:$W$26=0,$V4:$W4,0),IF($AA$26:$AB$26=0,$AA4:$AB4,0),IF($AD$26:$AV$26=0,$AD4:$AV4,0),IF($BB$26:$BE$26=0,$BB4:$BE4,0),IF($BG$26:$BM$26=0,$BG4:$BM4,0),IF($BT$26:$BY$26=0,$BT4:$BY4,0),IF($CB$26=0,$CB4,0),IF($CI$26:$CK$26=0,$CI4:$CK4,0)))</f>
        <v>7.28071122253241</v>
      </c>
    </row>
    <row r="32" customFormat="false" ht="12.8" hidden="false" customHeight="false" outlineLevel="0" collapsed="false">
      <c r="A32" s="4" t="s">
        <v>135</v>
      </c>
      <c r="B32" s="7" t="s">
        <v>39</v>
      </c>
      <c r="C32" s="4" t="n">
        <v>0.895160288580057</v>
      </c>
      <c r="D32" s="4" t="n">
        <v>0.50687264884782</v>
      </c>
      <c r="E32" s="4" t="n">
        <v>0.488003645943301</v>
      </c>
      <c r="F32" s="4" t="n">
        <v>0.636914284291649</v>
      </c>
      <c r="G32" s="4" t="n">
        <v>0.749351994364066</v>
      </c>
      <c r="H32" s="4" t="n">
        <v>0.94574453718024</v>
      </c>
      <c r="I32" s="4" t="n">
        <v>0.858089038227006</v>
      </c>
      <c r="J32" s="4" t="n">
        <v>0.479004886279269</v>
      </c>
      <c r="K32" s="4" t="n">
        <v>0.17575073783171</v>
      </c>
      <c r="L32" s="4" t="n">
        <v>0.183523998154523</v>
      </c>
      <c r="M32" s="4" t="n">
        <v>0.977025687407094</v>
      </c>
      <c r="N32" s="4" t="n">
        <v>0.963791595764005</v>
      </c>
      <c r="O32" s="4" t="n">
        <v>0.10686136478163</v>
      </c>
      <c r="P32" s="4" t="n">
        <v>0.931053561278627</v>
      </c>
      <c r="Q32" s="4" t="n">
        <v>0.797892865402132</v>
      </c>
      <c r="R32" s="4" t="n">
        <v>0.5961142821028</v>
      </c>
      <c r="S32" s="4" t="n">
        <v>0.593313682356152</v>
      </c>
      <c r="T32" s="4" t="n">
        <v>0.529289970852662</v>
      </c>
      <c r="U32" s="4" t="n">
        <v>0.065783450336518</v>
      </c>
      <c r="V32" s="4" t="n">
        <v>0.118334379188123</v>
      </c>
      <c r="W32" s="4" t="n">
        <v>0.80410569284439</v>
      </c>
      <c r="X32" s="4" t="n">
        <v>0.604683228608722</v>
      </c>
      <c r="Y32" s="4" t="n">
        <v>0.816701472961919</v>
      </c>
      <c r="Z32" s="4" t="n">
        <v>0.592671069377935</v>
      </c>
      <c r="AA32" s="4" t="n">
        <v>0.0415724079217833</v>
      </c>
      <c r="AB32" s="4" t="n">
        <v>0.227880640715423</v>
      </c>
      <c r="AC32" s="4" t="n">
        <v>0.232625855502767</v>
      </c>
      <c r="AD32" s="4" t="n">
        <v>0.666728176011892</v>
      </c>
      <c r="AE32" s="4" t="n">
        <v>0.537423695862911</v>
      </c>
      <c r="AF32" s="4" t="n">
        <v>0.152332869276997</v>
      </c>
      <c r="AG32" s="4" t="n">
        <v>0.84674750104314</v>
      </c>
      <c r="AH32" s="4" t="n">
        <v>0.961441775610878</v>
      </c>
      <c r="AI32" s="4" t="n">
        <v>0.40528705781427</v>
      </c>
      <c r="AJ32" s="4" t="n">
        <v>0.555758025028991</v>
      </c>
      <c r="AK32" s="4" t="n">
        <v>0.227087913082774</v>
      </c>
      <c r="AL32" s="4" t="n">
        <v>0.116685625151801</v>
      </c>
      <c r="AM32" s="4" t="n">
        <v>0.00646150619085456</v>
      </c>
      <c r="AN32" s="4" t="n">
        <v>0.491371045228662</v>
      </c>
      <c r="AO32" s="4" t="n">
        <v>0.0745673478662627</v>
      </c>
      <c r="AP32" s="4" t="n">
        <v>0.962643030078575</v>
      </c>
      <c r="AQ32" s="4" t="n">
        <v>0.472968456306597</v>
      </c>
      <c r="AR32" s="4" t="n">
        <v>0.216752688181591</v>
      </c>
      <c r="AS32" s="4" t="n">
        <v>0.845278234936727</v>
      </c>
      <c r="AT32" s="4" t="n">
        <v>0.18039257784389</v>
      </c>
      <c r="AU32" s="4" t="n">
        <v>0.284327076790928</v>
      </c>
      <c r="AV32" s="4" t="n">
        <v>0.0165250485085608</v>
      </c>
      <c r="AW32" s="4" t="n">
        <v>0.548448928031897</v>
      </c>
      <c r="AX32" s="4" t="n">
        <v>0.638788846514515</v>
      </c>
      <c r="AY32" s="4" t="n">
        <v>0.6157577474613</v>
      </c>
      <c r="AZ32" s="4" t="n">
        <v>0.774646136917602</v>
      </c>
      <c r="BA32" s="4" t="n">
        <v>0.962903423117259</v>
      </c>
      <c r="BB32" s="4" t="n">
        <v>0.846917663394248</v>
      </c>
      <c r="BC32" s="4" t="n">
        <v>0.558594184335854</v>
      </c>
      <c r="BD32" s="4" t="n">
        <v>0.54395067051047</v>
      </c>
      <c r="BE32" s="4" t="n">
        <v>0.847555509945567</v>
      </c>
      <c r="BF32" s="4" t="n">
        <v>0.427945458185533</v>
      </c>
      <c r="BG32" s="4" t="n">
        <v>0.958435956991674</v>
      </c>
      <c r="BH32" s="4" t="n">
        <v>0.365205432311947</v>
      </c>
      <c r="BI32" s="4" t="n">
        <v>0.859431509362482</v>
      </c>
      <c r="BJ32" s="4" t="n">
        <v>0.83541524564281</v>
      </c>
      <c r="BK32" s="4" t="n">
        <v>0.99857875881069</v>
      </c>
      <c r="BL32" s="4" t="n">
        <v>0.396393839002999</v>
      </c>
      <c r="BM32" s="4" t="n">
        <v>0.95233272233484</v>
      </c>
      <c r="BN32" s="4" t="n">
        <v>0.140180316803406</v>
      </c>
      <c r="BO32" s="4" t="n">
        <v>0.0669891301275308</v>
      </c>
      <c r="BP32" s="4" t="n">
        <v>0.114106556638399</v>
      </c>
      <c r="BQ32" s="4" t="n">
        <v>0.422565390966668</v>
      </c>
      <c r="BR32" s="4" t="n">
        <v>0.774301091409708</v>
      </c>
      <c r="BS32" s="4" t="n">
        <v>0.0719324794141357</v>
      </c>
      <c r="BT32" s="4" t="n">
        <v>0.255663510600519</v>
      </c>
      <c r="BU32" s="4" t="n">
        <v>0.286265264010568</v>
      </c>
      <c r="BV32" s="4" t="n">
        <v>0.801784977973234</v>
      </c>
      <c r="BW32" s="4" t="n">
        <v>0.386373330067097</v>
      </c>
      <c r="BX32" s="4" t="n">
        <v>0.888704934322506</v>
      </c>
      <c r="BY32" s="4" t="n">
        <v>0.750500529373603</v>
      </c>
      <c r="BZ32" s="4" t="n">
        <v>0.0540261362855601</v>
      </c>
      <c r="CA32" s="4" t="n">
        <v>0.30943599607242</v>
      </c>
      <c r="CB32" s="4" t="n">
        <v>0.213457627233404</v>
      </c>
      <c r="CC32" s="4" t="n">
        <v>0.0824513127107194</v>
      </c>
      <c r="CD32" s="4" t="n">
        <v>0.328557781459139</v>
      </c>
      <c r="CE32" s="4" t="n">
        <v>0.636224915789546</v>
      </c>
      <c r="CF32" s="4" t="n">
        <v>0.487122603939786</v>
      </c>
      <c r="CG32" s="4" t="n">
        <v>0.988349266462634</v>
      </c>
      <c r="CH32" s="4" t="n">
        <v>0.148520812324057</v>
      </c>
      <c r="CI32" s="4" t="n">
        <v>0.577442681439453</v>
      </c>
      <c r="CJ32" s="4" t="n">
        <v>0.0762652896465739</v>
      </c>
      <c r="CK32" s="4" t="n">
        <v>0.510001432395356</v>
      </c>
      <c r="CL32" s="4" t="n">
        <v>0</v>
      </c>
      <c r="CN32" s="0" t="n">
        <f aca="false" t="array" ref="CN32:CN32">SUM($I$26:$J$26*$I32:$J32)/(1-SUM(IF($I$26:$J$26=0,$I5:$J5,0)))</f>
        <v>1.33709392450628</v>
      </c>
      <c r="CO32" s="4" t="n">
        <f aca="false" t="array" ref="CO32:CO32">SUM($C$26:$H$26*$C32:$H32,$K$26:$N$26*$K32:$N32,$R$26:$U$26*$R32:$U32,$X$26:$Z$26*$X32:$Z32,$AC$26*$AC32,$AW$26:$BA$26*$AW32:$BA32,$BF$26*$BF32,$BN$26:$BS$26*$BN32:$BS32,$BZ$26:$CA$26*$BZ32:$CA32,$CC$26:$CH$26*$CC32:$CH32)/(1-SUM(IF($C$26:$H$26=0,$C5:$H5,0),IF($K$26:$N$26=0,$K5:$N5,0),IF($R$26:$U$26=0,$R5:$U5,0),IF($X$26:$Z$26=0,$X5:$Z5,0),IF($AC$26=0,$AC5,0),IF($AW$26:$BA$26=0,$AW5:$BA5,0),IF($BF$26=0,$BF5,0),IF($BN$26:$BS$26=0,$BN5:$BS5,0),IF($BZ$26:$CA$26=0,$BZ5:$CA5,0),IF($CC$26:$CH$26=0,$CC5:$CH5,0)))</f>
        <v>4.52633699180634</v>
      </c>
      <c r="CP32" s="4" t="n">
        <f aca="false" t="array" ref="CP32:CP32">SUM($O$26:$Q$26*$O32:$Q32,$V$26:$W$26*$V32:$W32,$AA$26:$AB$26*$AA32:$AB32,$AD$26:$AV$26*$AD32:$AV32,$BB$26:$BE$26*$BB32:$BE32,$BG$26:$BM$26*$BG32:$BM32,$BT$26:$BY$26*$BT32:$BY32,$CB$26*$CB32,$CI$26:$CK$26*$CI32:$CK32)/(1-SUM(IF($O$26:$Q$26=0,$O5:$Q5,0),IF($V$26:$W$26=0,$V5:$W5,0),IF($AA$26:$AB$26=0,$AA5:$AB5,0),IF($AD$26:$AV$26=0,$AD5:$AV5,0),IF($BB$26:$BE$26=0,$BB5:$BE5,0),IF($BG$26:$BM$26=0,$BG5:$BM5,0),IF($BT$26:$BY$26=0,$BT5:$BY5,0),IF($CB$26=0,$CB5,0),IF($CI$26:$CK$26=0,$CI5:$CK5,0)))</f>
        <v>8.30120510588446</v>
      </c>
    </row>
    <row r="33" customFormat="false" ht="12.8" hidden="false" customHeight="false" outlineLevel="0" collapsed="false">
      <c r="A33" s="4" t="s">
        <v>137</v>
      </c>
      <c r="B33" s="7" t="s">
        <v>39</v>
      </c>
      <c r="C33" s="4" t="n">
        <v>0.683780407189067</v>
      </c>
      <c r="D33" s="4" t="n">
        <v>0.862736773411707</v>
      </c>
      <c r="E33" s="4" t="n">
        <v>0.934109991124378</v>
      </c>
      <c r="F33" s="4" t="n">
        <v>0.859282114770191</v>
      </c>
      <c r="G33" s="4" t="n">
        <v>0.778105204877498</v>
      </c>
      <c r="H33" s="4" t="n">
        <v>0.816651477431702</v>
      </c>
      <c r="I33" s="4" t="n">
        <v>0.971734412067718</v>
      </c>
      <c r="J33" s="4" t="n">
        <v>0.498275949343909</v>
      </c>
      <c r="K33" s="4" t="n">
        <v>0.0481355493029568</v>
      </c>
      <c r="L33" s="4" t="n">
        <v>0.182892353048434</v>
      </c>
      <c r="M33" s="4" t="n">
        <v>0.759846500706658</v>
      </c>
      <c r="N33" s="4" t="n">
        <v>0.841675447532903</v>
      </c>
      <c r="O33" s="4" t="n">
        <v>0.158572768747973</v>
      </c>
      <c r="P33" s="4" t="n">
        <v>0.0236995113948277</v>
      </c>
      <c r="Q33" s="4" t="n">
        <v>0.910295081859277</v>
      </c>
      <c r="R33" s="4" t="n">
        <v>0.431181759512116</v>
      </c>
      <c r="S33" s="4" t="n">
        <v>0.617956759121132</v>
      </c>
      <c r="T33" s="4" t="n">
        <v>0.612749307760123</v>
      </c>
      <c r="U33" s="4" t="n">
        <v>0.322609034736559</v>
      </c>
      <c r="V33" s="4" t="n">
        <v>0.142452435260527</v>
      </c>
      <c r="W33" s="4" t="n">
        <v>0.503055309659733</v>
      </c>
      <c r="X33" s="4" t="n">
        <v>0.505247606723667</v>
      </c>
      <c r="Y33" s="4" t="n">
        <v>0.229880228765693</v>
      </c>
      <c r="Z33" s="4" t="n">
        <v>0.442750773325478</v>
      </c>
      <c r="AA33" s="4" t="n">
        <v>0.928681098711977</v>
      </c>
      <c r="AB33" s="4" t="n">
        <v>0.981186561296947</v>
      </c>
      <c r="AC33" s="4" t="n">
        <v>0.709288540815431</v>
      </c>
      <c r="AD33" s="4" t="n">
        <v>0.87887389093823</v>
      </c>
      <c r="AE33" s="4" t="n">
        <v>0.40483644482488</v>
      </c>
      <c r="AF33" s="4" t="n">
        <v>0.448929806861707</v>
      </c>
      <c r="AG33" s="4" t="n">
        <v>0.07621848834607</v>
      </c>
      <c r="AH33" s="4" t="n">
        <v>0.423024437358696</v>
      </c>
      <c r="AI33" s="4" t="n">
        <v>0.773650034381874</v>
      </c>
      <c r="AJ33" s="4" t="n">
        <v>0.984571665604229</v>
      </c>
      <c r="AK33" s="4" t="n">
        <v>0.968942224217658</v>
      </c>
      <c r="AL33" s="4" t="n">
        <v>0.602490157622434</v>
      </c>
      <c r="AM33" s="4" t="n">
        <v>0.782468918763603</v>
      </c>
      <c r="AN33" s="4" t="n">
        <v>0.620283010509613</v>
      </c>
      <c r="AO33" s="4" t="n">
        <v>0.477590467444189</v>
      </c>
      <c r="AP33" s="4" t="n">
        <v>0.743869111071686</v>
      </c>
      <c r="AQ33" s="4" t="n">
        <v>0.260856996755342</v>
      </c>
      <c r="AR33" s="4" t="n">
        <v>0.0142059220474541</v>
      </c>
      <c r="AS33" s="4" t="n">
        <v>0.778497353812405</v>
      </c>
      <c r="AT33" s="4" t="n">
        <v>0.80232174003283</v>
      </c>
      <c r="AU33" s="4" t="n">
        <v>0.660649324950288</v>
      </c>
      <c r="AV33" s="4" t="n">
        <v>0.991206935486674</v>
      </c>
      <c r="AW33" s="4" t="n">
        <v>0.237108272250962</v>
      </c>
      <c r="AX33" s="4" t="n">
        <v>0.399204079619254</v>
      </c>
      <c r="AY33" s="4" t="n">
        <v>0.468708559702134</v>
      </c>
      <c r="AZ33" s="4" t="n">
        <v>0.946094184678169</v>
      </c>
      <c r="BA33" s="4" t="n">
        <v>0.589249805196398</v>
      </c>
      <c r="BB33" s="4" t="n">
        <v>0.94708046836897</v>
      </c>
      <c r="BC33" s="4" t="n">
        <v>0.635134179178508</v>
      </c>
      <c r="BD33" s="4" t="n">
        <v>0.91523532549824</v>
      </c>
      <c r="BE33" s="4" t="n">
        <v>0.880155598633235</v>
      </c>
      <c r="BF33" s="4" t="n">
        <v>0.0438138785016114</v>
      </c>
      <c r="BG33" s="4" t="n">
        <v>0.0200400414215647</v>
      </c>
      <c r="BH33" s="4" t="n">
        <v>0.82565840848476</v>
      </c>
      <c r="BI33" s="4" t="n">
        <v>0.149319817854665</v>
      </c>
      <c r="BJ33" s="4" t="n">
        <v>0.789181362571078</v>
      </c>
      <c r="BK33" s="4" t="n">
        <v>0.838782414891506</v>
      </c>
      <c r="BL33" s="4" t="n">
        <v>0.0595899774724613</v>
      </c>
      <c r="BM33" s="4" t="n">
        <v>0.477961230413801</v>
      </c>
      <c r="BN33" s="4" t="n">
        <v>0.817506075962577</v>
      </c>
      <c r="BO33" s="4" t="n">
        <v>0.547365956459253</v>
      </c>
      <c r="BP33" s="4" t="n">
        <v>0.339767021813786</v>
      </c>
      <c r="BQ33" s="4" t="n">
        <v>0.0493607178136733</v>
      </c>
      <c r="BR33" s="4" t="n">
        <v>0.689441112927976</v>
      </c>
      <c r="BS33" s="4" t="n">
        <v>0.363809533716177</v>
      </c>
      <c r="BT33" s="4" t="n">
        <v>0.97537359700919</v>
      </c>
      <c r="BU33" s="4" t="n">
        <v>0.376437513514165</v>
      </c>
      <c r="BV33" s="4" t="n">
        <v>0.174168583101154</v>
      </c>
      <c r="BW33" s="4" t="n">
        <v>0.229635020758006</v>
      </c>
      <c r="BX33" s="4" t="n">
        <v>0.633560682130062</v>
      </c>
      <c r="BY33" s="4" t="n">
        <v>0.0886421663143879</v>
      </c>
      <c r="BZ33" s="4" t="n">
        <v>0.920798663399989</v>
      </c>
      <c r="CA33" s="4" t="n">
        <v>0.639966406406837</v>
      </c>
      <c r="CB33" s="4" t="n">
        <v>0.904057088768379</v>
      </c>
      <c r="CC33" s="4" t="n">
        <v>0.771980508827689</v>
      </c>
      <c r="CD33" s="4" t="n">
        <v>0.607694977603717</v>
      </c>
      <c r="CE33" s="4" t="n">
        <v>0.122922822856368</v>
      </c>
      <c r="CF33" s="4" t="n">
        <v>0.937327732013512</v>
      </c>
      <c r="CG33" s="4" t="n">
        <v>0.0956557124074642</v>
      </c>
      <c r="CH33" s="4" t="n">
        <v>0.158026113826393</v>
      </c>
      <c r="CI33" s="4" t="n">
        <v>0.67050492264015</v>
      </c>
      <c r="CJ33" s="4" t="n">
        <v>0.484391966166591</v>
      </c>
      <c r="CK33" s="4" t="n">
        <v>0.531606051790241</v>
      </c>
      <c r="CL33" s="4" t="n">
        <v>0</v>
      </c>
      <c r="CN33" s="0" t="n">
        <f aca="false" t="array" ref="CN33:CN33">SUM($I$26:$J$26*$I33:$J33)/(1-SUM(IF($I$26:$J$26=0,$I6:$J6,0)))</f>
        <v>1.47001036141163</v>
      </c>
      <c r="CO33" s="4" t="n">
        <f aca="false" t="array" ref="CO33:CO33">SUM($C$26:$H$26*$C33:$H33,$K$26:$N$26*$K33:$N33,$R$26:$U$26*$R33:$U33,$X$26:$Z$26*$X33:$Z33,$AC$26*$AC33,$AW$26:$BA$26*$AW33:$BA33,$BF$26*$BF33,$BN$26:$BS$26*$BN33:$BS33,$BZ$26:$CA$26*$BZ33:$CA33,$CC$26:$CH$26*$CC33:$CH33)/(1-SUM(IF($C$26:$H$26=0,$C6:$H6,0),IF($K$26:$N$26=0,$K6:$N6,0),IF($R$26:$U$26=0,$R6:$U6,0),IF($X$26:$Z$26=0,$X6:$Z6,0),IF($AC$26=0,$AC6,0),IF($AW$26:$BA$26=0,$AW6:$BA6,0),IF($BF$26=0,$BF6,0),IF($BN$26:$BS$26=0,$BN6:$BS6,0),IF($BZ$26:$CA$26=0,$BZ6:$CA6,0),IF($CC$26:$CH$26=0,$CC6:$CH6,0)))</f>
        <v>36.7483303588447</v>
      </c>
      <c r="CP33" s="4" t="n">
        <f aca="false" t="array" ref="CP33:CP33">SUM($O$26:$Q$26*$O33:$Q33,$V$26:$W$26*$V33:$W33,$AA$26:$AB$26*$AA33:$AB33,$AD$26:$AV$26*$AD33:$AV33,$BB$26:$BE$26*$BB33:$BE33,$BG$26:$BM$26*$BG33:$BM33,$BT$26:$BY$26*$BT33:$BY33,$CB$26*$CB33,$CI$26:$CK$26*$CI33:$CK33)/(1-SUM(IF($O$26:$Q$26=0,$O6:$Q6,0),IF($V$26:$W$26=0,$V6:$W6,0),IF($AA$26:$AB$26=0,$AA6:$AB6,0),IF($AD$26:$AV$26=0,$AD6:$AV6,0),IF($BB$26:$BE$26=0,$BB6:$BE6,0),IF($BG$26:$BM$26=0,$BG6:$BM6,0),IF($BT$26:$BY$26=0,$BT6:$BY6,0),IF($CB$26=0,$CB6,0),IF($CI$26:$CK$26=0,$CI6:$CK6,0)))</f>
        <v>10.8455762481885</v>
      </c>
    </row>
    <row r="34" customFormat="false" ht="12.8" hidden="false" customHeight="false" outlineLevel="0" collapsed="false">
      <c r="A34" s="4" t="s">
        <v>139</v>
      </c>
      <c r="B34" s="7" t="s">
        <v>39</v>
      </c>
      <c r="C34" s="4" t="n">
        <v>0.294036455345897</v>
      </c>
      <c r="D34" s="4" t="n">
        <v>0.0242402200050558</v>
      </c>
      <c r="E34" s="4" t="n">
        <v>0.778358016242011</v>
      </c>
      <c r="F34" s="4" t="n">
        <v>0.0170597996769807</v>
      </c>
      <c r="G34" s="4" t="n">
        <v>0.966342576378963</v>
      </c>
      <c r="H34" s="4" t="n">
        <v>0.814956893827804</v>
      </c>
      <c r="I34" s="4" t="n">
        <v>0.941570981443956</v>
      </c>
      <c r="J34" s="4" t="n">
        <v>0.542536930093079</v>
      </c>
      <c r="K34" s="4" t="n">
        <v>0.484979851528074</v>
      </c>
      <c r="L34" s="4" t="n">
        <v>0.185548191735208</v>
      </c>
      <c r="M34" s="4" t="n">
        <v>0.587259069962679</v>
      </c>
      <c r="N34" s="4" t="n">
        <v>0.30489446770108</v>
      </c>
      <c r="O34" s="4" t="n">
        <v>0.439759518055594</v>
      </c>
      <c r="P34" s="4" t="n">
        <v>0.0464335086537605</v>
      </c>
      <c r="Q34" s="4" t="n">
        <v>0.494882363426508</v>
      </c>
      <c r="R34" s="4" t="n">
        <v>0.795735245757009</v>
      </c>
      <c r="S34" s="4" t="n">
        <v>0.599838317137148</v>
      </c>
      <c r="T34" s="4" t="n">
        <v>0.951855964044703</v>
      </c>
      <c r="U34" s="4" t="n">
        <v>0.584185644551547</v>
      </c>
      <c r="V34" s="4" t="n">
        <v>0.0621908311270912</v>
      </c>
      <c r="W34" s="4" t="n">
        <v>0.380326076969001</v>
      </c>
      <c r="X34" s="4" t="n">
        <v>0.250205991636785</v>
      </c>
      <c r="Y34" s="4" t="n">
        <v>0.518183730681056</v>
      </c>
      <c r="Z34" s="4" t="n">
        <v>0.757596556179332</v>
      </c>
      <c r="AA34" s="4" t="n">
        <v>0.119798044188491</v>
      </c>
      <c r="AB34" s="4" t="n">
        <v>0.887811238065238</v>
      </c>
      <c r="AC34" s="4" t="n">
        <v>0.638444571946195</v>
      </c>
      <c r="AD34" s="4" t="n">
        <v>0.449732369577875</v>
      </c>
      <c r="AE34" s="4" t="n">
        <v>0.421330703534337</v>
      </c>
      <c r="AF34" s="4" t="n">
        <v>0.170667098600278</v>
      </c>
      <c r="AG34" s="4" t="n">
        <v>0.637792122458399</v>
      </c>
      <c r="AH34" s="4" t="n">
        <v>0.397639646584917</v>
      </c>
      <c r="AI34" s="4" t="n">
        <v>0.926734187418793</v>
      </c>
      <c r="AJ34" s="4" t="n">
        <v>0.682516928055489</v>
      </c>
      <c r="AK34" s="4" t="n">
        <v>0.0379738588065312</v>
      </c>
      <c r="AL34" s="4" t="n">
        <v>0.548482431822073</v>
      </c>
      <c r="AM34" s="4" t="n">
        <v>0.931794728495642</v>
      </c>
      <c r="AN34" s="4" t="n">
        <v>0.15313726834568</v>
      </c>
      <c r="AO34" s="4" t="n">
        <v>0.388396187501578</v>
      </c>
      <c r="AP34" s="4" t="n">
        <v>0.863632264221568</v>
      </c>
      <c r="AQ34" s="4" t="n">
        <v>0.17489680530893</v>
      </c>
      <c r="AR34" s="4" t="n">
        <v>0.315423672805272</v>
      </c>
      <c r="AS34" s="4" t="n">
        <v>0.802094545969151</v>
      </c>
      <c r="AT34" s="4" t="n">
        <v>0.125300498768378</v>
      </c>
      <c r="AU34" s="4" t="n">
        <v>0.910481582471138</v>
      </c>
      <c r="AV34" s="4" t="n">
        <v>0.864221440060733</v>
      </c>
      <c r="AW34" s="4" t="n">
        <v>0.914340883103217</v>
      </c>
      <c r="AX34" s="4" t="n">
        <v>0.0879903218692051</v>
      </c>
      <c r="AY34" s="4" t="n">
        <v>0.966644883056815</v>
      </c>
      <c r="AZ34" s="4" t="n">
        <v>0.29469778795845</v>
      </c>
      <c r="BA34" s="4" t="n">
        <v>0.316791581457885</v>
      </c>
      <c r="BB34" s="4" t="n">
        <v>0.642717541741253</v>
      </c>
      <c r="BC34" s="4" t="n">
        <v>0.914781040468172</v>
      </c>
      <c r="BD34" s="4" t="n">
        <v>0.552374875841086</v>
      </c>
      <c r="BE34" s="4" t="n">
        <v>0.702436138039611</v>
      </c>
      <c r="BF34" s="4" t="n">
        <v>0.859673033328889</v>
      </c>
      <c r="BG34" s="4" t="n">
        <v>0.6955794734032</v>
      </c>
      <c r="BH34" s="4" t="n">
        <v>0.408480628623207</v>
      </c>
      <c r="BI34" s="4" t="n">
        <v>0.529860123770315</v>
      </c>
      <c r="BJ34" s="4" t="n">
        <v>0.476285648048194</v>
      </c>
      <c r="BK34" s="4" t="n">
        <v>0.969035750106361</v>
      </c>
      <c r="BL34" s="4" t="n">
        <v>0.933993182247103</v>
      </c>
      <c r="BM34" s="4" t="n">
        <v>0.696514704740331</v>
      </c>
      <c r="BN34" s="4" t="n">
        <v>0.74043417966805</v>
      </c>
      <c r="BO34" s="4" t="n">
        <v>0.90871934763104</v>
      </c>
      <c r="BP34" s="4" t="n">
        <v>0.78147734306793</v>
      </c>
      <c r="BQ34" s="4" t="n">
        <v>0.519835756494535</v>
      </c>
      <c r="BR34" s="4" t="n">
        <v>0.145274767482264</v>
      </c>
      <c r="BS34" s="4" t="n">
        <v>0.174741267315858</v>
      </c>
      <c r="BT34" s="4" t="n">
        <v>0.80584823032269</v>
      </c>
      <c r="BU34" s="4" t="n">
        <v>0.0161211881255788</v>
      </c>
      <c r="BV34" s="4" t="n">
        <v>0.931227775108856</v>
      </c>
      <c r="BW34" s="4" t="n">
        <v>0.117323072763801</v>
      </c>
      <c r="BX34" s="4" t="n">
        <v>0.695473983088356</v>
      </c>
      <c r="BY34" s="4" t="n">
        <v>0.590896111102994</v>
      </c>
      <c r="BZ34" s="4" t="n">
        <v>0.586348847262449</v>
      </c>
      <c r="CA34" s="4" t="n">
        <v>0.969219555824249</v>
      </c>
      <c r="CB34" s="4" t="n">
        <v>0.220228217393754</v>
      </c>
      <c r="CC34" s="4" t="n">
        <v>0.788133815989718</v>
      </c>
      <c r="CD34" s="4" t="n">
        <v>0.340352632241334</v>
      </c>
      <c r="CE34" s="4" t="n">
        <v>0.0359734734261961</v>
      </c>
      <c r="CF34" s="4" t="n">
        <v>0.945532526876053</v>
      </c>
      <c r="CG34" s="4" t="n">
        <v>0.544829052337915</v>
      </c>
      <c r="CH34" s="4" t="n">
        <v>0.897037281247796</v>
      </c>
      <c r="CI34" s="4" t="n">
        <v>0.450574544135308</v>
      </c>
      <c r="CJ34" s="4" t="n">
        <v>0.0650726488611299</v>
      </c>
      <c r="CK34" s="4" t="n">
        <v>0.153541941400785</v>
      </c>
      <c r="CL34" s="4" t="n">
        <v>0</v>
      </c>
      <c r="CN34" s="0" t="n">
        <f aca="false" t="array" ref="CN34:CN34">SUM($I$26:$J$26*$I34:$J34)/(1-SUM(IF($I$26:$J$26=0,$I7:$J7,0)))</f>
        <v>1.48410791153704</v>
      </c>
      <c r="CO34" s="4" t="n">
        <f aca="false" t="array" ref="CO34:CO34">SUM($C$26:$H$26*$C34:$H34,$K$26:$N$26*$K34:$N34,$R$26:$U$26*$R34:$U34,$X$26:$Z$26*$X34:$Z34,$AC$26*$AC34,$AW$26:$BA$26*$AW34:$BA34,$BF$26*$BF34,$BN$26:$BS$26*$BN34:$BS34,$BZ$26:$CA$26*$BZ34:$CA34,$CC$26:$CH$26*$CC34:$CH34)/(1-SUM(IF($C$26:$H$26=0,$C7:$H7,0),IF($K$26:$N$26=0,$K7:$N7,0),IF($R$26:$U$26=0,$R7:$U7,0),IF($X$26:$Z$26=0,$X7:$Z7,0),IF($AC$26=0,$AC7,0),IF($AW$26:$BA$26=0,$AW7:$BA7,0),IF($BF$26=0,$BF7,0),IF($BN$26:$BS$26=0,$BN7:$BS7,0),IF($BZ$26:$CA$26=0,$BZ7:$CA7,0),IF($CC$26:$CH$26=0,$CC7:$CH7,0)))</f>
        <v>5.77274120571957</v>
      </c>
      <c r="CP34" s="4" t="n">
        <f aca="false" t="array" ref="CP34:CP34">SUM($O$26:$Q$26*$O34:$Q34,$V$26:$W$26*$V34:$W34,$AA$26:$AB$26*$AA34:$AB34,$AD$26:$AV$26*$AD34:$AV34,$BB$26:$BE$26*$BB34:$BE34,$BG$26:$BM$26*$BG34:$BM34,$BT$26:$BY$26*$BT34:$BY34,$CB$26*$CB34,$CI$26:$CK$26*$CI34:$CK34)/(1-SUM(IF($O$26:$Q$26=0,$O7:$Q7,0),IF($V$26:$W$26=0,$V7:$W7,0),IF($AA$26:$AB$26=0,$AA7:$AB7,0),IF($AD$26:$AV$26=0,$AD7:$AV7,0),IF($BB$26:$BE$26=0,$BB7:$BE7,0),IF($BG$26:$BM$26=0,$BG7:$BM7,0),IF($BT$26:$BY$26=0,$BT7:$BY7,0),IF($CB$26=0,$CB7,0),IF($CI$26:$CK$26=0,$CI7:$CK7,0)))</f>
        <v>7.81005416481192</v>
      </c>
    </row>
    <row r="35" customFormat="false" ht="12.8" hidden="false" customHeight="false" outlineLevel="0" collapsed="false">
      <c r="A35" s="4" t="s">
        <v>140</v>
      </c>
      <c r="B35" s="7" t="s">
        <v>39</v>
      </c>
      <c r="C35" s="4" t="n">
        <v>0.65294776747731</v>
      </c>
      <c r="D35" s="4" t="n">
        <v>0.676682782478855</v>
      </c>
      <c r="E35" s="4" t="n">
        <v>0.738164077923407</v>
      </c>
      <c r="F35" s="4" t="n">
        <v>0.842698394441007</v>
      </c>
      <c r="G35" s="4" t="n">
        <v>0.264409270559524</v>
      </c>
      <c r="H35" s="4" t="n">
        <v>0.831325799979547</v>
      </c>
      <c r="I35" s="4" t="n">
        <v>0.724158559442454</v>
      </c>
      <c r="J35" s="4" t="n">
        <v>0.610147974600137</v>
      </c>
      <c r="K35" s="4" t="n">
        <v>0.588541865135493</v>
      </c>
      <c r="L35" s="4" t="n">
        <v>0.416590887769652</v>
      </c>
      <c r="M35" s="4" t="n">
        <v>0.726233798778911</v>
      </c>
      <c r="N35" s="4" t="n">
        <v>0.64543668234415</v>
      </c>
      <c r="O35" s="4" t="n">
        <v>0.225000052780074</v>
      </c>
      <c r="P35" s="4" t="n">
        <v>0.614103227251878</v>
      </c>
      <c r="Q35" s="4" t="n">
        <v>0.531037136062822</v>
      </c>
      <c r="R35" s="4" t="n">
        <v>0.195015417210863</v>
      </c>
      <c r="S35" s="4" t="n">
        <v>0.726852234009755</v>
      </c>
      <c r="T35" s="4" t="n">
        <v>0.652769255023504</v>
      </c>
      <c r="U35" s="4" t="n">
        <v>0.72649534079473</v>
      </c>
      <c r="V35" s="4" t="n">
        <v>0.620192943022733</v>
      </c>
      <c r="W35" s="4" t="n">
        <v>0.399159772105147</v>
      </c>
      <c r="X35" s="4" t="n">
        <v>0.704589002766415</v>
      </c>
      <c r="Y35" s="4" t="n">
        <v>0.874718772700778</v>
      </c>
      <c r="Z35" s="4" t="n">
        <v>0.698829168511242</v>
      </c>
      <c r="AA35" s="4" t="n">
        <v>0.761089120919481</v>
      </c>
      <c r="AB35" s="4" t="n">
        <v>0.121158915925443</v>
      </c>
      <c r="AC35" s="4" t="n">
        <v>0.358932230139839</v>
      </c>
      <c r="AD35" s="4" t="n">
        <v>0.905766533975586</v>
      </c>
      <c r="AE35" s="4" t="n">
        <v>0.0390822281698384</v>
      </c>
      <c r="AF35" s="4" t="n">
        <v>0.769017553698096</v>
      </c>
      <c r="AG35" s="4" t="n">
        <v>0.264116354485506</v>
      </c>
      <c r="AH35" s="4" t="n">
        <v>0.695682746072532</v>
      </c>
      <c r="AI35" s="4" t="n">
        <v>0.571634556584106</v>
      </c>
      <c r="AJ35" s="4" t="n">
        <v>0.634816799212361</v>
      </c>
      <c r="AK35" s="4" t="n">
        <v>0.145121360673626</v>
      </c>
      <c r="AL35" s="4" t="n">
        <v>0.948400830406819</v>
      </c>
      <c r="AM35" s="4" t="n">
        <v>0.319311201701583</v>
      </c>
      <c r="AN35" s="4" t="n">
        <v>0.0960829428481872</v>
      </c>
      <c r="AO35" s="4" t="n">
        <v>0.769356260706036</v>
      </c>
      <c r="AP35" s="4" t="n">
        <v>0.500331184081572</v>
      </c>
      <c r="AQ35" s="4" t="n">
        <v>0.0665998152254113</v>
      </c>
      <c r="AR35" s="4" t="n">
        <v>0.87520384771855</v>
      </c>
      <c r="AS35" s="4" t="n">
        <v>0.403755609890403</v>
      </c>
      <c r="AT35" s="4" t="n">
        <v>0.429464562767467</v>
      </c>
      <c r="AU35" s="4" t="n">
        <v>0.0795870463972154</v>
      </c>
      <c r="AV35" s="4" t="n">
        <v>0.0152672642238011</v>
      </c>
      <c r="AW35" s="4" t="n">
        <v>0.199760094195059</v>
      </c>
      <c r="AX35" s="4" t="n">
        <v>0.559866209078489</v>
      </c>
      <c r="AY35" s="4" t="n">
        <v>0.348922255116901</v>
      </c>
      <c r="AZ35" s="4" t="n">
        <v>0.739046595775331</v>
      </c>
      <c r="BA35" s="4" t="n">
        <v>0.0975208281406034</v>
      </c>
      <c r="BB35" s="4" t="n">
        <v>0.297039904989855</v>
      </c>
      <c r="BC35" s="4" t="n">
        <v>0.205704871267083</v>
      </c>
      <c r="BD35" s="4" t="n">
        <v>0.760408066582752</v>
      </c>
      <c r="BE35" s="4" t="n">
        <v>0.0609268993275758</v>
      </c>
      <c r="BF35" s="4" t="n">
        <v>0.102824227547327</v>
      </c>
      <c r="BG35" s="4" t="n">
        <v>0.86409464660715</v>
      </c>
      <c r="BH35" s="4" t="n">
        <v>0.655777591365962</v>
      </c>
      <c r="BI35" s="4" t="n">
        <v>0.570916837236682</v>
      </c>
      <c r="BJ35" s="4" t="n">
        <v>0.353749641778418</v>
      </c>
      <c r="BK35" s="4" t="n">
        <v>0.896842077095781</v>
      </c>
      <c r="BL35" s="4" t="n">
        <v>0.577098758112879</v>
      </c>
      <c r="BM35" s="4" t="n">
        <v>0.222609154101929</v>
      </c>
      <c r="BN35" s="4" t="n">
        <v>0.347118071418425</v>
      </c>
      <c r="BO35" s="4" t="n">
        <v>0.897157613497243</v>
      </c>
      <c r="BP35" s="4" t="n">
        <v>0.761008689484359</v>
      </c>
      <c r="BQ35" s="4" t="n">
        <v>0.339270723866956</v>
      </c>
      <c r="BR35" s="4" t="n">
        <v>0.427845610941818</v>
      </c>
      <c r="BS35" s="4" t="n">
        <v>0.872019813633814</v>
      </c>
      <c r="BT35" s="4" t="n">
        <v>0.62429448652259</v>
      </c>
      <c r="BU35" s="4" t="n">
        <v>0.0493895931165125</v>
      </c>
      <c r="BV35" s="4" t="n">
        <v>0.172301532013705</v>
      </c>
      <c r="BW35" s="4" t="n">
        <v>0.664787729221463</v>
      </c>
      <c r="BX35" s="4" t="n">
        <v>0.683216541581767</v>
      </c>
      <c r="BY35" s="4" t="n">
        <v>0.332710359597963</v>
      </c>
      <c r="BZ35" s="4" t="n">
        <v>0.484631400495447</v>
      </c>
      <c r="CA35" s="4" t="n">
        <v>0.0893848849047915</v>
      </c>
      <c r="CB35" s="4" t="n">
        <v>0.416326047351349</v>
      </c>
      <c r="CC35" s="4" t="n">
        <v>0.149492092122523</v>
      </c>
      <c r="CD35" s="4" t="n">
        <v>0.85569541083231</v>
      </c>
      <c r="CE35" s="4" t="n">
        <v>0.925592051886679</v>
      </c>
      <c r="CF35" s="4" t="n">
        <v>0.417454902429599</v>
      </c>
      <c r="CG35" s="4" t="n">
        <v>0.364647070633406</v>
      </c>
      <c r="CH35" s="4" t="n">
        <v>0.028198583648253</v>
      </c>
      <c r="CI35" s="4" t="n">
        <v>0.603048137100534</v>
      </c>
      <c r="CJ35" s="4" t="n">
        <v>0.128715702145383</v>
      </c>
      <c r="CK35" s="4" t="n">
        <v>0.698036239559829</v>
      </c>
      <c r="CL35" s="4" t="n">
        <v>0</v>
      </c>
      <c r="CN35" s="0" t="n">
        <f aca="false" t="array" ref="CN35:CN35">SUM($I$26:$J$26*$I35:$J35)/(1-SUM(IF($I$26:$J$26=0,$I8:$J8,0)))</f>
        <v>1.33430653404259</v>
      </c>
      <c r="CO35" s="4" t="n">
        <f aca="false" t="array" ref="CO35:CO35">SUM($C$26:$H$26*$C35:$H35,$K$26:$N$26*$K35:$N35,$R$26:$U$26*$R35:$U35,$X$26:$Z$26*$X35:$Z35,$AC$26*$AC35,$AW$26:$BA$26*$AW35:$BA35,$BF$26*$BF35,$BN$26:$BS$26*$BN35:$BS35,$BZ$26:$CA$26*$BZ35:$CA35,$CC$26:$CH$26*$CC35:$CH35)/(1-SUM(IF($C$26:$H$26=0,$C8:$H8,0),IF($K$26:$N$26=0,$K8:$N8,0),IF($R$26:$U$26=0,$R8:$U8,0),IF($X$26:$Z$26=0,$X8:$Z8,0),IF($AC$26=0,$AC8,0),IF($AW$26:$BA$26=0,$AW8:$BA8,0),IF($BF$26=0,$BF8,0),IF($BN$26:$BS$26=0,$BN8:$BS8,0),IF($BZ$26:$CA$26=0,$BZ8:$CA8,0),IF($CC$26:$CH$26=0,$CC8:$CH8,0)))</f>
        <v>4.40797886251812</v>
      </c>
      <c r="CP35" s="4" t="n">
        <f aca="false" t="array" ref="CP35:CP35">SUM($O$26:$Q$26*$O35:$Q35,$V$26:$W$26*$V35:$W35,$AA$26:$AB$26*$AA35:$AB35,$AD$26:$AV$26*$AD35:$AV35,$BB$26:$BE$26*$BB35:$BE35,$BG$26:$BM$26*$BG35:$BM35,$BT$26:$BY$26*$BT35:$BY35,$CB$26*$CB35,$CI$26:$CK$26*$CI35:$CK35)/(1-SUM(IF($O$26:$Q$26=0,$O8:$Q8,0),IF($V$26:$W$26=0,$V8:$W8,0),IF($AA$26:$AB$26=0,$AA8:$AB8,0),IF($AD$26:$AV$26=0,$AD8:$AV8,0),IF($BB$26:$BE$26=0,$BB8:$BE8,0),IF($BG$26:$BM$26=0,$BG8:$BM8,0),IF($BT$26:$BY$26=0,$BT8:$BY8,0),IF($CB$26=0,$CB8,0),IF($CI$26:$CK$26=0,$CI8:$CK8,0)))</f>
        <v>5.68724904670901</v>
      </c>
    </row>
    <row r="36" customFormat="false" ht="12.8" hidden="false" customHeight="false" outlineLevel="0" collapsed="false">
      <c r="A36" s="4" t="s">
        <v>141</v>
      </c>
      <c r="B36" s="7" t="s">
        <v>39</v>
      </c>
      <c r="C36" s="4" t="n">
        <v>0.972795022627404</v>
      </c>
      <c r="D36" s="4" t="n">
        <v>0.606763197849467</v>
      </c>
      <c r="E36" s="4" t="n">
        <v>0.950544645653607</v>
      </c>
      <c r="F36" s="4" t="n">
        <v>0.146798244683861</v>
      </c>
      <c r="G36" s="4" t="n">
        <v>0.974259849625744</v>
      </c>
      <c r="H36" s="4" t="n">
        <v>0.365085922746904</v>
      </c>
      <c r="I36" s="4" t="n">
        <v>0.807232717625735</v>
      </c>
      <c r="J36" s="4" t="n">
        <v>0.333087428445193</v>
      </c>
      <c r="K36" s="4" t="n">
        <v>0.856295154294798</v>
      </c>
      <c r="L36" s="4" t="n">
        <v>0.172939192780775</v>
      </c>
      <c r="M36" s="4" t="n">
        <v>0.0849648357777179</v>
      </c>
      <c r="N36" s="4" t="n">
        <v>0.689654010773886</v>
      </c>
      <c r="O36" s="4" t="n">
        <v>0.746281817591664</v>
      </c>
      <c r="P36" s="4" t="n">
        <v>0.903470834550542</v>
      </c>
      <c r="Q36" s="4" t="n">
        <v>0.335552441293393</v>
      </c>
      <c r="R36" s="4" t="n">
        <v>0.0612323327545701</v>
      </c>
      <c r="S36" s="4" t="n">
        <v>0.985751737169292</v>
      </c>
      <c r="T36" s="4" t="n">
        <v>0.554984520069298</v>
      </c>
      <c r="U36" s="4" t="n">
        <v>0.921585338997363</v>
      </c>
      <c r="V36" s="4" t="n">
        <v>0.794353895329144</v>
      </c>
      <c r="W36" s="4" t="n">
        <v>0.881433174233892</v>
      </c>
      <c r="X36" s="4" t="n">
        <v>0.309555247411671</v>
      </c>
      <c r="Y36" s="4" t="n">
        <v>0.684577725212087</v>
      </c>
      <c r="Z36" s="4" t="n">
        <v>0.91726783547044</v>
      </c>
      <c r="AA36" s="4" t="n">
        <v>0.818889900161791</v>
      </c>
      <c r="AB36" s="4" t="n">
        <v>0.799400889006244</v>
      </c>
      <c r="AC36" s="4" t="n">
        <v>0.128790087596841</v>
      </c>
      <c r="AD36" s="4" t="n">
        <v>0.208634769949559</v>
      </c>
      <c r="AE36" s="4" t="n">
        <v>0.556034391267739</v>
      </c>
      <c r="AF36" s="4" t="n">
        <v>0.266987667125137</v>
      </c>
      <c r="AG36" s="4" t="n">
        <v>0.607664757970923</v>
      </c>
      <c r="AH36" s="4" t="n">
        <v>0.938910379514359</v>
      </c>
      <c r="AI36" s="4" t="n">
        <v>0.27093593063646</v>
      </c>
      <c r="AJ36" s="4" t="n">
        <v>0.319498252534808</v>
      </c>
      <c r="AK36" s="4" t="n">
        <v>0.311039743902531</v>
      </c>
      <c r="AL36" s="4" t="n">
        <v>0.2125674915968</v>
      </c>
      <c r="AM36" s="4" t="n">
        <v>0.938237035474368</v>
      </c>
      <c r="AN36" s="4" t="n">
        <v>0.279438470578944</v>
      </c>
      <c r="AO36" s="4" t="n">
        <v>0.0686192631699715</v>
      </c>
      <c r="AP36" s="4" t="n">
        <v>0.933211068031748</v>
      </c>
      <c r="AQ36" s="4" t="n">
        <v>0.592832882334965</v>
      </c>
      <c r="AR36" s="4" t="n">
        <v>0.449853996254273</v>
      </c>
      <c r="AS36" s="4" t="n">
        <v>0.160471399537554</v>
      </c>
      <c r="AT36" s="4" t="n">
        <v>0.203502123256663</v>
      </c>
      <c r="AU36" s="4" t="n">
        <v>0.532281954782439</v>
      </c>
      <c r="AV36" s="4" t="n">
        <v>0.395364412268273</v>
      </c>
      <c r="AW36" s="4" t="n">
        <v>0.775336485605776</v>
      </c>
      <c r="AX36" s="4" t="n">
        <v>0.962267903593251</v>
      </c>
      <c r="AY36" s="4" t="n">
        <v>0.0817383959244968</v>
      </c>
      <c r="AZ36" s="4" t="n">
        <v>0.0966549254278334</v>
      </c>
      <c r="BA36" s="4" t="n">
        <v>0.823288735243719</v>
      </c>
      <c r="BB36" s="4" t="n">
        <v>0.483217074353564</v>
      </c>
      <c r="BC36" s="4" t="n">
        <v>0.0878986979246145</v>
      </c>
      <c r="BD36" s="4" t="n">
        <v>0.333143486131626</v>
      </c>
      <c r="BE36" s="4" t="n">
        <v>0.0995539605186638</v>
      </c>
      <c r="BF36" s="4" t="n">
        <v>0.870694097078151</v>
      </c>
      <c r="BG36" s="4" t="n">
        <v>0.639964913972722</v>
      </c>
      <c r="BH36" s="4" t="n">
        <v>0.201619728513368</v>
      </c>
      <c r="BI36" s="4" t="n">
        <v>0.899814322910197</v>
      </c>
      <c r="BJ36" s="4" t="n">
        <v>0.730384597992945</v>
      </c>
      <c r="BK36" s="4" t="n">
        <v>0.563251507829164</v>
      </c>
      <c r="BL36" s="4" t="n">
        <v>0.638336676117211</v>
      </c>
      <c r="BM36" s="4" t="n">
        <v>0.158641562734891</v>
      </c>
      <c r="BN36" s="4" t="n">
        <v>0.843824055724834</v>
      </c>
      <c r="BO36" s="4" t="n">
        <v>0.426324521546815</v>
      </c>
      <c r="BP36" s="4" t="n">
        <v>0.35336047952556</v>
      </c>
      <c r="BQ36" s="4" t="n">
        <v>0.64454610218233</v>
      </c>
      <c r="BR36" s="4" t="n">
        <v>0.362543934509441</v>
      </c>
      <c r="BS36" s="4" t="n">
        <v>0.36494143606774</v>
      </c>
      <c r="BT36" s="4" t="n">
        <v>0.441448023427927</v>
      </c>
      <c r="BU36" s="4" t="n">
        <v>0.751582085184145</v>
      </c>
      <c r="BV36" s="4" t="n">
        <v>0.803154464920425</v>
      </c>
      <c r="BW36" s="4" t="n">
        <v>0.0137555342454814</v>
      </c>
      <c r="BX36" s="4" t="n">
        <v>0.921338529683529</v>
      </c>
      <c r="BY36" s="4" t="n">
        <v>0.468754414092137</v>
      </c>
      <c r="BZ36" s="4" t="n">
        <v>0.914180310618376</v>
      </c>
      <c r="CA36" s="4" t="n">
        <v>0.332228777516109</v>
      </c>
      <c r="CB36" s="4" t="n">
        <v>0.288157915126045</v>
      </c>
      <c r="CC36" s="4" t="n">
        <v>0.995345333739379</v>
      </c>
      <c r="CD36" s="4" t="n">
        <v>0.371286632343585</v>
      </c>
      <c r="CE36" s="4" t="n">
        <v>0.0576879961629658</v>
      </c>
      <c r="CF36" s="4" t="n">
        <v>0.659921406120532</v>
      </c>
      <c r="CG36" s="4" t="n">
        <v>0.0115238323892931</v>
      </c>
      <c r="CH36" s="4" t="n">
        <v>0.571010651671852</v>
      </c>
      <c r="CI36" s="4" t="n">
        <v>0.133240091094698</v>
      </c>
      <c r="CJ36" s="4" t="n">
        <v>0.0926476262613435</v>
      </c>
      <c r="CK36" s="4" t="n">
        <v>0.865658780349973</v>
      </c>
      <c r="CL36" s="4" t="n">
        <v>0</v>
      </c>
      <c r="CN36" s="0" t="n">
        <f aca="false" t="array" ref="CN36:CN36">SUM($I$26:$J$26*$I36:$J36)/(1-SUM(IF($I$26:$J$26=0,$I9:$J9,0)))</f>
        <v>1.14032014607093</v>
      </c>
      <c r="CO36" s="4" t="n">
        <f aca="false" t="array" ref="CO36:CO36">SUM($C$26:$H$26*$C36:$H36,$K$26:$N$26*$K36:$N36,$R$26:$U$26*$R36:$U36,$X$26:$Z$26*$X36:$Z36,$AC$26*$AC36,$AW$26:$BA$26*$AW36:$BA36,$BF$26*$BF36,$BN$26:$BS$26*$BN36:$BS36,$BZ$26:$CA$26*$BZ36:$CA36,$CC$26:$CH$26*$CC36:$CH36)/(1-SUM(IF($C$26:$H$26=0,$C9:$H9,0),IF($K$26:$N$26=0,$K9:$N9,0),IF($R$26:$U$26=0,$R9:$U9,0),IF($X$26:$Z$26=0,$X9:$Z9,0),IF($AC$26=0,$AC9,0),IF($AW$26:$BA$26=0,$AW9:$BA9,0),IF($BF$26=0,$BF9,0),IF($BN$26:$BS$26=0,$BN9:$BS9,0),IF($BZ$26:$CA$26=0,$BZ9:$CA9,0),IF($CC$26:$CH$26=0,$CC9:$CH9,0)))</f>
        <v>6.22753455357555</v>
      </c>
      <c r="CP36" s="4" t="n">
        <f aca="false" t="array" ref="CP36:CP36">SUM($O$26:$Q$26*$O36:$Q36,$V$26:$W$26*$V36:$W36,$AA$26:$AB$26*$AA36:$AB36,$AD$26:$AV$26*$AD36:$AV36,$BB$26:$BE$26*$BB36:$BE36,$BG$26:$BM$26*$BG36:$BM36,$BT$26:$BY$26*$BT36:$BY36,$CB$26*$CB36,$CI$26:$CK$26*$CI36:$CK36)/(1-SUM(IF($O$26:$Q$26=0,$O9:$Q9,0),IF($V$26:$W$26=0,$V9:$W9,0),IF($AA$26:$AB$26=0,$AA9:$AB9,0),IF($AD$26:$AV$26=0,$AD9:$AV9,0),IF($BB$26:$BE$26=0,$BB9:$BE9,0),IF($BG$26:$BM$26=0,$BG9:$BM9,0),IF($BT$26:$BY$26=0,$BT9:$BY9,0),IF($CB$26=0,$CB9,0),IF($CI$26:$CK$26=0,$CI9:$CK9,0)))</f>
        <v>7.00373511485241</v>
      </c>
    </row>
    <row r="37" customFormat="false" ht="12.8" hidden="false" customHeight="false" outlineLevel="0" collapsed="false">
      <c r="A37" s="4" t="s">
        <v>142</v>
      </c>
      <c r="B37" s="7" t="s">
        <v>39</v>
      </c>
      <c r="C37" s="4" t="n">
        <v>0.663457146950294</v>
      </c>
      <c r="D37" s="4" t="n">
        <v>0.30934272814402</v>
      </c>
      <c r="E37" s="4" t="n">
        <v>0.109202769701489</v>
      </c>
      <c r="F37" s="4" t="n">
        <v>0.592134335395765</v>
      </c>
      <c r="G37" s="4" t="n">
        <v>0.440502510507821</v>
      </c>
      <c r="H37" s="4" t="n">
        <v>0.886049638616962</v>
      </c>
      <c r="I37" s="4" t="n">
        <v>0.350766337715985</v>
      </c>
      <c r="J37" s="4" t="n">
        <v>0.0268748818758182</v>
      </c>
      <c r="K37" s="4" t="n">
        <v>0.556782699520842</v>
      </c>
      <c r="L37" s="4" t="n">
        <v>0.0678481897835496</v>
      </c>
      <c r="M37" s="4" t="n">
        <v>0.601844692737123</v>
      </c>
      <c r="N37" s="4" t="n">
        <v>0.968498945670325</v>
      </c>
      <c r="O37" s="4" t="n">
        <v>0.800999008481308</v>
      </c>
      <c r="P37" s="4" t="n">
        <v>0.0189312521355513</v>
      </c>
      <c r="Q37" s="4" t="n">
        <v>0.0244884399176273</v>
      </c>
      <c r="R37" s="4" t="n">
        <v>0.178243753334264</v>
      </c>
      <c r="S37" s="4" t="n">
        <v>0.616555808391777</v>
      </c>
      <c r="T37" s="4" t="n">
        <v>0.603593115503281</v>
      </c>
      <c r="U37" s="4" t="n">
        <v>0.380011554792953</v>
      </c>
      <c r="V37" s="4" t="n">
        <v>0.321594560376571</v>
      </c>
      <c r="W37" s="4" t="n">
        <v>0.82071873841759</v>
      </c>
      <c r="X37" s="4" t="n">
        <v>0.259831040867351</v>
      </c>
      <c r="Y37" s="4" t="n">
        <v>0.618818057968824</v>
      </c>
      <c r="Z37" s="4" t="n">
        <v>0.140707829641738</v>
      </c>
      <c r="AA37" s="4" t="n">
        <v>0.0905724193307984</v>
      </c>
      <c r="AB37" s="4" t="n">
        <v>0.128887471999759</v>
      </c>
      <c r="AC37" s="4" t="n">
        <v>0.870679174436681</v>
      </c>
      <c r="AD37" s="4" t="n">
        <v>0.807516120700615</v>
      </c>
      <c r="AE37" s="4" t="n">
        <v>0.189952446193117</v>
      </c>
      <c r="AF37" s="4" t="n">
        <v>0.50385891057372</v>
      </c>
      <c r="AG37" s="4" t="n">
        <v>0.193829051963555</v>
      </c>
      <c r="AH37" s="4" t="n">
        <v>0.430614291442229</v>
      </c>
      <c r="AI37" s="4" t="n">
        <v>0.104062272111607</v>
      </c>
      <c r="AJ37" s="4" t="n">
        <v>0.720577617753267</v>
      </c>
      <c r="AK37" s="4" t="n">
        <v>0.706984569126011</v>
      </c>
      <c r="AL37" s="4" t="n">
        <v>0.507909220696777</v>
      </c>
      <c r="AM37" s="4" t="n">
        <v>0.244251039882767</v>
      </c>
      <c r="AN37" s="4" t="n">
        <v>0.160819478155616</v>
      </c>
      <c r="AO37" s="4" t="n">
        <v>0.503837524093995</v>
      </c>
      <c r="AP37" s="4" t="n">
        <v>0.783557011978579</v>
      </c>
      <c r="AQ37" s="4" t="n">
        <v>0.927737927314043</v>
      </c>
      <c r="AR37" s="4" t="n">
        <v>0.569045974179026</v>
      </c>
      <c r="AS37" s="4" t="n">
        <v>0.180488353342688</v>
      </c>
      <c r="AT37" s="4" t="n">
        <v>0.249291533328278</v>
      </c>
      <c r="AU37" s="4" t="n">
        <v>0.475053230956423</v>
      </c>
      <c r="AV37" s="4" t="n">
        <v>0.926749305497402</v>
      </c>
      <c r="AW37" s="4" t="n">
        <v>0.341987732581222</v>
      </c>
      <c r="AX37" s="4" t="n">
        <v>0.380465667383079</v>
      </c>
      <c r="AY37" s="4" t="n">
        <v>0.724284891727039</v>
      </c>
      <c r="AZ37" s="4" t="n">
        <v>0.139299732939927</v>
      </c>
      <c r="BA37" s="4" t="n">
        <v>0.692625407814824</v>
      </c>
      <c r="BB37" s="4" t="n">
        <v>0.977621517639126</v>
      </c>
      <c r="BC37" s="4" t="n">
        <v>0.350547362460212</v>
      </c>
      <c r="BD37" s="4" t="n">
        <v>0.198679933419589</v>
      </c>
      <c r="BE37" s="4" t="n">
        <v>0.893182395282223</v>
      </c>
      <c r="BF37" s="4" t="n">
        <v>0.00139559872110898</v>
      </c>
      <c r="BG37" s="4" t="n">
        <v>0.525955640142501</v>
      </c>
      <c r="BH37" s="4" t="n">
        <v>0.728817964797435</v>
      </c>
      <c r="BI37" s="4" t="n">
        <v>0.499231224914469</v>
      </c>
      <c r="BJ37" s="4" t="n">
        <v>0.965683796165027</v>
      </c>
      <c r="BK37" s="4" t="n">
        <v>0.850661396532387</v>
      </c>
      <c r="BL37" s="4" t="n">
        <v>0.775643924650712</v>
      </c>
      <c r="BM37" s="4" t="n">
        <v>0.633197631969236</v>
      </c>
      <c r="BN37" s="4" t="n">
        <v>0.576813740499357</v>
      </c>
      <c r="BO37" s="4" t="n">
        <v>0.547001283500729</v>
      </c>
      <c r="BP37" s="4" t="n">
        <v>0.851236615276481</v>
      </c>
      <c r="BQ37" s="4" t="n">
        <v>0.872968220718738</v>
      </c>
      <c r="BR37" s="4" t="n">
        <v>0.18042805214501</v>
      </c>
      <c r="BS37" s="4" t="n">
        <v>0.37322505520526</v>
      </c>
      <c r="BT37" s="4" t="n">
        <v>0.345524934921141</v>
      </c>
      <c r="BU37" s="4" t="n">
        <v>0.797332194956669</v>
      </c>
      <c r="BV37" s="4" t="n">
        <v>0.72149231625066</v>
      </c>
      <c r="BW37" s="4" t="n">
        <v>0.819768278894474</v>
      </c>
      <c r="BX37" s="4" t="n">
        <v>0.047521569234191</v>
      </c>
      <c r="BY37" s="4" t="n">
        <v>0.431101515352247</v>
      </c>
      <c r="BZ37" s="4" t="n">
        <v>0.0650122676296446</v>
      </c>
      <c r="CA37" s="4" t="n">
        <v>0.430354629326327</v>
      </c>
      <c r="CB37" s="4" t="n">
        <v>0.467693274104532</v>
      </c>
      <c r="CC37" s="4" t="n">
        <v>0.0786644544790635</v>
      </c>
      <c r="CD37" s="4" t="n">
        <v>0.686290175306721</v>
      </c>
      <c r="CE37" s="4" t="n">
        <v>0.708704450344756</v>
      </c>
      <c r="CF37" s="4" t="n">
        <v>0.900051009148014</v>
      </c>
      <c r="CG37" s="4" t="n">
        <v>0.791728843587584</v>
      </c>
      <c r="CH37" s="4" t="n">
        <v>0.992127019656568</v>
      </c>
      <c r="CI37" s="4" t="n">
        <v>0.915177558551391</v>
      </c>
      <c r="CJ37" s="4" t="n">
        <v>0.538160185937083</v>
      </c>
      <c r="CK37" s="4" t="n">
        <v>0.353302397389013</v>
      </c>
      <c r="CL37" s="4" t="n">
        <v>0</v>
      </c>
      <c r="CN37" s="0" t="n">
        <f aca="false" t="array" ref="CN37:CN37">SUM($I$26:$J$26*$I37:$J37)/(1-SUM(IF($I$26:$J$26=0,$I10:$J10,0)))</f>
        <v>0.377641219591803</v>
      </c>
      <c r="CO37" s="4" t="n">
        <f aca="false" t="array" ref="CO37:CO37">SUM($C$26:$H$26*$C37:$H37,$K$26:$N$26*$K37:$N37,$R$26:$U$26*$R37:$U37,$X$26:$Z$26*$X37:$Z37,$AC$26*$AC37,$AW$26:$BA$26*$AW37:$BA37,$BF$26*$BF37,$BN$26:$BS$26*$BN37:$BS37,$BZ$26:$CA$26*$BZ37:$CA37,$CC$26:$CH$26*$CC37:$CH37)/(1-SUM(IF($C$26:$H$26=0,$C10:$H10,0),IF($K$26:$N$26=0,$K10:$N10,0),IF($R$26:$U$26=0,$R10:$U10,0),IF($X$26:$Z$26=0,$X10:$Z10,0),IF($AC$26=0,$AC10,0),IF($AW$26:$BA$26=0,$AW10:$BA10,0),IF($BF$26=0,$BF10,0),IF($BN$26:$BS$26=0,$BN10:$BS10,0),IF($BZ$26:$CA$26=0,$BZ10:$CA10,0),IF($CC$26:$CH$26=0,$CC10:$CH10,0)))</f>
        <v>4.13885788040303</v>
      </c>
      <c r="CP37" s="4" t="n">
        <f aca="false" t="array" ref="CP37:CP37">SUM($O$26:$Q$26*$O37:$Q37,$V$26:$W$26*$V37:$W37,$AA$26:$AB$26*$AA37:$AB37,$AD$26:$AV$26*$AD37:$AV37,$BB$26:$BE$26*$BB37:$BE37,$BG$26:$BM$26*$BG37:$BM37,$BT$26:$BY$26*$BT37:$BY37,$CB$26*$CB37,$CI$26:$CK$26*$CI37:$CK37)/(1-SUM(IF($O$26:$Q$26=0,$O10:$Q10,0),IF($V$26:$W$26=0,$V10:$W10,0),IF($AA$26:$AB$26=0,$AA10:$AB10,0),IF($AD$26:$AV$26=0,$AD10:$AV10,0),IF($BB$26:$BE$26=0,$BB10:$BE10,0),IF($BG$26:$BM$26=0,$BG10:$BM10,0),IF($BT$26:$BY$26=0,$BT10:$BY10,0),IF($CB$26=0,$CB10,0),IF($CI$26:$CK$26=0,$CI10:$CK10,0)))</f>
        <v>7.36011086597728</v>
      </c>
    </row>
    <row r="38" customFormat="false" ht="12.8" hidden="false" customHeight="false" outlineLevel="0" collapsed="false">
      <c r="A38" s="4" t="s">
        <v>143</v>
      </c>
      <c r="B38" s="7" t="s">
        <v>39</v>
      </c>
      <c r="C38" s="4" t="n">
        <v>0.665114645580336</v>
      </c>
      <c r="D38" s="4" t="n">
        <v>0.0941839501253966</v>
      </c>
      <c r="E38" s="4" t="n">
        <v>0.9723629851266</v>
      </c>
      <c r="F38" s="4" t="n">
        <v>0.691542312170203</v>
      </c>
      <c r="G38" s="4" t="n">
        <v>0.80790314777844</v>
      </c>
      <c r="H38" s="4" t="n">
        <v>0.59253251880615</v>
      </c>
      <c r="I38" s="4" t="n">
        <v>0.48177899079076</v>
      </c>
      <c r="J38" s="4" t="n">
        <v>0.721864684709646</v>
      </c>
      <c r="K38" s="4" t="n">
        <v>0.104901059314442</v>
      </c>
      <c r="L38" s="4" t="n">
        <v>0.728524707954189</v>
      </c>
      <c r="M38" s="4" t="n">
        <v>0.725026204476492</v>
      </c>
      <c r="N38" s="4" t="n">
        <v>0.0497970487163576</v>
      </c>
      <c r="O38" s="4" t="n">
        <v>0.374459104498984</v>
      </c>
      <c r="P38" s="4" t="n">
        <v>0.540230813500373</v>
      </c>
      <c r="Q38" s="4" t="n">
        <v>0.508387852575018</v>
      </c>
      <c r="R38" s="4" t="n">
        <v>0.179445225323425</v>
      </c>
      <c r="S38" s="4" t="n">
        <v>0.426422627860543</v>
      </c>
      <c r="T38" s="4" t="n">
        <v>0.715059875491905</v>
      </c>
      <c r="U38" s="4" t="n">
        <v>0.324885157315925</v>
      </c>
      <c r="V38" s="4" t="n">
        <v>0.536267864614829</v>
      </c>
      <c r="W38" s="4" t="n">
        <v>0.741317200584185</v>
      </c>
      <c r="X38" s="4" t="n">
        <v>0.801363255023107</v>
      </c>
      <c r="Y38" s="4" t="n">
        <v>0.093557576684932</v>
      </c>
      <c r="Z38" s="4" t="n">
        <v>0.723506828987886</v>
      </c>
      <c r="AA38" s="4" t="n">
        <v>0.772672016433846</v>
      </c>
      <c r="AB38" s="4" t="n">
        <v>0.564504267607707</v>
      </c>
      <c r="AC38" s="4" t="n">
        <v>0.947003137411203</v>
      </c>
      <c r="AD38" s="4" t="n">
        <v>0.934262496317286</v>
      </c>
      <c r="AE38" s="4" t="n">
        <v>0.660435187552206</v>
      </c>
      <c r="AF38" s="4" t="n">
        <v>0.375475217190883</v>
      </c>
      <c r="AG38" s="4" t="n">
        <v>0.274930498127683</v>
      </c>
      <c r="AH38" s="4" t="n">
        <v>0.704335952802868</v>
      </c>
      <c r="AI38" s="4" t="n">
        <v>0.40712015774243</v>
      </c>
      <c r="AJ38" s="4" t="n">
        <v>0.358678722738588</v>
      </c>
      <c r="AK38" s="4" t="n">
        <v>0.775918986751994</v>
      </c>
      <c r="AL38" s="4" t="n">
        <v>0.541072446994846</v>
      </c>
      <c r="AM38" s="4" t="n">
        <v>0.0343242522698522</v>
      </c>
      <c r="AN38" s="4" t="n">
        <v>0.803160782951051</v>
      </c>
      <c r="AO38" s="4" t="n">
        <v>0.764250616685912</v>
      </c>
      <c r="AP38" s="4" t="n">
        <v>0.103077828684136</v>
      </c>
      <c r="AQ38" s="4" t="n">
        <v>0.628221861173437</v>
      </c>
      <c r="AR38" s="4" t="n">
        <v>0.648112885337345</v>
      </c>
      <c r="AS38" s="4" t="n">
        <v>0.294561039888173</v>
      </c>
      <c r="AT38" s="4" t="n">
        <v>0.592627284374145</v>
      </c>
      <c r="AU38" s="4" t="n">
        <v>0.0883498352647372</v>
      </c>
      <c r="AV38" s="4" t="n">
        <v>0.0431517103364467</v>
      </c>
      <c r="AW38" s="4" t="n">
        <v>0.83375254579728</v>
      </c>
      <c r="AX38" s="4" t="n">
        <v>0.255499190886706</v>
      </c>
      <c r="AY38" s="4" t="n">
        <v>0.562783450683325</v>
      </c>
      <c r="AZ38" s="4" t="n">
        <v>0.892472803094084</v>
      </c>
      <c r="BA38" s="4" t="n">
        <v>0.867050620654944</v>
      </c>
      <c r="BB38" s="4" t="n">
        <v>0.814117725657562</v>
      </c>
      <c r="BC38" s="4" t="n">
        <v>0.224373405962129</v>
      </c>
      <c r="BD38" s="4" t="n">
        <v>0.572959683933907</v>
      </c>
      <c r="BE38" s="4" t="n">
        <v>0.712157033885563</v>
      </c>
      <c r="BF38" s="4" t="n">
        <v>0.726508788153199</v>
      </c>
      <c r="BG38" s="4" t="n">
        <v>0.145724400920317</v>
      </c>
      <c r="BH38" s="4" t="n">
        <v>0.595933072149405</v>
      </c>
      <c r="BI38" s="4" t="n">
        <v>0.686916997268971</v>
      </c>
      <c r="BJ38" s="4" t="n">
        <v>0.0418064694264248</v>
      </c>
      <c r="BK38" s="4" t="n">
        <v>0.0252797505924305</v>
      </c>
      <c r="BL38" s="4" t="n">
        <v>0.364841073502785</v>
      </c>
      <c r="BM38" s="4" t="n">
        <v>0.436329736803276</v>
      </c>
      <c r="BN38" s="4" t="n">
        <v>0.206100246348361</v>
      </c>
      <c r="BO38" s="4" t="n">
        <v>0.901801924705298</v>
      </c>
      <c r="BP38" s="4" t="n">
        <v>0.929720319730084</v>
      </c>
      <c r="BQ38" s="4" t="n">
        <v>0.993852360016557</v>
      </c>
      <c r="BR38" s="4" t="n">
        <v>0.635977798873224</v>
      </c>
      <c r="BS38" s="4" t="n">
        <v>0.685127837861711</v>
      </c>
      <c r="BT38" s="4" t="n">
        <v>0.862569493851713</v>
      </c>
      <c r="BU38" s="4" t="n">
        <v>0.293954032276793</v>
      </c>
      <c r="BV38" s="4" t="n">
        <v>0.643327152879558</v>
      </c>
      <c r="BW38" s="4" t="n">
        <v>0.990164974859062</v>
      </c>
      <c r="BX38" s="4" t="n">
        <v>0.963180028106828</v>
      </c>
      <c r="BY38" s="4" t="n">
        <v>0.835309355938683</v>
      </c>
      <c r="BZ38" s="4" t="n">
        <v>0.157152527978213</v>
      </c>
      <c r="CA38" s="4" t="n">
        <v>0.166534917053172</v>
      </c>
      <c r="CB38" s="4" t="n">
        <v>0.700058407165425</v>
      </c>
      <c r="CC38" s="4" t="n">
        <v>0.153534213667805</v>
      </c>
      <c r="CD38" s="4" t="n">
        <v>0.980837955878944</v>
      </c>
      <c r="CE38" s="4" t="n">
        <v>0.943795660502284</v>
      </c>
      <c r="CF38" s="4" t="n">
        <v>0.225811483641923</v>
      </c>
      <c r="CG38" s="4" t="n">
        <v>0.652290798116533</v>
      </c>
      <c r="CH38" s="4" t="n">
        <v>0.0938981174151141</v>
      </c>
      <c r="CI38" s="4" t="n">
        <v>0.323592358575232</v>
      </c>
      <c r="CJ38" s="4" t="n">
        <v>0.474098754414573</v>
      </c>
      <c r="CK38" s="4" t="n">
        <v>0.086405746668943</v>
      </c>
      <c r="CL38" s="4" t="n">
        <v>0</v>
      </c>
      <c r="CN38" s="0" t="n">
        <f aca="false" t="array" ref="CN38:CN38">SUM($I$26:$J$26*$I38:$J38)/(1-SUM(IF($I$26:$J$26=0,$I11:$J11,0)))</f>
        <v>1.20364367550041</v>
      </c>
      <c r="CO38" s="4" t="n">
        <f aca="false" t="array" ref="CO38:CO38">SUM($C$26:$H$26*$C38:$H38,$K$26:$N$26*$K38:$N38,$R$26:$U$26*$R38:$U38,$X$26:$Z$26*$X38:$Z38,$AC$26*$AC38,$AW$26:$BA$26*$AW38:$BA38,$BF$26*$BF38,$BN$26:$BS$26*$BN38:$BS38,$BZ$26:$CA$26*$BZ38:$CA38,$CC$26:$CH$26*$CC38:$CH38)/(1-SUM(IF($C$26:$H$26=0,$C11:$H11,0),IF($K$26:$N$26=0,$K11:$N11,0),IF($R$26:$U$26=0,$R11:$U11,0),IF($X$26:$Z$26=0,$X11:$Z11,0),IF($AC$26=0,$AC11,0),IF($AW$26:$BA$26=0,$AW11:$BA11,0),IF($BF$26=0,$BF11,0),IF($BN$26:$BS$26=0,$BN11:$BS11,0),IF($BZ$26:$CA$26=0,$BZ11:$CA11,0),IF($CC$26:$CH$26=0,$CC11:$CH11,0)))</f>
        <v>5.02114164543763</v>
      </c>
      <c r="CP38" s="4" t="n">
        <f aca="false" t="array" ref="CP38:CP38">SUM($O$26:$Q$26*$O38:$Q38,$V$26:$W$26*$V38:$W38,$AA$26:$AB$26*$AA38:$AB38,$AD$26:$AV$26*$AD38:$AV38,$BB$26:$BE$26*$BB38:$BE38,$BG$26:$BM$26*$BG38:$BM38,$BT$26:$BY$26*$BT38:$BY38,$CB$26*$CB38,$CI$26:$CK$26*$CI38:$CK38)/(1-SUM(IF($O$26:$Q$26=0,$O11:$Q11,0),IF($V$26:$W$26=0,$V11:$W11,0),IF($AA$26:$AB$26=0,$AA11:$AB11,0),IF($AD$26:$AV$26=0,$AD11:$AV11,0),IF($BB$26:$BE$26=0,$BB11:$BE11,0),IF($BG$26:$BM$26=0,$BG11:$BM11,0),IF($BT$26:$BY$26=0,$BT11:$BY11,0),IF($CB$26=0,$CB11,0),IF($CI$26:$CK$26=0,$CI11:$CK11,0)))</f>
        <v>7.9160690683315</v>
      </c>
    </row>
    <row r="39" customFormat="false" ht="12.8" hidden="false" customHeight="false" outlineLevel="0" collapsed="false">
      <c r="A39" s="4" t="s">
        <v>144</v>
      </c>
      <c r="B39" s="7" t="s">
        <v>39</v>
      </c>
      <c r="C39" s="4" t="n">
        <v>0.337971308262109</v>
      </c>
      <c r="D39" s="4" t="n">
        <v>0.148386573634054</v>
      </c>
      <c r="E39" s="4" t="n">
        <v>0.619794597481243</v>
      </c>
      <c r="F39" s="4" t="n">
        <v>0.26883148281544</v>
      </c>
      <c r="G39" s="4" t="n">
        <v>0.0797236170260496</v>
      </c>
      <c r="H39" s="4" t="n">
        <v>0.58227039454887</v>
      </c>
      <c r="I39" s="4" t="n">
        <v>0.175622814423563</v>
      </c>
      <c r="J39" s="4" t="n">
        <v>0.220333024190394</v>
      </c>
      <c r="K39" s="4" t="n">
        <v>0.965918750637738</v>
      </c>
      <c r="L39" s="4" t="n">
        <v>0.653566958651118</v>
      </c>
      <c r="M39" s="4" t="n">
        <v>0.570988478729087</v>
      </c>
      <c r="N39" s="4" t="n">
        <v>0.126988953273467</v>
      </c>
      <c r="O39" s="4" t="n">
        <v>0.536208996598832</v>
      </c>
      <c r="P39" s="4" t="n">
        <v>0.721895550257605</v>
      </c>
      <c r="Q39" s="4" t="n">
        <v>0.729815789732302</v>
      </c>
      <c r="R39" s="4" t="n">
        <v>0.186361946957644</v>
      </c>
      <c r="S39" s="4" t="n">
        <v>0.259831881712703</v>
      </c>
      <c r="T39" s="4" t="n">
        <v>0.898574377129091</v>
      </c>
      <c r="U39" s="4" t="n">
        <v>0.134247251286354</v>
      </c>
      <c r="V39" s="4" t="n">
        <v>0.795329658603285</v>
      </c>
      <c r="W39" s="4" t="n">
        <v>0.804967851031297</v>
      </c>
      <c r="X39" s="4" t="n">
        <v>0.39212973625492</v>
      </c>
      <c r="Y39" s="4" t="n">
        <v>0.667079811910681</v>
      </c>
      <c r="Z39" s="4" t="n">
        <v>0.551499336394302</v>
      </c>
      <c r="AA39" s="4" t="n">
        <v>0.655921149737395</v>
      </c>
      <c r="AB39" s="4" t="n">
        <v>0.533897893172566</v>
      </c>
      <c r="AC39" s="4" t="n">
        <v>0.714924901894591</v>
      </c>
      <c r="AD39" s="4" t="n">
        <v>0.508739074384151</v>
      </c>
      <c r="AE39" s="4" t="n">
        <v>0.322380315190124</v>
      </c>
      <c r="AF39" s="4" t="n">
        <v>0.856754558484119</v>
      </c>
      <c r="AG39" s="4" t="n">
        <v>0.246813772955121</v>
      </c>
      <c r="AH39" s="4" t="n">
        <v>0.16107236275483</v>
      </c>
      <c r="AI39" s="4" t="n">
        <v>0.667679949759119</v>
      </c>
      <c r="AJ39" s="4" t="n">
        <v>0.339430318322693</v>
      </c>
      <c r="AK39" s="4" t="n">
        <v>0.752833037106337</v>
      </c>
      <c r="AL39" s="4" t="n">
        <v>0.928285615051503</v>
      </c>
      <c r="AM39" s="4" t="n">
        <v>0.680215698934819</v>
      </c>
      <c r="AN39" s="4" t="n">
        <v>0.697382487499475</v>
      </c>
      <c r="AO39" s="4" t="n">
        <v>0.975497011539848</v>
      </c>
      <c r="AP39" s="4" t="n">
        <v>0.799791937930049</v>
      </c>
      <c r="AQ39" s="4" t="n">
        <v>0.0269522616653456</v>
      </c>
      <c r="AR39" s="4" t="n">
        <v>0.162400720251722</v>
      </c>
      <c r="AS39" s="4" t="n">
        <v>0.285883843167924</v>
      </c>
      <c r="AT39" s="4" t="n">
        <v>0.482923696574394</v>
      </c>
      <c r="AU39" s="4" t="n">
        <v>0.461730927899777</v>
      </c>
      <c r="AV39" s="4" t="n">
        <v>0.088965323963638</v>
      </c>
      <c r="AW39" s="4" t="n">
        <v>0.206190226763104</v>
      </c>
      <c r="AX39" s="4" t="n">
        <v>0.396530466648207</v>
      </c>
      <c r="AY39" s="4" t="n">
        <v>0.774471480593134</v>
      </c>
      <c r="AZ39" s="4" t="n">
        <v>0.83473023995616</v>
      </c>
      <c r="BA39" s="4" t="n">
        <v>0.663076387307747</v>
      </c>
      <c r="BB39" s="4" t="n">
        <v>0.130463947096325</v>
      </c>
      <c r="BC39" s="4" t="n">
        <v>0.571961489306788</v>
      </c>
      <c r="BD39" s="4" t="n">
        <v>0.496947895146084</v>
      </c>
      <c r="BE39" s="4" t="n">
        <v>0.456562675236352</v>
      </c>
      <c r="BF39" s="4" t="n">
        <v>0.257730588742728</v>
      </c>
      <c r="BG39" s="4" t="n">
        <v>0.810956989838416</v>
      </c>
      <c r="BH39" s="4" t="n">
        <v>0.684559861351822</v>
      </c>
      <c r="BI39" s="4" t="n">
        <v>0.622692579214655</v>
      </c>
      <c r="BJ39" s="4" t="n">
        <v>0.590541986957561</v>
      </c>
      <c r="BK39" s="4" t="n">
        <v>0.511620594366497</v>
      </c>
      <c r="BL39" s="4" t="n">
        <v>0.796494013855715</v>
      </c>
      <c r="BM39" s="4" t="n">
        <v>0.566003896881797</v>
      </c>
      <c r="BN39" s="4" t="n">
        <v>0.648392297018721</v>
      </c>
      <c r="BO39" s="4" t="n">
        <v>0.59123277331942</v>
      </c>
      <c r="BP39" s="4" t="n">
        <v>0.470665692008316</v>
      </c>
      <c r="BQ39" s="4" t="n">
        <v>0.503060335387891</v>
      </c>
      <c r="BR39" s="4" t="n">
        <v>0.463176162896545</v>
      </c>
      <c r="BS39" s="4" t="n">
        <v>0.0975841884112894</v>
      </c>
      <c r="BT39" s="4" t="n">
        <v>0.774469284594743</v>
      </c>
      <c r="BU39" s="4" t="n">
        <v>0.85017030331134</v>
      </c>
      <c r="BV39" s="4" t="n">
        <v>0.296493787660843</v>
      </c>
      <c r="BW39" s="4" t="n">
        <v>0.200978955424164</v>
      </c>
      <c r="BX39" s="4" t="n">
        <v>0.875283331749772</v>
      </c>
      <c r="BY39" s="4" t="n">
        <v>0.886458598790336</v>
      </c>
      <c r="BZ39" s="4" t="n">
        <v>0.486715575665308</v>
      </c>
      <c r="CA39" s="4" t="n">
        <v>0.106316469487627</v>
      </c>
      <c r="CB39" s="4" t="n">
        <v>0.91927615214514</v>
      </c>
      <c r="CC39" s="4" t="n">
        <v>0.114217652282446</v>
      </c>
      <c r="CD39" s="4" t="n">
        <v>0.325410192327744</v>
      </c>
      <c r="CE39" s="4" t="n">
        <v>0.538533638007048</v>
      </c>
      <c r="CF39" s="4" t="n">
        <v>0.989819027315771</v>
      </c>
      <c r="CG39" s="4" t="n">
        <v>0.59952312646737</v>
      </c>
      <c r="CH39" s="4" t="n">
        <v>0.78212535075752</v>
      </c>
      <c r="CI39" s="4" t="n">
        <v>0.943138984230711</v>
      </c>
      <c r="CJ39" s="4" t="n">
        <v>0.692740469279028</v>
      </c>
      <c r="CK39" s="4" t="n">
        <v>0.957817235922876</v>
      </c>
      <c r="CL39" s="4" t="n">
        <v>0</v>
      </c>
      <c r="CN39" s="0" t="n">
        <f aca="false" t="array" ref="CN39:CN39">SUM($I$26:$J$26*$I39:$J39)/(1-SUM(IF($I$26:$J$26=0,$I12:$J12,0)))</f>
        <v>0.395955838613957</v>
      </c>
      <c r="CO39" s="4" t="n">
        <f aca="false" t="array" ref="CO39:CO39">SUM($C$26:$H$26*$C39:$H39,$K$26:$N$26*$K39:$N39,$R$26:$U$26*$R39:$U39,$X$26:$Z$26*$X39:$Z39,$AC$26*$AC39,$AW$26:$BA$26*$AW39:$BA39,$BF$26*$BF39,$BN$26:$BS$26*$BN39:$BS39,$BZ$26:$CA$26*$BZ39:$CA39,$CC$26:$CH$26*$CC39:$CH39)/(1-SUM(IF($C$26:$H$26=0,$C12:$H12,0),IF($K$26:$N$26=0,$K12:$N12,0),IF($R$26:$U$26=0,$R12:$U12,0),IF($X$26:$Z$26=0,$X12:$Z12,0),IF($AC$26=0,$AC12,0),IF($AW$26:$BA$26=0,$AW12:$BA12,0),IF($BF$26=0,$BF12,0),IF($BN$26:$BS$26=0,$BN12:$BS12,0),IF($BZ$26:$CA$26=0,$BZ12:$CA12,0),IF($CC$26:$CH$26=0,$CC12:$CH12,0)))</f>
        <v>4.20887986930499</v>
      </c>
      <c r="CP39" s="4" t="n">
        <f aca="false" t="array" ref="CP39:CP39">SUM($O$26:$Q$26*$O39:$Q39,$V$26:$W$26*$V39:$W39,$AA$26:$AB$26*$AA39:$AB39,$AD$26:$AV$26*$AD39:$AV39,$BB$26:$BE$26*$BB39:$BE39,$BG$26:$BM$26*$BG39:$BM39,$BT$26:$BY$26*$BT39:$BY39,$CB$26*$CB39,$CI$26:$CK$26*$CI39:$CK39)/(1-SUM(IF($O$26:$Q$26=0,$O12:$Q12,0),IF($V$26:$W$26=0,$V12:$W12,0),IF($AA$26:$AB$26=0,$AA12:$AB12,0),IF($AD$26:$AV$26=0,$AD12:$AV12,0),IF($BB$26:$BE$26=0,$BB12:$BE12,0),IF($BG$26:$BM$26=0,$BG12:$BM12,0),IF($BT$26:$BY$26=0,$BT12:$BY12,0),IF($CB$26=0,$CB12,0),IF($CI$26:$CK$26=0,$CI12:$CK12,0)))</f>
        <v>10.224347931736</v>
      </c>
    </row>
    <row r="40" customFormat="false" ht="12.8" hidden="false" customHeight="false" outlineLevel="0" collapsed="false">
      <c r="A40" s="4" t="s">
        <v>145</v>
      </c>
      <c r="B40" s="7" t="s">
        <v>39</v>
      </c>
      <c r="C40" s="4" t="n">
        <v>0.132496047081847</v>
      </c>
      <c r="D40" s="4" t="n">
        <v>0.392445215402367</v>
      </c>
      <c r="E40" s="4" t="n">
        <v>0.575036076178496</v>
      </c>
      <c r="F40" s="4" t="n">
        <v>0.989210761185425</v>
      </c>
      <c r="G40" s="4" t="n">
        <v>0.58132166145204</v>
      </c>
      <c r="H40" s="4" t="n">
        <v>0.0101610508645217</v>
      </c>
      <c r="I40" s="4" t="n">
        <v>0.397868922595813</v>
      </c>
      <c r="J40" s="4" t="n">
        <v>0.731889696504919</v>
      </c>
      <c r="K40" s="4" t="n">
        <v>0.731552207261978</v>
      </c>
      <c r="L40" s="4" t="n">
        <v>0.381858525529774</v>
      </c>
      <c r="M40" s="4" t="n">
        <v>0.344027821794333</v>
      </c>
      <c r="N40" s="4" t="n">
        <v>0.857998751791958</v>
      </c>
      <c r="O40" s="4" t="n">
        <v>0.739509453835837</v>
      </c>
      <c r="P40" s="4" t="n">
        <v>0.550979864596227</v>
      </c>
      <c r="Q40" s="4" t="n">
        <v>0.974839767225343</v>
      </c>
      <c r="R40" s="4" t="n">
        <v>0.320585820787723</v>
      </c>
      <c r="S40" s="4" t="n">
        <v>0.516109927221608</v>
      </c>
      <c r="T40" s="4" t="n">
        <v>0.970637417341518</v>
      </c>
      <c r="U40" s="4" t="n">
        <v>0.628062548073442</v>
      </c>
      <c r="V40" s="4" t="n">
        <v>0.695978126950254</v>
      </c>
      <c r="W40" s="4" t="n">
        <v>0.697083068313653</v>
      </c>
      <c r="X40" s="4" t="n">
        <v>0.696827150615301</v>
      </c>
      <c r="Y40" s="4" t="n">
        <v>0.526547381301078</v>
      </c>
      <c r="Z40" s="4" t="n">
        <v>0.436846911143387</v>
      </c>
      <c r="AA40" s="4" t="n">
        <v>0.466183082659986</v>
      </c>
      <c r="AB40" s="4" t="n">
        <v>0.634453969941115</v>
      </c>
      <c r="AC40" s="4" t="n">
        <v>0.228654679863777</v>
      </c>
      <c r="AD40" s="4" t="n">
        <v>0.0918568497312257</v>
      </c>
      <c r="AE40" s="4" t="n">
        <v>0.654216131503695</v>
      </c>
      <c r="AF40" s="4" t="n">
        <v>0.53653053605248</v>
      </c>
      <c r="AG40" s="4" t="n">
        <v>0.155928880458727</v>
      </c>
      <c r="AH40" s="4" t="n">
        <v>0.501492403278678</v>
      </c>
      <c r="AI40" s="4" t="n">
        <v>0.000759992585940675</v>
      </c>
      <c r="AJ40" s="4" t="n">
        <v>0.791811499336301</v>
      </c>
      <c r="AK40" s="4" t="n">
        <v>0.932096349254693</v>
      </c>
      <c r="AL40" s="4" t="n">
        <v>0.502659971176891</v>
      </c>
      <c r="AM40" s="4" t="n">
        <v>0.887345515156575</v>
      </c>
      <c r="AN40" s="4" t="n">
        <v>0.702824470794339</v>
      </c>
      <c r="AO40" s="4" t="n">
        <v>0.725000171817149</v>
      </c>
      <c r="AP40" s="4" t="n">
        <v>0.846033696570875</v>
      </c>
      <c r="AQ40" s="4" t="n">
        <v>0.20880943823189</v>
      </c>
      <c r="AR40" s="4" t="n">
        <v>0.353164260725714</v>
      </c>
      <c r="AS40" s="4" t="n">
        <v>0.538476155785313</v>
      </c>
      <c r="AT40" s="4" t="n">
        <v>0.472263410525147</v>
      </c>
      <c r="AU40" s="4" t="n">
        <v>0.0687431243554194</v>
      </c>
      <c r="AV40" s="4" t="n">
        <v>0.404102248618526</v>
      </c>
      <c r="AW40" s="4" t="n">
        <v>0.269675232850816</v>
      </c>
      <c r="AX40" s="4" t="n">
        <v>0.39121124696034</v>
      </c>
      <c r="AY40" s="4" t="n">
        <v>0.106846890677692</v>
      </c>
      <c r="AZ40" s="4" t="n">
        <v>0.730169811184174</v>
      </c>
      <c r="BA40" s="4" t="n">
        <v>0.479275414066836</v>
      </c>
      <c r="BB40" s="4" t="n">
        <v>0.790415352098327</v>
      </c>
      <c r="BC40" s="4" t="n">
        <v>0.213108903998057</v>
      </c>
      <c r="BD40" s="4" t="n">
        <v>0.877010994245783</v>
      </c>
      <c r="BE40" s="4" t="n">
        <v>0.551000934434462</v>
      </c>
      <c r="BF40" s="4" t="n">
        <v>0.300020340588346</v>
      </c>
      <c r="BG40" s="4" t="n">
        <v>0.536894870789415</v>
      </c>
      <c r="BH40" s="4" t="n">
        <v>0.957225922237485</v>
      </c>
      <c r="BI40" s="4" t="n">
        <v>0.0202207354957699</v>
      </c>
      <c r="BJ40" s="4" t="n">
        <v>0.451908057185196</v>
      </c>
      <c r="BK40" s="4" t="n">
        <v>0.232627915478716</v>
      </c>
      <c r="BL40" s="4" t="n">
        <v>0.863263834664646</v>
      </c>
      <c r="BM40" s="4" t="n">
        <v>0.667211929168319</v>
      </c>
      <c r="BN40" s="4" t="n">
        <v>0.950316112114744</v>
      </c>
      <c r="BO40" s="4" t="n">
        <v>0.873425881718383</v>
      </c>
      <c r="BP40" s="4" t="n">
        <v>0.140278210578671</v>
      </c>
      <c r="BQ40" s="4" t="n">
        <v>0.67750573476952</v>
      </c>
      <c r="BR40" s="4" t="n">
        <v>0.408816400251394</v>
      </c>
      <c r="BS40" s="4" t="n">
        <v>0.0639707744087766</v>
      </c>
      <c r="BT40" s="4" t="n">
        <v>0.340100632755626</v>
      </c>
      <c r="BU40" s="4" t="n">
        <v>0.899951419012972</v>
      </c>
      <c r="BV40" s="4" t="n">
        <v>0.598976954457206</v>
      </c>
      <c r="BW40" s="4" t="n">
        <v>0.23215377854862</v>
      </c>
      <c r="BX40" s="4" t="n">
        <v>0.166819969045011</v>
      </c>
      <c r="BY40" s="4" t="n">
        <v>0.351500675165048</v>
      </c>
      <c r="BZ40" s="4" t="n">
        <v>0.339376934233816</v>
      </c>
      <c r="CA40" s="4" t="n">
        <v>0.572943844781589</v>
      </c>
      <c r="CB40" s="4" t="n">
        <v>0.880278754465591</v>
      </c>
      <c r="CC40" s="4" t="n">
        <v>0.897625356887258</v>
      </c>
      <c r="CD40" s="4" t="n">
        <v>0.681952370333733</v>
      </c>
      <c r="CE40" s="4" t="n">
        <v>0.196405064104876</v>
      </c>
      <c r="CF40" s="4" t="n">
        <v>0.782156637953206</v>
      </c>
      <c r="CG40" s="4" t="n">
        <v>0.541002095085171</v>
      </c>
      <c r="CH40" s="4" t="n">
        <v>0.585226045367355</v>
      </c>
      <c r="CI40" s="4" t="n">
        <v>0.965013417574384</v>
      </c>
      <c r="CJ40" s="4" t="n">
        <v>0.922561010947946</v>
      </c>
      <c r="CK40" s="4" t="n">
        <v>0.519885708906495</v>
      </c>
      <c r="CL40" s="4" t="n">
        <v>0</v>
      </c>
      <c r="CN40" s="0" t="n">
        <f aca="false" t="array" ref="CN40:CN40">SUM($I$26:$J$26*$I40:$J40)/(1-SUM(IF($I$26:$J$26=0,$I13:$J13,0)))</f>
        <v>1.12975861910073</v>
      </c>
      <c r="CO40" s="4" t="n">
        <f aca="false" t="array" ref="CO40:CO40">SUM($C$26:$H$26*$C40:$H40,$K$26:$N$26*$K40:$N40,$R$26:$U$26*$R40:$U40,$X$26:$Z$26*$X40:$Z40,$AC$26*$AC40,$AW$26:$BA$26*$AW40:$BA40,$BF$26*$BF40,$BN$26:$BS$26*$BN40:$BS40,$BZ$26:$CA$26*$BZ40:$CA40,$CC$26:$CH$26*$CC40:$CH40)/(1-SUM(IF($C$26:$H$26=0,$C13:$H13,0),IF($K$26:$N$26=0,$K13:$N13,0),IF($R$26:$U$26=0,$R13:$U13,0),IF($X$26:$Z$26=0,$X13:$Z13,0),IF($AC$26=0,$AC13,0),IF($AW$26:$BA$26=0,$AW13:$BA13,0),IF($BF$26=0,$BF13,0),IF($BN$26:$BS$26=0,$BN13:$BS13,0),IF($BZ$26:$CA$26=0,$BZ13:$CA13,0),IF($CC$26:$CH$26=0,$CC13:$CH13,0)))</f>
        <v>9.09825139455598</v>
      </c>
      <c r="CP40" s="4" t="n">
        <f aca="false" t="array" ref="CP40:CP40">SUM($O$26:$Q$26*$O40:$Q40,$V$26:$W$26*$V40:$W40,$AA$26:$AB$26*$AA40:$AB40,$AD$26:$AV$26*$AD40:$AV40,$BB$26:$BE$26*$BB40:$BE40,$BG$26:$BM$26*$BG40:$BM40,$BT$26:$BY$26*$BT40:$BY40,$CB$26*$CB40,$CI$26:$CK$26*$CI40:$CK40)/(1-SUM(IF($O$26:$Q$26=0,$O13:$Q13,0),IF($V$26:$W$26=0,$V13:$W13,0),IF($AA$26:$AB$26=0,$AA13:$AB13,0),IF($AD$26:$AV$26=0,$AD13:$AV13,0),IF($BB$26:$BE$26=0,$BB13:$BE13,0),IF($BG$26:$BM$26=0,$BG13:$BM13,0),IF($BT$26:$BY$26=0,$BT13:$BY13,0),IF($CB$26=0,$CB13,0),IF($CI$26:$CK$26=0,$CI13:$CK13,0)))</f>
        <v>9.34300059243684</v>
      </c>
    </row>
    <row r="41" customFormat="false" ht="12.8" hidden="false" customHeight="false" outlineLevel="0" collapsed="false">
      <c r="A41" s="4" t="s">
        <v>147</v>
      </c>
      <c r="B41" s="7" t="s">
        <v>39</v>
      </c>
      <c r="C41" s="4" t="n">
        <v>0.732127140993365</v>
      </c>
      <c r="D41" s="4" t="n">
        <v>0.418049358123854</v>
      </c>
      <c r="E41" s="4" t="n">
        <v>0.690186081403615</v>
      </c>
      <c r="F41" s="4" t="n">
        <v>0.948568057241351</v>
      </c>
      <c r="G41" s="4" t="n">
        <v>0.690477554781309</v>
      </c>
      <c r="H41" s="4" t="n">
        <v>0.448581162659662</v>
      </c>
      <c r="I41" s="4" t="n">
        <v>0.60215405015515</v>
      </c>
      <c r="J41" s="4" t="n">
        <v>0.273952582156593</v>
      </c>
      <c r="K41" s="4" t="n">
        <v>0.0714204752294632</v>
      </c>
      <c r="L41" s="4" t="n">
        <v>0.790166496561755</v>
      </c>
      <c r="M41" s="4" t="n">
        <v>0.158610694146467</v>
      </c>
      <c r="N41" s="4" t="n">
        <v>0.226209477171792</v>
      </c>
      <c r="O41" s="4" t="n">
        <v>0.990825086615637</v>
      </c>
      <c r="P41" s="4" t="n">
        <v>0.278008025260028</v>
      </c>
      <c r="Q41" s="4" t="n">
        <v>0.832142922917444</v>
      </c>
      <c r="R41" s="4" t="n">
        <v>0.388804068768212</v>
      </c>
      <c r="S41" s="4" t="n">
        <v>0.408914084617648</v>
      </c>
      <c r="T41" s="4" t="n">
        <v>0.791449668089249</v>
      </c>
      <c r="U41" s="4" t="n">
        <v>0.166486260109419</v>
      </c>
      <c r="V41" s="4" t="n">
        <v>0.732413707795089</v>
      </c>
      <c r="W41" s="4" t="n">
        <v>0.0857699964041725</v>
      </c>
      <c r="X41" s="4" t="n">
        <v>0.916708262479369</v>
      </c>
      <c r="Y41" s="4" t="n">
        <v>0.417650622454207</v>
      </c>
      <c r="Z41" s="4" t="n">
        <v>0.710906186274898</v>
      </c>
      <c r="AA41" s="4" t="n">
        <v>0.811401745562079</v>
      </c>
      <c r="AB41" s="4" t="n">
        <v>0.141813285341394</v>
      </c>
      <c r="AC41" s="4" t="n">
        <v>0.7583871936057</v>
      </c>
      <c r="AD41" s="4" t="n">
        <v>0.428319915317669</v>
      </c>
      <c r="AE41" s="4" t="n">
        <v>0.811883385744926</v>
      </c>
      <c r="AF41" s="4" t="n">
        <v>0.504236717013775</v>
      </c>
      <c r="AG41" s="4" t="n">
        <v>0.79859559033893</v>
      </c>
      <c r="AH41" s="4" t="n">
        <v>0.510132837753555</v>
      </c>
      <c r="AI41" s="4" t="n">
        <v>0.253907455186836</v>
      </c>
      <c r="AJ41" s="4" t="n">
        <v>0.264592290479615</v>
      </c>
      <c r="AK41" s="4" t="n">
        <v>0.809975871552237</v>
      </c>
      <c r="AL41" s="4" t="n">
        <v>0.483153342156355</v>
      </c>
      <c r="AM41" s="4" t="n">
        <v>0.302052549497407</v>
      </c>
      <c r="AN41" s="4" t="n">
        <v>0.761587593281213</v>
      </c>
      <c r="AO41" s="4" t="n">
        <v>0.343188039975072</v>
      </c>
      <c r="AP41" s="4" t="n">
        <v>0.266218871917977</v>
      </c>
      <c r="AQ41" s="4" t="n">
        <v>0.360026759018815</v>
      </c>
      <c r="AR41" s="4" t="n">
        <v>0.462495622493656</v>
      </c>
      <c r="AS41" s="4" t="n">
        <v>0.939090827013498</v>
      </c>
      <c r="AT41" s="4" t="n">
        <v>0.180417821110708</v>
      </c>
      <c r="AU41" s="4" t="n">
        <v>0.693744543506285</v>
      </c>
      <c r="AV41" s="4" t="n">
        <v>0.0999384903562198</v>
      </c>
      <c r="AW41" s="4" t="n">
        <v>0.448275324594362</v>
      </c>
      <c r="AX41" s="4" t="n">
        <v>0.37839946983866</v>
      </c>
      <c r="AY41" s="4" t="n">
        <v>0.846314930456284</v>
      </c>
      <c r="AZ41" s="4" t="n">
        <v>0.577868949111448</v>
      </c>
      <c r="BA41" s="4" t="n">
        <v>0.431278952075013</v>
      </c>
      <c r="BB41" s="4" t="n">
        <v>0.685280865948405</v>
      </c>
      <c r="BC41" s="4" t="n">
        <v>0.305735679488482</v>
      </c>
      <c r="BD41" s="4" t="n">
        <v>0.62932658026706</v>
      </c>
      <c r="BE41" s="4" t="n">
        <v>0.52479088726399</v>
      </c>
      <c r="BF41" s="4" t="n">
        <v>0.988428319031081</v>
      </c>
      <c r="BG41" s="4" t="n">
        <v>0.077649682098648</v>
      </c>
      <c r="BH41" s="4" t="n">
        <v>0.735195695510917</v>
      </c>
      <c r="BI41" s="4" t="n">
        <v>0.451718446064625</v>
      </c>
      <c r="BJ41" s="4" t="n">
        <v>0.684093141830943</v>
      </c>
      <c r="BK41" s="4" t="n">
        <v>0.930535808078609</v>
      </c>
      <c r="BL41" s="4" t="n">
        <v>0.0441708155061526</v>
      </c>
      <c r="BM41" s="4" t="n">
        <v>0.990873205337776</v>
      </c>
      <c r="BN41" s="4" t="n">
        <v>0.4637151546386</v>
      </c>
      <c r="BO41" s="4" t="n">
        <v>0.859246218969944</v>
      </c>
      <c r="BP41" s="4" t="n">
        <v>0.0971490046200017</v>
      </c>
      <c r="BQ41" s="4" t="n">
        <v>0.928400963904145</v>
      </c>
      <c r="BR41" s="4" t="n">
        <v>0.26789447137996</v>
      </c>
      <c r="BS41" s="4" t="n">
        <v>0.340728798535699</v>
      </c>
      <c r="BT41" s="4" t="n">
        <v>0.712064339681841</v>
      </c>
      <c r="BU41" s="4" t="n">
        <v>0.0484555745260997</v>
      </c>
      <c r="BV41" s="4" t="n">
        <v>0.81214416246547</v>
      </c>
      <c r="BW41" s="4" t="n">
        <v>0.0313730512602058</v>
      </c>
      <c r="BX41" s="4" t="n">
        <v>0.0549519663661463</v>
      </c>
      <c r="BY41" s="4" t="n">
        <v>0.890839732623738</v>
      </c>
      <c r="BZ41" s="4" t="n">
        <v>0.945588892337866</v>
      </c>
      <c r="CA41" s="4" t="n">
        <v>0.0148699776931959</v>
      </c>
      <c r="CB41" s="4" t="n">
        <v>0.348945580008795</v>
      </c>
      <c r="CC41" s="4" t="n">
        <v>0.949248642572374</v>
      </c>
      <c r="CD41" s="4" t="n">
        <v>0.275965907714604</v>
      </c>
      <c r="CE41" s="4" t="n">
        <v>0.474067102148659</v>
      </c>
      <c r="CF41" s="4" t="n">
        <v>0.685461800581088</v>
      </c>
      <c r="CG41" s="4" t="n">
        <v>0.0854244435605855</v>
      </c>
      <c r="CH41" s="4" t="n">
        <v>0.995220866972239</v>
      </c>
      <c r="CI41" s="4" t="n">
        <v>0.0979883528515629</v>
      </c>
      <c r="CJ41" s="4" t="n">
        <v>0.678777436321939</v>
      </c>
      <c r="CK41" s="4" t="n">
        <v>0.104768779150814</v>
      </c>
      <c r="CL41" s="4" t="n">
        <v>0</v>
      </c>
      <c r="CN41" s="0" t="n">
        <f aca="false" t="array" ref="CN41:CN41">SUM($I$26:$J$26*$I41:$J41)/(1-SUM(IF($I$26:$J$26=0,$I14:$J14,0)))</f>
        <v>0.876106632311743</v>
      </c>
      <c r="CO41" s="4" t="n">
        <f aca="false" t="array" ref="CO41:CO41">SUM($C$26:$H$26*$C41:$H41,$K$26:$N$26*$K41:$N41,$R$26:$U$26*$R41:$U41,$X$26:$Z$26*$X41:$Z41,$AC$26*$AC41,$AW$26:$BA$26*$AW41:$BA41,$BF$26*$BF41,$BN$26:$BS$26*$BN41:$BS41,$BZ$26:$CA$26*$BZ41:$CA41,$CC$26:$CH$26*$CC41:$CH41)/(1-SUM(IF($C$26:$H$26=0,$C14:$H14,0),IF($K$26:$N$26=0,$K14:$N14,0),IF($R$26:$U$26=0,$R14:$U14,0),IF($X$26:$Z$26=0,$X14:$Z14,0),IF($AC$26=0,$AC14,0),IF($AW$26:$BA$26=0,$AW14:$BA14,0),IF($BF$26=0,$BF14,0),IF($BN$26:$BS$26=0,$BN14:$BS14,0),IF($BZ$26:$CA$26=0,$BZ14:$CA14,0),IF($CC$26:$CH$26=0,$CC14:$CH14,0)))</f>
        <v>6.60313519927491</v>
      </c>
      <c r="CP41" s="4" t="n">
        <f aca="false" t="array" ref="CP41:CP41">SUM($O$26:$Q$26*$O41:$Q41,$V$26:$W$26*$V41:$W41,$AA$26:$AB$26*$AA41:$AB41,$AD$26:$AV$26*$AD41:$AV41,$BB$26:$BE$26*$BB41:$BE41,$BG$26:$BM$26*$BG41:$BM41,$BT$26:$BY$26*$BT41:$BY41,$CB$26*$CB41,$CI$26:$CK$26*$CI41:$CK41)/(1-SUM(IF($O$26:$Q$26=0,$O14:$Q14,0),IF($V$26:$W$26=0,$V14:$W14,0),IF($AA$26:$AB$26=0,$AA14:$AB14,0),IF($AD$26:$AV$26=0,$AD14:$AV14,0),IF($BB$26:$BE$26=0,$BB14:$BE14,0),IF($BG$26:$BM$26=0,$BG14:$BM14,0),IF($BT$26:$BY$26=0,$BT14:$BY14,0),IF($CB$26=0,$CB14,0),IF($CI$26:$CK$26=0,$CI14:$CK14,0)))</f>
        <v>7.14081690405874</v>
      </c>
    </row>
    <row r="42" customFormat="false" ht="12.8" hidden="false" customHeight="false" outlineLevel="0" collapsed="false">
      <c r="A42" s="4" t="s">
        <v>148</v>
      </c>
      <c r="B42" s="7" t="s">
        <v>39</v>
      </c>
      <c r="C42" s="4" t="n">
        <v>0.760024679428188</v>
      </c>
      <c r="D42" s="4" t="n">
        <v>0.324802887028825</v>
      </c>
      <c r="E42" s="4" t="n">
        <v>0.676949296262241</v>
      </c>
      <c r="F42" s="4" t="n">
        <v>0.336092856971413</v>
      </c>
      <c r="G42" s="4" t="n">
        <v>0.994543896064059</v>
      </c>
      <c r="H42" s="4" t="n">
        <v>0.98845366423435</v>
      </c>
      <c r="I42" s="4" t="n">
        <v>0.329777313721506</v>
      </c>
      <c r="J42" s="4" t="n">
        <v>0.09291932477508</v>
      </c>
      <c r="K42" s="4" t="n">
        <v>0.018808050958601</v>
      </c>
      <c r="L42" s="4" t="n">
        <v>0.252633793436881</v>
      </c>
      <c r="M42" s="4" t="n">
        <v>0.742969310969296</v>
      </c>
      <c r="N42" s="4" t="n">
        <v>0.610289431167085</v>
      </c>
      <c r="O42" s="4" t="n">
        <v>0.914104012912481</v>
      </c>
      <c r="P42" s="4" t="n">
        <v>0.462676261847697</v>
      </c>
      <c r="Q42" s="4" t="n">
        <v>0.91864216278438</v>
      </c>
      <c r="R42" s="4" t="n">
        <v>0.692182489504842</v>
      </c>
      <c r="S42" s="4" t="n">
        <v>0.444577030309324</v>
      </c>
      <c r="T42" s="4" t="n">
        <v>0.944328934479462</v>
      </c>
      <c r="U42" s="4" t="n">
        <v>0.0320974047775213</v>
      </c>
      <c r="V42" s="4" t="n">
        <v>0.722915672811397</v>
      </c>
      <c r="W42" s="4" t="n">
        <v>0.220703634439971</v>
      </c>
      <c r="X42" s="4" t="n">
        <v>0.0205844169549893</v>
      </c>
      <c r="Y42" s="4" t="n">
        <v>0.876173567762954</v>
      </c>
      <c r="Z42" s="4" t="n">
        <v>0.256580856280483</v>
      </c>
      <c r="AA42" s="4" t="n">
        <v>0.61803879471077</v>
      </c>
      <c r="AB42" s="4" t="n">
        <v>0.790585476904128</v>
      </c>
      <c r="AC42" s="4" t="n">
        <v>0.81103933339289</v>
      </c>
      <c r="AD42" s="4" t="n">
        <v>0.604325691117358</v>
      </c>
      <c r="AE42" s="4" t="n">
        <v>0.306406386365115</v>
      </c>
      <c r="AF42" s="4" t="n">
        <v>0.462081427436229</v>
      </c>
      <c r="AG42" s="4" t="n">
        <v>0.935567369761485</v>
      </c>
      <c r="AH42" s="4" t="n">
        <v>0.756994038446459</v>
      </c>
      <c r="AI42" s="4" t="n">
        <v>0.756122644489237</v>
      </c>
      <c r="AJ42" s="4" t="n">
        <v>0.346299416109476</v>
      </c>
      <c r="AK42" s="4" t="n">
        <v>0.0854036249330951</v>
      </c>
      <c r="AL42" s="4" t="n">
        <v>0.339791451967023</v>
      </c>
      <c r="AM42" s="4" t="n">
        <v>0.33176397928756</v>
      </c>
      <c r="AN42" s="4" t="n">
        <v>0.528961272268559</v>
      </c>
      <c r="AO42" s="4" t="n">
        <v>0.355868425463377</v>
      </c>
      <c r="AP42" s="4" t="n">
        <v>0.821580810772477</v>
      </c>
      <c r="AQ42" s="4" t="n">
        <v>0.159254465567718</v>
      </c>
      <c r="AR42" s="4" t="n">
        <v>0.862699251069147</v>
      </c>
      <c r="AS42" s="4" t="n">
        <v>0.140560182276292</v>
      </c>
      <c r="AT42" s="4" t="n">
        <v>0.419338781625165</v>
      </c>
      <c r="AU42" s="4" t="n">
        <v>0.0531693143140992</v>
      </c>
      <c r="AV42" s="4" t="n">
        <v>0.38441962956946</v>
      </c>
      <c r="AW42" s="4" t="n">
        <v>0.351553780722517</v>
      </c>
      <c r="AX42" s="4" t="n">
        <v>0.3836559834735</v>
      </c>
      <c r="AY42" s="4" t="n">
        <v>0.722582478816881</v>
      </c>
      <c r="AZ42" s="4" t="n">
        <v>0.5315086805077</v>
      </c>
      <c r="BA42" s="4" t="n">
        <v>0.343441347150368</v>
      </c>
      <c r="BB42" s="4" t="n">
        <v>0.809824997446142</v>
      </c>
      <c r="BC42" s="4" t="n">
        <v>0.430096513911795</v>
      </c>
      <c r="BD42" s="4" t="n">
        <v>0.851006331662553</v>
      </c>
      <c r="BE42" s="4" t="n">
        <v>0.65649541248158</v>
      </c>
      <c r="BF42" s="4" t="n">
        <v>0.545280118718373</v>
      </c>
      <c r="BG42" s="4" t="n">
        <v>0.931066037928412</v>
      </c>
      <c r="BH42" s="4" t="n">
        <v>0.954705544862145</v>
      </c>
      <c r="BI42" s="4" t="n">
        <v>0.69832366514046</v>
      </c>
      <c r="BJ42" s="4" t="n">
        <v>0.050417385134151</v>
      </c>
      <c r="BK42" s="4" t="n">
        <v>0.140167984339621</v>
      </c>
      <c r="BL42" s="4" t="n">
        <v>0.431931792597163</v>
      </c>
      <c r="BM42" s="4" t="n">
        <v>0.0579342589072795</v>
      </c>
      <c r="BN42" s="4" t="n">
        <v>0.837836699932082</v>
      </c>
      <c r="BO42" s="4" t="n">
        <v>0.998641769404524</v>
      </c>
      <c r="BP42" s="4" t="n">
        <v>0.421495377713979</v>
      </c>
      <c r="BQ42" s="4" t="n">
        <v>0.533400986157293</v>
      </c>
      <c r="BR42" s="4" t="n">
        <v>0.500355324750691</v>
      </c>
      <c r="BS42" s="4" t="n">
        <v>0.288590018710754</v>
      </c>
      <c r="BT42" s="4" t="n">
        <v>0.76669676265106</v>
      </c>
      <c r="BU42" s="4" t="n">
        <v>0.235004609648581</v>
      </c>
      <c r="BV42" s="4" t="n">
        <v>0.284616120613185</v>
      </c>
      <c r="BW42" s="4" t="n">
        <v>0.467462910398612</v>
      </c>
      <c r="BX42" s="4" t="n">
        <v>0.581098115577413</v>
      </c>
      <c r="BY42" s="4" t="n">
        <v>0.357664087300761</v>
      </c>
      <c r="BZ42" s="4" t="n">
        <v>0.636923411825078</v>
      </c>
      <c r="CA42" s="4" t="n">
        <v>0.850394656964446</v>
      </c>
      <c r="CB42" s="4" t="n">
        <v>0.949097474883725</v>
      </c>
      <c r="CC42" s="4" t="n">
        <v>0.827811780866044</v>
      </c>
      <c r="CD42" s="4" t="n">
        <v>0.514826026126333</v>
      </c>
      <c r="CE42" s="4" t="n">
        <v>0.931090499577008</v>
      </c>
      <c r="CF42" s="4" t="n">
        <v>0.248274007084575</v>
      </c>
      <c r="CG42" s="4" t="n">
        <v>0.916043484634368</v>
      </c>
      <c r="CH42" s="4" t="n">
        <v>0.00918689528077153</v>
      </c>
      <c r="CI42" s="4" t="n">
        <v>0.131360859599106</v>
      </c>
      <c r="CJ42" s="4" t="n">
        <v>0.185866751515153</v>
      </c>
      <c r="CK42" s="4" t="n">
        <v>0.317485175397318</v>
      </c>
      <c r="CL42" s="4" t="n">
        <v>0</v>
      </c>
      <c r="CN42" s="0" t="n">
        <f aca="false" t="array" ref="CN42:CN42">SUM($I$26:$J$26*$I42:$J42)/(1-SUM(IF($I$26:$J$26=0,$I15:$J15,0)))</f>
        <v>0.422696638496586</v>
      </c>
      <c r="CO42" s="4" t="n">
        <f aca="false" t="array" ref="CO42:CO42">SUM($C$26:$H$26*$C42:$H42,$K$26:$N$26*$K42:$N42,$R$26:$U$26*$R42:$U42,$X$26:$Z$26*$X42:$Z42,$AC$26*$AC42,$AW$26:$BA$26*$AW42:$BA42,$BF$26*$BF42,$BN$26:$BS$26*$BN42:$BS42,$BZ$26:$CA$26*$BZ42:$CA42,$CC$26:$CH$26*$CC42:$CH42)/(1-SUM(IF($C$26:$H$26=0,$C15:$H15,0),IF($K$26:$N$26=0,$K15:$N15,0),IF($R$26:$U$26=0,$R15:$U15,0),IF($X$26:$Z$26=0,$X15:$Z15,0),IF($AC$26=0,$AC15,0),IF($AW$26:$BA$26=0,$AW15:$BA15,0),IF($BF$26=0,$BF15,0),IF($BN$26:$BS$26=0,$BN15:$BS15,0),IF($BZ$26:$CA$26=0,$BZ15:$CA15,0),IF($CC$26:$CH$26=0,$CC15:$CH15,0)))</f>
        <v>6.10394014538612</v>
      </c>
      <c r="CP42" s="4" t="n">
        <f aca="false" t="array" ref="CP42:CP42">SUM($O$26:$Q$26*$O42:$Q42,$V$26:$W$26*$V42:$W42,$AA$26:$AB$26*$AA42:$AB42,$AD$26:$AV$26*$AD42:$AV42,$BB$26:$BE$26*$BB42:$BE42,$BG$26:$BM$26*$BG42:$BM42,$BT$26:$BY$26*$BT42:$BY42,$CB$26*$CB42,$CI$26:$CK$26*$CI42:$CK42)/(1-SUM(IF($O$26:$Q$26=0,$O15:$Q15,0),IF($V$26:$W$26=0,$V15:$W15,0),IF($AA$26:$AB$26=0,$AA15:$AB15,0),IF($AD$26:$AV$26=0,$AD15:$AV15,0),IF($BB$26:$BE$26=0,$BB15:$BE15,0),IF($BG$26:$BM$26=0,$BG15:$BM15,0),IF($BT$26:$BY$26=0,$BT15:$BY15,0),IF($CB$26=0,$CB15,0),IF($CI$26:$CK$26=0,$CI15:$CK15,0)))</f>
        <v>5.16523988782306</v>
      </c>
    </row>
    <row r="43" customFormat="false" ht="12.8" hidden="false" customHeight="false" outlineLevel="0" collapsed="false">
      <c r="A43" s="4" t="s">
        <v>150</v>
      </c>
      <c r="B43" s="7" t="s">
        <v>39</v>
      </c>
      <c r="C43" s="4" t="n">
        <v>0.376125226282293</v>
      </c>
      <c r="D43" s="4" t="n">
        <v>0.442927732986308</v>
      </c>
      <c r="E43" s="4" t="n">
        <v>0.80081073886365</v>
      </c>
      <c r="F43" s="4" t="n">
        <v>0.954622077756066</v>
      </c>
      <c r="G43" s="4" t="n">
        <v>0.0904561140104056</v>
      </c>
      <c r="H43" s="4" t="n">
        <v>0.138650872474802</v>
      </c>
      <c r="I43" s="4" t="n">
        <v>0.568901436545987</v>
      </c>
      <c r="J43" s="4" t="n">
        <v>0.72553728877163</v>
      </c>
      <c r="K43" s="4" t="n">
        <v>0.312971698637339</v>
      </c>
      <c r="L43" s="4" t="n">
        <v>0.772955034072457</v>
      </c>
      <c r="M43" s="4" t="n">
        <v>0.0552464205289415</v>
      </c>
      <c r="N43" s="4" t="n">
        <v>0.03372821618587</v>
      </c>
      <c r="O43" s="4" t="n">
        <v>0.33308264537997</v>
      </c>
      <c r="P43" s="4" t="n">
        <v>0.00291489355813704</v>
      </c>
      <c r="Q43" s="4" t="n">
        <v>0.418191118424037</v>
      </c>
      <c r="R43" s="4" t="n">
        <v>0.900542257287269</v>
      </c>
      <c r="S43" s="4" t="n">
        <v>0.776116563600927</v>
      </c>
      <c r="T43" s="4" t="n">
        <v>0.355561883414678</v>
      </c>
      <c r="U43" s="4" t="n">
        <v>0.864050132218061</v>
      </c>
      <c r="V43" s="4" t="n">
        <v>0.67792436309046</v>
      </c>
      <c r="W43" s="4" t="n">
        <v>0.61717096198838</v>
      </c>
      <c r="X43" s="4" t="n">
        <v>0.904964726867303</v>
      </c>
      <c r="Y43" s="4" t="n">
        <v>0.935048040630941</v>
      </c>
      <c r="Z43" s="4" t="n">
        <v>0.228061508684893</v>
      </c>
      <c r="AA43" s="4" t="n">
        <v>0.585060643078307</v>
      </c>
      <c r="AB43" s="4" t="n">
        <v>0.886768801416813</v>
      </c>
      <c r="AC43" s="4" t="n">
        <v>0.213902654348789</v>
      </c>
      <c r="AD43" s="4" t="n">
        <v>0.663966296114177</v>
      </c>
      <c r="AE43" s="4" t="n">
        <v>0.442906641761506</v>
      </c>
      <c r="AF43" s="4" t="n">
        <v>0.1978580776213</v>
      </c>
      <c r="AG43" s="4" t="n">
        <v>0.790848961224148</v>
      </c>
      <c r="AH43" s="4" t="n">
        <v>0.729792220219327</v>
      </c>
      <c r="AI43" s="4" t="n">
        <v>0.576908853165172</v>
      </c>
      <c r="AJ43" s="4" t="n">
        <v>0.528307523315603</v>
      </c>
      <c r="AK43" s="4" t="n">
        <v>0.645769616097237</v>
      </c>
      <c r="AL43" s="4" t="n">
        <v>0.55628896349456</v>
      </c>
      <c r="AM43" s="4" t="n">
        <v>0.844667694463857</v>
      </c>
      <c r="AN43" s="4" t="n">
        <v>0.208670738716839</v>
      </c>
      <c r="AO43" s="4" t="n">
        <v>0.741652008396014</v>
      </c>
      <c r="AP43" s="4" t="n">
        <v>0.771872881367448</v>
      </c>
      <c r="AQ43" s="4" t="n">
        <v>0.524403141781477</v>
      </c>
      <c r="AR43" s="4" t="n">
        <v>0.323767473308733</v>
      </c>
      <c r="AS43" s="4" t="n">
        <v>0.259812159461823</v>
      </c>
      <c r="AT43" s="4" t="n">
        <v>0.551375770325991</v>
      </c>
      <c r="AU43" s="4" t="n">
        <v>0.350517089436318</v>
      </c>
      <c r="AV43" s="4" t="n">
        <v>0.637787581061984</v>
      </c>
      <c r="AW43" s="4" t="n">
        <v>0.608099129340802</v>
      </c>
      <c r="AX43" s="4" t="n">
        <v>0.124904956353613</v>
      </c>
      <c r="AY43" s="4" t="n">
        <v>0.93509095937639</v>
      </c>
      <c r="AZ43" s="4" t="n">
        <v>0.26430022061855</v>
      </c>
      <c r="BA43" s="4" t="n">
        <v>0.367889979174162</v>
      </c>
      <c r="BB43" s="4" t="n">
        <v>0.692519973661061</v>
      </c>
      <c r="BC43" s="4" t="n">
        <v>0.707790711191878</v>
      </c>
      <c r="BD43" s="4" t="n">
        <v>0.844669142182761</v>
      </c>
      <c r="BE43" s="4" t="n">
        <v>0.846571590141764</v>
      </c>
      <c r="BF43" s="4" t="n">
        <v>0.741455100510599</v>
      </c>
      <c r="BG43" s="4" t="n">
        <v>0.112281198187165</v>
      </c>
      <c r="BH43" s="4" t="n">
        <v>0.529866356469138</v>
      </c>
      <c r="BI43" s="4" t="n">
        <v>0.779692165788241</v>
      </c>
      <c r="BJ43" s="4" t="n">
        <v>0.977243550084885</v>
      </c>
      <c r="BK43" s="4" t="n">
        <v>0.819083260834531</v>
      </c>
      <c r="BL43" s="4" t="n">
        <v>0.79729907875472</v>
      </c>
      <c r="BM43" s="4" t="n">
        <v>0.613500639526955</v>
      </c>
      <c r="BN43" s="4" t="n">
        <v>0.487638468853594</v>
      </c>
      <c r="BO43" s="4" t="n">
        <v>0.55994888031638</v>
      </c>
      <c r="BP43" s="4" t="n">
        <v>0.274544984979604</v>
      </c>
      <c r="BQ43" s="4" t="n">
        <v>0.594965139317402</v>
      </c>
      <c r="BR43" s="4" t="n">
        <v>0.754256539947553</v>
      </c>
      <c r="BS43" s="4" t="n">
        <v>0.0656540998292348</v>
      </c>
      <c r="BT43" s="4" t="n">
        <v>0.309622613936806</v>
      </c>
      <c r="BU43" s="4" t="n">
        <v>0.936422386882837</v>
      </c>
      <c r="BV43" s="4" t="n">
        <v>0.99805991426768</v>
      </c>
      <c r="BW43" s="4" t="n">
        <v>0.945680033533751</v>
      </c>
      <c r="BX43" s="4" t="n">
        <v>0.850948378466773</v>
      </c>
      <c r="BY43" s="4" t="n">
        <v>0.114463307371218</v>
      </c>
      <c r="BZ43" s="4" t="n">
        <v>0.403903226050686</v>
      </c>
      <c r="CA43" s="4" t="n">
        <v>0.22190830355355</v>
      </c>
      <c r="CB43" s="4" t="n">
        <v>0.363943217625888</v>
      </c>
      <c r="CC43" s="4" t="n">
        <v>0.0471685149132142</v>
      </c>
      <c r="CD43" s="4" t="n">
        <v>0.805957965540294</v>
      </c>
      <c r="CE43" s="4" t="n">
        <v>0.13970583217473</v>
      </c>
      <c r="CF43" s="4" t="n">
        <v>0.160207202605594</v>
      </c>
      <c r="CG43" s="4" t="n">
        <v>0.933759230416034</v>
      </c>
      <c r="CH43" s="4" t="n">
        <v>0.311401204915377</v>
      </c>
      <c r="CI43" s="4" t="n">
        <v>0.600869817847531</v>
      </c>
      <c r="CJ43" s="4" t="n">
        <v>0.245483086175545</v>
      </c>
      <c r="CK43" s="4" t="n">
        <v>0.477600324831526</v>
      </c>
      <c r="CL43" s="4" t="n">
        <v>0</v>
      </c>
      <c r="CN43" s="0" t="n">
        <f aca="false" t="array" ref="CN43:CN43">SUM($I$26:$J$26*$I43:$J43)/(1-SUM(IF($I$26:$J$26=0,$I16:$J16,0)))</f>
        <v>1.29443872531762</v>
      </c>
      <c r="CO43" s="4" t="n">
        <f aca="false" t="array" ref="CO43:CO43">SUM($C$26:$H$26*$C43:$H43,$K$26:$N$26*$K43:$N43,$R$26:$U$26*$R43:$U43,$X$26:$Z$26*$X43:$Z43,$AC$26*$AC43,$AW$26:$BA$26*$AW43:$BA43,$BF$26*$BF43,$BN$26:$BS$26*$BN43:$BS43,$BZ$26:$CA$26*$BZ43:$CA43,$CC$26:$CH$26*$CC43:$CH43)/(1-SUM(IF($C$26:$H$26=0,$C16:$H16,0),IF($K$26:$N$26=0,$K16:$N16,0),IF($R$26:$U$26=0,$R16:$U16,0),IF($X$26:$Z$26=0,$X16:$Z16,0),IF($AC$26=0,$AC16,0),IF($AW$26:$BA$26=0,$AW16:$BA16,0),IF($BF$26=0,$BF16,0),IF($BN$26:$BS$26=0,$BN16:$BS16,0),IF($BZ$26:$CA$26=0,$BZ16:$CA16,0),IF($CC$26:$CH$26=0,$CC16:$CH16,0)))</f>
        <v>4.81817402726059</v>
      </c>
      <c r="CP43" s="4" t="n">
        <f aca="false" t="array" ref="CP43:CP43">SUM($O$26:$Q$26*$O43:$Q43,$V$26:$W$26*$V43:$W43,$AA$26:$AB$26*$AA43:$AB43,$AD$26:$AV$26*$AD43:$AV43,$BB$26:$BE$26*$BB43:$BE43,$BG$26:$BM$26*$BG43:$BM43,$BT$26:$BY$26*$BT43:$BY43,$CB$26*$CB43,$CI$26:$CK$26*$CI43:$CK43)/(1-SUM(IF($O$26:$Q$26=0,$O16:$Q16,0),IF($V$26:$W$26=0,$V16:$W16,0),IF($AA$26:$AB$26=0,$AA16:$AB16,0),IF($AD$26:$AV$26=0,$AD16:$AV16,0),IF($BB$26:$BE$26=0,$BB16:$BE16,0),IF($BG$26:$BM$26=0,$BG16:$BM16,0),IF($BT$26:$BY$26=0,$BT16:$BY16,0),IF($CB$26=0,$CB16,0),IF($CI$26:$CK$26=0,$CI16:$CK16,0)))</f>
        <v>8.95698465698387</v>
      </c>
    </row>
    <row r="44" customFormat="false" ht="12.8" hidden="false" customHeight="false" outlineLevel="0" collapsed="false">
      <c r="A44" s="4" t="s">
        <v>151</v>
      </c>
      <c r="B44" s="7" t="s">
        <v>39</v>
      </c>
      <c r="C44" s="4" t="n">
        <v>0.514589597926506</v>
      </c>
      <c r="D44" s="4" t="n">
        <v>0.976264711370186</v>
      </c>
      <c r="E44" s="4" t="n">
        <v>0.625433912242557</v>
      </c>
      <c r="F44" s="4" t="n">
        <v>0.737820718974684</v>
      </c>
      <c r="G44" s="4" t="n">
        <v>0.570593525060084</v>
      </c>
      <c r="H44" s="4" t="n">
        <v>0.979039664665905</v>
      </c>
      <c r="I44" s="4" t="n">
        <v>0.89386590665589</v>
      </c>
      <c r="J44" s="4" t="n">
        <v>0.872285971610988</v>
      </c>
      <c r="K44" s="4" t="n">
        <v>0.10645903400011</v>
      </c>
      <c r="L44" s="4" t="n">
        <v>0.162320941757612</v>
      </c>
      <c r="M44" s="4" t="n">
        <v>0.916605933745701</v>
      </c>
      <c r="N44" s="4" t="n">
        <v>0.160415606713126</v>
      </c>
      <c r="O44" s="4" t="n">
        <v>0.704034180965994</v>
      </c>
      <c r="P44" s="4" t="n">
        <v>0.72367397042832</v>
      </c>
      <c r="Q44" s="4" t="n">
        <v>0.60879553779229</v>
      </c>
      <c r="R44" s="4" t="n">
        <v>0.14278276005963</v>
      </c>
      <c r="S44" s="4" t="n">
        <v>0.532064788215804</v>
      </c>
      <c r="T44" s="4" t="n">
        <v>0.5375623835069</v>
      </c>
      <c r="U44" s="4" t="n">
        <v>0.332957591237599</v>
      </c>
      <c r="V44" s="4" t="n">
        <v>0.984168071390809</v>
      </c>
      <c r="W44" s="4" t="n">
        <v>0.0319329410878156</v>
      </c>
      <c r="X44" s="4" t="n">
        <v>0.486184628156974</v>
      </c>
      <c r="Y44" s="4" t="n">
        <v>0.897148545494371</v>
      </c>
      <c r="Z44" s="4" t="n">
        <v>0.557035730486636</v>
      </c>
      <c r="AA44" s="4" t="n">
        <v>0.855571457141886</v>
      </c>
      <c r="AB44" s="4" t="n">
        <v>0.284237331340513</v>
      </c>
      <c r="AC44" s="4" t="n">
        <v>0.968898812766457</v>
      </c>
      <c r="AD44" s="4" t="n">
        <v>0.497165034775363</v>
      </c>
      <c r="AE44" s="4" t="n">
        <v>0.434015457654706</v>
      </c>
      <c r="AF44" s="4" t="n">
        <v>0.678564804408659</v>
      </c>
      <c r="AG44" s="4" t="n">
        <v>0.4062682714913</v>
      </c>
      <c r="AH44" s="4" t="n">
        <v>0.338211944047349</v>
      </c>
      <c r="AI44" s="4" t="n">
        <v>0.994521777933885</v>
      </c>
      <c r="AJ44" s="4" t="n">
        <v>0.356451184754708</v>
      </c>
      <c r="AK44" s="4" t="n">
        <v>0.418918715267523</v>
      </c>
      <c r="AL44" s="4" t="n">
        <v>0.664214729337205</v>
      </c>
      <c r="AM44" s="4" t="n">
        <v>0.768440459039546</v>
      </c>
      <c r="AN44" s="4" t="n">
        <v>0.1155175165218</v>
      </c>
      <c r="AO44" s="4" t="n">
        <v>0.488198415411384</v>
      </c>
      <c r="AP44" s="4" t="n">
        <v>0.113872451280971</v>
      </c>
      <c r="AQ44" s="4" t="n">
        <v>0.201143132457616</v>
      </c>
      <c r="AR44" s="4" t="n">
        <v>0.920892053017779</v>
      </c>
      <c r="AS44" s="4" t="n">
        <v>0.298848778601913</v>
      </c>
      <c r="AT44" s="4" t="n">
        <v>0.837556622233487</v>
      </c>
      <c r="AU44" s="4" t="n">
        <v>0.96142226279921</v>
      </c>
      <c r="AV44" s="4" t="n">
        <v>0.623173446058229</v>
      </c>
      <c r="AW44" s="4" t="n">
        <v>0.470696059103546</v>
      </c>
      <c r="AX44" s="4" t="n">
        <v>0.29690430797637</v>
      </c>
      <c r="AY44" s="4" t="n">
        <v>0.220712048635681</v>
      </c>
      <c r="AZ44" s="4" t="n">
        <v>0.984676029145071</v>
      </c>
      <c r="BA44" s="4" t="n">
        <v>0.784591403423402</v>
      </c>
      <c r="BB44" s="4" t="n">
        <v>0.525739065003576</v>
      </c>
      <c r="BC44" s="4" t="n">
        <v>0.48968825132269</v>
      </c>
      <c r="BD44" s="4" t="n">
        <v>0.07717043549788</v>
      </c>
      <c r="BE44" s="4" t="n">
        <v>0.573698455452221</v>
      </c>
      <c r="BF44" s="4" t="n">
        <v>0.43090178904683</v>
      </c>
      <c r="BG44" s="4" t="n">
        <v>0.735842070213451</v>
      </c>
      <c r="BH44" s="4" t="n">
        <v>0.261638168104062</v>
      </c>
      <c r="BI44" s="4" t="n">
        <v>0.820432934384799</v>
      </c>
      <c r="BJ44" s="4" t="n">
        <v>0.237705973529283</v>
      </c>
      <c r="BK44" s="4" t="n">
        <v>0.694470060498868</v>
      </c>
      <c r="BL44" s="4" t="n">
        <v>0.493563573742789</v>
      </c>
      <c r="BM44" s="4" t="n">
        <v>0.162292645684308</v>
      </c>
      <c r="BN44" s="4" t="n">
        <v>0.596786806390498</v>
      </c>
      <c r="BO44" s="4" t="n">
        <v>0.964639635123853</v>
      </c>
      <c r="BP44" s="4" t="n">
        <v>0.41173280695521</v>
      </c>
      <c r="BQ44" s="4" t="n">
        <v>0.400050992776732</v>
      </c>
      <c r="BR44" s="4" t="n">
        <v>0.741860999642607</v>
      </c>
      <c r="BS44" s="4" t="n">
        <v>0.8329724686438</v>
      </c>
      <c r="BT44" s="4" t="n">
        <v>0.297125353033729</v>
      </c>
      <c r="BU44" s="4" t="n">
        <v>0.952085630778933</v>
      </c>
      <c r="BV44" s="4" t="n">
        <v>0.908408995033766</v>
      </c>
      <c r="BW44" s="4" t="n">
        <v>0.718700257212744</v>
      </c>
      <c r="BX44" s="4" t="n">
        <v>0.108117949663981</v>
      </c>
      <c r="BY44" s="4" t="n">
        <v>0.475198973693734</v>
      </c>
      <c r="BZ44" s="4" t="n">
        <v>0.2063909186037</v>
      </c>
      <c r="CA44" s="4" t="n">
        <v>0.92477607352259</v>
      </c>
      <c r="CB44" s="4" t="n">
        <v>0.918156493020036</v>
      </c>
      <c r="CC44" s="4" t="n">
        <v>0.784645712461098</v>
      </c>
      <c r="CD44" s="4" t="n">
        <v>0.599822258529097</v>
      </c>
      <c r="CE44" s="4" t="n">
        <v>0.630582235244259</v>
      </c>
      <c r="CF44" s="4" t="n">
        <v>0.353676055687097</v>
      </c>
      <c r="CG44" s="4" t="n">
        <v>0.975258649671761</v>
      </c>
      <c r="CH44" s="4" t="n">
        <v>0.0649848739685968</v>
      </c>
      <c r="CI44" s="4" t="n">
        <v>0.394580539446814</v>
      </c>
      <c r="CJ44" s="4" t="n">
        <v>0.471630516465183</v>
      </c>
      <c r="CK44" s="4" t="n">
        <v>0.0496828169759652</v>
      </c>
      <c r="CL44" s="4" t="n">
        <v>0</v>
      </c>
      <c r="CN44" s="0" t="n">
        <f aca="false" t="array" ref="CN44:CN44">SUM($I$26:$J$26*$I44:$J44)/(1-SUM(IF($I$26:$J$26=0,$I17:$J17,0)))</f>
        <v>1.76615187826688</v>
      </c>
      <c r="CO44" s="4" t="n">
        <f aca="false" t="array" ref="CO44:CO44">SUM($C$26:$H$26*$C44:$H44,$K$26:$N$26*$K44:$N44,$R$26:$U$26*$R44:$U44,$X$26:$Z$26*$X44:$Z44,$AC$26*$AC44,$AW$26:$BA$26*$AW44:$BA44,$BF$26*$BF44,$BN$26:$BS$26*$BN44:$BS44,$BZ$26:$CA$26*$BZ44:$CA44,$CC$26:$CH$26*$CC44:$CH44)/(1-SUM(IF($C$26:$H$26=0,$C17:$H17,0),IF($K$26:$N$26=0,$K17:$N17,0),IF($R$26:$U$26=0,$R17:$U17,0),IF($X$26:$Z$26=0,$X17:$Z17,0),IF($AC$26=0,$AC17,0),IF($AW$26:$BA$26=0,$AW17:$BA17,0),IF($BF$26=0,$BF17,0),IF($BN$26:$BS$26=0,$BN17:$BS17,0),IF($BZ$26:$CA$26=0,$BZ17:$CA17,0),IF($CC$26:$CH$26=0,$CC17:$CH17,0)))</f>
        <v>9.20380780283042</v>
      </c>
      <c r="CP44" s="4" t="n">
        <f aca="false" t="array" ref="CP44:CP44">SUM($O$26:$Q$26*$O44:$Q44,$V$26:$W$26*$V44:$W44,$AA$26:$AB$26*$AA44:$AB44,$AD$26:$AV$26*$AD44:$AV44,$BB$26:$BE$26*$BB44:$BE44,$BG$26:$BM$26*$BG44:$BM44,$BT$26:$BY$26*$BT44:$BY44,$CB$26*$CB44,$CI$26:$CK$26*$CI44:$CK44)/(1-SUM(IF($O$26:$Q$26=0,$O17:$Q17,0),IF($V$26:$W$26=0,$V17:$W17,0),IF($AA$26:$AB$26=0,$AA17:$AB17,0),IF($AD$26:$AV$26=0,$AD17:$AV17,0),IF($BB$26:$BE$26=0,$BB17:$BE17,0),IF($BG$26:$BM$26=0,$BG17:$BM17,0),IF($BT$26:$BY$26=0,$BT17:$BY17,0),IF($CB$26=0,$CB17,0),IF($CI$26:$CK$26=0,$CI17:$CK17,0)))</f>
        <v>8.17066073509612</v>
      </c>
    </row>
    <row r="45" customFormat="false" ht="12.8" hidden="false" customHeight="false" outlineLevel="0" collapsed="false">
      <c r="A45" s="4" t="s">
        <v>152</v>
      </c>
      <c r="B45" s="7" t="s">
        <v>39</v>
      </c>
      <c r="C45" s="4" t="n">
        <v>0.0926693047344991</v>
      </c>
      <c r="D45" s="4" t="n">
        <v>0.951219013717168</v>
      </c>
      <c r="E45" s="4" t="n">
        <v>0.520938585238481</v>
      </c>
      <c r="F45" s="4" t="n">
        <v>0.890168618949193</v>
      </c>
      <c r="G45" s="4" t="n">
        <v>0.32534136215595</v>
      </c>
      <c r="H45" s="4" t="n">
        <v>0.587511439265707</v>
      </c>
      <c r="I45" s="4" t="n">
        <v>0.446709558015649</v>
      </c>
      <c r="J45" s="4" t="n">
        <v>0.086329527517426</v>
      </c>
      <c r="K45" s="4" t="n">
        <v>0.217431046049111</v>
      </c>
      <c r="L45" s="4" t="n">
        <v>0.153329301990866</v>
      </c>
      <c r="M45" s="4" t="n">
        <v>0.516499857965493</v>
      </c>
      <c r="N45" s="4" t="n">
        <v>0.586927674576671</v>
      </c>
      <c r="O45" s="4" t="n">
        <v>0.595454181036379</v>
      </c>
      <c r="P45" s="4" t="n">
        <v>0.632394194406005</v>
      </c>
      <c r="Q45" s="4" t="n">
        <v>0.018930370690678</v>
      </c>
      <c r="R45" s="4" t="n">
        <v>0.456250434484666</v>
      </c>
      <c r="S45" s="4" t="n">
        <v>0.707203491997977</v>
      </c>
      <c r="T45" s="4" t="n">
        <v>0.611093480788013</v>
      </c>
      <c r="U45" s="4" t="n">
        <v>0.873531929699061</v>
      </c>
      <c r="V45" s="4" t="n">
        <v>0.794387269897077</v>
      </c>
      <c r="W45" s="4" t="n">
        <v>0.310112329361134</v>
      </c>
      <c r="X45" s="4" t="n">
        <v>0.952865833654011</v>
      </c>
      <c r="Y45" s="4" t="n">
        <v>0.985683767082698</v>
      </c>
      <c r="Z45" s="4" t="n">
        <v>0.0538025947000839</v>
      </c>
      <c r="AA45" s="4" t="n">
        <v>0.131548305781866</v>
      </c>
      <c r="AB45" s="4" t="n">
        <v>0.950097598111473</v>
      </c>
      <c r="AC45" s="4" t="n">
        <v>0.504715022457332</v>
      </c>
      <c r="AD45" s="4" t="n">
        <v>0.925553946980873</v>
      </c>
      <c r="AE45" s="4" t="n">
        <v>0.11082646440101</v>
      </c>
      <c r="AF45" s="4" t="n">
        <v>0.484904586630274</v>
      </c>
      <c r="AG45" s="4" t="n">
        <v>0.796707858705533</v>
      </c>
      <c r="AH45" s="4" t="n">
        <v>0.144577669003615</v>
      </c>
      <c r="AI45" s="4" t="n">
        <v>0.426964341214353</v>
      </c>
      <c r="AJ45" s="4" t="n">
        <v>0.712060579812474</v>
      </c>
      <c r="AK45" s="4" t="n">
        <v>0.677399388850619</v>
      </c>
      <c r="AL45" s="4" t="n">
        <v>0.342918026200485</v>
      </c>
      <c r="AM45" s="4" t="n">
        <v>0.310520666997395</v>
      </c>
      <c r="AN45" s="4" t="n">
        <v>0.236152056742114</v>
      </c>
      <c r="AO45" s="4" t="n">
        <v>0.532752853824071</v>
      </c>
      <c r="AP45" s="4" t="n">
        <v>0.427523250178954</v>
      </c>
      <c r="AQ45" s="4" t="n">
        <v>0.991865867178333</v>
      </c>
      <c r="AR45" s="4" t="n">
        <v>0.416631866426439</v>
      </c>
      <c r="AS45" s="4" t="n">
        <v>0.405721707337111</v>
      </c>
      <c r="AT45" s="4" t="n">
        <v>0.345867068395876</v>
      </c>
      <c r="AU45" s="4" t="n">
        <v>0.0608374957130991</v>
      </c>
      <c r="AV45" s="4" t="n">
        <v>0.188876369924711</v>
      </c>
      <c r="AW45" s="4" t="n">
        <v>0.812374476608328</v>
      </c>
      <c r="AX45" s="4" t="n">
        <v>0.126939564121617</v>
      </c>
      <c r="AY45" s="4" t="n">
        <v>0.185044334362313</v>
      </c>
      <c r="AZ45" s="4" t="n">
        <v>0.840678740283759</v>
      </c>
      <c r="BA45" s="4" t="n">
        <v>0.903419199768635</v>
      </c>
      <c r="BB45" s="4" t="n">
        <v>0.211797747415179</v>
      </c>
      <c r="BC45" s="4" t="n">
        <v>0.46592138043193</v>
      </c>
      <c r="BD45" s="4" t="n">
        <v>0.586093274348743</v>
      </c>
      <c r="BE45" s="4" t="n">
        <v>0.754638620664388</v>
      </c>
      <c r="BF45" s="4" t="n">
        <v>0.848031180728699</v>
      </c>
      <c r="BG45" s="4" t="n">
        <v>0.100623544667154</v>
      </c>
      <c r="BH45" s="4" t="n">
        <v>0.712042331537842</v>
      </c>
      <c r="BI45" s="4" t="n">
        <v>0.373164552832816</v>
      </c>
      <c r="BJ45" s="4" t="n">
        <v>0.857811071740857</v>
      </c>
      <c r="BK45" s="4" t="n">
        <v>0.305592081931816</v>
      </c>
      <c r="BL45" s="4" t="n">
        <v>0.880957523367725</v>
      </c>
      <c r="BM45" s="4" t="n">
        <v>0.442744596263846</v>
      </c>
      <c r="BN45" s="4" t="n">
        <v>0.407507107140772</v>
      </c>
      <c r="BO45" s="4" t="n">
        <v>0.439018567185721</v>
      </c>
      <c r="BP45" s="4" t="n">
        <v>0.714037116825061</v>
      </c>
      <c r="BQ45" s="4" t="n">
        <v>0.68519038246215</v>
      </c>
      <c r="BR45" s="4" t="n">
        <v>0.298225638576026</v>
      </c>
      <c r="BS45" s="4" t="n">
        <v>0.528351479217343</v>
      </c>
      <c r="BT45" s="4" t="n">
        <v>0.486904198426966</v>
      </c>
      <c r="BU45" s="4" t="n">
        <v>0.624554177680745</v>
      </c>
      <c r="BV45" s="4" t="n">
        <v>0.0581275779684384</v>
      </c>
      <c r="BW45" s="4" t="n">
        <v>0.953454711010975</v>
      </c>
      <c r="BX45" s="4" t="n">
        <v>0.93187119282524</v>
      </c>
      <c r="BY45" s="4" t="n">
        <v>0.578889634619792</v>
      </c>
      <c r="BZ45" s="4" t="n">
        <v>0.527936098634539</v>
      </c>
      <c r="CA45" s="4" t="n">
        <v>0.171802168286945</v>
      </c>
      <c r="CB45" s="4" t="n">
        <v>0.670811590018575</v>
      </c>
      <c r="CC45" s="4" t="n">
        <v>0.433856991686062</v>
      </c>
      <c r="CD45" s="4" t="n">
        <v>0.397583822525907</v>
      </c>
      <c r="CE45" s="4" t="n">
        <v>0.998291225837054</v>
      </c>
      <c r="CF45" s="4" t="n">
        <v>0.482637763480754</v>
      </c>
      <c r="CG45" s="4" t="n">
        <v>0.718085627636182</v>
      </c>
      <c r="CH45" s="4" t="n">
        <v>0.964279686190318</v>
      </c>
      <c r="CI45" s="4" t="n">
        <v>0.963887074677778</v>
      </c>
      <c r="CJ45" s="4" t="n">
        <v>0.502512913042656</v>
      </c>
      <c r="CK45" s="4" t="n">
        <v>0.357334817465135</v>
      </c>
      <c r="CL45" s="4" t="n">
        <v>0</v>
      </c>
      <c r="CN45" s="0" t="n">
        <f aca="false" t="array" ref="CN45:CN45">SUM($I$26:$J$26*$I45:$J45)/(1-SUM(IF($I$26:$J$26=0,$I18:$J18,0)))</f>
        <v>0.533039085533075</v>
      </c>
      <c r="CO45" s="4" t="n">
        <f aca="false" t="array" ref="CO45:CO45">SUM($C$26:$H$26*$C45:$H45,$K$26:$N$26*$K45:$N45,$R$26:$U$26*$R45:$U45,$X$26:$Z$26*$X45:$Z45,$AC$26*$AC45,$AW$26:$BA$26*$AW45:$BA45,$BF$26*$BF45,$BN$26:$BS$26*$BN45:$BS45,$BZ$26:$CA$26*$BZ45:$CA45,$CC$26:$CH$26*$CC45:$CH45)/(1-SUM(IF($C$26:$H$26=0,$C18:$H18,0),IF($K$26:$N$26=0,$K18:$N18,0),IF($R$26:$U$26=0,$R18:$U18,0),IF($X$26:$Z$26=0,$X18:$Z18,0),IF($AC$26=0,$AC18,0),IF($AW$26:$BA$26=0,$AW18:$BA18,0),IF($BF$26=0,$BF18,0),IF($BN$26:$BS$26=0,$BN18:$BS18,0),IF($BZ$26:$CA$26=0,$BZ18:$CA18,0),IF($CC$26:$CH$26=0,$CC18:$CH18,0)))</f>
        <v>7.11040969625965</v>
      </c>
      <c r="CP45" s="4" t="n">
        <f aca="false" t="array" ref="CP45:CP45">SUM($O$26:$Q$26*$O45:$Q45,$V$26:$W$26*$V45:$W45,$AA$26:$AB$26*$AA45:$AB45,$AD$26:$AV$26*$AD45:$AV45,$BB$26:$BE$26*$BB45:$BE45,$BG$26:$BM$26*$BG45:$BM45,$BT$26:$BY$26*$BT45:$BY45,$CB$26*$CB45,$CI$26:$CK$26*$CI45:$CK45)/(1-SUM(IF($O$26:$Q$26=0,$O18:$Q18,0),IF($V$26:$W$26=0,$V18:$W18,0),IF($AA$26:$AB$26=0,$AA18:$AB18,0),IF($AD$26:$AV$26=0,$AD18:$AV18,0),IF($BB$26:$BE$26=0,$BB18:$BE18,0),IF($BG$26:$BM$26=0,$BG18:$BM18,0),IF($BT$26:$BY$26=0,$BT18:$BY18,0),IF($CB$26=0,$CB18,0),IF($CI$26:$CK$26=0,$CI18:$CK18,0)))</f>
        <v>9.21590808161787</v>
      </c>
    </row>
    <row r="46" customFormat="false" ht="12.8" hidden="false" customHeight="false" outlineLevel="0" collapsed="false">
      <c r="A46" s="4" t="s">
        <v>153</v>
      </c>
      <c r="B46" s="7" t="s">
        <v>39</v>
      </c>
      <c r="C46" s="4" t="n">
        <v>0.754863863874496</v>
      </c>
      <c r="D46" s="4" t="n">
        <v>0.614884034854466</v>
      </c>
      <c r="E46" s="4" t="n">
        <v>0.59191523946225</v>
      </c>
      <c r="F46" s="4" t="n">
        <v>0.454677318719507</v>
      </c>
      <c r="G46" s="4" t="n">
        <v>0.155011470513013</v>
      </c>
      <c r="H46" s="4" t="n">
        <v>0.0590643149722115</v>
      </c>
      <c r="I46" s="4" t="n">
        <v>0.686503434984299</v>
      </c>
      <c r="J46" s="4" t="n">
        <v>0.300837379913128</v>
      </c>
      <c r="K46" s="4" t="n">
        <v>0.631990578196594</v>
      </c>
      <c r="L46" s="4" t="n">
        <v>0.308629653098144</v>
      </c>
      <c r="M46" s="4" t="n">
        <v>0.467754391258717</v>
      </c>
      <c r="N46" s="4" t="n">
        <v>0.642922688894176</v>
      </c>
      <c r="O46" s="4" t="n">
        <v>0.385530282811377</v>
      </c>
      <c r="P46" s="4" t="n">
        <v>0.971777344442825</v>
      </c>
      <c r="Q46" s="4" t="n">
        <v>0.135295476197341</v>
      </c>
      <c r="R46" s="4" t="n">
        <v>0.879813020362267</v>
      </c>
      <c r="S46" s="4" t="n">
        <v>0.797000486127706</v>
      </c>
      <c r="T46" s="4" t="n">
        <v>0.173834030830336</v>
      </c>
      <c r="U46" s="4" t="n">
        <v>0.0825327123977294</v>
      </c>
      <c r="V46" s="4" t="n">
        <v>0.114125371004434</v>
      </c>
      <c r="W46" s="4" t="n">
        <v>0.595271663785405</v>
      </c>
      <c r="X46" s="4" t="n">
        <v>0.487719814051486</v>
      </c>
      <c r="Y46" s="4" t="n">
        <v>0.42769066149657</v>
      </c>
      <c r="Z46" s="4" t="n">
        <v>0.219320537384422</v>
      </c>
      <c r="AA46" s="4" t="n">
        <v>0.776306595119419</v>
      </c>
      <c r="AB46" s="4" t="n">
        <v>0.724862149949568</v>
      </c>
      <c r="AC46" s="4" t="n">
        <v>0.720767629585828</v>
      </c>
      <c r="AD46" s="4" t="n">
        <v>0.396336196172424</v>
      </c>
      <c r="AE46" s="4" t="n">
        <v>0.48197454308618</v>
      </c>
      <c r="AF46" s="4" t="n">
        <v>0.835550107602844</v>
      </c>
      <c r="AG46" s="4" t="n">
        <v>0.370631108985861</v>
      </c>
      <c r="AH46" s="4" t="n">
        <v>0.98614779653157</v>
      </c>
      <c r="AI46" s="4" t="n">
        <v>0.788368923357167</v>
      </c>
      <c r="AJ46" s="4" t="n">
        <v>0.314725276531504</v>
      </c>
      <c r="AK46" s="4" t="n">
        <v>0.896184206141473</v>
      </c>
      <c r="AL46" s="4" t="n">
        <v>0.63995907920626</v>
      </c>
      <c r="AM46" s="4" t="n">
        <v>0.0648934747933042</v>
      </c>
      <c r="AN46" s="4" t="n">
        <v>0.529759174647646</v>
      </c>
      <c r="AO46" s="4" t="n">
        <v>0.893712134154412</v>
      </c>
      <c r="AP46" s="4" t="n">
        <v>0.231062444458324</v>
      </c>
      <c r="AQ46" s="4" t="n">
        <v>0.51869271950478</v>
      </c>
      <c r="AR46" s="4" t="n">
        <v>0.200314024816825</v>
      </c>
      <c r="AS46" s="4" t="n">
        <v>0.191494296905014</v>
      </c>
      <c r="AT46" s="4" t="n">
        <v>0.5883882774537</v>
      </c>
      <c r="AU46" s="4" t="n">
        <v>0.14191168801332</v>
      </c>
      <c r="AV46" s="4" t="n">
        <v>0.306924423958836</v>
      </c>
      <c r="AW46" s="4" t="n">
        <v>0.581553955956889</v>
      </c>
      <c r="AX46" s="4" t="n">
        <v>0.55267536672003</v>
      </c>
      <c r="AY46" s="4" t="n">
        <v>0.418534553928169</v>
      </c>
      <c r="AZ46" s="4" t="n">
        <v>0.31815145147044</v>
      </c>
      <c r="BA46" s="4" t="n">
        <v>0.998533896794038</v>
      </c>
      <c r="BB46" s="4" t="n">
        <v>0.221635582338797</v>
      </c>
      <c r="BC46" s="4" t="n">
        <v>0.797765731358325</v>
      </c>
      <c r="BD46" s="4" t="n">
        <v>0.721617092932834</v>
      </c>
      <c r="BE46" s="4" t="n">
        <v>0.539803307350432</v>
      </c>
      <c r="BF46" s="4" t="n">
        <v>0.0704360827256162</v>
      </c>
      <c r="BG46" s="4" t="n">
        <v>0.0634635603792135</v>
      </c>
      <c r="BH46" s="4" t="n">
        <v>0.874532226628577</v>
      </c>
      <c r="BI46" s="4" t="n">
        <v>0.306834006003149</v>
      </c>
      <c r="BJ46" s="4" t="n">
        <v>0.0261175213969369</v>
      </c>
      <c r="BK46" s="4" t="n">
        <v>0.978119152198322</v>
      </c>
      <c r="BL46" s="4" t="n">
        <v>0.358827771493258</v>
      </c>
      <c r="BM46" s="4" t="n">
        <v>0.567865654349399</v>
      </c>
      <c r="BN46" s="4" t="n">
        <v>0.0877295336530484</v>
      </c>
      <c r="BO46" s="4" t="n">
        <v>0.175077016058348</v>
      </c>
      <c r="BP46" s="4" t="n">
        <v>0.370864447643669</v>
      </c>
      <c r="BQ46" s="4" t="n">
        <v>0.425345499290736</v>
      </c>
      <c r="BR46" s="4" t="n">
        <v>0.30319061583253</v>
      </c>
      <c r="BS46" s="4" t="n">
        <v>0.837654028272355</v>
      </c>
      <c r="BT46" s="4" t="n">
        <v>0.0168015954497109</v>
      </c>
      <c r="BU46" s="4" t="n">
        <v>0.273302699051209</v>
      </c>
      <c r="BV46" s="4" t="n">
        <v>0.792599368712751</v>
      </c>
      <c r="BW46" s="4" t="n">
        <v>0.504077859716453</v>
      </c>
      <c r="BX46" s="4" t="n">
        <v>0.00640563902219498</v>
      </c>
      <c r="BY46" s="4" t="n">
        <v>0.425398679494571</v>
      </c>
      <c r="BZ46" s="4" t="n">
        <v>0.43142529626239</v>
      </c>
      <c r="CA46" s="4" t="n">
        <v>0.899694646334178</v>
      </c>
      <c r="CB46" s="4" t="n">
        <v>0.868563521587966</v>
      </c>
      <c r="CC46" s="4" t="n">
        <v>0.839613086628016</v>
      </c>
      <c r="CD46" s="4" t="n">
        <v>0.208196522047</v>
      </c>
      <c r="CE46" s="4" t="n">
        <v>0.702877569229104</v>
      </c>
      <c r="CF46" s="4" t="n">
        <v>0.646802858574217</v>
      </c>
      <c r="CG46" s="4" t="n">
        <v>0.650532859197645</v>
      </c>
      <c r="CH46" s="4" t="n">
        <v>0.2429271614211</v>
      </c>
      <c r="CI46" s="4" t="n">
        <v>0.0773526933316527</v>
      </c>
      <c r="CJ46" s="4" t="n">
        <v>0.627360920554212</v>
      </c>
      <c r="CK46" s="4" t="n">
        <v>0.330580639757935</v>
      </c>
      <c r="CL46" s="4" t="n">
        <v>0</v>
      </c>
      <c r="CN46" s="0" t="n">
        <f aca="false" t="array" ref="CN46:CN46">SUM($I$26:$J$26*$I46:$J46)/(1-SUM(IF($I$26:$J$26=0,$I19:$J19,0)))</f>
        <v>0.987340814897427</v>
      </c>
      <c r="CO46" s="4" t="n">
        <f aca="false" t="array" ref="CO46:CO46">SUM($C$26:$H$26*$C46:$H46,$K$26:$N$26*$K46:$N46,$R$26:$U$26*$R46:$U46,$X$26:$Z$26*$X46:$Z46,$AC$26*$AC46,$AW$26:$BA$26*$AW46:$BA46,$BF$26*$BF46,$BN$26:$BS$26*$BN46:$BS46,$BZ$26:$CA$26*$BZ46:$CA46,$CC$26:$CH$26*$CC46:$CH46)/(1-SUM(IF($C$26:$H$26=0,$C19:$H19,0),IF($K$26:$N$26=0,$K19:$N19,0),IF($R$26:$U$26=0,$R19:$U19,0),IF($X$26:$Z$26=0,$X19:$Z19,0),IF($AC$26=0,$AC19,0),IF($AW$26:$BA$26=0,$AW19:$BA19,0),IF($BF$26=0,$BF19,0),IF($BN$26:$BS$26=0,$BN19:$BS19,0),IF($BZ$26:$CA$26=0,$BZ19:$CA19,0),IF($CC$26:$CH$26=0,$CC19:$CH19,0)))</f>
        <v>7.48411120529446</v>
      </c>
      <c r="CP46" s="4" t="n">
        <f aca="false" t="array" ref="CP46:CP46">SUM($O$26:$Q$26*$O46:$Q46,$V$26:$W$26*$V46:$W46,$AA$26:$AB$26*$AA46:$AB46,$AD$26:$AV$26*$AD46:$AV46,$BB$26:$BE$26*$BB46:$BE46,$BG$26:$BM$26*$BG46:$BM46,$BT$26:$BY$26*$BT46:$BY46,$CB$26*$CB46,$CI$26:$CK$26*$CI46:$CK46)/(1-SUM(IF($O$26:$Q$26=0,$O19:$Q19,0),IF($V$26:$W$26=0,$V19:$W19,0),IF($AA$26:$AB$26=0,$AA19:$AB19,0),IF($AD$26:$AV$26=0,$AD19:$AV19,0),IF($BB$26:$BE$26=0,$BB19:$BE19,0),IF($BG$26:$BM$26=0,$BG19:$BM19,0),IF($BT$26:$BY$26=0,$BT19:$BY19,0),IF($CB$26=0,$CB19,0),IF($CI$26:$CK$26=0,$CI19:$CK19,0)))</f>
        <v>5.35290401394497</v>
      </c>
    </row>
    <row r="47" customFormat="false" ht="12.8" hidden="false" customHeight="false" outlineLevel="0" collapsed="false">
      <c r="A47" s="4" t="s">
        <v>155</v>
      </c>
      <c r="B47" s="7" t="s">
        <v>39</v>
      </c>
      <c r="C47" s="4" t="n">
        <v>0.397994683650538</v>
      </c>
      <c r="D47" s="4" t="n">
        <v>0.0327725702803254</v>
      </c>
      <c r="E47" s="4" t="n">
        <v>0.602802961406647</v>
      </c>
      <c r="F47" s="4" t="n">
        <v>0.150242152493341</v>
      </c>
      <c r="G47" s="4" t="n">
        <v>0.234450670644319</v>
      </c>
      <c r="H47" s="4" t="n">
        <v>0.761661137728343</v>
      </c>
      <c r="I47" s="4" t="n">
        <v>0.974540419066136</v>
      </c>
      <c r="J47" s="4" t="n">
        <v>0.122711755024638</v>
      </c>
      <c r="K47" s="4" t="n">
        <v>0.91093771068668</v>
      </c>
      <c r="L47" s="4" t="n">
        <v>0.031022206668767</v>
      </c>
      <c r="M47" s="4" t="n">
        <v>0.57123785055538</v>
      </c>
      <c r="N47" s="4" t="n">
        <v>0.477406260766421</v>
      </c>
      <c r="O47" s="4" t="n">
        <v>0.728300720117611</v>
      </c>
      <c r="P47" s="4" t="n">
        <v>0.905448104998807</v>
      </c>
      <c r="Q47" s="4" t="n">
        <v>0.114684593307359</v>
      </c>
      <c r="R47" s="4" t="n">
        <v>0.140763404523375</v>
      </c>
      <c r="S47" s="4" t="n">
        <v>0.114351340427227</v>
      </c>
      <c r="T47" s="4" t="n">
        <v>0.584307225158604</v>
      </c>
      <c r="U47" s="4" t="n">
        <v>0.272261511507766</v>
      </c>
      <c r="V47" s="4" t="n">
        <v>0.821520993918356</v>
      </c>
      <c r="W47" s="4" t="n">
        <v>0.787687759884548</v>
      </c>
      <c r="X47" s="4" t="n">
        <v>0.715076269416589</v>
      </c>
      <c r="Y47" s="4" t="n">
        <v>0.979313276490177</v>
      </c>
      <c r="Z47" s="4" t="n">
        <v>0.717080596030235</v>
      </c>
      <c r="AA47" s="4" t="n">
        <v>0.0195543967771431</v>
      </c>
      <c r="AB47" s="4" t="n">
        <v>0.0630032641562822</v>
      </c>
      <c r="AC47" s="4" t="n">
        <v>0.534061920195941</v>
      </c>
      <c r="AD47" s="4" t="n">
        <v>0.317194288767729</v>
      </c>
      <c r="AE47" s="4" t="n">
        <v>0.377729436770971</v>
      </c>
      <c r="AF47" s="4" t="n">
        <v>0.853763059614534</v>
      </c>
      <c r="AG47" s="4" t="n">
        <v>0.699634584882897</v>
      </c>
      <c r="AH47" s="4" t="n">
        <v>0.225395443178437</v>
      </c>
      <c r="AI47" s="4" t="n">
        <v>0.876164100713316</v>
      </c>
      <c r="AJ47" s="4" t="n">
        <v>0.213374012252466</v>
      </c>
      <c r="AK47" s="4" t="n">
        <v>0.802731213404604</v>
      </c>
      <c r="AL47" s="4" t="n">
        <v>0.603651188671235</v>
      </c>
      <c r="AM47" s="4" t="n">
        <v>0.918330467861981</v>
      </c>
      <c r="AN47" s="4" t="n">
        <v>0.404539526422993</v>
      </c>
      <c r="AO47" s="4" t="n">
        <v>0.329537718732342</v>
      </c>
      <c r="AP47" s="4" t="n">
        <v>0.288318258998898</v>
      </c>
      <c r="AQ47" s="4" t="n">
        <v>0.802142095837987</v>
      </c>
      <c r="AR47" s="4" t="n">
        <v>0.958751670045841</v>
      </c>
      <c r="AS47" s="4" t="n">
        <v>0.438642429602152</v>
      </c>
      <c r="AT47" s="4" t="n">
        <v>0.322920834681323</v>
      </c>
      <c r="AU47" s="4" t="n">
        <v>0.594856026075814</v>
      </c>
      <c r="AV47" s="4" t="n">
        <v>0.627862749803129</v>
      </c>
      <c r="AW47" s="4" t="n">
        <v>0.401081040171585</v>
      </c>
      <c r="AX47" s="4" t="n">
        <v>0.827309362666053</v>
      </c>
      <c r="AY47" s="4" t="n">
        <v>0.00156208127386883</v>
      </c>
      <c r="AZ47" s="4" t="n">
        <v>0.0705124589185013</v>
      </c>
      <c r="BA47" s="4" t="n">
        <v>0.450849702003124</v>
      </c>
      <c r="BB47" s="4" t="n">
        <v>0.733704283064304</v>
      </c>
      <c r="BC47" s="4" t="n">
        <v>0.866822286442369</v>
      </c>
      <c r="BD47" s="4" t="n">
        <v>0.899788830458589</v>
      </c>
      <c r="BE47" s="4" t="n">
        <v>0.641480760925499</v>
      </c>
      <c r="BF47" s="4" t="n">
        <v>0.617289625144273</v>
      </c>
      <c r="BG47" s="4" t="n">
        <v>0.616093773804875</v>
      </c>
      <c r="BH47" s="4" t="n">
        <v>0.908950561701761</v>
      </c>
      <c r="BI47" s="4" t="n">
        <v>0.131682046560182</v>
      </c>
      <c r="BJ47" s="4" t="n">
        <v>0.914625849274977</v>
      </c>
      <c r="BK47" s="4" t="n">
        <v>0.292429103497059</v>
      </c>
      <c r="BL47" s="4" t="n">
        <v>0.952432046206875</v>
      </c>
      <c r="BM47" s="4" t="n">
        <v>0.373352849407548</v>
      </c>
      <c r="BN47" s="4" t="n">
        <v>0.584350057900933</v>
      </c>
      <c r="BO47" s="4" t="n">
        <v>0.497866963744298</v>
      </c>
      <c r="BP47" s="4" t="n">
        <v>0.501146560806989</v>
      </c>
      <c r="BQ47" s="4" t="n">
        <v>0.391285975345248</v>
      </c>
      <c r="BR47" s="4" t="n">
        <v>0.0347106782935288</v>
      </c>
      <c r="BS47" s="4" t="n">
        <v>0.18251065296544</v>
      </c>
      <c r="BT47" s="4" t="n">
        <v>0.450708993690199</v>
      </c>
      <c r="BU47" s="4" t="n">
        <v>0.95272640452208</v>
      </c>
      <c r="BV47" s="4" t="n">
        <v>0.383794461990185</v>
      </c>
      <c r="BW47" s="4" t="n">
        <v>0.729120054094265</v>
      </c>
      <c r="BX47" s="4" t="n">
        <v>0.615749009985982</v>
      </c>
      <c r="BY47" s="4" t="n">
        <v>0.765053466764852</v>
      </c>
      <c r="BZ47" s="4" t="n">
        <v>0.0866662575731829</v>
      </c>
      <c r="CA47" s="4" t="n">
        <v>0.161013783644612</v>
      </c>
      <c r="CB47" s="4" t="n">
        <v>0.688693240950101</v>
      </c>
      <c r="CC47" s="4" t="n">
        <v>0.363061657929692</v>
      </c>
      <c r="CD47" s="4" t="n">
        <v>0.295463801831158</v>
      </c>
      <c r="CE47" s="4" t="n">
        <v>0.32926822027859</v>
      </c>
      <c r="CF47" s="4" t="n">
        <v>0.376196107676327</v>
      </c>
      <c r="CG47" s="4" t="n">
        <v>0.0521578757841249</v>
      </c>
      <c r="CH47" s="4" t="n">
        <v>0.926733329070559</v>
      </c>
      <c r="CI47" s="4" t="n">
        <v>0.667487828686884</v>
      </c>
      <c r="CJ47" s="4" t="n">
        <v>0.109507920045041</v>
      </c>
      <c r="CK47" s="4" t="n">
        <v>0.486179050277288</v>
      </c>
      <c r="CL47" s="4" t="n">
        <v>0</v>
      </c>
      <c r="CN47" s="0" t="n">
        <f aca="false" t="array" ref="CN47:CN47">SUM($I$26:$J$26*$I47:$J47)/(1-SUM(IF($I$26:$J$26=0,$I20:$J20,0)))</f>
        <v>1.09725217409077</v>
      </c>
      <c r="CO47" s="4" t="n">
        <f aca="false" t="array" ref="CO47:CO47">SUM($C$26:$H$26*$C47:$H47,$K$26:$N$26*$K47:$N47,$R$26:$U$26*$R47:$U47,$X$26:$Z$26*$X47:$Z47,$AC$26*$AC47,$AW$26:$BA$26*$AW47:$BA47,$BF$26*$BF47,$BN$26:$BS$26*$BN47:$BS47,$BZ$26:$CA$26*$BZ47:$CA47,$CC$26:$CH$26*$CC47:$CH47)/(1-SUM(IF($C$26:$H$26=0,$C20:$H20,0),IF($K$26:$N$26=0,$K20:$N20,0),IF($R$26:$U$26=0,$R20:$U20,0),IF($X$26:$Z$26=0,$X20:$Z20,0),IF($AC$26=0,$AC20,0),IF($AW$26:$BA$26=0,$AW20:$BA20,0),IF($BF$26=0,$BF20,0),IF($BN$26:$BS$26=0,$BN20:$BS20,0),IF($BZ$26:$CA$26=0,$BZ20:$CA20,0),IF($CC$26:$CH$26=0,$CC20:$CH20,0)))</f>
        <v>3.00778063290499</v>
      </c>
      <c r="CP47" s="4" t="n">
        <f aca="false" t="array" ref="CP47:CP47">SUM($O$26:$Q$26*$O47:$Q47,$V$26:$W$26*$V47:$W47,$AA$26:$AB$26*$AA47:$AB47,$AD$26:$AV$26*$AD47:$AV47,$BB$26:$BE$26*$BB47:$BE47,$BG$26:$BM$26*$BG47:$BM47,$BT$26:$BY$26*$BT47:$BY47,$CB$26*$CB47,$CI$26:$CK$26*$CI47:$CK47)/(1-SUM(IF($O$26:$Q$26=0,$O20:$Q20,0),IF($V$26:$W$26=0,$V20:$W20,0),IF($AA$26:$AB$26=0,$AA20:$AB20,0),IF($AD$26:$AV$26=0,$AD20:$AV20,0),IF($BB$26:$BE$26=0,$BB20:$BE20,0),IF($BG$26:$BM$26=0,$BG20:$BM20,0),IF($BT$26:$BY$26=0,$BT20:$BY20,0),IF($CB$26=0,$CB20,0),IF($CI$26:$CK$26=0,$CI20:$CK20,0)))</f>
        <v>9.54556339635769</v>
      </c>
    </row>
    <row r="48" customFormat="false" ht="12.8" hidden="false" customHeight="false" outlineLevel="0" collapsed="false">
      <c r="A48" s="4" t="s">
        <v>156</v>
      </c>
      <c r="B48" s="7" t="s">
        <v>39</v>
      </c>
      <c r="C48" s="4" t="n">
        <v>0.329755917403872</v>
      </c>
      <c r="D48" s="4" t="n">
        <v>0.0566149335615943</v>
      </c>
      <c r="E48" s="4" t="n">
        <v>0.897815868775463</v>
      </c>
      <c r="F48" s="4" t="n">
        <v>0.856014266452765</v>
      </c>
      <c r="G48" s="4" t="n">
        <v>0.864403187336598</v>
      </c>
      <c r="H48" s="4" t="n">
        <v>0.115363390396704</v>
      </c>
      <c r="I48" s="4" t="n">
        <v>0.29216912940275</v>
      </c>
      <c r="J48" s="4" t="n">
        <v>0.94603988855589</v>
      </c>
      <c r="K48" s="4" t="n">
        <v>0.387894109805058</v>
      </c>
      <c r="L48" s="4" t="n">
        <v>0.00151614292929692</v>
      </c>
      <c r="M48" s="4" t="n">
        <v>0.0597368487066911</v>
      </c>
      <c r="N48" s="4" t="n">
        <v>0.836954958761908</v>
      </c>
      <c r="O48" s="4" t="n">
        <v>0.530500622886588</v>
      </c>
      <c r="P48" s="4" t="n">
        <v>0.929155797694745</v>
      </c>
      <c r="Q48" s="4" t="n">
        <v>0.825865839384078</v>
      </c>
      <c r="R48" s="4" t="n">
        <v>0.161811912894235</v>
      </c>
      <c r="S48" s="4" t="n">
        <v>0.901374305972236</v>
      </c>
      <c r="T48" s="4" t="n">
        <v>0.250309377198681</v>
      </c>
      <c r="U48" s="4" t="n">
        <v>0.36794466977846</v>
      </c>
      <c r="V48" s="4" t="n">
        <v>0.146833211436967</v>
      </c>
      <c r="W48" s="4" t="n">
        <v>0.506149911186061</v>
      </c>
      <c r="X48" s="4" t="n">
        <v>0.719945573135121</v>
      </c>
      <c r="Y48" s="4" t="n">
        <v>0.440055254290114</v>
      </c>
      <c r="Z48" s="4" t="n">
        <v>0.121143588957376</v>
      </c>
      <c r="AA48" s="4" t="n">
        <v>0.122470982642369</v>
      </c>
      <c r="AB48" s="4" t="n">
        <v>0.486010386533657</v>
      </c>
      <c r="AC48" s="4" t="n">
        <v>0.317017231165007</v>
      </c>
      <c r="AD48" s="4" t="n">
        <v>0.827601871242293</v>
      </c>
      <c r="AE48" s="4" t="n">
        <v>0.86228393844104</v>
      </c>
      <c r="AF48" s="4" t="n">
        <v>0.309453887418514</v>
      </c>
      <c r="AG48" s="4" t="n">
        <v>0.86974783212449</v>
      </c>
      <c r="AH48" s="4" t="n">
        <v>0.882621613884738</v>
      </c>
      <c r="AI48" s="4" t="n">
        <v>0.343895379472191</v>
      </c>
      <c r="AJ48" s="4" t="n">
        <v>0.679247442164482</v>
      </c>
      <c r="AK48" s="4" t="n">
        <v>0.64409099045872</v>
      </c>
      <c r="AL48" s="4" t="n">
        <v>0.326886030697844</v>
      </c>
      <c r="AM48" s="4" t="n">
        <v>0.498453083219027</v>
      </c>
      <c r="AN48" s="4" t="n">
        <v>0.469830041302458</v>
      </c>
      <c r="AO48" s="4" t="n">
        <v>0.388519270476635</v>
      </c>
      <c r="AP48" s="4" t="n">
        <v>0.908119156172023</v>
      </c>
      <c r="AQ48" s="4" t="n">
        <v>0.7216832494465</v>
      </c>
      <c r="AR48" s="4" t="n">
        <v>0.594394090990264</v>
      </c>
      <c r="AS48" s="4" t="n">
        <v>0.393857177783542</v>
      </c>
      <c r="AT48" s="4" t="n">
        <v>0.170155785539435</v>
      </c>
      <c r="AU48" s="4" t="n">
        <v>0.888122868507808</v>
      </c>
      <c r="AV48" s="4" t="n">
        <v>0.285880896540209</v>
      </c>
      <c r="AW48" s="4" t="n">
        <v>0.477913840188674</v>
      </c>
      <c r="AX48" s="4" t="n">
        <v>0.875216444576697</v>
      </c>
      <c r="AY48" s="4" t="n">
        <v>0.682078431565117</v>
      </c>
      <c r="AZ48" s="4" t="n">
        <v>0.520642635515357</v>
      </c>
      <c r="BA48" s="4" t="n">
        <v>0.892093310122623</v>
      </c>
      <c r="BB48" s="4" t="n">
        <v>0.672880705615096</v>
      </c>
      <c r="BC48" s="4" t="n">
        <v>0.340153876046396</v>
      </c>
      <c r="BD48" s="4" t="n">
        <v>0.263889069004379</v>
      </c>
      <c r="BE48" s="4" t="n">
        <v>0.641432617962326</v>
      </c>
      <c r="BF48" s="4" t="n">
        <v>0.267969364479119</v>
      </c>
      <c r="BG48" s="4" t="n">
        <v>0.258275852090825</v>
      </c>
      <c r="BH48" s="4" t="n">
        <v>0.855238432249605</v>
      </c>
      <c r="BI48" s="4" t="n">
        <v>0.807096320236089</v>
      </c>
      <c r="BJ48" s="4" t="n">
        <v>0.405198470492892</v>
      </c>
      <c r="BK48" s="4" t="n">
        <v>0.885215165567766</v>
      </c>
      <c r="BL48" s="4" t="n">
        <v>0.0129653157666288</v>
      </c>
      <c r="BM48" s="4" t="n">
        <v>0.736291425450892</v>
      </c>
      <c r="BN48" s="4" t="n">
        <v>0.431753263060027</v>
      </c>
      <c r="BO48" s="4" t="n">
        <v>0.431362452509574</v>
      </c>
      <c r="BP48" s="4" t="n">
        <v>0.7748568103776</v>
      </c>
      <c r="BQ48" s="4" t="n">
        <v>0.0197245180841111</v>
      </c>
      <c r="BR48" s="4" t="n">
        <v>0.364607759917061</v>
      </c>
      <c r="BS48" s="4" t="n">
        <v>0.684800973653637</v>
      </c>
      <c r="BT48" s="4" t="n">
        <v>0.424524397075777</v>
      </c>
      <c r="BU48" s="4" t="n">
        <v>0.527364613665574</v>
      </c>
      <c r="BV48" s="4" t="n">
        <v>0.957960595505952</v>
      </c>
      <c r="BW48" s="4" t="n">
        <v>0.0773290052572688</v>
      </c>
      <c r="BX48" s="4" t="n">
        <v>0.812043803717313</v>
      </c>
      <c r="BY48" s="4" t="n">
        <v>0.126259932687835</v>
      </c>
      <c r="BZ48" s="4" t="n">
        <v>0.219069195100695</v>
      </c>
      <c r="CA48" s="4" t="n">
        <v>0.26419590570982</v>
      </c>
      <c r="CB48" s="4" t="n">
        <v>0.0488866841075631</v>
      </c>
      <c r="CC48" s="4" t="n">
        <v>0.289021612679295</v>
      </c>
      <c r="CD48" s="4" t="n">
        <v>0.776841584221587</v>
      </c>
      <c r="CE48" s="4" t="n">
        <v>0.118888367628289</v>
      </c>
      <c r="CF48" s="4" t="n">
        <v>0.0704658512088901</v>
      </c>
      <c r="CG48" s="4" t="n">
        <v>0.671316023895586</v>
      </c>
      <c r="CH48" s="4" t="n">
        <v>0.672524107463027</v>
      </c>
      <c r="CI48" s="4" t="n">
        <v>0.525307039734423</v>
      </c>
      <c r="CJ48" s="4" t="n">
        <v>0.410868725837066</v>
      </c>
      <c r="CK48" s="4" t="n">
        <v>0.532338971571934</v>
      </c>
      <c r="CL48" s="4" t="n">
        <v>0</v>
      </c>
      <c r="CN48" s="0" t="n">
        <f aca="false" t="array" ref="CN48:CN48">SUM($I$26:$J$26*$I48:$J48)/(1-SUM(IF($I$26:$J$26=0,$I21:$J21,0)))</f>
        <v>1.23820901795864</v>
      </c>
      <c r="CO48" s="4" t="n">
        <f aca="false" t="array" ref="CO48:CO48">SUM($C$26:$H$26*$C48:$H48,$K$26:$N$26*$K48:$N48,$R$26:$U$26*$R48:$U48,$X$26:$Z$26*$X48:$Z48,$AC$26*$AC48,$AW$26:$BA$26*$AW48:$BA48,$BF$26*$BF48,$BN$26:$BS$26*$BN48:$BS48,$BZ$26:$CA$26*$BZ48:$CA48,$CC$26:$CH$26*$CC48:$CH48)/(1-SUM(IF($C$26:$H$26=0,$C21:$H21,0),IF($K$26:$N$26=0,$K21:$N21,0),IF($R$26:$U$26=0,$R21:$U21,0),IF($X$26:$Z$26=0,$X21:$Z21,0),IF($AC$26=0,$AC21,0),IF($AW$26:$BA$26=0,$AW21:$BA21,0),IF($BF$26=0,$BF21,0),IF($BN$26:$BS$26=0,$BN21:$BS21,0),IF($BZ$26:$CA$26=0,$BZ21:$CA21,0),IF($CC$26:$CH$26=0,$CC21:$CH21,0)))</f>
        <v>19.5008200191525</v>
      </c>
      <c r="CP48" s="4" t="n">
        <f aca="false" t="array" ref="CP48:CP48">SUM($O$26:$Q$26*$O48:$Q48,$V$26:$W$26*$V48:$W48,$AA$26:$AB$26*$AA48:$AB48,$AD$26:$AV$26*$AD48:$AV48,$BB$26:$BE$26*$BB48:$BE48,$BG$26:$BM$26*$BG48:$BM48,$BT$26:$BY$26*$BT48:$BY48,$CB$26*$CB48,$CI$26:$CK$26*$CI48:$CK48)/(1-SUM(IF($O$26:$Q$26=0,$O21:$Q21,0),IF($V$26:$W$26=0,$V21:$W21,0),IF($AA$26:$AB$26=0,$AA21:$AB21,0),IF($AD$26:$AV$26=0,$AD21:$AV21,0),IF($BB$26:$BE$26=0,$BB21:$BE21,0),IF($BG$26:$BM$26=0,$BG21:$BM21,0),IF($BT$26:$BY$26=0,$BT21:$BY21,0),IF($CB$26=0,$CB21,0),IF($CI$26:$CK$26=0,$CI21:$CK21,0)))</f>
        <v>7.93846149077555</v>
      </c>
    </row>
    <row r="49" customFormat="false" ht="12.8" hidden="false" customHeight="false" outlineLevel="0" collapsed="false">
      <c r="A49" s="4" t="s">
        <v>157</v>
      </c>
      <c r="B49" s="7" t="s">
        <v>39</v>
      </c>
      <c r="C49" s="4" t="n">
        <v>0.325921609672701</v>
      </c>
      <c r="D49" s="4" t="n">
        <v>0.132356600096452</v>
      </c>
      <c r="E49" s="4" t="n">
        <v>0.725106661337792</v>
      </c>
      <c r="F49" s="4" t="n">
        <v>0.359530586168483</v>
      </c>
      <c r="G49" s="4" t="n">
        <v>0.202535879411265</v>
      </c>
      <c r="H49" s="4" t="n">
        <v>0.303741520153849</v>
      </c>
      <c r="I49" s="4" t="n">
        <v>0.498614197490507</v>
      </c>
      <c r="J49" s="4" t="n">
        <v>0.652331797868923</v>
      </c>
      <c r="K49" s="4" t="n">
        <v>0.0828824281283667</v>
      </c>
      <c r="L49" s="4" t="n">
        <v>0.912882043971806</v>
      </c>
      <c r="M49" s="4" t="n">
        <v>0.243844222314828</v>
      </c>
      <c r="N49" s="4" t="n">
        <v>0.21482172954306</v>
      </c>
      <c r="O49" s="4" t="n">
        <v>0.863912411708596</v>
      </c>
      <c r="P49" s="4" t="n">
        <v>0.740459731377862</v>
      </c>
      <c r="Q49" s="4" t="n">
        <v>0.973500719610216</v>
      </c>
      <c r="R49" s="4" t="n">
        <v>0.492287043849699</v>
      </c>
      <c r="S49" s="4" t="n">
        <v>0.608936053028138</v>
      </c>
      <c r="T49" s="4" t="n">
        <v>0.262534033826632</v>
      </c>
      <c r="U49" s="4" t="n">
        <v>0.937384312105166</v>
      </c>
      <c r="V49" s="4" t="n">
        <v>0.0563714637559472</v>
      </c>
      <c r="W49" s="4" t="n">
        <v>0.274133039437137</v>
      </c>
      <c r="X49" s="4" t="n">
        <v>0.707873030891656</v>
      </c>
      <c r="Y49" s="4" t="n">
        <v>0.932773447374456</v>
      </c>
      <c r="Z49" s="4" t="n">
        <v>0.623911067370062</v>
      </c>
      <c r="AA49" s="4" t="n">
        <v>0.690868586925738</v>
      </c>
      <c r="AB49" s="4" t="n">
        <v>0.484748211574423</v>
      </c>
      <c r="AC49" s="4" t="n">
        <v>0.184268108926907</v>
      </c>
      <c r="AD49" s="4" t="n">
        <v>0.17551876376044</v>
      </c>
      <c r="AE49" s="4" t="n">
        <v>0.208421213218113</v>
      </c>
      <c r="AF49" s="4" t="n">
        <v>0.913797321180165</v>
      </c>
      <c r="AG49" s="4" t="n">
        <v>0.593129279943076</v>
      </c>
      <c r="AH49" s="4" t="n">
        <v>0.544869944300049</v>
      </c>
      <c r="AI49" s="4" t="n">
        <v>0.394768384982029</v>
      </c>
      <c r="AJ49" s="4" t="n">
        <v>0.129625182892442</v>
      </c>
      <c r="AK49" s="4" t="n">
        <v>0.0919996739932848</v>
      </c>
      <c r="AL49" s="4" t="n">
        <v>0.335842509203824</v>
      </c>
      <c r="AM49" s="4" t="n">
        <v>0.376628853408668</v>
      </c>
      <c r="AN49" s="4" t="n">
        <v>0.120322162760106</v>
      </c>
      <c r="AO49" s="4" t="n">
        <v>0.286501626918334</v>
      </c>
      <c r="AP49" s="4" t="n">
        <v>0.306898284528195</v>
      </c>
      <c r="AQ49" s="4" t="n">
        <v>0.442561581400968</v>
      </c>
      <c r="AR49" s="4" t="n">
        <v>0.596073281283716</v>
      </c>
      <c r="AS49" s="4" t="n">
        <v>0.637270604989564</v>
      </c>
      <c r="AT49" s="4" t="n">
        <v>0.249609019591603</v>
      </c>
      <c r="AU49" s="4" t="n">
        <v>0.0843844484018172</v>
      </c>
      <c r="AV49" s="4" t="n">
        <v>0.573056535109976</v>
      </c>
      <c r="AW49" s="4" t="n">
        <v>0.865112737870002</v>
      </c>
      <c r="AX49" s="4" t="n">
        <v>0.534036406282153</v>
      </c>
      <c r="AY49" s="4" t="n">
        <v>0.760579995471131</v>
      </c>
      <c r="AZ49" s="4" t="n">
        <v>0.581496722906833</v>
      </c>
      <c r="BA49" s="4" t="n">
        <v>0.997635809385642</v>
      </c>
      <c r="BB49" s="4" t="n">
        <v>0.945652265963355</v>
      </c>
      <c r="BC49" s="4" t="n">
        <v>0.976963621441048</v>
      </c>
      <c r="BD49" s="4" t="n">
        <v>0.577952397770907</v>
      </c>
      <c r="BE49" s="4" t="n">
        <v>0.220958566132082</v>
      </c>
      <c r="BF49" s="4" t="n">
        <v>0.492711103315102</v>
      </c>
      <c r="BG49" s="4" t="n">
        <v>0.614813790557089</v>
      </c>
      <c r="BH49" s="4" t="n">
        <v>0.382311197185734</v>
      </c>
      <c r="BI49" s="4" t="n">
        <v>0.815013933714349</v>
      </c>
      <c r="BJ49" s="4" t="n">
        <v>0.248020610521108</v>
      </c>
      <c r="BK49" s="4" t="n">
        <v>0.00122745770958428</v>
      </c>
      <c r="BL49" s="4" t="n">
        <v>0.815962862545088</v>
      </c>
      <c r="BM49" s="4" t="n">
        <v>0.4124499374125</v>
      </c>
      <c r="BN49" s="4" t="n">
        <v>0.568196059636225</v>
      </c>
      <c r="BO49" s="4" t="n">
        <v>0.510031355638663</v>
      </c>
      <c r="BP49" s="4" t="n">
        <v>0.723151345672845</v>
      </c>
      <c r="BQ49" s="4" t="n">
        <v>0.50412462238403</v>
      </c>
      <c r="BR49" s="4" t="n">
        <v>0.196310317241307</v>
      </c>
      <c r="BS49" s="4" t="n">
        <v>0.311141363217559</v>
      </c>
      <c r="BT49" s="4" t="n">
        <v>0.464127613892635</v>
      </c>
      <c r="BU49" s="4" t="n">
        <v>0.574457022447233</v>
      </c>
      <c r="BV49" s="4" t="n">
        <v>0.187230447777193</v>
      </c>
      <c r="BW49" s="4" t="n">
        <v>0.762689916294292</v>
      </c>
      <c r="BX49" s="4" t="n">
        <v>0.139509785433981</v>
      </c>
      <c r="BY49" s="4" t="n">
        <v>0.0344686227506404</v>
      </c>
      <c r="BZ49" s="4" t="n">
        <v>0.648627800837423</v>
      </c>
      <c r="CA49" s="4" t="n">
        <v>0.127699994964532</v>
      </c>
      <c r="CB49" s="4" t="n">
        <v>0.477137646899553</v>
      </c>
      <c r="CC49" s="4" t="n">
        <v>0.59892626120665</v>
      </c>
      <c r="CD49" s="4" t="n">
        <v>0.931854278609429</v>
      </c>
      <c r="CE49" s="4" t="n">
        <v>0.31776697342208</v>
      </c>
      <c r="CF49" s="4" t="n">
        <v>0.983747287906158</v>
      </c>
      <c r="CG49" s="4" t="n">
        <v>0.321035177057181</v>
      </c>
      <c r="CH49" s="4" t="n">
        <v>0.800938628865418</v>
      </c>
      <c r="CI49" s="4" t="n">
        <v>0.654023185348621</v>
      </c>
      <c r="CJ49" s="4" t="n">
        <v>0.141109477128894</v>
      </c>
      <c r="CK49" s="4" t="n">
        <v>0.932983233312725</v>
      </c>
      <c r="CL49" s="4" t="n">
        <v>0</v>
      </c>
      <c r="CN49" s="0" t="n">
        <f aca="false" t="array" ref="CN49:CN49">SUM($I$26:$J$26*$I49:$J49)/(1-SUM(IF($I$26:$J$26=0,$I22:$J22,0)))</f>
        <v>1.15094599535943</v>
      </c>
      <c r="CO49" s="4" t="n">
        <f aca="false" t="array" ref="CO49:CO49">SUM($C$26:$H$26*$C49:$H49,$K$26:$N$26*$K49:$N49,$R$26:$U$26*$R49:$U49,$X$26:$Z$26*$X49:$Z49,$AC$26*$AC49,$AW$26:$BA$26*$AW49:$BA49,$BF$26*$BF49,$BN$26:$BS$26*$BN49:$BS49,$BZ$26:$CA$26*$BZ49:$CA49,$CC$26:$CH$26*$CC49:$CH49)/(1-SUM(IF($C$26:$H$26=0,$C22:$H22,0),IF($K$26:$N$26=0,$K22:$N22,0),IF($R$26:$U$26=0,$R22:$U22,0),IF($X$26:$Z$26=0,$X22:$Z22,0),IF($AC$26=0,$AC22,0),IF($AW$26:$BA$26=0,$AW22:$BA22,0),IF($BF$26=0,$BF22,0),IF($BN$26:$BS$26=0,$BN22:$BS22,0),IF($BZ$26:$CA$26=0,$BZ22:$CA22,0),IF($CC$26:$CH$26=0,$CC22:$CH22,0)))</f>
        <v>5.04404807620306</v>
      </c>
      <c r="CP49" s="4" t="n">
        <f aca="false" t="array" ref="CP49:CP49">SUM($O$26:$Q$26*$O49:$Q49,$V$26:$W$26*$V49:$W49,$AA$26:$AB$26*$AA49:$AB49,$AD$26:$AV$26*$AD49:$AV49,$BB$26:$BE$26*$BB49:$BE49,$BG$26:$BM$26*$BG49:$BM49,$BT$26:$BY$26*$BT49:$BY49,$CB$26*$CB49,$CI$26:$CK$26*$CI49:$CK49)/(1-SUM(IF($O$26:$Q$26=0,$O22:$Q22,0),IF($V$26:$W$26=0,$V22:$W22,0),IF($AA$26:$AB$26=0,$AA22:$AB22,0),IF($AD$26:$AV$26=0,$AD22:$AV22,0),IF($BB$26:$BE$26=0,$BB22:$BE22,0),IF($BG$26:$BM$26=0,$BG22:$BM22,0),IF($BT$26:$BY$26=0,$BT22:$BY22,0),IF($CB$26=0,$CB22,0),IF($CI$26:$CK$26=0,$CI22:$CK22,0)))</f>
        <v>4.4467191374602</v>
      </c>
    </row>
    <row r="50" customFormat="false" ht="12.8" hidden="false" customHeight="false" outlineLevel="0" collapsed="false">
      <c r="A50" s="4" t="s">
        <v>158</v>
      </c>
      <c r="B50" s="7" t="s">
        <v>39</v>
      </c>
      <c r="C50" s="4" t="n">
        <v>0.78667029132263</v>
      </c>
      <c r="D50" s="4" t="n">
        <v>0.895124787173386</v>
      </c>
      <c r="E50" s="4" t="n">
        <v>0.0525780005714029</v>
      </c>
      <c r="F50" s="4" t="n">
        <v>0.987904447045873</v>
      </c>
      <c r="G50" s="4" t="n">
        <v>0.362587786125991</v>
      </c>
      <c r="H50" s="4" t="n">
        <v>0.154547305093245</v>
      </c>
      <c r="I50" s="4" t="n">
        <v>0.0504293483470049</v>
      </c>
      <c r="J50" s="4" t="n">
        <v>0.432823238246896</v>
      </c>
      <c r="K50" s="4" t="n">
        <v>0.453724682265666</v>
      </c>
      <c r="L50" s="4" t="n">
        <v>0.0719313471455286</v>
      </c>
      <c r="M50" s="4" t="n">
        <v>0.654291828684735</v>
      </c>
      <c r="N50" s="4" t="n">
        <v>0.638498096136741</v>
      </c>
      <c r="O50" s="4" t="n">
        <v>0.534412871033613</v>
      </c>
      <c r="P50" s="4" t="n">
        <v>0.120181030440765</v>
      </c>
      <c r="Q50" s="4" t="n">
        <v>0.349825955881692</v>
      </c>
      <c r="R50" s="4" t="n">
        <v>0.208489780742934</v>
      </c>
      <c r="S50" s="4" t="n">
        <v>0.29422641069012</v>
      </c>
      <c r="T50" s="4" t="n">
        <v>0.0753428111618134</v>
      </c>
      <c r="U50" s="4" t="n">
        <v>0.24762408287577</v>
      </c>
      <c r="V50" s="4" t="n">
        <v>0.425717056203078</v>
      </c>
      <c r="W50" s="4" t="n">
        <v>0.718538014236054</v>
      </c>
      <c r="X50" s="4" t="n">
        <v>0.651808804649786</v>
      </c>
      <c r="Y50" s="4" t="n">
        <v>0.669064570675788</v>
      </c>
      <c r="Z50" s="4" t="n">
        <v>0.381730247896908</v>
      </c>
      <c r="AA50" s="4" t="n">
        <v>0.664336137577187</v>
      </c>
      <c r="AB50" s="4" t="n">
        <v>0.155720565665997</v>
      </c>
      <c r="AC50" s="4" t="n">
        <v>0.738917960941093</v>
      </c>
      <c r="AD50" s="4" t="n">
        <v>0.48273294100923</v>
      </c>
      <c r="AE50" s="4" t="n">
        <v>0.783607924059748</v>
      </c>
      <c r="AF50" s="4" t="n">
        <v>0.544975903051188</v>
      </c>
      <c r="AG50" s="4" t="n">
        <v>0.972963302982393</v>
      </c>
      <c r="AH50" s="4" t="n">
        <v>0.296388162390962</v>
      </c>
      <c r="AI50" s="4" t="n">
        <v>0.606066693497891</v>
      </c>
      <c r="AJ50" s="4" t="n">
        <v>0.970151676243154</v>
      </c>
      <c r="AK50" s="4" t="n">
        <v>0.258416639586514</v>
      </c>
      <c r="AL50" s="4" t="n">
        <v>0.65079193202891</v>
      </c>
      <c r="AM50" s="4" t="n">
        <v>0.756987562547975</v>
      </c>
      <c r="AN50" s="4" t="n">
        <v>0.649467430492419</v>
      </c>
      <c r="AO50" s="4" t="n">
        <v>0.710220334756062</v>
      </c>
      <c r="AP50" s="4" t="n">
        <v>0.92838758076126</v>
      </c>
      <c r="AQ50" s="4" t="n">
        <v>0.743154324914359</v>
      </c>
      <c r="AR50" s="4" t="n">
        <v>0.613884308079772</v>
      </c>
      <c r="AS50" s="4" t="n">
        <v>0.0526123062070223</v>
      </c>
      <c r="AT50" s="4" t="n">
        <v>0.213203378449185</v>
      </c>
      <c r="AU50" s="4" t="n">
        <v>0.181460389836094</v>
      </c>
      <c r="AV50" s="4" t="n">
        <v>0.369835156256055</v>
      </c>
      <c r="AW50" s="4" t="n">
        <v>0.956927266267773</v>
      </c>
      <c r="AX50" s="4" t="n">
        <v>0.690515682035393</v>
      </c>
      <c r="AY50" s="4" t="n">
        <v>0.694455458223267</v>
      </c>
      <c r="AZ50" s="4" t="n">
        <v>0.328269707809238</v>
      </c>
      <c r="BA50" s="4" t="n">
        <v>0.656126758251894</v>
      </c>
      <c r="BB50" s="4" t="n">
        <v>0.240165197547908</v>
      </c>
      <c r="BC50" s="4" t="n">
        <v>0.283967922561806</v>
      </c>
      <c r="BD50" s="4" t="n">
        <v>0.440773037311602</v>
      </c>
      <c r="BE50" s="4" t="n">
        <v>0.460810182892186</v>
      </c>
      <c r="BF50" s="4" t="n">
        <v>0.824291036834004</v>
      </c>
      <c r="BG50" s="4" t="n">
        <v>0.637163266177929</v>
      </c>
      <c r="BH50" s="4" t="n">
        <v>0.577728669822051</v>
      </c>
      <c r="BI50" s="4" t="n">
        <v>0.120687127477604</v>
      </c>
      <c r="BJ50" s="4" t="n">
        <v>0.871708985315729</v>
      </c>
      <c r="BK50" s="4" t="n">
        <v>0.58941818982911</v>
      </c>
      <c r="BL50" s="4" t="n">
        <v>0.447769597174486</v>
      </c>
      <c r="BM50" s="4" t="n">
        <v>0.622338137475849</v>
      </c>
      <c r="BN50" s="4" t="n">
        <v>0.487392307785515</v>
      </c>
      <c r="BO50" s="4" t="n">
        <v>0.23136359694118</v>
      </c>
      <c r="BP50" s="4" t="n">
        <v>0.5287318733967</v>
      </c>
      <c r="BQ50" s="4" t="n">
        <v>0.257397047271938</v>
      </c>
      <c r="BR50" s="4" t="n">
        <v>0.031433993300426</v>
      </c>
      <c r="BS50" s="4" t="n">
        <v>0.526263053894048</v>
      </c>
      <c r="BT50" s="4" t="n">
        <v>0.563570011067339</v>
      </c>
      <c r="BU50" s="4" t="n">
        <v>0.524616947424702</v>
      </c>
      <c r="BV50" s="4" t="n">
        <v>0.680007427705941</v>
      </c>
      <c r="BW50" s="4" t="n">
        <v>0.32289931183734</v>
      </c>
      <c r="BX50" s="4" t="n">
        <v>0.267160223789298</v>
      </c>
      <c r="BY50" s="4" t="n">
        <v>0.214305445769583</v>
      </c>
      <c r="BZ50" s="4" t="n">
        <v>0.68804135306749</v>
      </c>
      <c r="CA50" s="4" t="n">
        <v>0.264196125607066</v>
      </c>
      <c r="CB50" s="4" t="n">
        <v>0.192186208764613</v>
      </c>
      <c r="CC50" s="4" t="n">
        <v>0.721903734907375</v>
      </c>
      <c r="CD50" s="4" t="n">
        <v>0.110197855776813</v>
      </c>
      <c r="CE50" s="4" t="n">
        <v>0.450202123477261</v>
      </c>
      <c r="CF50" s="4" t="n">
        <v>0.541466078929979</v>
      </c>
      <c r="CG50" s="4" t="n">
        <v>0.743092343570782</v>
      </c>
      <c r="CH50" s="4" t="n">
        <v>0.458584701523537</v>
      </c>
      <c r="CI50" s="4" t="n">
        <v>0.676138059561816</v>
      </c>
      <c r="CJ50" s="4" t="n">
        <v>0.912903749026919</v>
      </c>
      <c r="CK50" s="4" t="n">
        <v>0.0283989197379561</v>
      </c>
      <c r="CL50" s="4" t="n">
        <v>0</v>
      </c>
      <c r="CN50" s="0" t="n">
        <f aca="false" t="array" ref="CN50:CN50">SUM($I$26:$J$26*$I50:$J50)/(1-SUM(IF($I$26:$J$26=0,$I23:$J23,0)))</f>
        <v>0.483252586593901</v>
      </c>
      <c r="CO50" s="4" t="n">
        <f aca="false" t="array" ref="CO50:CO50">SUM($C$26:$H$26*$C50:$H50,$K$26:$N$26*$K50:$N50,$R$26:$U$26*$R50:$U50,$X$26:$Z$26*$X50:$Z50,$AC$26*$AC50,$AW$26:$BA$26*$AW50:$BA50,$BF$26*$BF50,$BN$26:$BS$26*$BN50:$BS50,$BZ$26:$CA$26*$BZ50:$CA50,$CC$26:$CH$26*$CC50:$CH50)/(1-SUM(IF($C$26:$H$26=0,$C23:$H23,0),IF($K$26:$N$26=0,$K23:$N23,0),IF($R$26:$U$26=0,$R23:$U23,0),IF($X$26:$Z$26=0,$X23:$Z23,0),IF($AC$26=0,$AC23,0),IF($AW$26:$BA$26=0,$AW23:$BA23,0),IF($BF$26=0,$BF23,0),IF($BN$26:$BS$26=0,$BN23:$BS23,0),IF($BZ$26:$CA$26=0,$BZ23:$CA23,0),IF($CC$26:$CH$26=0,$CC23:$CH23,0)))</f>
        <v>7.38060309657369</v>
      </c>
      <c r="CP50" s="4" t="n">
        <f aca="false" t="array" ref="CP50:CP50">SUM($O$26:$Q$26*$O50:$Q50,$V$26:$W$26*$V50:$W50,$AA$26:$AB$26*$AA50:$AB50,$AD$26:$AV$26*$AD50:$AV50,$BB$26:$BE$26*$BB50:$BE50,$BG$26:$BM$26*$BG50:$BM50,$BT$26:$BY$26*$BT50:$BY50,$CB$26*$CB50,$CI$26:$CK$26*$CI50:$CK50)/(1-SUM(IF($O$26:$Q$26=0,$O23:$Q23,0),IF($V$26:$W$26=0,$V23:$W23,0),IF($AA$26:$AB$26=0,$AA23:$AB23,0),IF($AD$26:$AV$26=0,$AD23:$AV23,0),IF($BB$26:$BE$26=0,$BB23:$BE23,0),IF($BG$26:$BM$26=0,$BG23:$BM23,0),IF($BT$26:$BY$26=0,$BT23:$BY23,0),IF($CB$26=0,$CB23,0),IF($CI$26:$CK$26=0,$CI23:$CK23,0)))</f>
        <v>7.54758122441912</v>
      </c>
    </row>
    <row r="51" customFormat="false" ht="12.8" hidden="false" customHeight="false" outlineLevel="0" collapsed="false">
      <c r="A51" s="4" t="s">
        <v>159</v>
      </c>
      <c r="B51" s="7" t="s">
        <v>39</v>
      </c>
      <c r="C51" s="4" t="n">
        <v>0.512691658953557</v>
      </c>
      <c r="D51" s="4" t="n">
        <v>0.109221881592473</v>
      </c>
      <c r="E51" s="4" t="n">
        <v>0.625946036347751</v>
      </c>
      <c r="F51" s="4" t="n">
        <v>0.856832341881691</v>
      </c>
      <c r="G51" s="4" t="n">
        <v>0.507928751377996</v>
      </c>
      <c r="H51" s="4" t="n">
        <v>0.246509883851756</v>
      </c>
      <c r="I51" s="4" t="n">
        <v>0.545287262370076</v>
      </c>
      <c r="J51" s="4" t="n">
        <v>0.612153716906953</v>
      </c>
      <c r="K51" s="4" t="n">
        <v>0.585697278001519</v>
      </c>
      <c r="L51" s="4" t="n">
        <v>0.324854127400915</v>
      </c>
      <c r="M51" s="4" t="n">
        <v>0.580181270326915</v>
      </c>
      <c r="N51" s="4" t="n">
        <v>0.858335981071805</v>
      </c>
      <c r="O51" s="4" t="n">
        <v>0.0511702373461929</v>
      </c>
      <c r="P51" s="4" t="n">
        <v>0.568026651029829</v>
      </c>
      <c r="Q51" s="4" t="n">
        <v>0.480111841587069</v>
      </c>
      <c r="R51" s="4" t="n">
        <v>0.515805562125855</v>
      </c>
      <c r="S51" s="4" t="n">
        <v>0.258023586448203</v>
      </c>
      <c r="T51" s="4" t="n">
        <v>0.585125209657324</v>
      </c>
      <c r="U51" s="4" t="n">
        <v>0.384992659232992</v>
      </c>
      <c r="V51" s="4" t="n">
        <v>0.610958300783005</v>
      </c>
      <c r="W51" s="4" t="n">
        <v>0.205683088593997</v>
      </c>
      <c r="X51" s="4" t="n">
        <v>0.163151768705912</v>
      </c>
      <c r="Y51" s="4" t="n">
        <v>0.493351722028587</v>
      </c>
      <c r="Z51" s="4" t="n">
        <v>0.670077754308282</v>
      </c>
      <c r="AA51" s="4" t="n">
        <v>0.639569471077298</v>
      </c>
      <c r="AB51" s="4" t="n">
        <v>0.644915157425692</v>
      </c>
      <c r="AC51" s="4" t="n">
        <v>0.413476066490178</v>
      </c>
      <c r="AD51" s="4" t="n">
        <v>0.66678413263496</v>
      </c>
      <c r="AE51" s="4" t="n">
        <v>0.0594538136526286</v>
      </c>
      <c r="AF51" s="4" t="n">
        <v>0.547098535646457</v>
      </c>
      <c r="AG51" s="4" t="n">
        <v>0.876822576207297</v>
      </c>
      <c r="AH51" s="4" t="n">
        <v>0.75860683989959</v>
      </c>
      <c r="AI51" s="4" t="n">
        <v>0.0477443273792926</v>
      </c>
      <c r="AJ51" s="4" t="n">
        <v>0.2905636508014</v>
      </c>
      <c r="AK51" s="4" t="n">
        <v>0.118287881247154</v>
      </c>
      <c r="AL51" s="4" t="n">
        <v>0.17751376091213</v>
      </c>
      <c r="AM51" s="4" t="n">
        <v>0.0413026802917861</v>
      </c>
      <c r="AN51" s="4" t="n">
        <v>0.759009968813468</v>
      </c>
      <c r="AO51" s="4" t="n">
        <v>0.42676589292531</v>
      </c>
      <c r="AP51" s="4" t="n">
        <v>0.700074774305619</v>
      </c>
      <c r="AQ51" s="4" t="n">
        <v>0.435277552177502</v>
      </c>
      <c r="AR51" s="4" t="n">
        <v>0.148790192279974</v>
      </c>
      <c r="AS51" s="4" t="n">
        <v>0.42379594985521</v>
      </c>
      <c r="AT51" s="4" t="n">
        <v>0.47228921717605</v>
      </c>
      <c r="AU51" s="4" t="n">
        <v>0.890715017110584</v>
      </c>
      <c r="AV51" s="4" t="n">
        <v>0.109327034562443</v>
      </c>
      <c r="AW51" s="4" t="n">
        <v>0.218906363566944</v>
      </c>
      <c r="AX51" s="4" t="n">
        <v>0.735619665154172</v>
      </c>
      <c r="AY51" s="4" t="n">
        <v>0.115787128391103</v>
      </c>
      <c r="AZ51" s="4" t="n">
        <v>0.639595572466474</v>
      </c>
      <c r="BA51" s="4" t="n">
        <v>0.679379910786387</v>
      </c>
      <c r="BB51" s="4" t="n">
        <v>0.222059778634784</v>
      </c>
      <c r="BC51" s="4" t="n">
        <v>0.506138104837246</v>
      </c>
      <c r="BD51" s="4" t="n">
        <v>0.20945757502035</v>
      </c>
      <c r="BE51" s="4" t="n">
        <v>0.875957422370751</v>
      </c>
      <c r="BF51" s="4" t="n">
        <v>0.81087903141782</v>
      </c>
      <c r="BG51" s="4" t="n">
        <v>0.243755761207295</v>
      </c>
      <c r="BH51" s="4" t="n">
        <v>0.197947668252315</v>
      </c>
      <c r="BI51" s="4" t="n">
        <v>0.415445164175386</v>
      </c>
      <c r="BJ51" s="4" t="n">
        <v>0.370022488512583</v>
      </c>
      <c r="BK51" s="4" t="n">
        <v>0.956117708339907</v>
      </c>
      <c r="BL51" s="4" t="n">
        <v>0.799151641462471</v>
      </c>
      <c r="BM51" s="4" t="n">
        <v>0.179937444883233</v>
      </c>
      <c r="BN51" s="4" t="n">
        <v>0.676981640579738</v>
      </c>
      <c r="BO51" s="4" t="n">
        <v>0.139009364580927</v>
      </c>
      <c r="BP51" s="4" t="n">
        <v>0.987462296123738</v>
      </c>
      <c r="BQ51" s="4" t="n">
        <v>0.38091359255645</v>
      </c>
      <c r="BR51" s="4" t="n">
        <v>0.23381628858254</v>
      </c>
      <c r="BS51" s="4" t="n">
        <v>0.0848160752960995</v>
      </c>
      <c r="BT51" s="4" t="n">
        <v>0.7659203877529</v>
      </c>
      <c r="BU51" s="4" t="n">
        <v>0.0821238604901589</v>
      </c>
      <c r="BV51" s="4" t="n">
        <v>0.759907917816363</v>
      </c>
      <c r="BW51" s="4" t="n">
        <v>0.0540466062630246</v>
      </c>
      <c r="BX51" s="4" t="n">
        <v>0.576100332481904</v>
      </c>
      <c r="BY51" s="4" t="n">
        <v>0.551671864647019</v>
      </c>
      <c r="BZ51" s="4" t="n">
        <v>0.253448299935017</v>
      </c>
      <c r="CA51" s="4" t="n">
        <v>0.338149955477398</v>
      </c>
      <c r="CB51" s="4" t="n">
        <v>0.576436626345259</v>
      </c>
      <c r="CC51" s="4" t="n">
        <v>0.641271491909444</v>
      </c>
      <c r="CD51" s="4" t="n">
        <v>0.664165023731741</v>
      </c>
      <c r="CE51" s="4" t="n">
        <v>0.955125375416136</v>
      </c>
      <c r="CF51" s="4" t="n">
        <v>0.924470426306468</v>
      </c>
      <c r="CG51" s="4" t="n">
        <v>0.0406384116558894</v>
      </c>
      <c r="CH51" s="4" t="n">
        <v>0.151573248960929</v>
      </c>
      <c r="CI51" s="4" t="n">
        <v>0.707818141373339</v>
      </c>
      <c r="CJ51" s="4" t="n">
        <v>0.937608631438167</v>
      </c>
      <c r="CK51" s="4" t="n">
        <v>0.0354222067145735</v>
      </c>
      <c r="CL51" s="4" t="n">
        <v>0</v>
      </c>
      <c r="CN51" s="0" t="n">
        <f aca="false" t="array" ref="CN51:CN51">SUM($I$26:$J$26*$I51:$J51)/(1-SUM(IF($I$26:$J$26=0,$I24:$J24,0)))</f>
        <v>1.15744097927703</v>
      </c>
      <c r="CO51" s="4" t="n">
        <f aca="false" t="array" ref="CO51:CO51">SUM($C$26:$H$26*$C51:$H51,$K$26:$N$26*$K51:$N51,$R$26:$U$26*$R51:$U51,$X$26:$Z$26*$X51:$Z51,$AC$26*$AC51,$AW$26:$BA$26*$AW51:$BA51,$BF$26*$BF51,$BN$26:$BS$26*$BN51:$BS51,$BZ$26:$CA$26*$BZ51:$CA51,$CC$26:$CH$26*$CC51:$CH51)/(1-SUM(IF($C$26:$H$26=0,$C24:$H24,0),IF($K$26:$N$26=0,$K24:$N24,0),IF($R$26:$U$26=0,$R24:$U24,0),IF($X$26:$Z$26=0,$X24:$Z24,0),IF($AC$26=0,$AC24,0),IF($AW$26:$BA$26=0,$AW24:$BA24,0),IF($BF$26=0,$BF24,0),IF($BN$26:$BS$26=0,$BN24:$BS24,0),IF($BZ$26:$CA$26=0,$BZ24:$CA24,0),IF($CC$26:$CH$26=0,$CC24:$CH24,0)))</f>
        <v>2.96604795649264</v>
      </c>
      <c r="CP51" s="4" t="n">
        <f aca="false" t="array" ref="CP51:CP51">SUM($O$26:$Q$26*$O51:$Q51,$V$26:$W$26*$V51:$W51,$AA$26:$AB$26*$AA51:$AB51,$AD$26:$AV$26*$AD51:$AV51,$BB$26:$BE$26*$BB51:$BE51,$BG$26:$BM$26*$BG51:$BM51,$BT$26:$BY$26*$BT51:$BY51,$CB$26*$CB51,$CI$26:$CK$26*$CI51:$CK51)/(1-SUM(IF($O$26:$Q$26=0,$O24:$Q24,0),IF($V$26:$W$26=0,$V24:$W24,0),IF($AA$26:$AB$26=0,$AA24:$AB24,0),IF($AD$26:$AV$26=0,$AD24:$AV24,0),IF($BB$26:$BE$26=0,$BB24:$BE24,0),IF($BG$26:$BM$26=0,$BG24:$BM24,0),IF($BT$26:$BY$26=0,$BT24:$BY24,0),IF($CB$26=0,$CB24,0),IF($CI$26:$CK$26=0,$CI24:$CK24,0)))</f>
        <v>6.79182661738314</v>
      </c>
    </row>
    <row r="52" customFormat="false" ht="12.8" hidden="false" customHeight="false" outlineLevel="0" collapsed="false">
      <c r="A52" s="4" t="s">
        <v>160</v>
      </c>
      <c r="B52" s="7" t="s">
        <v>39</v>
      </c>
      <c r="C52" s="4" t="n">
        <v>0.909496387599052</v>
      </c>
      <c r="D52" s="4" t="n">
        <v>0.539706634469196</v>
      </c>
      <c r="E52" s="4" t="n">
        <v>0.627991392356217</v>
      </c>
      <c r="F52" s="4" t="n">
        <v>0.0665358619140486</v>
      </c>
      <c r="G52" s="4" t="n">
        <v>0.917552704097685</v>
      </c>
      <c r="H52" s="4" t="n">
        <v>0.0255249892229721</v>
      </c>
      <c r="I52" s="4" t="n">
        <v>0.0273620437169112</v>
      </c>
      <c r="J52" s="4" t="n">
        <v>0.995306941120892</v>
      </c>
      <c r="K52" s="4" t="n">
        <v>0.147317549565969</v>
      </c>
      <c r="L52" s="4" t="n">
        <v>0.654200483136001</v>
      </c>
      <c r="M52" s="4" t="n">
        <v>0.219474571407554</v>
      </c>
      <c r="N52" s="4" t="n">
        <v>0.0503571397646816</v>
      </c>
      <c r="O52" s="4" t="n">
        <v>0.41518912452764</v>
      </c>
      <c r="P52" s="4" t="n">
        <v>0.574124985381684</v>
      </c>
      <c r="Q52" s="4" t="n">
        <v>0.549301973990045</v>
      </c>
      <c r="R52" s="4" t="n">
        <v>0.633716439197506</v>
      </c>
      <c r="S52" s="4" t="n">
        <v>0.612872437480478</v>
      </c>
      <c r="T52" s="4" t="n">
        <v>0.854157086476604</v>
      </c>
      <c r="U52" s="4" t="n">
        <v>0.978193674066039</v>
      </c>
      <c r="V52" s="4" t="n">
        <v>0.726733871163047</v>
      </c>
      <c r="W52" s="4" t="n">
        <v>0.503678373047572</v>
      </c>
      <c r="X52" s="4" t="n">
        <v>0.0798213919740933</v>
      </c>
      <c r="Y52" s="4" t="n">
        <v>0.298685714982137</v>
      </c>
      <c r="Z52" s="4" t="n">
        <v>0.539039307265288</v>
      </c>
      <c r="AA52" s="4" t="n">
        <v>0.520809034736836</v>
      </c>
      <c r="AB52" s="4" t="n">
        <v>0.208292359541355</v>
      </c>
      <c r="AC52" s="4" t="n">
        <v>0.0218844619543862</v>
      </c>
      <c r="AD52" s="4" t="n">
        <v>0.723583140253772</v>
      </c>
      <c r="AE52" s="4" t="n">
        <v>0.452877725247847</v>
      </c>
      <c r="AF52" s="4" t="n">
        <v>0.272199560026519</v>
      </c>
      <c r="AG52" s="4" t="n">
        <v>0.776745214524306</v>
      </c>
      <c r="AH52" s="4" t="n">
        <v>0.955492695340966</v>
      </c>
      <c r="AI52" s="4" t="n">
        <v>0.208123542301958</v>
      </c>
      <c r="AJ52" s="4" t="n">
        <v>0.969108335668301</v>
      </c>
      <c r="AK52" s="4" t="n">
        <v>0.97215886278432</v>
      </c>
      <c r="AL52" s="4" t="n">
        <v>0.157014298310874</v>
      </c>
      <c r="AM52" s="4" t="n">
        <v>0.782075684887036</v>
      </c>
      <c r="AN52" s="4" t="n">
        <v>0.836224975064813</v>
      </c>
      <c r="AO52" s="4" t="n">
        <v>0.385496619395112</v>
      </c>
      <c r="AP52" s="4" t="n">
        <v>0.208538788489408</v>
      </c>
      <c r="AQ52" s="4" t="n">
        <v>0.839979572770417</v>
      </c>
      <c r="AR52" s="4" t="n">
        <v>0.0706309729587905</v>
      </c>
      <c r="AS52" s="4" t="n">
        <v>0.507450100766323</v>
      </c>
      <c r="AT52" s="4" t="n">
        <v>0.773807342100517</v>
      </c>
      <c r="AU52" s="4" t="n">
        <v>0.546337072217057</v>
      </c>
      <c r="AV52" s="4" t="n">
        <v>0.982709438525626</v>
      </c>
      <c r="AW52" s="4" t="n">
        <v>0.381691973220917</v>
      </c>
      <c r="AX52" s="4" t="n">
        <v>0.69290345090931</v>
      </c>
      <c r="AY52" s="4" t="n">
        <v>0.0972833872367942</v>
      </c>
      <c r="AZ52" s="4" t="n">
        <v>0.817157042081317</v>
      </c>
      <c r="BA52" s="4" t="n">
        <v>0.691100769028412</v>
      </c>
      <c r="BB52" s="4" t="n">
        <v>0.992512362794147</v>
      </c>
      <c r="BC52" s="4" t="n">
        <v>0.51239550441151</v>
      </c>
      <c r="BD52" s="4" t="n">
        <v>0.151383643943533</v>
      </c>
      <c r="BE52" s="4" t="n">
        <v>0.662415148708086</v>
      </c>
      <c r="BF52" s="4" t="n">
        <v>0.448125932280587</v>
      </c>
      <c r="BG52" s="4" t="n">
        <v>0.338068625495904</v>
      </c>
      <c r="BH52" s="4" t="n">
        <v>0.95949978786146</v>
      </c>
      <c r="BI52" s="4" t="n">
        <v>0.380092860361772</v>
      </c>
      <c r="BJ52" s="4" t="n">
        <v>0.621021405371352</v>
      </c>
      <c r="BK52" s="4" t="n">
        <v>0.470684592958923</v>
      </c>
      <c r="BL52" s="4" t="n">
        <v>0.855536616369001</v>
      </c>
      <c r="BM52" s="4" t="n">
        <v>0.381991869711174</v>
      </c>
      <c r="BN52" s="4" t="n">
        <v>0.367018256778148</v>
      </c>
      <c r="BO52" s="4" t="n">
        <v>0.145706721679965</v>
      </c>
      <c r="BP52" s="4" t="n">
        <v>0.0182735043890357</v>
      </c>
      <c r="BQ52" s="4" t="n">
        <v>0.997689108600631</v>
      </c>
      <c r="BR52" s="4" t="n">
        <v>0.628936207462993</v>
      </c>
      <c r="BS52" s="4" t="n">
        <v>0.915761973919617</v>
      </c>
      <c r="BT52" s="4" t="n">
        <v>0.760559912833916</v>
      </c>
      <c r="BU52" s="4" t="n">
        <v>0.929471977162086</v>
      </c>
      <c r="BV52" s="4" t="n">
        <v>0.0805535537480396</v>
      </c>
      <c r="BW52" s="4" t="n">
        <v>0.413920874805256</v>
      </c>
      <c r="BX52" s="4" t="n">
        <v>0.798402112380178</v>
      </c>
      <c r="BY52" s="4" t="n">
        <v>0.306696875571367</v>
      </c>
      <c r="BZ52" s="4" t="n">
        <v>0.383012251279117</v>
      </c>
      <c r="CA52" s="4" t="n">
        <v>0.144332238925269</v>
      </c>
      <c r="CB52" s="4" t="n">
        <v>0.407754872423061</v>
      </c>
      <c r="CC52" s="4" t="n">
        <v>0.3756164564156</v>
      </c>
      <c r="CD52" s="4" t="n">
        <v>0.259664538120228</v>
      </c>
      <c r="CE52" s="4" t="n">
        <v>0.641711540264992</v>
      </c>
      <c r="CF52" s="4" t="n">
        <v>0.636158812836864</v>
      </c>
      <c r="CG52" s="4" t="n">
        <v>0.220500108953169</v>
      </c>
      <c r="CH52" s="4" t="n">
        <v>0.622735728033025</v>
      </c>
      <c r="CI52" s="4" t="n">
        <v>0.36386885478044</v>
      </c>
      <c r="CJ52" s="4" t="n">
        <v>0.260024150815207</v>
      </c>
      <c r="CK52" s="4" t="n">
        <v>0.214867084317585</v>
      </c>
      <c r="CL52" s="4" t="n">
        <v>0</v>
      </c>
      <c r="CN52" s="0" t="n">
        <f aca="false" t="array" ref="CN52:CN52">SUM($I$26:$J$26*$I52:$J52)/(1-SUM(IF($I$26:$J$26=0,$I25:$J25,0)))</f>
        <v>1.0226689848378</v>
      </c>
      <c r="CO52" s="4" t="n">
        <f aca="false" t="array" ref="CO52:CO52">SUM($C$26:$H$26*$C52:$H52,$K$26:$N$26*$K52:$N52,$R$26:$U$26*$R52:$U52,$X$26:$Z$26*$X52:$Z52,$AC$26*$AC52,$AW$26:$BA$26*$AW52:$BA52,$BF$26*$BF52,$BN$26:$BS$26*$BN52:$BS52,$BZ$26:$CA$26*$BZ52:$CA52,$CC$26:$CH$26*$CC52:$CH52)/(1-SUM(IF($C$26:$H$26=0,$C25:$H25,0),IF($K$26:$N$26=0,$K25:$N25,0),IF($R$26:$U$26=0,$R25:$U25,0),IF($X$26:$Z$26=0,$X25:$Z25,0),IF($AC$26=0,$AC25,0),IF($AW$26:$BA$26=0,$AW25:$BA25,0),IF($BF$26=0,$BF25,0),IF($BN$26:$BS$26=0,$BN25:$BS25,0),IF($BZ$26:$CA$26=0,$BZ25:$CA25,0),IF($CC$26:$CH$26=0,$CC25:$CH25,0)))</f>
        <v>3.10269644253127</v>
      </c>
      <c r="CP52" s="4" t="n">
        <f aca="false" t="array" ref="CP52:CP52">SUM($O$26:$Q$26*$O52:$Q52,$V$26:$W$26*$V52:$W52,$AA$26:$AB$26*$AA52:$AB52,$AD$26:$AV$26*$AD52:$AV52,$BB$26:$BE$26*$BB52:$BE52,$BG$26:$BM$26*$BG52:$BM52,$BT$26:$BY$26*$BT52:$BY52,$CB$26*$CB52,$CI$26:$CK$26*$CI52:$CK52)/(1-SUM(IF($O$26:$Q$26=0,$O25:$Q25,0),IF($V$26:$W$26=0,$V25:$W25,0),IF($AA$26:$AB$26=0,$AA25:$AB25,0),IF($AD$26:$AV$26=0,$AD25:$AV25,0),IF($BB$26:$BE$26=0,$BB25:$BE25,0),IF($BG$26:$BM$26=0,$BG25:$BM25,0),IF($BT$26:$BY$26=0,$BT25:$BY25,0),IF($CB$26=0,$CB25,0),IF($CI$26:$CK$26=0,$CI25:$CK25,0)))</f>
        <v>8.4004045444571</v>
      </c>
    </row>
    <row r="53" customFormat="false" ht="12.8" hidden="false" customHeight="false" outlineLevel="0" collapsed="false">
      <c r="B53" s="7" t="s">
        <v>39</v>
      </c>
    </row>
    <row r="54" customFormat="false" ht="12.8" hidden="false" customHeight="false" outlineLevel="0" collapsed="false">
      <c r="B54" s="7" t="s">
        <v>39</v>
      </c>
    </row>
    <row r="55" customFormat="false" ht="12.8" hidden="false" customHeight="false" outlineLevel="0" collapsed="false">
      <c r="B55" s="7" t="s">
        <v>39</v>
      </c>
    </row>
    <row r="56" customFormat="false" ht="12.8" hidden="false" customHeight="false" outlineLevel="0" collapsed="false">
      <c r="B56" s="7" t="s">
        <v>39</v>
      </c>
      <c r="CP56" s="0"/>
    </row>
    <row r="57" customFormat="false" ht="12.8" hidden="false" customHeight="false" outlineLevel="0" collapsed="false">
      <c r="B57" s="7" t="s">
        <v>39</v>
      </c>
      <c r="CP57" s="0"/>
    </row>
    <row r="58" customFormat="false" ht="12.8" hidden="false" customHeight="false" outlineLevel="0" collapsed="false">
      <c r="B58" s="7" t="s">
        <v>39</v>
      </c>
    </row>
    <row r="59" customFormat="false" ht="12.8" hidden="false" customHeight="false" outlineLevel="0" collapsed="false">
      <c r="A59" s="4" t="s">
        <v>285</v>
      </c>
      <c r="B59" s="7" t="s">
        <v>39</v>
      </c>
    </row>
    <row r="60" customFormat="false" ht="12.8" hidden="false" customHeight="false" outlineLevel="0" collapsed="false">
      <c r="A60" s="4" t="s">
        <v>131</v>
      </c>
      <c r="B60" s="7" t="s">
        <v>39</v>
      </c>
      <c r="C60" s="4" t="n">
        <f aca="false" t="array" ref="C60:C60">SUM(Capacity!S$3:S$25*Capacity!$DH3/(TRANSPOSE(Dists!$B2:$X2)*MMULT(1/Dists!$B2:$X2,Capacity!$DH$3:$DH$25)))</f>
        <v>5077.35491550186</v>
      </c>
      <c r="D60" s="4" t="n">
        <f aca="false" t="array" ref="D60:D60">SUM(Capacity!V$3:V$25*Capacity!$DH3/(TRANSPOSE(Dists!$B2:$X2)*MMULT(1/Dists!$B2:$X2,Capacity!$DH$3:$DH$25)))</f>
        <v>9471.55670884604</v>
      </c>
      <c r="E60" s="4" t="n">
        <f aca="false" t="array" ref="E60:E60">SUM(Capacity!Y$3:Y$25*Capacity!$DH3/(TRANSPOSE(Dists!$B2:$X2)*MMULT(1/Dists!$B2:$X2,Capacity!$DH$3:$DH$25)))</f>
        <v>11896.5517949877</v>
      </c>
      <c r="F60" s="4" t="n">
        <f aca="false" t="array" ref="F60:F60">SUM(Capacity!Z$3:Z$25*Capacity!$DH3/(TRANSPOSE(Dists!$B2:$X2)*MMULT(1/Dists!$B2:$X2,Capacity!$DH$3:$DH$25)))</f>
        <v>4398.35922170894</v>
      </c>
      <c r="G60" s="4" t="n">
        <f aca="false" t="array" ref="G60:G60">SUM(Capacity!AA$3:AA$25*Capacity!$DH3/(TRANSPOSE(Dists!$B2:$X2)*MMULT(1/Dists!$B2:$X2,Capacity!$DH$3:$DH$25)))</f>
        <v>63609.6237561914</v>
      </c>
      <c r="H60" s="4" t="n">
        <f aca="false" t="array" ref="H60:H60">SUM(Capacity!AB$3:AB$25*Capacity!$DI3/(TRANSPOSE(Dists!$B2:$X2)*MMULT(1/Dists!$B2:$X2,Capacity!$DI$3:$DI$25)))</f>
        <v>2853.12836540406</v>
      </c>
      <c r="I60" s="0"/>
      <c r="J60" s="0"/>
      <c r="K60" s="0"/>
      <c r="L60" s="0"/>
      <c r="M60" s="0"/>
      <c r="N60" s="4" t="n">
        <f aca="false" t="array" ref="N60:N60">SUM(Capacity!AH$3:AH$25*Capacity!$DH3/(TRANSPOSE(Dists!$B2:$X2)*MMULT(1/Dists!$B2:$X2,Capacity!$DH$3:$DH$25)))</f>
        <v>84222.855658773</v>
      </c>
      <c r="O60" s="0"/>
      <c r="U60" s="0"/>
      <c r="V60" s="0"/>
      <c r="W60" s="0"/>
      <c r="X60" s="0"/>
      <c r="Y60" s="4" t="n">
        <f aca="false" t="array" ref="Y60:Y60">SUM(Capacity!AS$3:AS$25*Capacity!$DI3/(TRANSPOSE(Dists!$B2:$X2)*MMULT(1/Dists!$B2:$X2,Capacity!$DI$3:$DI$25)))</f>
        <v>309.732477457311</v>
      </c>
      <c r="Z60" s="4" t="n">
        <f aca="false" t="array" ref="Z60:Z60">SUM(Capacity!AT$3:AT$25*Capacity!$DH3/(TRANSPOSE(Dists!$B2:$X2)*MMULT(1/Dists!$B2:$X2,Capacity!$DH$3:$DH$25)))</f>
        <v>125737.784949366</v>
      </c>
      <c r="AA60" s="4" t="n">
        <f aca="false" t="array" ref="AA60:AA60">SUM(Capacity!AU$3:AU$25*Capacity!$DI3/(TRANSPOSE(Dists!$B2:$X2)*MMULT(1/Dists!$B2:$X2,Capacity!$DI$3:$DI$25)))</f>
        <v>6019.75076073588</v>
      </c>
      <c r="AB60" s="4" t="n">
        <f aca="false" t="array" ref="AB60:AB60">SUM(Capacity!AV$3:AV$25*Capacity!$DI3/(TRANSPOSE(Dists!$B2:$X2)*MMULT(1/Dists!$B2:$X2,Capacity!$DI$3:$DI$25)))</f>
        <v>2508.22948363995</v>
      </c>
      <c r="AC60" s="4" t="n">
        <f aca="false" t="array" ref="AC60:AC60">SUM(Capacity!AW$3:AW$25*Capacity!$DH3/(TRANSPOSE(Dists!$B2:$X2)*MMULT(1/Dists!$B2:$X2,Capacity!$DH$3:$DH$25)))</f>
        <v>141.347538370693</v>
      </c>
      <c r="AD60" s="4" t="n">
        <f aca="false" t="array" ref="AD60:AD60">SUM(Capacity!AX$3:AX$25*Capacity!$DI3/(TRANSPOSE(Dists!$B2:$X2)*MMULT(1/Dists!$B2:$X2,Capacity!$DI$3:$DI$25)))</f>
        <v>41.3857864800592</v>
      </c>
      <c r="AE60" s="4" t="n">
        <f aca="false" t="array" ref="AE60:AE60">SUM(Capacity!AY$3:AY$25*Capacity!$DI3/(TRANSPOSE(Dists!$B2:$X2)*MMULT(1/Dists!$B2:$X2,Capacity!$DI$3:$DI$25)))</f>
        <v>28.8948036515322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4" t="n">
        <f aca="false" t="array" ref="AW60:AW60">SUM(Capacity!BQ$3:BQ$25*Capacity!$DH3/(TRANSPOSE(Dists!$B2:$X2)*MMULT(1/Dists!$B2:$X2,Capacity!$DH$3:$DH$25)))</f>
        <v>487.339660914441</v>
      </c>
      <c r="AX60" s="0"/>
      <c r="AY60" s="4" t="n">
        <f aca="false" t="array" ref="AY60:AY60">SUM(Capacity!BS$3:BS$25*Capacity!$DH3/(TRANSPOSE(Dists!$B2:$X2)*MMULT(1/Dists!$B2:$X2,Capacity!$DH$3:$DH$25)))</f>
        <v>10.2235514079234</v>
      </c>
      <c r="AZ60" s="4" t="n">
        <f aca="false" t="array" ref="AZ60:AZ60">SUM(Capacity!BT$3:BT$25*Capacity!$DH3/(TRANSPOSE(Dists!$B2:$X2)*MMULT(1/Dists!$B2:$X2,Capacity!$DH$3:$DH$25)))</f>
        <v>14.3768691673923</v>
      </c>
      <c r="BA60" s="0"/>
      <c r="BB60" s="4" t="n">
        <f aca="false" t="array" ref="BB60:BB60">SUM(Capacity!BV$3:BV$25*Capacity!$DI3/(TRANSPOSE(Dists!$B2:$X2)*MMULT(1/Dists!$B2:$X2,Capacity!$DI$3:$DI$25)))</f>
        <v>101.131812780363</v>
      </c>
      <c r="BC60" s="4" t="n">
        <f aca="false" t="array" ref="BC60:BC60">SUM(Capacity!BW$3:BW$25*Capacity!$DI3/(TRANSPOSE(Dists!$B2:$X2)*MMULT(1/Dists!$B2:$X2,Capacity!$DI$3:$DI$25)))</f>
        <v>86.6844109545968</v>
      </c>
      <c r="BD60" s="4" t="n">
        <f aca="false" t="array" ref="BD60:BD60">SUM(Capacity!BX$3:BX$25*Capacity!$DI3/(TRANSPOSE(Dists!$B2:$X2)*MMULT(1/Dists!$B2:$X2,Capacity!$DI$3:$DI$25)))</f>
        <v>43.3422054772983</v>
      </c>
      <c r="BE60" s="4" t="n">
        <f aca="false" t="array" ref="BE60:BE60">SUM(Capacity!BY$3:BY$25*Capacity!$DI3/(TRANSPOSE(Dists!$B2:$X2)*MMULT(1/Dists!$B2:$X2,Capacity!$DI$3:$DI$25)))</f>
        <v>25.2829531950907</v>
      </c>
      <c r="BF60" s="4" t="n">
        <f aca="false" t="array" ref="BF60:BF60">SUM(Capacity!BZ$3:BZ$25*Capacity!$DH3/(TRANSPOSE(Dists!$B2:$X2)*MMULT(1/Dists!$B2:$X2,Capacity!$DH$3:$DH$25)))</f>
        <v>73100.9491371662</v>
      </c>
      <c r="BG60" s="4" t="n">
        <f aca="false" t="array" ref="BG60:BG60">SUM(Capacity!CA$3:CA$25*Capacity!$DI3/(TRANSPOSE(Dists!$B2:$X2)*MMULT(1/Dists!$B2:$X2,Capacity!$DI$3:$DI$25)))</f>
        <v>2203.78743188025</v>
      </c>
      <c r="BH60" s="4" t="n">
        <f aca="false" t="array" ref="BH60:BH60">SUM(Capacity!CB$3:CB$25*Capacity!$DI3/(TRANSPOSE(Dists!$B2:$X2)*MMULT(1/Dists!$B2:$X2,Capacity!$DI$3:$DI$25)))</f>
        <v>3076.07024685345</v>
      </c>
      <c r="BI60" s="4" t="n">
        <f aca="false" t="array" ref="BI60:BI60">SUM(Capacity!CC$3:CC$25*Capacity!$DI3/(TRANSPOSE(Dists!$B2:$X2)*MMULT(1/Dists!$B2:$X2,Capacity!$DI$3:$DI$25)))</f>
        <v>5876.76648501401</v>
      </c>
      <c r="BJ60" s="0"/>
      <c r="BK60" s="4" t="n">
        <f aca="false" t="array" ref="BK60:BK60">SUM(Capacity!CE$3:CE$25*Capacity!$DI3/(TRANSPOSE(Dists!$B2:$X2)*MMULT(1/Dists!$B2:$X2,Capacity!$DI$3:$DI$25)))</f>
        <v>2938.383242507</v>
      </c>
      <c r="BL60" s="0"/>
      <c r="BM60" s="0"/>
      <c r="BN60" s="4" t="n">
        <f aca="false" t="array" ref="BN60:BN60">SUM(Capacity!CH$3:CH$25*Capacity!$DH3/(TRANSPOSE(Dists!$B2:$X2)*MMULT(1/Dists!$B2:$X2,Capacity!$DH$3:$DH$25)))</f>
        <v>671962.719627135</v>
      </c>
      <c r="BO60" s="4" t="n">
        <f aca="false" t="array" ref="BO60:BO60">SUM(Capacity!CI$3:CI$25*Capacity!$DH3/(TRANSPOSE(Dists!$B2:$X2)*MMULT(1/Dists!$B2:$X2,Capacity!$DH$3:$DH$25)))</f>
        <v>1343.92609602771</v>
      </c>
      <c r="BP60" s="4" t="n">
        <f aca="false" t="array" ref="BP60:BP60">SUM(Capacity!CJ$3:CJ$25*Capacity!$DH3/(TRANSPOSE(Dists!$B2:$X2)*MMULT(1/Dists!$B2:$X2,Capacity!$DH$3:$DH$25)))</f>
        <v>156791.301750867</v>
      </c>
      <c r="BQ60" s="4" t="n">
        <f aca="false" t="array" ref="BQ60:BQ60">SUM(Capacity!CK$3:CK$25*Capacity!$DH3/(TRANSPOSE(Dists!$B2:$X2)*MMULT(1/Dists!$B2:$X2,Capacity!$DH$3:$DH$25)))</f>
        <v>145591.923101383</v>
      </c>
      <c r="BR60" s="4" t="n">
        <f aca="false" t="array" ref="BR60:BR60">SUM(Capacity!CL$3:CL$25*Capacity!$DH3/(TRANSPOSE(Dists!$B2:$X2)*MMULT(1/Dists!$B2:$X2,Capacity!$DH$3:$DH$25)))</f>
        <v>447.975804068982</v>
      </c>
      <c r="BS60" s="4" t="n">
        <f aca="false" t="array" ref="BS60:BS60">SUM(Capacity!CM$3:CM$25*Capacity!$DH3/(TRANSPOSE(Dists!$B2:$X2)*MMULT(1/Dists!$B2:$X2,Capacity!$DH$3:$DH$25)))</f>
        <v>223.9882310793</v>
      </c>
      <c r="BT60" s="4" t="n">
        <f aca="false" t="array" ref="BT60:BT60">SUM(Capacity!CN$3:CN$25*Capacity!$DI3/(TRANSPOSE(Dists!$B2:$X2)*MMULT(1/Dists!$B2:$X2,Capacity!$DI$3:$DI$25)))</f>
        <v>220724.194560316</v>
      </c>
      <c r="BU60" s="4" t="n">
        <f aca="false" t="array" ref="BU60:BU60">SUM(Capacity!CO$3:CO$25*Capacity!$DI3/(TRANSPOSE(Dists!$B2:$X2)*MMULT(1/Dists!$B2:$X2,Capacity!$DI$3:$DI$25)))</f>
        <v>24079.0030429435</v>
      </c>
      <c r="BV60" s="4" t="n">
        <f aca="false" t="array" ref="BV60:BV60">SUM(Capacity!CP$3:CP$25*Capacity!$DI3/(TRANSPOSE(Dists!$B2:$X2)*MMULT(1/Dists!$B2:$X2,Capacity!$DI$3:$DI$25)))</f>
        <v>2809.21702167675</v>
      </c>
      <c r="BW60" s="0"/>
      <c r="BX60" s="0"/>
      <c r="BY60" s="0"/>
      <c r="BZ60" s="0"/>
      <c r="CA60" s="0"/>
      <c r="CB60" s="0"/>
      <c r="CC60" s="0"/>
      <c r="CE60" s="4" t="n">
        <f aca="false" t="array" ref="CE60:CE60">SUM(Capacity!CY$3:CY$25*Capacity!$DH3/(TRANSPOSE(Dists!$B2:$X2)*MMULT(1/Dists!$B2:$X2,Capacity!$DH$3:$DH$25)))</f>
        <v>91.3761864214578</v>
      </c>
      <c r="CG60" s="0"/>
      <c r="CH60" s="0"/>
      <c r="CI60" s="0"/>
      <c r="CJ60" s="0"/>
      <c r="CK60" s="0"/>
    </row>
    <row r="61" customFormat="false" ht="12.8" hidden="false" customHeight="false" outlineLevel="0" collapsed="false">
      <c r="A61" s="4" t="s">
        <v>133</v>
      </c>
      <c r="B61" s="7" t="s">
        <v>39</v>
      </c>
      <c r="C61" s="4" t="n">
        <f aca="false" t="array" ref="C61:C61">SUM(Capacity!S$3:S$25*Capacity!$DH4/(TRANSPOSE(Dists!$B3:$X3)*MMULT(1/Dists!$B3:$X3,Capacity!$DH$3:$DH$25)))</f>
        <v>6733.72932660921</v>
      </c>
      <c r="D61" s="4" t="n">
        <f aca="false" t="array" ref="D61:D61">SUM(Capacity!V$3:V$25*Capacity!$DH4/(TRANSPOSE(Dists!$B3:$X3)*MMULT(1/Dists!$B3:$X3,Capacity!$DH$3:$DH$25)))</f>
        <v>11998.183288394</v>
      </c>
      <c r="E61" s="4" t="n">
        <f aca="false" t="array" ref="E61:E61">SUM(Capacity!Y$3:Y$25*Capacity!$DH4/(TRANSPOSE(Dists!$B3:$X3)*MMULT(1/Dists!$B3:$X3,Capacity!$DH$3:$DH$25)))</f>
        <v>18169.6705884851</v>
      </c>
      <c r="F61" s="4" t="n">
        <f aca="false" t="array" ref="F61:F61">SUM(Capacity!Z$3:Z$25*Capacity!$DH4/(TRANSPOSE(Dists!$B3:$X3)*MMULT(1/Dists!$B3:$X3,Capacity!$DH$3:$DH$25)))</f>
        <v>7793.07526529572</v>
      </c>
      <c r="G61" s="4" t="n">
        <f aca="false" t="array" ref="G61:G61">SUM(Capacity!AA$3:AA$25*Capacity!$DH4/(TRANSPOSE(Dists!$B3:$X3)*MMULT(1/Dists!$B3:$X3,Capacity!$DH$3:$DH$25)))</f>
        <v>79744.2869165381</v>
      </c>
      <c r="H61" s="4" t="n">
        <f aca="false" t="array" ref="H61:H61">SUM(Capacity!AB$3:AB$25*Capacity!$DI4/(TRANSPOSE(Dists!$B3:$X3)*MMULT(1/Dists!$B3:$X3,Capacity!$DI$3:$DI$25)))</f>
        <v>2190.80456562892</v>
      </c>
      <c r="I61" s="0"/>
      <c r="J61" s="0"/>
      <c r="K61" s="0"/>
      <c r="L61" s="0"/>
      <c r="M61" s="0"/>
      <c r="N61" s="4" t="n">
        <f aca="false" t="array" ref="N61:N61">SUM(Capacity!AH$3:AH$25*Capacity!$DH4/(TRANSPOSE(Dists!$B3:$X3)*MMULT(1/Dists!$B3:$X3,Capacity!$DH$3:$DH$25)))</f>
        <v>107205.902055001</v>
      </c>
      <c r="O61" s="0"/>
      <c r="U61" s="0"/>
      <c r="V61" s="0"/>
      <c r="W61" s="0"/>
      <c r="X61" s="0"/>
      <c r="Y61" s="4" t="n">
        <f aca="false" t="array" ref="Y61:Y61">SUM(Capacity!AS$3:AS$25*Capacity!$DI4/(TRANSPOSE(Dists!$B3:$X3)*MMULT(1/Dists!$B3:$X3,Capacity!$DI$3:$DI$25)))</f>
        <v>295.136751650953</v>
      </c>
      <c r="Z61" s="4" t="n">
        <f aca="false" t="array" ref="Z61:Z61">SUM(Capacity!AT$3:AT$25*Capacity!$DH4/(TRANSPOSE(Dists!$B3:$X3)*MMULT(1/Dists!$B3:$X3,Capacity!$DH$3:$DH$25)))</f>
        <v>180529.822278231</v>
      </c>
      <c r="AA61" s="4" t="n">
        <f aca="false" t="array" ref="AA61:AA61">SUM(Capacity!AU$3:AU$25*Capacity!$DI4/(TRANSPOSE(Dists!$B3:$X3)*MMULT(1/Dists!$B3:$X3,Capacity!$DI$3:$DI$25)))</f>
        <v>5460.42175168759</v>
      </c>
      <c r="AB61" s="4" t="n">
        <f aca="false" t="array" ref="AB61:AB61">SUM(Capacity!AV$3:AV$25*Capacity!$DI4/(TRANSPOSE(Dists!$B3:$X3)*MMULT(1/Dists!$B3:$X3,Capacity!$DI$3:$DI$25)))</f>
        <v>2275.17572986983</v>
      </c>
      <c r="AC61" s="4" t="n">
        <f aca="false" t="array" ref="AC61:AC61">SUM(Capacity!AW$3:AW$25*Capacity!$DH4/(TRANSPOSE(Dists!$B3:$X3)*MMULT(1/Dists!$B3:$X3,Capacity!$DH$3:$DH$25)))</f>
        <v>194.114066587972</v>
      </c>
      <c r="AD61" s="4" t="n">
        <f aca="false" t="array" ref="AD61:AD61">SUM(Capacity!AX$3:AX$25*Capacity!$DI4/(TRANSPOSE(Dists!$B3:$X3)*MMULT(1/Dists!$B3:$X3,Capacity!$DI$3:$DI$25)))</f>
        <v>37.5403995428522</v>
      </c>
      <c r="AE61" s="4" t="n">
        <f aca="false" t="array" ref="AE61:AE61">SUM(Capacity!AY$3:AY$25*Capacity!$DI4/(TRANSPOSE(Dists!$B3:$X3)*MMULT(1/Dists!$B3:$X3,Capacity!$DI$3:$DI$25)))</f>
        <v>26.2100244081004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4" t="n">
        <f aca="false" t="array" ref="AW61:AW61">SUM(Capacity!BQ$3:BQ$25*Capacity!$DH4/(TRANSPOSE(Dists!$B3:$X3)*MMULT(1/Dists!$B3:$X3,Capacity!$DH$3:$DH$25)))</f>
        <v>669.268700963245</v>
      </c>
      <c r="AX61" s="0"/>
      <c r="AY61" s="4" t="n">
        <f aca="false" t="array" ref="AY61:AY61">SUM(Capacity!BS$3:BS$25*Capacity!$DH4/(TRANSPOSE(Dists!$B3:$X3)*MMULT(1/Dists!$B3:$X3,Capacity!$DH$3:$DH$25)))</f>
        <v>13.8871299653475</v>
      </c>
      <c r="AZ61" s="4" t="n">
        <f aca="false" t="array" ref="AZ61:AZ61">SUM(Capacity!BT$3:BT$25*Capacity!$DH4/(TRANSPOSE(Dists!$B3:$X3)*MMULT(1/Dists!$B3:$X3,Capacity!$DH$3:$DH$25)))</f>
        <v>19.52877651377</v>
      </c>
      <c r="BA61" s="0"/>
      <c r="BB61" s="4" t="n">
        <f aca="false" t="array" ref="BB61:BB61">SUM(Capacity!BV$3:BV$25*Capacity!$DI4/(TRANSPOSE(Dists!$B3:$X3)*MMULT(1/Dists!$B3:$X3,Capacity!$DI$3:$DI$25)))</f>
        <v>91.7350854283515</v>
      </c>
      <c r="BC61" s="4" t="n">
        <f aca="false" t="array" ref="BC61:BC61">SUM(Capacity!BW$3:BW$25*Capacity!$DI4/(TRANSPOSE(Dists!$B3:$X3)*MMULT(1/Dists!$B3:$X3,Capacity!$DI$3:$DI$25)))</f>
        <v>78.6300732243014</v>
      </c>
      <c r="BD61" s="4" t="n">
        <f aca="false" t="array" ref="BD61:BD61">SUM(Capacity!BX$3:BX$25*Capacity!$DI4/(TRANSPOSE(Dists!$B3:$X3)*MMULT(1/Dists!$B3:$X3,Capacity!$DI$3:$DI$25)))</f>
        <v>39.3150366121506</v>
      </c>
      <c r="BE61" s="4" t="n">
        <f aca="false" t="array" ref="BE61:BE61">SUM(Capacity!BY$3:BY$25*Capacity!$DI4/(TRANSPOSE(Dists!$B3:$X3)*MMULT(1/Dists!$B3:$X3,Capacity!$DI$3:$DI$25)))</f>
        <v>22.9337713570879</v>
      </c>
      <c r="BF61" s="4" t="n">
        <f aca="false" t="array" ref="BF61:BF61">SUM(Capacity!BZ$3:BZ$25*Capacity!$DH4/(TRANSPOSE(Dists!$B3:$X3)*MMULT(1/Dists!$B3:$X3,Capacity!$DH$3:$DH$25)))</f>
        <v>100390.305144487</v>
      </c>
      <c r="BG61" s="4" t="n">
        <f aca="false" t="array" ref="BG61:BG61">SUM(Capacity!CA$3:CA$25*Capacity!$DI4/(TRANSPOSE(Dists!$B3:$X3)*MMULT(1/Dists!$B3:$X3,Capacity!$DI$3:$DI$25)))</f>
        <v>2021.04239324849</v>
      </c>
      <c r="BH61" s="4" t="n">
        <f aca="false" t="array" ref="BH61:BH61">SUM(Capacity!CB$3:CB$25*Capacity!$DI4/(TRANSPOSE(Dists!$B3:$X3)*MMULT(1/Dists!$B3:$X3,Capacity!$DI$3:$DI$25)))</f>
        <v>2760.75935932913</v>
      </c>
      <c r="BI61" s="4" t="n">
        <f aca="false" t="array" ref="BI61:BI61">SUM(Capacity!CC$3:CC$25*Capacity!$DI4/(TRANSPOSE(Dists!$B3:$X3)*MMULT(1/Dists!$B3:$X3,Capacity!$DI$3:$DI$25)))</f>
        <v>5389.44638199599</v>
      </c>
      <c r="BJ61" s="0"/>
      <c r="BK61" s="4" t="n">
        <f aca="false" t="array" ref="BK61:BK61">SUM(Capacity!CE$3:CE$25*Capacity!$DI4/(TRANSPOSE(Dists!$B3:$X3)*MMULT(1/Dists!$B3:$X3,Capacity!$DI$3:$DI$25)))</f>
        <v>2694.72319099799</v>
      </c>
      <c r="BL61" s="0"/>
      <c r="BM61" s="0"/>
      <c r="BN61" s="4" t="n">
        <f aca="false" t="array" ref="BN61:BN61">SUM(Capacity!CH$3:CH$25*Capacity!$DH4/(TRANSPOSE(Dists!$B3:$X3)*MMULT(1/Dists!$B3:$X3,Capacity!$DH$3:$DH$25)))</f>
        <v>2484328.94105961</v>
      </c>
      <c r="BO61" s="4" t="n">
        <f aca="false" t="array" ref="BO61:BO61">SUM(Capacity!CI$3:CI$25*Capacity!$DH4/(TRANSPOSE(Dists!$B3:$X3)*MMULT(1/Dists!$B3:$X3,Capacity!$DH$3:$DH$25)))</f>
        <v>4968.65861005861</v>
      </c>
      <c r="BP61" s="4" t="n">
        <f aca="false" t="array" ref="BP61:BP61">SUM(Capacity!CJ$3:CJ$25*Capacity!$DH4/(TRANSPOSE(Dists!$B3:$X3)*MMULT(1/Dists!$B3:$X3,Capacity!$DH$3:$DH$25)))</f>
        <v>579676.753473113</v>
      </c>
      <c r="BQ61" s="4" t="n">
        <f aca="false" t="array" ref="BQ61:BQ61">SUM(Capacity!CK$3:CK$25*Capacity!$DH4/(TRANSPOSE(Dists!$B3:$X3)*MMULT(1/Dists!$B3:$X3,Capacity!$DH$3:$DH$25)))</f>
        <v>538271.271134277</v>
      </c>
      <c r="BR61" s="4" t="n">
        <f aca="false" t="array" ref="BR61:BR61">SUM(Capacity!CL$3:CL$25*Capacity!$DH4/(TRANSPOSE(Dists!$B3:$X3)*MMULT(1/Dists!$B3:$X3,Capacity!$DH$3:$DH$25)))</f>
        <v>1656.22002295166</v>
      </c>
      <c r="BS61" s="4" t="n">
        <f aca="false" t="array" ref="BS61:BS61">SUM(Capacity!CM$3:CM$25*Capacity!$DH4/(TRANSPOSE(Dists!$B3:$X3)*MMULT(1/Dists!$B3:$X3,Capacity!$DH$3:$DH$25)))</f>
        <v>828.110376174928</v>
      </c>
      <c r="BT61" s="4" t="n">
        <f aca="false" t="array" ref="BT61:BT61">SUM(Capacity!CN$3:CN$25*Capacity!$DI4/(TRANSPOSE(Dists!$B3:$X3)*MMULT(1/Dists!$B3:$X3,Capacity!$DI$3:$DI$25)))</f>
        <v>200215.464228545</v>
      </c>
      <c r="BU61" s="4" t="n">
        <f aca="false" t="array" ref="BU61:BU61">SUM(Capacity!CO$3:CO$25*Capacity!$DI4/(TRANSPOSE(Dists!$B3:$X3)*MMULT(1/Dists!$B3:$X3,Capacity!$DI$3:$DI$25)))</f>
        <v>21841.6870067504</v>
      </c>
      <c r="BV61" s="4" t="n">
        <f aca="false" t="array" ref="BV61:BV61">SUM(Capacity!CP$3:CP$25*Capacity!$DI4/(TRANSPOSE(Dists!$B3:$X3)*MMULT(1/Dists!$B3:$X3,Capacity!$DI$3:$DI$25)))</f>
        <v>2548.19681745421</v>
      </c>
      <c r="BW61" s="0"/>
      <c r="BX61" s="0"/>
      <c r="BY61" s="0"/>
      <c r="BZ61" s="0"/>
      <c r="CA61" s="0"/>
      <c r="CB61" s="0"/>
      <c r="CC61" s="0"/>
      <c r="CE61" s="4" t="n">
        <f aca="false" t="array" ref="CE61:CE61">SUM(Capacity!CY$3:CY$25*Capacity!$DH4/(TRANSPOSE(Dists!$B3:$X3)*MMULT(1/Dists!$B3:$X3,Capacity!$DH$3:$DH$25)))</f>
        <v>125.487881430608</v>
      </c>
      <c r="CG61" s="0"/>
      <c r="CH61" s="0"/>
      <c r="CI61" s="0"/>
      <c r="CJ61" s="0"/>
      <c r="CK61" s="0"/>
    </row>
    <row r="62" customFormat="false" ht="12.8" hidden="false" customHeight="false" outlineLevel="0" collapsed="false">
      <c r="A62" s="4" t="s">
        <v>135</v>
      </c>
      <c r="B62" s="7" t="s">
        <v>39</v>
      </c>
      <c r="C62" s="4" t="n">
        <f aca="false" t="array" ref="C62:C62">SUM(Capacity!S$3:S$25*Capacity!$DH5/(TRANSPOSE(Dists!$B4:$X4)*MMULT(1/Dists!$B4:$X4,Capacity!$DH$3:$DH$25)))</f>
        <v>8410.49240020395</v>
      </c>
      <c r="D62" s="4" t="n">
        <f aca="false" t="array" ref="D62:D62">SUM(Capacity!V$3:V$25*Capacity!$DH5/(TRANSPOSE(Dists!$B4:$X4)*MMULT(1/Dists!$B4:$X4,Capacity!$DH$3:$DH$25)))</f>
        <v>15546.6760268813</v>
      </c>
      <c r="E62" s="4" t="n">
        <f aca="false" t="array" ref="E62:E62">SUM(Capacity!Y$3:Y$25*Capacity!$DH5/(TRANSPOSE(Dists!$B4:$X4)*MMULT(1/Dists!$B4:$X4,Capacity!$DH$3:$DH$25)))</f>
        <v>19414.6376661762</v>
      </c>
      <c r="F62" s="4" t="n">
        <f aca="false" t="array" ref="F62:F62">SUM(Capacity!Z$3:Z$25*Capacity!$DH5/(TRANSPOSE(Dists!$B4:$X4)*MMULT(1/Dists!$B4:$X4,Capacity!$DH$3:$DH$25)))</f>
        <v>7046.78789517786</v>
      </c>
      <c r="G62" s="4" t="n">
        <f aca="false" t="array" ref="G62:G62">SUM(Capacity!AA$3:AA$25*Capacity!$DH5/(TRANSPOSE(Dists!$B4:$X4)*MMULT(1/Dists!$B4:$X4,Capacity!$DH$3:$DH$25)))</f>
        <v>104197.807557449</v>
      </c>
      <c r="H62" s="4" t="n">
        <f aca="false" t="array" ref="H62:H62">SUM(Capacity!AB$3:AB$25*Capacity!$DI5/(TRANSPOSE(Dists!$B4:$X4)*MMULT(1/Dists!$B4:$X4,Capacity!$DI$3:$DI$25)))</f>
        <v>5351.04092408873</v>
      </c>
      <c r="I62" s="0"/>
      <c r="J62" s="0"/>
      <c r="K62" s="0"/>
      <c r="L62" s="0"/>
      <c r="M62" s="0"/>
      <c r="N62" s="4" t="n">
        <f aca="false" t="array" ref="N62:N62">SUM(Capacity!AH$3:AH$25*Capacity!$DH5/(TRANSPOSE(Dists!$B4:$X4)*MMULT(1/Dists!$B4:$X4,Capacity!$DH$3:$DH$25)))</f>
        <v>140642.051472362</v>
      </c>
      <c r="O62" s="0"/>
      <c r="U62" s="0"/>
      <c r="V62" s="0"/>
      <c r="W62" s="0"/>
      <c r="X62" s="0"/>
      <c r="Y62" s="4" t="n">
        <f aca="false" t="array" ref="Y62:Y62">SUM(Capacity!AS$3:AS$25*Capacity!$DI5/(TRANSPOSE(Dists!$B4:$X4)*MMULT(1/Dists!$B4:$X4,Capacity!$DI$3:$DI$25)))</f>
        <v>556.363974623058</v>
      </c>
      <c r="Z62" s="4" t="n">
        <f aca="false" t="array" ref="Z62:Z62">SUM(Capacity!AT$3:AT$25*Capacity!$DH5/(TRANSPOSE(Dists!$B4:$X4)*MMULT(1/Dists!$B4:$X4,Capacity!$DH$3:$DH$25)))</f>
        <v>206612.036956046</v>
      </c>
      <c r="AA62" s="4" t="n">
        <f aca="false" t="array" ref="AA62:AA62">SUM(Capacity!AU$3:AU$25*Capacity!$DI5/(TRANSPOSE(Dists!$B4:$X4)*MMULT(1/Dists!$B4:$X4,Capacity!$DI$3:$DI$25)))</f>
        <v>11466.1056412694</v>
      </c>
      <c r="AB62" s="4" t="n">
        <f aca="false" t="array" ref="AB62:AB62">SUM(Capacity!AV$3:AV$25*Capacity!$DI5/(TRANSPOSE(Dists!$B4:$X4)*MMULT(1/Dists!$B4:$X4,Capacity!$DI$3:$DI$25)))</f>
        <v>4777.5440171956</v>
      </c>
      <c r="AC62" s="4" t="n">
        <f aca="false" t="array" ref="AC62:AC62">SUM(Capacity!AW$3:AW$25*Capacity!$DH5/(TRANSPOSE(Dists!$B4:$X4)*MMULT(1/Dists!$B4:$X4,Capacity!$DH$3:$DH$25)))</f>
        <v>251.90484777688</v>
      </c>
      <c r="AD62" s="4" t="n">
        <f aca="false" t="array" ref="AD62:AD62">SUM(Capacity!AX$3:AX$25*Capacity!$DI5/(TRANSPOSE(Dists!$B4:$X4)*MMULT(1/Dists!$B4:$X4,Capacity!$DI$3:$DI$25)))</f>
        <v>78.8294762837274</v>
      </c>
      <c r="AE62" s="4" t="n">
        <f aca="false" t="array" ref="AE62:AE62">SUM(Capacity!AY$3:AY$25*Capacity!$DI5/(TRANSPOSE(Dists!$B4:$X4)*MMULT(1/Dists!$B4:$X4,Capacity!$DI$3:$DI$25)))</f>
        <v>55.0373070780933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4" t="n">
        <f aca="false" t="array" ref="AW62:AW62">SUM(Capacity!BQ$3:BQ$25*Capacity!$DH5/(TRANSPOSE(Dists!$B4:$X4)*MMULT(1/Dists!$B4:$X4,Capacity!$DH$3:$DH$25)))</f>
        <v>868.520417924325</v>
      </c>
      <c r="AX62" s="0"/>
      <c r="AY62" s="4" t="n">
        <f aca="false" t="array" ref="AY62:AY62">SUM(Capacity!BS$3:BS$25*Capacity!$DH5/(TRANSPOSE(Dists!$B4:$X4)*MMULT(1/Dists!$B4:$X4,Capacity!$DH$3:$DH$25)))</f>
        <v>17.6594002601776</v>
      </c>
      <c r="AZ62" s="4" t="n">
        <f aca="false" t="array" ref="AZ62:AZ62">SUM(Capacity!BT$3:BT$25*Capacity!$DH5/(TRANSPOSE(Dists!$B4:$X4)*MMULT(1/Dists!$B4:$X4,Capacity!$DH$3:$DH$25)))</f>
        <v>24.8335316158748</v>
      </c>
      <c r="BA62" s="0"/>
      <c r="BB62" s="4" t="n">
        <f aca="false" t="array" ref="BB62:BB62">SUM(Capacity!BV$3:BV$25*Capacity!$DI5/(TRANSPOSE(Dists!$B4:$X4)*MMULT(1/Dists!$B4:$X4,Capacity!$DI$3:$DI$25)))</f>
        <v>192.630574773327</v>
      </c>
      <c r="BC62" s="4" t="n">
        <f aca="false" t="array" ref="BC62:BC62">SUM(Capacity!BW$3:BW$25*Capacity!$DI5/(TRANSPOSE(Dists!$B4:$X4)*MMULT(1/Dists!$B4:$X4,Capacity!$DI$3:$DI$25)))</f>
        <v>165.11192123428</v>
      </c>
      <c r="BD62" s="4" t="n">
        <f aca="false" t="array" ref="BD62:BD62">SUM(Capacity!BX$3:BX$25*Capacity!$DI5/(TRANSPOSE(Dists!$B4:$X4)*MMULT(1/Dists!$B4:$X4,Capacity!$DI$3:$DI$25)))</f>
        <v>82.5559606171399</v>
      </c>
      <c r="BE62" s="4" t="n">
        <f aca="false" t="array" ref="BE62:BE62">SUM(Capacity!BY$3:BY$25*Capacity!$DI5/(TRANSPOSE(Dists!$B4:$X4)*MMULT(1/Dists!$B4:$X4,Capacity!$DI$3:$DI$25)))</f>
        <v>48.1576436933317</v>
      </c>
      <c r="BF62" s="4" t="n">
        <f aca="false" t="array" ref="BF62:BF62">SUM(Capacity!BZ$3:BZ$25*Capacity!$DH5/(TRANSPOSE(Dists!$B4:$X4)*MMULT(1/Dists!$B4:$X4,Capacity!$DH$3:$DH$25)))</f>
        <v>130278.062688649</v>
      </c>
      <c r="BG62" s="4" t="n">
        <f aca="false" t="array" ref="BG62:BG62">SUM(Capacity!CA$3:CA$25*Capacity!$DI5/(TRANSPOSE(Dists!$B4:$X4)*MMULT(1/Dists!$B4:$X4,Capacity!$DI$3:$DI$25)))</f>
        <v>4330.93076690152</v>
      </c>
      <c r="BH62" s="4" t="n">
        <f aca="false" t="array" ref="BH62:BH62">SUM(Capacity!CB$3:CB$25*Capacity!$DI5/(TRANSPOSE(Dists!$B4:$X4)*MMULT(1/Dists!$B4:$X4,Capacity!$DI$3:$DI$25)))</f>
        <v>5201.66057189075</v>
      </c>
      <c r="BI62" s="4" t="n">
        <f aca="false" t="array" ref="BI62:BI62">SUM(Capacity!CC$3:CC$25*Capacity!$DI5/(TRANSPOSE(Dists!$B4:$X4)*MMULT(1/Dists!$B4:$X4,Capacity!$DI$3:$DI$25)))</f>
        <v>11549.1487117374</v>
      </c>
      <c r="BJ62" s="0"/>
      <c r="BK62" s="4" t="n">
        <f aca="false" t="array" ref="BK62:BK62">SUM(Capacity!CE$3:CE$25*Capacity!$DI5/(TRANSPOSE(Dists!$B4:$X4)*MMULT(1/Dists!$B4:$X4,Capacity!$DI$3:$DI$25)))</f>
        <v>5774.5743558687</v>
      </c>
      <c r="BL62" s="0"/>
      <c r="BM62" s="0"/>
      <c r="BN62" s="4" t="n">
        <f aca="false" t="array" ref="BN62:BN62">SUM(Capacity!CH$3:CH$25*Capacity!$DH5/(TRANSPOSE(Dists!$B4:$X4)*MMULT(1/Dists!$B4:$X4,Capacity!$DH$3:$DH$25)))</f>
        <v>706335.139281743</v>
      </c>
      <c r="BO62" s="4" t="n">
        <f aca="false" t="array" ref="BO62:BO62">SUM(Capacity!CI$3:CI$25*Capacity!$DH5/(TRANSPOSE(Dists!$B4:$X4)*MMULT(1/Dists!$B4:$X4,Capacity!$DH$3:$DH$25)))</f>
        <v>1412.67108619223</v>
      </c>
      <c r="BP62" s="4" t="n">
        <f aca="false" t="array" ref="BP62:BP62">SUM(Capacity!CJ$3:CJ$25*Capacity!$DH5/(TRANSPOSE(Dists!$B4:$X4)*MMULT(1/Dists!$B4:$X4,Capacity!$DH$3:$DH$25)))</f>
        <v>164811.533119496</v>
      </c>
      <c r="BQ62" s="4" t="n">
        <f aca="false" t="array" ref="BQ62:BQ62">SUM(Capacity!CK$3:CK$25*Capacity!$DH5/(TRANSPOSE(Dists!$B4:$X4)*MMULT(1/Dists!$B4:$X4,Capacity!$DH$3:$DH$25)))</f>
        <v>153039.280811621</v>
      </c>
      <c r="BR62" s="4" t="n">
        <f aca="false" t="array" ref="BR62:BR62">SUM(Capacity!CL$3:CL$25*Capacity!$DH5/(TRANSPOSE(Dists!$B4:$X4)*MMULT(1/Dists!$B4:$X4,Capacity!$DH$3:$DH$25)))</f>
        <v>470.890901562233</v>
      </c>
      <c r="BS62" s="4" t="n">
        <f aca="false" t="array" ref="BS62:BS62">SUM(Capacity!CM$3:CM$25*Capacity!$DH5/(TRANSPOSE(Dists!$B4:$X4)*MMULT(1/Dists!$B4:$X4,Capacity!$DH$3:$DH$25)))</f>
        <v>235.445855404735</v>
      </c>
      <c r="BT62" s="4" t="n">
        <f aca="false" t="array" ref="BT62:BT62">SUM(Capacity!CN$3:CN$25*Capacity!$DI5/(TRANSPOSE(Dists!$B4:$X4)*MMULT(1/Dists!$B4:$X4,Capacity!$DI$3:$DI$25)))</f>
        <v>420423.873513213</v>
      </c>
      <c r="BU62" s="4" t="n">
        <f aca="false" t="array" ref="BU62:BU62">SUM(Capacity!CO$3:CO$25*Capacity!$DI5/(TRANSPOSE(Dists!$B4:$X4)*MMULT(1/Dists!$B4:$X4,Capacity!$DI$3:$DI$25)))</f>
        <v>45864.4225650778</v>
      </c>
      <c r="BV62" s="4" t="n">
        <f aca="false" t="array" ref="BV62:BV62">SUM(Capacity!CP$3:CP$25*Capacity!$DI5/(TRANSPOSE(Dists!$B4:$X4)*MMULT(1/Dists!$B4:$X4,Capacity!$DI$3:$DI$25)))</f>
        <v>5350.84929925908</v>
      </c>
      <c r="BW62" s="0"/>
      <c r="BX62" s="0"/>
      <c r="BY62" s="0"/>
      <c r="BZ62" s="0"/>
      <c r="CA62" s="0"/>
      <c r="CB62" s="0"/>
      <c r="CC62" s="0"/>
      <c r="CE62" s="4" t="n">
        <f aca="false" t="array" ref="CE62:CE62">SUM(Capacity!CY$3:CY$25*Capacity!$DH5/(TRANSPOSE(Dists!$B4:$X4)*MMULT(1/Dists!$B4:$X4,Capacity!$DH$3:$DH$25)))</f>
        <v>162.847578360811</v>
      </c>
      <c r="CG62" s="0"/>
      <c r="CH62" s="0"/>
      <c r="CI62" s="0"/>
      <c r="CJ62" s="0"/>
      <c r="CK62" s="0"/>
    </row>
    <row r="63" customFormat="false" ht="12.8" hidden="false" customHeight="false" outlineLevel="0" collapsed="false">
      <c r="A63" s="4" t="s">
        <v>137</v>
      </c>
      <c r="B63" s="7" t="s">
        <v>39</v>
      </c>
      <c r="C63" s="4" t="n">
        <f aca="false" t="array" ref="C63:C63">SUM(Capacity!S$3:S$25*Capacity!$DH6/(TRANSPOSE(Dists!$B5:$X5)*MMULT(1/Dists!$B5:$X5,Capacity!$DH$3:$DH$25)))</f>
        <v>8445.42340940349</v>
      </c>
      <c r="D63" s="4" t="n">
        <f aca="false" t="array" ref="D63:D63">SUM(Capacity!V$3:V$25*Capacity!$DH6/(TRANSPOSE(Dists!$B5:$X5)*MMULT(1/Dists!$B5:$X5,Capacity!$DH$3:$DH$25)))</f>
        <v>15873.9561287198</v>
      </c>
      <c r="E63" s="4" t="n">
        <f aca="false" t="array" ref="E63:E63">SUM(Capacity!Y$3:Y$25*Capacity!$DH6/(TRANSPOSE(Dists!$B5:$X5)*MMULT(1/Dists!$B5:$X5,Capacity!$DH$3:$DH$25)))</f>
        <v>19774.9171702948</v>
      </c>
      <c r="F63" s="4" t="n">
        <f aca="false" t="array" ref="F63:F63">SUM(Capacity!Z$3:Z$25*Capacity!$DH6/(TRANSPOSE(Dists!$B5:$X5)*MMULT(1/Dists!$B5:$X5,Capacity!$DH$3:$DH$25)))</f>
        <v>7305.181134831</v>
      </c>
      <c r="G63" s="4" t="n">
        <f aca="false" t="array" ref="G63:G63">SUM(Capacity!AA$3:AA$25*Capacity!$DH6/(TRANSPOSE(Dists!$B5:$X5)*MMULT(1/Dists!$B5:$X5,Capacity!$DH$3:$DH$25)))</f>
        <v>106783.958520767</v>
      </c>
      <c r="H63" s="4" t="n">
        <f aca="false" t="array" ref="H63:H63">SUM(Capacity!AB$3:AB$25*Capacity!$DI6/(TRANSPOSE(Dists!$B5:$X5)*MMULT(1/Dists!$B5:$X5,Capacity!$DI$3:$DI$25)))</f>
        <v>5499.13086023003</v>
      </c>
      <c r="I63" s="0"/>
      <c r="J63" s="0"/>
      <c r="K63" s="0"/>
      <c r="L63" s="0"/>
      <c r="M63" s="0"/>
      <c r="N63" s="4" t="n">
        <f aca="false" t="array" ref="N63:N63">SUM(Capacity!AH$3:AH$25*Capacity!$DH6/(TRANSPOSE(Dists!$B5:$X5)*MMULT(1/Dists!$B5:$X5,Capacity!$DH$3:$DH$25)))</f>
        <v>141608.04000521</v>
      </c>
      <c r="O63" s="0"/>
      <c r="U63" s="0"/>
      <c r="V63" s="0"/>
      <c r="W63" s="0"/>
      <c r="X63" s="0"/>
      <c r="Y63" s="4" t="n">
        <f aca="false" t="array" ref="Y63:Y63">SUM(Capacity!AS$3:AS$25*Capacity!$DI6/(TRANSPOSE(Dists!$B5:$X5)*MMULT(1/Dists!$B5:$X5,Capacity!$DI$3:$DI$25)))</f>
        <v>579.073250240043</v>
      </c>
      <c r="Z63" s="4" t="n">
        <f aca="false" t="array" ref="Z63:Z63">SUM(Capacity!AT$3:AT$25*Capacity!$DH6/(TRANSPOSE(Dists!$B5:$X5)*MMULT(1/Dists!$B5:$X5,Capacity!$DH$3:$DH$25)))</f>
        <v>233880.162002361</v>
      </c>
      <c r="AA63" s="4" t="n">
        <f aca="false" t="array" ref="AA63:AA63">SUM(Capacity!AU$3:AU$25*Capacity!$DI6/(TRANSPOSE(Dists!$B5:$X5)*MMULT(1/Dists!$B5:$X5,Capacity!$DI$3:$DI$25)))</f>
        <v>12772.2782560407</v>
      </c>
      <c r="AB63" s="4" t="n">
        <f aca="false" t="array" ref="AB63:AB63">SUM(Capacity!AV$3:AV$25*Capacity!$DI6/(TRANSPOSE(Dists!$B5:$X5)*MMULT(1/Dists!$B5:$X5,Capacity!$DI$3:$DI$25)))</f>
        <v>5321.78260668363</v>
      </c>
      <c r="AC63" s="4" t="n">
        <f aca="false" t="array" ref="AC63:AC63">SUM(Capacity!AW$3:AW$25*Capacity!$DH6/(TRANSPOSE(Dists!$B5:$X5)*MMULT(1/Dists!$B5:$X5,Capacity!$DH$3:$DH$25)))</f>
        <v>258.861248871789</v>
      </c>
      <c r="AD63" s="4" t="n">
        <f aca="false" t="array" ref="AD63:AD63">SUM(Capacity!AX$3:AX$25*Capacity!$DI6/(TRANSPOSE(Dists!$B5:$X5)*MMULT(1/Dists!$B5:$X5,Capacity!$DI$3:$DI$25)))</f>
        <v>87.8094130102799</v>
      </c>
      <c r="AE63" s="4" t="n">
        <f aca="false" t="array" ref="AE63:AE63">SUM(Capacity!AY$3:AY$25*Capacity!$DI6/(TRANSPOSE(Dists!$B5:$X5)*MMULT(1/Dists!$B5:$X5,Capacity!$DI$3:$DI$25)))</f>
        <v>61.3069356289954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4" t="n">
        <f aca="false" t="array" ref="AW63:AW63">SUM(Capacity!BQ$3:BQ$25*Capacity!$DH6/(TRANSPOSE(Dists!$B5:$X5)*MMULT(1/Dists!$B5:$X5,Capacity!$DH$3:$DH$25)))</f>
        <v>892.504777254923</v>
      </c>
      <c r="AX63" s="0"/>
      <c r="AY63" s="4" t="n">
        <f aca="false" t="array" ref="AY63:AY63">SUM(Capacity!BS$3:BS$25*Capacity!$DH6/(TRANSPOSE(Dists!$B5:$X5)*MMULT(1/Dists!$B5:$X5,Capacity!$DH$3:$DH$25)))</f>
        <v>19.3895766893642</v>
      </c>
      <c r="AZ63" s="4" t="n">
        <f aca="false" t="array" ref="AZ63:AZ63">SUM(Capacity!BT$3:BT$25*Capacity!$DH6/(TRANSPOSE(Dists!$B5:$X5)*MMULT(1/Dists!$B5:$X5,Capacity!$DH$3:$DH$25)))</f>
        <v>27.2665922194184</v>
      </c>
      <c r="BA63" s="0"/>
      <c r="BB63" s="4" t="n">
        <f aca="false" t="array" ref="BB63:BB63">SUM(Capacity!BV$3:BV$25*Capacity!$DI6/(TRANSPOSE(Dists!$B5:$X5)*MMULT(1/Dists!$B5:$X5,Capacity!$DI$3:$DI$25)))</f>
        <v>214.574274701484</v>
      </c>
      <c r="BC63" s="4" t="n">
        <f aca="false" t="array" ref="BC63:BC63">SUM(Capacity!BW$3:BW$25*Capacity!$DI6/(TRANSPOSE(Dists!$B5:$X5)*MMULT(1/Dists!$B5:$X5,Capacity!$DI$3:$DI$25)))</f>
        <v>183.920806886986</v>
      </c>
      <c r="BD63" s="4" t="n">
        <f aca="false" t="array" ref="BD63:BD63">SUM(Capacity!BX$3:BX$25*Capacity!$DI6/(TRANSPOSE(Dists!$B5:$X5)*MMULT(1/Dists!$B5:$X5,Capacity!$DI$3:$DI$25)))</f>
        <v>91.960403443493</v>
      </c>
      <c r="BE63" s="4" t="n">
        <f aca="false" t="array" ref="BE63:BE63">SUM(Capacity!BY$3:BY$25*Capacity!$DI6/(TRANSPOSE(Dists!$B5:$X5)*MMULT(1/Dists!$B5:$X5,Capacity!$DI$3:$DI$25)))</f>
        <v>53.643568675371</v>
      </c>
      <c r="BF63" s="4" t="n">
        <f aca="false" t="array" ref="BF63:BF63">SUM(Capacity!BZ$3:BZ$25*Capacity!$DH6/(TRANSPOSE(Dists!$B5:$X5)*MMULT(1/Dists!$B5:$X5,Capacity!$DH$3:$DH$25)))</f>
        <v>133875.716588238</v>
      </c>
      <c r="BG63" s="4" t="n">
        <f aca="false" t="array" ref="BG63:BG63">SUM(Capacity!CA$3:CA$25*Capacity!$DI6/(TRANSPOSE(Dists!$B5:$X5)*MMULT(1/Dists!$B5:$X5,Capacity!$DI$3:$DI$25)))</f>
        <v>4515.14615749213</v>
      </c>
      <c r="BH63" s="4" t="n">
        <f aca="false" t="array" ref="BH63:BH63">SUM(Capacity!CB$3:CB$25*Capacity!$DI6/(TRANSPOSE(Dists!$B5:$X5)*MMULT(1/Dists!$B5:$X5,Capacity!$DI$3:$DI$25)))</f>
        <v>6093.39609808796</v>
      </c>
      <c r="BI63" s="4" t="n">
        <f aca="false" t="array" ref="BI63:BI63">SUM(Capacity!CC$3:CC$25*Capacity!$DI6/(TRANSPOSE(Dists!$B5:$X5)*MMULT(1/Dists!$B5:$X5,Capacity!$DI$3:$DI$25)))</f>
        <v>12040.3897533123</v>
      </c>
      <c r="BJ63" s="0"/>
      <c r="BK63" s="4" t="n">
        <f aca="false" t="array" ref="BK63:BK63">SUM(Capacity!CE$3:CE$25*Capacity!$DI6/(TRANSPOSE(Dists!$B5:$X5)*MMULT(1/Dists!$B5:$X5,Capacity!$DI$3:$DI$25)))</f>
        <v>6020.19487665617</v>
      </c>
      <c r="BL63" s="0"/>
      <c r="BM63" s="0"/>
      <c r="BN63" s="4" t="n">
        <f aca="false" t="array" ref="BN63:BN63">SUM(Capacity!CH$3:CH$25*Capacity!$DH6/(TRANSPOSE(Dists!$B5:$X5)*MMULT(1/Dists!$B5:$X5,Capacity!$DH$3:$DH$25)))</f>
        <v>1106542.22692528</v>
      </c>
      <c r="BO63" s="4" t="n">
        <f aca="false" t="array" ref="BO63:BO63">SUM(Capacity!CI$3:CI$25*Capacity!$DH6/(TRANSPOSE(Dists!$B5:$X5)*MMULT(1/Dists!$B5:$X5,Capacity!$DH$3:$DH$25)))</f>
        <v>2213.08531209672</v>
      </c>
      <c r="BP63" s="4" t="n">
        <f aca="false" t="array" ref="BP63:BP63">SUM(Capacity!CJ$3:CJ$25*Capacity!$DH6/(TRANSPOSE(Dists!$B5:$X5)*MMULT(1/Dists!$B5:$X5,Capacity!$DH$3:$DH$25)))</f>
        <v>258193.186941872</v>
      </c>
      <c r="BQ63" s="4" t="n">
        <f aca="false" t="array" ref="BQ63:BQ63">SUM(Capacity!CK$3:CK$25*Capacity!$DH6/(TRANSPOSE(Dists!$B5:$X5)*MMULT(1/Dists!$B5:$X5,Capacity!$DH$3:$DH$25)))</f>
        <v>239750.816507451</v>
      </c>
      <c r="BR63" s="4" t="n">
        <f aca="false" t="array" ref="BR63:BR63">SUM(Capacity!CL$3:CL$25*Capacity!$DH6/(TRANSPOSE(Dists!$B5:$X5)*MMULT(1/Dists!$B5:$X5,Capacity!$DH$3:$DH$25)))</f>
        <v>737.695677342966</v>
      </c>
      <c r="BS63" s="4" t="n">
        <f aca="false" t="array" ref="BS63:BS63">SUM(Capacity!CM$3:CM$25*Capacity!$DH6/(TRANSPOSE(Dists!$B5:$X5)*MMULT(1/Dists!$B5:$X5,Capacity!$DH$3:$DH$25)))</f>
        <v>368.848268654528</v>
      </c>
      <c r="BT63" s="4" t="n">
        <f aca="false" t="array" ref="BT63:BT63">SUM(Capacity!CN$3:CN$25*Capacity!$DI6/(TRANSPOSE(Dists!$B5:$X5)*MMULT(1/Dists!$B5:$X5,Capacity!$DI$3:$DI$25)))</f>
        <v>468316.86938816</v>
      </c>
      <c r="BU63" s="4" t="n">
        <f aca="false" t="array" ref="BU63:BU63">SUM(Capacity!CO$3:CO$25*Capacity!$DI6/(TRANSPOSE(Dists!$B5:$X5)*MMULT(1/Dists!$B5:$X5,Capacity!$DI$3:$DI$25)))</f>
        <v>51089.1130241629</v>
      </c>
      <c r="BV63" s="4" t="n">
        <f aca="false" t="array" ref="BV63:BV63">SUM(Capacity!CP$3:CP$25*Capacity!$DI6/(TRANSPOSE(Dists!$B5:$X5)*MMULT(1/Dists!$B5:$X5,Capacity!$DI$3:$DI$25)))</f>
        <v>5960.39651948567</v>
      </c>
      <c r="BW63" s="0"/>
      <c r="BX63" s="0"/>
      <c r="BY63" s="0"/>
      <c r="BZ63" s="0"/>
      <c r="CA63" s="0"/>
      <c r="CB63" s="0"/>
      <c r="CC63" s="0"/>
      <c r="CE63" s="4" t="n">
        <f aca="false" t="array" ref="CE63:CE63">SUM(Capacity!CY$3:CY$25*Capacity!$DH6/(TRANSPOSE(Dists!$B5:$X5)*MMULT(1/Dists!$B5:$X5,Capacity!$DH$3:$DH$25)))</f>
        <v>167.344645735298</v>
      </c>
      <c r="CG63" s="0"/>
      <c r="CH63" s="0"/>
      <c r="CI63" s="0"/>
      <c r="CJ63" s="0"/>
      <c r="CK63" s="0"/>
    </row>
    <row r="64" customFormat="false" ht="12.8" hidden="false" customHeight="false" outlineLevel="0" collapsed="false">
      <c r="A64" s="4" t="s">
        <v>139</v>
      </c>
      <c r="B64" s="7" t="s">
        <v>39</v>
      </c>
      <c r="C64" s="4" t="n">
        <f aca="false" t="array" ref="C64:C64">SUM(Capacity!S$3:S$25*Capacity!$DH7/(TRANSPOSE(Dists!$B6:$X6)*MMULT(1/Dists!$B6:$X6,Capacity!$DH$3:$DH$25)))</f>
        <v>6010.99064172839</v>
      </c>
      <c r="D64" s="4" t="n">
        <f aca="false" t="array" ref="D64:D64">SUM(Capacity!V$3:V$25*Capacity!$DH7/(TRANSPOSE(Dists!$B6:$X6)*MMULT(1/Dists!$B6:$X6,Capacity!$DH$3:$DH$25)))</f>
        <v>10733.5166297719</v>
      </c>
      <c r="E64" s="4" t="n">
        <f aca="false" t="array" ref="E64:E64">SUM(Capacity!Y$3:Y$25*Capacity!$DH7/(TRANSPOSE(Dists!$B6:$X6)*MMULT(1/Dists!$B6:$X6,Capacity!$DH$3:$DH$25)))</f>
        <v>15843.0048861292</v>
      </c>
      <c r="F64" s="4" t="n">
        <f aca="false" t="array" ref="F64:F64">SUM(Capacity!Z$3:Z$25*Capacity!$DH7/(TRANSPOSE(Dists!$B6:$X6)*MMULT(1/Dists!$B6:$X6,Capacity!$DH$3:$DH$25)))</f>
        <v>6648.17443807191</v>
      </c>
      <c r="G64" s="4" t="n">
        <f aca="false" t="array" ref="G64:G64">SUM(Capacity!AA$3:AA$25*Capacity!$DH7/(TRANSPOSE(Dists!$B6:$X6)*MMULT(1/Dists!$B6:$X6,Capacity!$DH$3:$DH$25)))</f>
        <v>71374.6306636777</v>
      </c>
      <c r="H64" s="4" t="n">
        <f aca="false" t="array" ref="H64:H64">SUM(Capacity!AB$3:AB$25*Capacity!$DI7/(TRANSPOSE(Dists!$B6:$X6)*MMULT(1/Dists!$B6:$X6,Capacity!$DI$3:$DI$25)))</f>
        <v>1955.1959653332</v>
      </c>
      <c r="I64" s="0"/>
      <c r="J64" s="0"/>
      <c r="K64" s="0"/>
      <c r="L64" s="0"/>
      <c r="M64" s="0"/>
      <c r="N64" s="4" t="n">
        <f aca="false" t="array" ref="N64:N64">SUM(Capacity!AH$3:AH$25*Capacity!$DH7/(TRANSPOSE(Dists!$B6:$X6)*MMULT(1/Dists!$B6:$X6,Capacity!$DH$3:$DH$25)))</f>
        <v>96290.1469320223</v>
      </c>
      <c r="O64" s="0"/>
      <c r="U64" s="0"/>
      <c r="V64" s="0"/>
      <c r="W64" s="0"/>
      <c r="X64" s="0"/>
      <c r="Y64" s="4" t="n">
        <f aca="false" t="array" ref="Y64:Y64">SUM(Capacity!AS$3:AS$25*Capacity!$DI7/(TRANSPOSE(Dists!$B6:$X6)*MMULT(1/Dists!$B6:$X6,Capacity!$DI$3:$DI$25)))</f>
        <v>253.416702412923</v>
      </c>
      <c r="Z64" s="4" t="n">
        <f aca="false" t="array" ref="Z64:Z64">SUM(Capacity!AT$3:AT$25*Capacity!$DH7/(TRANSPOSE(Dists!$B6:$X6)*MMULT(1/Dists!$B6:$X6,Capacity!$DH$3:$DH$25)))</f>
        <v>154815.979149495</v>
      </c>
      <c r="AA64" s="4" t="n">
        <f aca="false" t="array" ref="AA64:AA64">SUM(Capacity!AU$3:AU$25*Capacity!$DI7/(TRANSPOSE(Dists!$B6:$X6)*MMULT(1/Dists!$B6:$X6,Capacity!$DI$3:$DI$25)))</f>
        <v>4708.07019644488</v>
      </c>
      <c r="AB64" s="4" t="n">
        <f aca="false" t="array" ref="AB64:AB64">SUM(Capacity!AV$3:AV$25*Capacity!$DI7/(TRANSPOSE(Dists!$B6:$X6)*MMULT(1/Dists!$B6:$X6,Capacity!$DI$3:$DI$25)))</f>
        <v>1961.69591518537</v>
      </c>
      <c r="AC64" s="4" t="n">
        <f aca="false" t="array" ref="AC64:AC64">SUM(Capacity!AW$3:AW$25*Capacity!$DH7/(TRANSPOSE(Dists!$B6:$X6)*MMULT(1/Dists!$B6:$X6,Capacity!$DH$3:$DH$25)))</f>
        <v>172.275767211818</v>
      </c>
      <c r="AD64" s="4" t="n">
        <f aca="false" t="array" ref="AD64:AD64">SUM(Capacity!AX$3:AX$25*Capacity!$DI7/(TRANSPOSE(Dists!$B6:$X6)*MMULT(1/Dists!$B6:$X6,Capacity!$DI$3:$DI$25)))</f>
        <v>32.3679826005586</v>
      </c>
      <c r="AE64" s="4" t="n">
        <f aca="false" t="array" ref="AE64:AE64">SUM(Capacity!AY$3:AY$25*Capacity!$DI7/(TRANSPOSE(Dists!$B6:$X6)*MMULT(1/Dists!$B6:$X6,Capacity!$DI$3:$DI$25)))</f>
        <v>22.5987369429354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4" t="n">
        <f aca="false" t="array" ref="AW64:AW64">SUM(Capacity!BQ$3:BQ$25*Capacity!$DH7/(TRANSPOSE(Dists!$B6:$X6)*MMULT(1/Dists!$B6:$X6,Capacity!$DH$3:$DH$25)))</f>
        <v>593.974362373408</v>
      </c>
      <c r="AX64" s="0"/>
      <c r="AY64" s="4" t="n">
        <f aca="false" t="array" ref="AY64:AY64">SUM(Capacity!BS$3:BS$25*Capacity!$DH7/(TRANSPOSE(Dists!$B6:$X6)*MMULT(1/Dists!$B6:$X6,Capacity!$DH$3:$DH$25)))</f>
        <v>12.2471747130415</v>
      </c>
      <c r="AZ64" s="4" t="n">
        <f aca="false" t="array" ref="AZ64:AZ64">SUM(Capacity!BT$3:BT$25*Capacity!$DH7/(TRANSPOSE(Dists!$B6:$X6)*MMULT(1/Dists!$B6:$X6,Capacity!$DH$3:$DH$25)))</f>
        <v>17.2225894402146</v>
      </c>
      <c r="BA64" s="0"/>
      <c r="BB64" s="4" t="n">
        <f aca="false" t="array" ref="BB64:BB64">SUM(Capacity!BV$3:BV$25*Capacity!$DI7/(TRANSPOSE(Dists!$B6:$X6)*MMULT(1/Dists!$B6:$X6,Capacity!$DI$3:$DI$25)))</f>
        <v>79.095579300274</v>
      </c>
      <c r="BC64" s="4" t="n">
        <f aca="false" t="array" ref="BC64:BC64">SUM(Capacity!BW$3:BW$25*Capacity!$DI7/(TRANSPOSE(Dists!$B6:$X6)*MMULT(1/Dists!$B6:$X6,Capacity!$DI$3:$DI$25)))</f>
        <v>67.7962108288063</v>
      </c>
      <c r="BD64" s="4" t="n">
        <f aca="false" t="array" ref="BD64:BD64">SUM(Capacity!BX$3:BX$25*Capacity!$DI7/(TRANSPOSE(Dists!$B6:$X6)*MMULT(1/Dists!$B6:$X6,Capacity!$DI$3:$DI$25)))</f>
        <v>33.8981054144031</v>
      </c>
      <c r="BE64" s="4" t="n">
        <f aca="false" t="array" ref="BE64:BE64">SUM(Capacity!BY$3:BY$25*Capacity!$DI7/(TRANSPOSE(Dists!$B6:$X6)*MMULT(1/Dists!$B6:$X6,Capacity!$DI$3:$DI$25)))</f>
        <v>19.7738948250685</v>
      </c>
      <c r="BF64" s="4" t="n">
        <f aca="false" t="array" ref="BF64:BF64">SUM(Capacity!BZ$3:BZ$25*Capacity!$DH7/(TRANSPOSE(Dists!$B6:$X6)*MMULT(1/Dists!$B6:$X6,Capacity!$DH$3:$DH$25)))</f>
        <v>89096.1543560111</v>
      </c>
      <c r="BG64" s="4" t="n">
        <f aca="false" t="array" ref="BG64:BG64">SUM(Capacity!CA$3:CA$25*Capacity!$DI7/(TRANSPOSE(Dists!$B6:$X6)*MMULT(1/Dists!$B6:$X6,Capacity!$DI$3:$DI$25)))</f>
        <v>1753.62180168209</v>
      </c>
      <c r="BH64" s="4" t="n">
        <f aca="false" t="array" ref="BH64:BH64">SUM(Capacity!CB$3:CB$25*Capacity!$DI7/(TRANSPOSE(Dists!$B6:$X6)*MMULT(1/Dists!$B6:$X6,Capacity!$DI$3:$DI$25)))</f>
        <v>2316.10850495647</v>
      </c>
      <c r="BI64" s="4" t="n">
        <f aca="false" t="array" ref="BI64:BI64">SUM(Capacity!CC$3:CC$25*Capacity!$DI7/(TRANSPOSE(Dists!$B6:$X6)*MMULT(1/Dists!$B6:$X6,Capacity!$DI$3:$DI$25)))</f>
        <v>4676.32480448557</v>
      </c>
      <c r="BJ64" s="0"/>
      <c r="BK64" s="4" t="n">
        <f aca="false" t="array" ref="BK64:BK64">SUM(Capacity!CE$3:CE$25*Capacity!$DI7/(TRANSPOSE(Dists!$B6:$X6)*MMULT(1/Dists!$B6:$X6,Capacity!$DI$3:$DI$25)))</f>
        <v>2338.16240224279</v>
      </c>
      <c r="BL64" s="0"/>
      <c r="BM64" s="0"/>
      <c r="BN64" s="4" t="n">
        <f aca="false" t="array" ref="BN64:BN64">SUM(Capacity!CH$3:CH$25*Capacity!$DH7/(TRANSPOSE(Dists!$B6:$X6)*MMULT(1/Dists!$B6:$X6,Capacity!$DH$3:$DH$25)))</f>
        <v>1926677.82963895</v>
      </c>
      <c r="BO64" s="4" t="n">
        <f aca="false" t="array" ref="BO64:BO64">SUM(Capacity!CI$3:CI$25*Capacity!$DH7/(TRANSPOSE(Dists!$B6:$X6)*MMULT(1/Dists!$B6:$X6,Capacity!$DH$3:$DH$25)))</f>
        <v>3853.35630462917</v>
      </c>
      <c r="BP64" s="4" t="n">
        <f aca="false" t="array" ref="BP64:BP64">SUM(Capacity!CJ$3:CJ$25*Capacity!$DH7/(TRANSPOSE(Dists!$B6:$X6)*MMULT(1/Dists!$B6:$X6,Capacity!$DH$3:$DH$25)))</f>
        <v>449558.160744849</v>
      </c>
      <c r="BQ64" s="4" t="n">
        <f aca="false" t="array" ref="BQ64:BQ64">SUM(Capacity!CK$3:CK$25*Capacity!$DH7/(TRANSPOSE(Dists!$B6:$X6)*MMULT(1/Dists!$B6:$X6,Capacity!$DH$3:$DH$25)))</f>
        <v>417446.863594978</v>
      </c>
      <c r="BR64" s="4" t="n">
        <f aca="false" t="array" ref="BR64:BR64">SUM(Capacity!CL$3:CL$25*Capacity!$DH7/(TRANSPOSE(Dists!$B6:$X6)*MMULT(1/Dists!$B6:$X6,Capacity!$DH$3:$DH$25)))</f>
        <v>1284.45253263943</v>
      </c>
      <c r="BS64" s="4" t="n">
        <f aca="false" t="array" ref="BS64:BS64">SUM(Capacity!CM$3:CM$25*Capacity!$DH7/(TRANSPOSE(Dists!$B6:$X6)*MMULT(1/Dists!$B6:$X6,Capacity!$DH$3:$DH$25)))</f>
        <v>642.226589641993</v>
      </c>
      <c r="BT64" s="4" t="n">
        <f aca="false" t="array" ref="BT64:BT64">SUM(Capacity!CN$3:CN$25*Capacity!$DI7/(TRANSPOSE(Dists!$B6:$X6)*MMULT(1/Dists!$B6:$X6,Capacity!$DI$3:$DI$25)))</f>
        <v>172629.240536312</v>
      </c>
      <c r="BU64" s="4" t="n">
        <f aca="false" t="array" ref="BU64:BU64">SUM(Capacity!CO$3:CO$25*Capacity!$DI7/(TRANSPOSE(Dists!$B6:$X6)*MMULT(1/Dists!$B6:$X6,Capacity!$DI$3:$DI$25)))</f>
        <v>18832.2807857795</v>
      </c>
      <c r="BV64" s="4" t="n">
        <f aca="false" t="array" ref="BV64:BV64">SUM(Capacity!CP$3:CP$25*Capacity!$DI7/(TRANSPOSE(Dists!$B6:$X6)*MMULT(1/Dists!$B6:$X6,Capacity!$DI$3:$DI$25)))</f>
        <v>2197.09942500761</v>
      </c>
      <c r="BW64" s="0"/>
      <c r="BX64" s="0"/>
      <c r="BY64" s="0"/>
      <c r="BZ64" s="0"/>
      <c r="CA64" s="0"/>
      <c r="CB64" s="0"/>
      <c r="CC64" s="0"/>
      <c r="CE64" s="4" t="n">
        <f aca="false" t="array" ref="CE64:CE64">SUM(Capacity!CY$3:CY$25*Capacity!$DH7/(TRANSPOSE(Dists!$B6:$X6)*MMULT(1/Dists!$B6:$X6,Capacity!$DH$3:$DH$25)))</f>
        <v>111.370192945014</v>
      </c>
      <c r="CG64" s="0"/>
      <c r="CH64" s="0"/>
      <c r="CI64" s="0"/>
      <c r="CJ64" s="0"/>
      <c r="CK64" s="0"/>
    </row>
    <row r="65" customFormat="false" ht="12.8" hidden="false" customHeight="false" outlineLevel="0" collapsed="false">
      <c r="A65" s="4" t="s">
        <v>140</v>
      </c>
      <c r="B65" s="7" t="s">
        <v>39</v>
      </c>
      <c r="C65" s="4" t="n">
        <f aca="false" t="array" ref="C65:C65">SUM(Capacity!S$3:S$25*Capacity!$DH8/(TRANSPOSE(Dists!$B7:$X7)*MMULT(1/Dists!$B7:$X7,Capacity!$DH$3:$DH$25)))</f>
        <v>4065.48129766258</v>
      </c>
      <c r="D65" s="4" t="n">
        <f aca="false" t="array" ref="D65:D65">SUM(Capacity!V$3:V$25*Capacity!$DH8/(TRANSPOSE(Dists!$B7:$X7)*MMULT(1/Dists!$B7:$X7,Capacity!$DH$3:$DH$25)))</f>
        <v>7349.79018838618</v>
      </c>
      <c r="E65" s="4" t="n">
        <f aca="false" t="array" ref="E65:E65">SUM(Capacity!Y$3:Y$25*Capacity!$DH8/(TRANSPOSE(Dists!$B7:$X7)*MMULT(1/Dists!$B7:$X7,Capacity!$DH$3:$DH$25)))</f>
        <v>10651.8781456771</v>
      </c>
      <c r="F65" s="4" t="n">
        <f aca="false" t="array" ref="F65:F65">SUM(Capacity!Z$3:Z$25*Capacity!$DH8/(TRANSPOSE(Dists!$B7:$X7)*MMULT(1/Dists!$B7:$X7,Capacity!$DH$3:$DH$25)))</f>
        <v>4444.49668387254</v>
      </c>
      <c r="G65" s="4" t="n">
        <f aca="false" t="array" ref="G65:G65">SUM(Capacity!AA$3:AA$25*Capacity!$DH8/(TRANSPOSE(Dists!$B7:$X7)*MMULT(1/Dists!$B7:$X7,Capacity!$DH$3:$DH$25)))</f>
        <v>49013.5103648964</v>
      </c>
      <c r="H65" s="4" t="n">
        <f aca="false" t="array" ref="H65:H65">SUM(Capacity!AB$3:AB$25*Capacity!$DI8/(TRANSPOSE(Dists!$B7:$X7)*MMULT(1/Dists!$B7:$X7,Capacity!$DI$3:$DI$25)))</f>
        <v>2828.0392266512</v>
      </c>
      <c r="I65" s="0"/>
      <c r="J65" s="0"/>
      <c r="K65" s="0"/>
      <c r="L65" s="0"/>
      <c r="M65" s="0"/>
      <c r="N65" s="4" t="n">
        <f aca="false" t="array" ref="N65:N65">SUM(Capacity!AH$3:AH$25*Capacity!$DH8/(TRANSPOSE(Dists!$B7:$X7)*MMULT(1/Dists!$B7:$X7,Capacity!$DH$3:$DH$25)))</f>
        <v>65805.7871328</v>
      </c>
      <c r="O65" s="0"/>
      <c r="U65" s="0"/>
      <c r="V65" s="0"/>
      <c r="W65" s="0"/>
      <c r="X65" s="0"/>
      <c r="Y65" s="4" t="n">
        <f aca="false" t="array" ref="Y65:Y65">SUM(Capacity!AS$3:AS$25*Capacity!$DI8/(TRANSPOSE(Dists!$B7:$X7)*MMULT(1/Dists!$B7:$X7,Capacity!$DI$3:$DI$25)))</f>
        <v>354.401079036539</v>
      </c>
      <c r="Z65" s="4" t="n">
        <f aca="false" t="array" ref="Z65:Z65">SUM(Capacity!AT$3:AT$25*Capacity!$DH8/(TRANSPOSE(Dists!$B7:$X7)*MMULT(1/Dists!$B7:$X7,Capacity!$DH$3:$DH$25)))</f>
        <v>115423.787597354</v>
      </c>
      <c r="AA65" s="4" t="n">
        <f aca="false" t="array" ref="AA65:AA65">SUM(Capacity!AU$3:AU$25*Capacity!$DI8/(TRANSPOSE(Dists!$B7:$X7)*MMULT(1/Dists!$B7:$X7,Capacity!$DI$3:$DI$25)))</f>
        <v>6688.59283083389</v>
      </c>
      <c r="AB65" s="4" t="n">
        <f aca="false" t="array" ref="AB65:AB65">SUM(Capacity!AV$3:AV$25*Capacity!$DI8/(TRANSPOSE(Dists!$B7:$X7)*MMULT(1/Dists!$B7:$X7,Capacity!$DI$3:$DI$25)))</f>
        <v>2786.91367951412</v>
      </c>
      <c r="AC65" s="4" t="n">
        <f aca="false" t="array" ref="AC65:AC65">SUM(Capacity!AW$3:AW$25*Capacity!$DH8/(TRANSPOSE(Dists!$B7:$X7)*MMULT(1/Dists!$B7:$X7,Capacity!$DH$3:$DH$25)))</f>
        <v>118.86926412405</v>
      </c>
      <c r="AD65" s="4" t="n">
        <f aca="false" t="array" ref="AD65:AD65">SUM(Capacity!AX$3:AX$25*Capacity!$DI8/(TRANSPOSE(Dists!$B7:$X7)*MMULT(1/Dists!$B7:$X7,Capacity!$DI$3:$DI$25)))</f>
        <v>45.984075711983</v>
      </c>
      <c r="AE65" s="4" t="n">
        <f aca="false" t="array" ref="AE65:AE65">SUM(Capacity!AY$3:AY$25*Capacity!$DI8/(TRANSPOSE(Dists!$B7:$X7)*MMULT(1/Dists!$B7:$X7,Capacity!$DI$3:$DI$25)))</f>
        <v>32.1052455880026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4" t="n">
        <f aca="false" t="array" ref="AW65:AW65">SUM(Capacity!BQ$3:BQ$25*Capacity!$DH8/(TRANSPOSE(Dists!$B7:$X7)*MMULT(1/Dists!$B7:$X7,Capacity!$DH$3:$DH$25)))</f>
        <v>409.838809639821</v>
      </c>
      <c r="AX65" s="0"/>
      <c r="AY65" s="4" t="n">
        <f aca="false" t="array" ref="AY65:AY65">SUM(Capacity!BS$3:BS$25*Capacity!$DH8/(TRANSPOSE(Dists!$B7:$X7)*MMULT(1/Dists!$B7:$X7,Capacity!$DH$3:$DH$25)))</f>
        <v>8.44204383528159</v>
      </c>
      <c r="AZ65" s="4" t="n">
        <f aca="false" t="array" ref="AZ65:AZ65">SUM(Capacity!BT$3:BT$25*Capacity!$DH8/(TRANSPOSE(Dists!$B7:$X7)*MMULT(1/Dists!$B7:$X7,Capacity!$DH$3:$DH$25)))</f>
        <v>11.8716241433647</v>
      </c>
      <c r="BA65" s="0"/>
      <c r="BB65" s="4" t="n">
        <f aca="false" t="array" ref="BB65:BB65">SUM(Capacity!BV$3:BV$25*Capacity!$DI8/(TRANSPOSE(Dists!$B7:$X7)*MMULT(1/Dists!$B7:$X7,Capacity!$DI$3:$DI$25)))</f>
        <v>112.368359558009</v>
      </c>
      <c r="BC65" s="4" t="n">
        <f aca="false" t="array" ref="BC65:BC65">SUM(Capacity!BW$3:BW$25*Capacity!$DI8/(TRANSPOSE(Dists!$B7:$X7)*MMULT(1/Dists!$B7:$X7,Capacity!$DI$3:$DI$25)))</f>
        <v>96.3157367640081</v>
      </c>
      <c r="BD65" s="4" t="n">
        <f aca="false" t="array" ref="BD65:BD65">SUM(Capacity!BX$3:BX$25*Capacity!$DI8/(TRANSPOSE(Dists!$B7:$X7)*MMULT(1/Dists!$B7:$X7,Capacity!$DI$3:$DI$25)))</f>
        <v>48.1578683820039</v>
      </c>
      <c r="BE65" s="4" t="n">
        <f aca="false" t="array" ref="BE65:BE65">SUM(Capacity!BY$3:BY$25*Capacity!$DI8/(TRANSPOSE(Dists!$B7:$X7)*MMULT(1/Dists!$B7:$X7,Capacity!$DI$3:$DI$25)))</f>
        <v>28.0920898895023</v>
      </c>
      <c r="BF65" s="4" t="n">
        <f aca="false" t="array" ref="BF65:BF65">SUM(Capacity!BZ$3:BZ$25*Capacity!$DH8/(TRANSPOSE(Dists!$B7:$X7)*MMULT(1/Dists!$B7:$X7,Capacity!$DH$3:$DH$25)))</f>
        <v>61475.8214459731</v>
      </c>
      <c r="BG65" s="4" t="n">
        <f aca="false" t="array" ref="BG65:BG65">SUM(Capacity!CA$3:CA$25*Capacity!$DI8/(TRANSPOSE(Dists!$B7:$X7)*MMULT(1/Dists!$B7:$X7,Capacity!$DI$3:$DI$25)))</f>
        <v>2493.79906415371</v>
      </c>
      <c r="BH65" s="4" t="n">
        <f aca="false" t="array" ref="BH65:BH65">SUM(Capacity!CB$3:CB$25*Capacity!$DI8/(TRANSPOSE(Dists!$B7:$X7)*MMULT(1/Dists!$B7:$X7,Capacity!$DI$3:$DI$25)))</f>
        <v>3481.51846712322</v>
      </c>
      <c r="BI65" s="4" t="n">
        <f aca="false" t="array" ref="BI65:BI65">SUM(Capacity!CC$3:CC$25*Capacity!$DI8/(TRANSPOSE(Dists!$B7:$X7)*MMULT(1/Dists!$B7:$X7,Capacity!$DI$3:$DI$25)))</f>
        <v>6650.13083774322</v>
      </c>
      <c r="BJ65" s="0"/>
      <c r="BK65" s="4" t="n">
        <f aca="false" t="array" ref="BK65:BK65">SUM(Capacity!CE$3:CE$25*Capacity!$DI8/(TRANSPOSE(Dists!$B7:$X7)*MMULT(1/Dists!$B7:$X7,Capacity!$DI$3:$DI$25)))</f>
        <v>3325.06541887161</v>
      </c>
      <c r="BL65" s="0"/>
      <c r="BM65" s="0"/>
      <c r="BN65" s="4" t="n">
        <f aca="false" t="array" ref="BN65:BN65">SUM(Capacity!CH$3:CH$25*Capacity!$DH8/(TRANSPOSE(Dists!$B7:$X7)*MMULT(1/Dists!$B7:$X7,Capacity!$DH$3:$DH$25)))</f>
        <v>1234311.15276069</v>
      </c>
      <c r="BO65" s="4" t="n">
        <f aca="false" t="array" ref="BO65:BO65">SUM(Capacity!CI$3:CI$25*Capacity!$DH8/(TRANSPOSE(Dists!$B7:$X7)*MMULT(1/Dists!$B7:$X7,Capacity!$DH$3:$DH$25)))</f>
        <v>2468.62278477299</v>
      </c>
      <c r="BP65" s="4" t="n">
        <f aca="false" t="array" ref="BP65:BP65">SUM(Capacity!CJ$3:CJ$25*Capacity!$DH8/(TRANSPOSE(Dists!$B7:$X7)*MMULT(1/Dists!$B7:$X7,Capacity!$DH$3:$DH$25)))</f>
        <v>288005.936012323</v>
      </c>
      <c r="BQ65" s="4" t="n">
        <f aca="false" t="array" ref="BQ65:BQ65">SUM(Capacity!CK$3:CK$25*Capacity!$DH8/(TRANSPOSE(Dists!$B7:$X7)*MMULT(1/Dists!$B7:$X7,Capacity!$DH$3:$DH$25)))</f>
        <v>267434.083474315</v>
      </c>
      <c r="BR65" s="4" t="n">
        <f aca="false" t="array" ref="BR65:BR65">SUM(Capacity!CL$3:CL$25*Capacity!$DH8/(TRANSPOSE(Dists!$B7:$X7)*MMULT(1/Dists!$B7:$X7,Capacity!$DH$3:$DH$25)))</f>
        <v>822.874581732352</v>
      </c>
      <c r="BS65" s="4" t="n">
        <f aca="false" t="array" ref="BS65:BS65">SUM(Capacity!CM$3:CM$25*Capacity!$DH8/(TRANSPOSE(Dists!$B7:$X7)*MMULT(1/Dists!$B7:$X7,Capacity!$DH$3:$DH$25)))</f>
        <v>411.437530972194</v>
      </c>
      <c r="BT65" s="4" t="n">
        <f aca="false" t="array" ref="BT65:BT65">SUM(Capacity!CN$3:CN$25*Capacity!$DI8/(TRANSPOSE(Dists!$B7:$X7)*MMULT(1/Dists!$B7:$X7,Capacity!$DI$3:$DI$25)))</f>
        <v>245248.403797243</v>
      </c>
      <c r="BU65" s="4" t="n">
        <f aca="false" t="array" ref="BU65:BU65">SUM(Capacity!CO$3:CO$25*Capacity!$DI8/(TRANSPOSE(Dists!$B7:$X7)*MMULT(1/Dists!$B7:$X7,Capacity!$DI$3:$DI$25)))</f>
        <v>26754.3713233356</v>
      </c>
      <c r="BV65" s="4" t="n">
        <f aca="false" t="array" ref="BV65:BV65">SUM(Capacity!CP$3:CP$25*Capacity!$DI8/(TRANSPOSE(Dists!$B7:$X7)*MMULT(1/Dists!$B7:$X7,Capacity!$DI$3:$DI$25)))</f>
        <v>3121.34332105581</v>
      </c>
      <c r="BW65" s="0"/>
      <c r="BX65" s="0"/>
      <c r="BY65" s="0"/>
      <c r="BZ65" s="0"/>
      <c r="CA65" s="0"/>
      <c r="CB65" s="0"/>
      <c r="CC65" s="0"/>
      <c r="CE65" s="4" t="n">
        <f aca="false" t="array" ref="CE65:CE65">SUM(Capacity!CY$3:CY$25*Capacity!$DH8/(TRANSPOSE(Dists!$B7:$X7)*MMULT(1/Dists!$B7:$X7,Capacity!$DH$3:$DH$25)))</f>
        <v>76.8447768074664</v>
      </c>
      <c r="CG65" s="0"/>
      <c r="CH65" s="0"/>
      <c r="CI65" s="0"/>
      <c r="CJ65" s="0"/>
      <c r="CK65" s="0"/>
    </row>
    <row r="66" customFormat="false" ht="12.8" hidden="false" customHeight="false" outlineLevel="0" collapsed="false">
      <c r="A66" s="4" t="s">
        <v>141</v>
      </c>
      <c r="B66" s="7" t="s">
        <v>39</v>
      </c>
      <c r="C66" s="4" t="n">
        <f aca="false" t="array" ref="C66:C66">SUM(Capacity!S$3:S$25*Capacity!$DH9/(TRANSPOSE(Dists!$B8:$X8)*MMULT(1/Dists!$B8:$X8,Capacity!$DH$3:$DH$25)))</f>
        <v>6379.88393442289</v>
      </c>
      <c r="D66" s="4" t="n">
        <f aca="false" t="array" ref="D66:D66">SUM(Capacity!V$3:V$25*Capacity!$DH9/(TRANSPOSE(Dists!$B8:$X8)*MMULT(1/Dists!$B8:$X8,Capacity!$DH$3:$DH$25)))</f>
        <v>12195.9410090934</v>
      </c>
      <c r="E66" s="4" t="n">
        <f aca="false" t="array" ref="E66:E66">SUM(Capacity!Y$3:Y$25*Capacity!$DH9/(TRANSPOSE(Dists!$B8:$X8)*MMULT(1/Dists!$B8:$X8,Capacity!$DH$3:$DH$25)))</f>
        <v>14919.6012526461</v>
      </c>
      <c r="F66" s="4" t="n">
        <f aca="false" t="array" ref="F66:F66">SUM(Capacity!Z$3:Z$25*Capacity!$DH9/(TRANSPOSE(Dists!$B8:$X8)*MMULT(1/Dists!$B8:$X8,Capacity!$DH$3:$DH$25)))</f>
        <v>5503.07454390204</v>
      </c>
      <c r="G66" s="4" t="n">
        <f aca="false" t="array" ref="G66:G66">SUM(Capacity!AA$3:AA$25*Capacity!$DH9/(TRANSPOSE(Dists!$B8:$X8)*MMULT(1/Dists!$B8:$X8,Capacity!$DH$3:$DH$25)))</f>
        <v>82342.3421936221</v>
      </c>
      <c r="H66" s="4" t="n">
        <f aca="false" t="array" ref="H66:H66">SUM(Capacity!AB$3:AB$25*Capacity!$DI9/(TRANSPOSE(Dists!$B8:$X8)*MMULT(1/Dists!$B8:$X8,Capacity!$DI$3:$DI$25)))</f>
        <v>4208.52674168013</v>
      </c>
      <c r="I66" s="0"/>
      <c r="J66" s="0"/>
      <c r="K66" s="0"/>
      <c r="L66" s="0"/>
      <c r="M66" s="0"/>
      <c r="N66" s="4" t="n">
        <f aca="false" t="array" ref="N66:N66">SUM(Capacity!AH$3:AH$25*Capacity!$DH9/(TRANSPOSE(Dists!$B8:$X8)*MMULT(1/Dists!$B8:$X8,Capacity!$DH$3:$DH$25)))</f>
        <v>108504.483811959</v>
      </c>
      <c r="O66" s="0"/>
      <c r="U66" s="0"/>
      <c r="V66" s="0"/>
      <c r="W66" s="0"/>
      <c r="X66" s="0"/>
      <c r="Y66" s="4" t="n">
        <f aca="false" t="array" ref="Y66:Y66">SUM(Capacity!AS$3:AS$25*Capacity!$DI9/(TRANSPOSE(Dists!$B8:$X8)*MMULT(1/Dists!$B8:$X8,Capacity!$DI$3:$DI$25)))</f>
        <v>428.186987689094</v>
      </c>
      <c r="Z66" s="4" t="n">
        <f aca="false" t="array" ref="Z66:Z66">SUM(Capacity!AT$3:AT$25*Capacity!$DH9/(TRANSPOSE(Dists!$B8:$X8)*MMULT(1/Dists!$B8:$X8,Capacity!$DH$3:$DH$25)))</f>
        <v>208274.868352531</v>
      </c>
      <c r="AA66" s="4" t="n">
        <f aca="false" t="array" ref="AA66:AA66">SUM(Capacity!AU$3:AU$25*Capacity!$DI9/(TRANSPOSE(Dists!$B8:$X8)*MMULT(1/Dists!$B8:$X8,Capacity!$DI$3:$DI$25)))</f>
        <v>8967.99423751488</v>
      </c>
      <c r="AB66" s="4" t="n">
        <f aca="false" t="array" ref="AB66:AB66">SUM(Capacity!AV$3:AV$25*Capacity!$DI9/(TRANSPOSE(Dists!$B8:$X8)*MMULT(1/Dists!$B8:$X8,Capacity!$DI$3:$DI$25)))</f>
        <v>3736.6642656312</v>
      </c>
      <c r="AC66" s="4" t="n">
        <f aca="false" t="array" ref="AC66:AC66">SUM(Capacity!AW$3:AW$25*Capacity!$DH9/(TRANSPOSE(Dists!$B8:$X8)*MMULT(1/Dists!$B8:$X8,Capacity!$DH$3:$DH$25)))</f>
        <v>199.117168497605</v>
      </c>
      <c r="AD66" s="4" t="n">
        <f aca="false" t="array" ref="AD66:AD66">SUM(Capacity!AX$3:AX$25*Capacity!$DI9/(TRANSPOSE(Dists!$B8:$X8)*MMULT(1/Dists!$B8:$X8,Capacity!$DI$3:$DI$25)))</f>
        <v>61.6549603829148</v>
      </c>
      <c r="AE66" s="4" t="n">
        <f aca="false" t="array" ref="AE66:AE66">SUM(Capacity!AY$3:AY$25*Capacity!$DI9/(TRANSPOSE(Dists!$B8:$X8)*MMULT(1/Dists!$B8:$X8,Capacity!$DI$3:$DI$25)))</f>
        <v>43.0463723400714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4" t="n">
        <f aca="false" t="array" ref="AW66:AW66">SUM(Capacity!BQ$3:BQ$25*Capacity!$DH9/(TRANSPOSE(Dists!$B8:$X8)*MMULT(1/Dists!$B8:$X8,Capacity!$DH$3:$DH$25)))</f>
        <v>686.518453001842</v>
      </c>
      <c r="AX66" s="0"/>
      <c r="AY66" s="4" t="n">
        <f aca="false" t="array" ref="AY66:AY66">SUM(Capacity!BS$3:BS$25*Capacity!$DH9/(TRANSPOSE(Dists!$B8:$X8)*MMULT(1/Dists!$B8:$X8,Capacity!$DH$3:$DH$25)))</f>
        <v>14.0587645835373</v>
      </c>
      <c r="AZ66" s="4" t="n">
        <f aca="false" t="array" ref="AZ66:AZ66">SUM(Capacity!BT$3:BT$25*Capacity!$DH9/(TRANSPOSE(Dists!$B8:$X8)*MMULT(1/Dists!$B8:$X8,Capacity!$DH$3:$DH$25)))</f>
        <v>19.7701376955994</v>
      </c>
      <c r="BA66" s="0"/>
      <c r="BB66" s="4" t="n">
        <f aca="false" t="array" ref="BB66:BB66">SUM(Capacity!BV$3:BV$25*Capacity!$DI9/(TRANSPOSE(Dists!$B8:$X8)*MMULT(1/Dists!$B8:$X8,Capacity!$DI$3:$DI$25)))</f>
        <v>150.66230319025</v>
      </c>
      <c r="BC66" s="4" t="n">
        <f aca="false" t="array" ref="BC66:BC66">SUM(Capacity!BW$3:BW$25*Capacity!$DI9/(TRANSPOSE(Dists!$B8:$X8)*MMULT(1/Dists!$B8:$X8,Capacity!$DI$3:$DI$25)))</f>
        <v>129.139117020214</v>
      </c>
      <c r="BD66" s="4" t="n">
        <f aca="false" t="array" ref="BD66:BD66">SUM(Capacity!BX$3:BX$25*Capacity!$DI9/(TRANSPOSE(Dists!$B8:$X8)*MMULT(1/Dists!$B8:$X8,Capacity!$DI$3:$DI$25)))</f>
        <v>64.5695585101071</v>
      </c>
      <c r="BE66" s="4" t="n">
        <f aca="false" t="array" ref="BE66:BE66">SUM(Capacity!BY$3:BY$25*Capacity!$DI9/(TRANSPOSE(Dists!$B8:$X8)*MMULT(1/Dists!$B8:$X8,Capacity!$DI$3:$DI$25)))</f>
        <v>37.6655757975625</v>
      </c>
      <c r="BF66" s="4" t="n">
        <f aca="false" t="array" ref="BF66:BF66">SUM(Capacity!BZ$3:BZ$25*Capacity!$DH9/(TRANSPOSE(Dists!$B8:$X8)*MMULT(1/Dists!$B8:$X8,Capacity!$DH$3:$DH$25)))</f>
        <v>102977.767950276</v>
      </c>
      <c r="BG66" s="4" t="n">
        <f aca="false" t="array" ref="BG66:BG66">SUM(Capacity!CA$3:CA$25*Capacity!$DI9/(TRANSPOSE(Dists!$B8:$X8)*MMULT(1/Dists!$B8:$X8,Capacity!$DI$3:$DI$25)))</f>
        <v>3363.26894394147</v>
      </c>
      <c r="BH66" s="4" t="n">
        <f aca="false" t="array" ref="BH66:BH66">SUM(Capacity!CB$3:CB$25*Capacity!$DI9/(TRANSPOSE(Dists!$B8:$X8)*MMULT(1/Dists!$B8:$X8,Capacity!$DI$3:$DI$25)))</f>
        <v>4999.17913790092</v>
      </c>
      <c r="BI66" s="4" t="n">
        <f aca="false" t="array" ref="BI66:BI66">SUM(Capacity!CC$3:CC$25*Capacity!$DI9/(TRANSPOSE(Dists!$B8:$X8)*MMULT(1/Dists!$B8:$X8,Capacity!$DI$3:$DI$25)))</f>
        <v>8968.71718384393</v>
      </c>
      <c r="BJ66" s="0"/>
      <c r="BK66" s="4" t="n">
        <f aca="false" t="array" ref="BK66:BK66">SUM(Capacity!CE$3:CE$25*Capacity!$DI9/(TRANSPOSE(Dists!$B8:$X8)*MMULT(1/Dists!$B8:$X8,Capacity!$DI$3:$DI$25)))</f>
        <v>4484.35859192197</v>
      </c>
      <c r="BL66" s="0"/>
      <c r="BM66" s="0"/>
      <c r="BN66" s="4" t="n">
        <f aca="false" t="array" ref="BN66:BN66">SUM(Capacity!CH$3:CH$25*Capacity!$DH9/(TRANSPOSE(Dists!$B8:$X8)*MMULT(1/Dists!$B8:$X8,Capacity!$DH$3:$DH$25)))</f>
        <v>568364.365424567</v>
      </c>
      <c r="BO66" s="4" t="n">
        <f aca="false" t="array" ref="BO66:BO66">SUM(Capacity!CI$3:CI$25*Capacity!$DH9/(TRANSPOSE(Dists!$B8:$X8)*MMULT(1/Dists!$B8:$X8,Capacity!$DH$3:$DH$25)))</f>
        <v>1136.72953616255</v>
      </c>
      <c r="BP66" s="4" t="n">
        <f aca="false" t="array" ref="BP66:BP66">SUM(Capacity!CJ$3:CJ$25*Capacity!$DH9/(TRANSPOSE(Dists!$B8:$X8)*MMULT(1/Dists!$B8:$X8,Capacity!$DH$3:$DH$25)))</f>
        <v>132618.352551043</v>
      </c>
      <c r="BQ66" s="4" t="n">
        <f aca="false" t="array" ref="BQ66:BQ66">SUM(Capacity!CK$3:CK$25*Capacity!$DH9/(TRANSPOSE(Dists!$B8:$X8)*MMULT(1/Dists!$B8:$X8,Capacity!$DH$3:$DH$25)))</f>
        <v>123145.613140749</v>
      </c>
      <c r="BR66" s="4" t="n">
        <f aca="false" t="array" ref="BR66:BR66">SUM(Capacity!CL$3:CL$25*Capacity!$DH9/(TRANSPOSE(Dists!$B8:$X8)*MMULT(1/Dists!$B8:$X8,Capacity!$DH$3:$DH$25)))</f>
        <v>378.910383339031</v>
      </c>
      <c r="BS66" s="4" t="n">
        <f aca="false" t="array" ref="BS66:BS66">SUM(Capacity!CM$3:CM$25*Capacity!$DH9/(TRANSPOSE(Dists!$B8:$X8)*MMULT(1/Dists!$B8:$X8,Capacity!$DH$3:$DH$25)))</f>
        <v>189.455595133151</v>
      </c>
      <c r="BT66" s="4" t="n">
        <f aca="false" t="array" ref="BT66:BT66">SUM(Capacity!CN$3:CN$25*Capacity!$DI9/(TRANSPOSE(Dists!$B8:$X8)*MMULT(1/Dists!$B8:$X8,Capacity!$DI$3:$DI$25)))</f>
        <v>328826.455375546</v>
      </c>
      <c r="BU66" s="4" t="n">
        <f aca="false" t="array" ref="BU66:BU66">SUM(Capacity!CO$3:CO$25*Capacity!$DI9/(TRANSPOSE(Dists!$B8:$X8)*MMULT(1/Dists!$B8:$X8,Capacity!$DI$3:$DI$25)))</f>
        <v>35871.9769500595</v>
      </c>
      <c r="BV66" s="4" t="n">
        <f aca="false" t="array" ref="BV66:BV66">SUM(Capacity!CP$3:CP$25*Capacity!$DI9/(TRANSPOSE(Dists!$B8:$X8)*MMULT(1/Dists!$B8:$X8,Capacity!$DI$3:$DI$25)))</f>
        <v>4185.06397750694</v>
      </c>
      <c r="BW66" s="0"/>
      <c r="BX66" s="0"/>
      <c r="BY66" s="0"/>
      <c r="BZ66" s="0"/>
      <c r="CA66" s="0"/>
      <c r="CB66" s="0"/>
      <c r="CC66" s="0"/>
      <c r="CE66" s="4" t="n">
        <f aca="false" t="array" ref="CE66:CE66">SUM(Capacity!CY$3:CY$25*Capacity!$DH9/(TRANSPOSE(Dists!$B8:$X8)*MMULT(1/Dists!$B8:$X8,Capacity!$DH$3:$DH$25)))</f>
        <v>128.722209937845</v>
      </c>
      <c r="CG66" s="0"/>
      <c r="CH66" s="0"/>
      <c r="CI66" s="0"/>
      <c r="CJ66" s="0"/>
      <c r="CK66" s="0"/>
    </row>
    <row r="67" customFormat="false" ht="12.8" hidden="false" customHeight="false" outlineLevel="0" collapsed="false">
      <c r="A67" s="4" t="s">
        <v>142</v>
      </c>
      <c r="B67" s="7" t="s">
        <v>39</v>
      </c>
      <c r="C67" s="4" t="n">
        <f aca="false" t="array" ref="C67:C67">SUM(Capacity!S$3:S$25*Capacity!$DH10/(TRANSPOSE(Dists!$B9:$X9)*MMULT(1/Dists!$B9:$X9,Capacity!$DH$3:$DH$25)))</f>
        <v>7647.87219138186</v>
      </c>
      <c r="D67" s="4" t="n">
        <f aca="false" t="array" ref="D67:D67">SUM(Capacity!V$3:V$25*Capacity!$DH10/(TRANSPOSE(Dists!$B9:$X9)*MMULT(1/Dists!$B9:$X9,Capacity!$DH$3:$DH$25)))</f>
        <v>14176.9551837351</v>
      </c>
      <c r="E67" s="4" t="n">
        <f aca="false" t="array" ref="E67:E67">SUM(Capacity!Y$3:Y$25*Capacity!$DH10/(TRANSPOSE(Dists!$B9:$X9)*MMULT(1/Dists!$B9:$X9,Capacity!$DH$3:$DH$25)))</f>
        <v>19175.7666463052</v>
      </c>
      <c r="F67" s="4" t="n">
        <f aca="false" t="array" ref="F67:F67">SUM(Capacity!Z$3:Z$25*Capacity!$DH10/(TRANSPOSE(Dists!$B9:$X9)*MMULT(1/Dists!$B9:$X9,Capacity!$DH$3:$DH$25)))</f>
        <v>7654.42696502495</v>
      </c>
      <c r="G67" s="4" t="n">
        <f aca="false" t="array" ref="G67:G67">SUM(Capacity!AA$3:AA$25*Capacity!$DH10/(TRANSPOSE(Dists!$B9:$X9)*MMULT(1/Dists!$B9:$X9,Capacity!$DH$3:$DH$25)))</f>
        <v>95077.5211635538</v>
      </c>
      <c r="H67" s="4" t="n">
        <f aca="false" t="array" ref="H67:H67">SUM(Capacity!AB$3:AB$25*Capacity!$DI10/(TRANSPOSE(Dists!$B9:$X9)*MMULT(1/Dists!$B9:$X9,Capacity!$DI$3:$DI$25)))</f>
        <v>2582.82705372759</v>
      </c>
      <c r="I67" s="0"/>
      <c r="J67" s="0"/>
      <c r="K67" s="0"/>
      <c r="L67" s="0"/>
      <c r="M67" s="0"/>
      <c r="N67" s="4" t="n">
        <f aca="false" t="array" ref="N67:N67">SUM(Capacity!AH$3:AH$25*Capacity!$DH10/(TRANSPOSE(Dists!$B9:$X9)*MMULT(1/Dists!$B9:$X9,Capacity!$DH$3:$DH$25)))</f>
        <v>124098.522024161</v>
      </c>
      <c r="O67" s="0"/>
      <c r="U67" s="0"/>
      <c r="V67" s="0"/>
      <c r="W67" s="0"/>
      <c r="X67" s="0"/>
      <c r="Y67" s="4" t="n">
        <f aca="false" t="array" ref="Y67:Y67">SUM(Capacity!AS$3:AS$25*Capacity!$DI10/(TRANSPOSE(Dists!$B9:$X9)*MMULT(1/Dists!$B9:$X9,Capacity!$DI$3:$DI$25)))</f>
        <v>315.741667030939</v>
      </c>
      <c r="Z67" s="4" t="n">
        <f aca="false" t="array" ref="Z67:Z67">SUM(Capacity!AT$3:AT$25*Capacity!$DH10/(TRANSPOSE(Dists!$B9:$X9)*MMULT(1/Dists!$B9:$X9,Capacity!$DH$3:$DH$25)))</f>
        <v>222636.063453495</v>
      </c>
      <c r="AA67" s="4" t="n">
        <f aca="false" t="array" ref="AA67:AA67">SUM(Capacity!AU$3:AU$25*Capacity!$DI10/(TRANSPOSE(Dists!$B9:$X9)*MMULT(1/Dists!$B9:$X9,Capacity!$DI$3:$DI$25)))</f>
        <v>7311.1324426196</v>
      </c>
      <c r="AB67" s="4" t="n">
        <f aca="false" t="array" ref="AB67:AB67">SUM(Capacity!AV$3:AV$25*Capacity!$DI10/(TRANSPOSE(Dists!$B9:$X9)*MMULT(1/Dists!$B9:$X9,Capacity!$DI$3:$DI$25)))</f>
        <v>3046.30518442483</v>
      </c>
      <c r="AC67" s="4" t="n">
        <f aca="false" t="array" ref="AC67:AC67">SUM(Capacity!AW$3:AW$25*Capacity!$DH10/(TRANSPOSE(Dists!$B9:$X9)*MMULT(1/Dists!$B9:$X9,Capacity!$DH$3:$DH$25)))</f>
        <v>235.261110097497</v>
      </c>
      <c r="AD67" s="4" t="n">
        <f aca="false" t="array" ref="AD67:AD67">SUM(Capacity!AX$3:AX$25*Capacity!$DI10/(TRANSPOSE(Dists!$B9:$X9)*MMULT(1/Dists!$B9:$X9,Capacity!$DI$3:$DI$25)))</f>
        <v>50.2640355430097</v>
      </c>
      <c r="AE67" s="4" t="n">
        <f aca="false" t="array" ref="AE67:AE67">SUM(Capacity!AY$3:AY$25*Capacity!$DI10/(TRANSPOSE(Dists!$B9:$X9)*MMULT(1/Dists!$B9:$X9,Capacity!$DI$3:$DI$25)))</f>
        <v>35.093435724574</v>
      </c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4" t="n">
        <f aca="false" t="array" ref="AW67:AW67">SUM(Capacity!BQ$3:BQ$25*Capacity!$DH10/(TRANSPOSE(Dists!$B9:$X9)*MMULT(1/Dists!$B9:$X9,Capacity!$DH$3:$DH$25)))</f>
        <v>811.135948618979</v>
      </c>
      <c r="AX67" s="0"/>
      <c r="AY67" s="4" t="n">
        <f aca="false" t="array" ref="AY67:AY67">SUM(Capacity!BS$3:BS$25*Capacity!$DH10/(TRANSPOSE(Dists!$B9:$X9)*MMULT(1/Dists!$B9:$X9,Capacity!$DH$3:$DH$25)))</f>
        <v>19.1721217401171</v>
      </c>
      <c r="AZ67" s="4" t="n">
        <f aca="false" t="array" ref="AZ67:AZ67">SUM(Capacity!BT$3:BT$25*Capacity!$DH10/(TRANSPOSE(Dists!$B9:$X9)*MMULT(1/Dists!$B9:$X9,Capacity!$DH$3:$DH$25)))</f>
        <v>26.9607961970396</v>
      </c>
      <c r="BA67" s="0"/>
      <c r="BB67" s="4" t="n">
        <f aca="false" t="array" ref="BB67:BB67">SUM(Capacity!BV$3:BV$25*Capacity!$DI10/(TRANSPOSE(Dists!$B9:$X9)*MMULT(1/Dists!$B9:$X9,Capacity!$DI$3:$DI$25)))</f>
        <v>122.827025036009</v>
      </c>
      <c r="BC67" s="4" t="n">
        <f aca="false" t="array" ref="BC67:BC67">SUM(Capacity!BW$3:BW$25*Capacity!$DI10/(TRANSPOSE(Dists!$B9:$X9)*MMULT(1/Dists!$B9:$X9,Capacity!$DI$3:$DI$25)))</f>
        <v>105.280307173722</v>
      </c>
      <c r="BD67" s="4" t="n">
        <f aca="false" t="array" ref="BD67:BD67">SUM(Capacity!BX$3:BX$25*Capacity!$DI10/(TRANSPOSE(Dists!$B9:$X9)*MMULT(1/Dists!$B9:$X9,Capacity!$DI$3:$DI$25)))</f>
        <v>52.640153586861</v>
      </c>
      <c r="BE67" s="4" t="n">
        <f aca="false" t="array" ref="BE67:BE67">SUM(Capacity!BY$3:BY$25*Capacity!$DI10/(TRANSPOSE(Dists!$B9:$X9)*MMULT(1/Dists!$B9:$X9,Capacity!$DI$3:$DI$25)))</f>
        <v>30.7067562590023</v>
      </c>
      <c r="BF67" s="4" t="n">
        <f aca="false" t="array" ref="BF67:BF67">SUM(Capacity!BZ$3:BZ$25*Capacity!$DH10/(TRANSPOSE(Dists!$B9:$X9)*MMULT(1/Dists!$B9:$X9,Capacity!$DH$3:$DH$25)))</f>
        <v>121670.392292847</v>
      </c>
      <c r="BG67" s="4" t="n">
        <f aca="false" t="array" ref="BG67:BG67">SUM(Capacity!CA$3:CA$25*Capacity!$DI10/(TRANSPOSE(Dists!$B9:$X9)*MMULT(1/Dists!$B9:$X9,Capacity!$DI$3:$DI$25)))</f>
        <v>2375.57826202935</v>
      </c>
      <c r="BH67" s="4" t="n">
        <f aca="false" t="array" ref="BH67:BH67">SUM(Capacity!CB$3:CB$25*Capacity!$DI10/(TRANSPOSE(Dists!$B9:$X9)*MMULT(1/Dists!$B9:$X9,Capacity!$DI$3:$DI$25)))</f>
        <v>3401.28266467903</v>
      </c>
      <c r="BI67" s="4" t="n">
        <f aca="false" t="array" ref="BI67:BI67">SUM(Capacity!CC$3:CC$25*Capacity!$DI10/(TRANSPOSE(Dists!$B9:$X9)*MMULT(1/Dists!$B9:$X9,Capacity!$DI$3:$DI$25)))</f>
        <v>6334.87536541161</v>
      </c>
      <c r="BJ67" s="0"/>
      <c r="BK67" s="4" t="n">
        <f aca="false" t="array" ref="BK67:BK67">SUM(Capacity!CE$3:CE$25*Capacity!$DI10/(TRANSPOSE(Dists!$B9:$X9)*MMULT(1/Dists!$B9:$X9,Capacity!$DI$3:$DI$25)))</f>
        <v>3167.4376827058</v>
      </c>
      <c r="BL67" s="0"/>
      <c r="BM67" s="0"/>
      <c r="BN67" s="4" t="n">
        <f aca="false" t="array" ref="BN67:BN67">SUM(Capacity!CH$3:CH$25*Capacity!$DH10/(TRANSPOSE(Dists!$B9:$X9)*MMULT(1/Dists!$B9:$X9,Capacity!$DH$3:$DH$25)))</f>
        <v>2594775.00563051</v>
      </c>
      <c r="BO67" s="4" t="n">
        <f aca="false" t="array" ref="BO67:BO67">SUM(Capacity!CI$3:CI$25*Capacity!$DH10/(TRANSPOSE(Dists!$B9:$X9)*MMULT(1/Dists!$B9:$X9,Capacity!$DH$3:$DH$25)))</f>
        <v>5189.55077605837</v>
      </c>
      <c r="BP67" s="4" t="n">
        <f aca="false" t="array" ref="BP67:BP67">SUM(Capacity!CJ$3:CJ$25*Capacity!$DH10/(TRANSPOSE(Dists!$B9:$X9)*MMULT(1/Dists!$B9:$X9,Capacity!$DH$3:$DH$25)))</f>
        <v>605447.501901306</v>
      </c>
      <c r="BQ67" s="4" t="n">
        <f aca="false" t="array" ref="BQ67:BQ67">SUM(Capacity!CK$3:CK$25*Capacity!$DH10/(TRANSPOSE(Dists!$B9:$X9)*MMULT(1/Dists!$B9:$X9,Capacity!$DH$3:$DH$25)))</f>
        <v>562201.251820236</v>
      </c>
      <c r="BR67" s="4" t="n">
        <f aca="false" t="array" ref="BR67:BR67">SUM(Capacity!CL$3:CL$25*Capacity!$DH10/(TRANSPOSE(Dists!$B9:$X9)*MMULT(1/Dists!$B9:$X9,Capacity!$DH$3:$DH$25)))</f>
        <v>1729.85076957279</v>
      </c>
      <c r="BS67" s="4" t="n">
        <f aca="false" t="array" ref="BS67:BS67">SUM(Capacity!CM$3:CM$25*Capacity!$DH10/(TRANSPOSE(Dists!$B9:$X9)*MMULT(1/Dists!$B9:$X9,Capacity!$DH$3:$DH$25)))</f>
        <v>864.925767951391</v>
      </c>
      <c r="BT67" s="4" t="n">
        <f aca="false" t="array" ref="BT67:BT67">SUM(Capacity!CN$3:CN$25*Capacity!$DI10/(TRANSPOSE(Dists!$B9:$X9)*MMULT(1/Dists!$B9:$X9,Capacity!$DI$3:$DI$25)))</f>
        <v>268074.856229385</v>
      </c>
      <c r="BU67" s="4" t="n">
        <f aca="false" t="array" ref="BU67:BU67">SUM(Capacity!CO$3:CO$25*Capacity!$DI10/(TRANSPOSE(Dists!$B9:$X9)*MMULT(1/Dists!$B9:$X9,Capacity!$DI$3:$DI$25)))</f>
        <v>29244.5297704784</v>
      </c>
      <c r="BV67" s="4" t="n">
        <f aca="false" t="array" ref="BV67:BV67">SUM(Capacity!CP$3:CP$25*Capacity!$DI10/(TRANSPOSE(Dists!$B9:$X9)*MMULT(1/Dists!$B9:$X9,Capacity!$DI$3:$DI$25)))</f>
        <v>3411.86180655581</v>
      </c>
      <c r="BW67" s="0"/>
      <c r="BX67" s="0"/>
      <c r="BY67" s="0"/>
      <c r="BZ67" s="0"/>
      <c r="CA67" s="0"/>
      <c r="CB67" s="0"/>
      <c r="CC67" s="0"/>
      <c r="CE67" s="4" t="n">
        <f aca="false" t="array" ref="CE67:CE67">SUM(Capacity!CY$3:CY$25*Capacity!$DH10/(TRANSPOSE(Dists!$B9:$X9)*MMULT(1/Dists!$B9:$X9,Capacity!$DH$3:$DH$25)))</f>
        <v>152.087990366059</v>
      </c>
      <c r="CG67" s="0"/>
      <c r="CH67" s="0"/>
      <c r="CI67" s="0"/>
      <c r="CJ67" s="0"/>
      <c r="CK67" s="0"/>
    </row>
    <row r="68" customFormat="false" ht="12.8" hidden="false" customHeight="false" outlineLevel="0" collapsed="false">
      <c r="A68" s="4" t="s">
        <v>143</v>
      </c>
      <c r="B68" s="7" t="s">
        <v>39</v>
      </c>
      <c r="C68" s="4" t="n">
        <f aca="false" t="array" ref="C68:C68">SUM(Capacity!S$3:S$25*Capacity!$DH11/(TRANSPOSE(Dists!$B10:$X10)*MMULT(1/Dists!$B10:$X10,Capacity!$DH$3:$DH$25)))</f>
        <v>6728.82656640773</v>
      </c>
      <c r="D68" s="4" t="n">
        <f aca="false" t="array" ref="D68:D68">SUM(Capacity!V$3:V$25*Capacity!$DH11/(TRANSPOSE(Dists!$B10:$X10)*MMULT(1/Dists!$B10:$X10,Capacity!$DH$3:$DH$25)))</f>
        <v>12811.0400880532</v>
      </c>
      <c r="E68" s="4" t="n">
        <f aca="false" t="array" ref="E68:E68">SUM(Capacity!Y$3:Y$25*Capacity!$DH11/(TRANSPOSE(Dists!$B10:$X10)*MMULT(1/Dists!$B10:$X10,Capacity!$DH$3:$DH$25)))</f>
        <v>16015.6444457152</v>
      </c>
      <c r="F68" s="4" t="n">
        <f aca="false" t="array" ref="F68:F68">SUM(Capacity!Z$3:Z$25*Capacity!$DH11/(TRANSPOSE(Dists!$B10:$X10)*MMULT(1/Dists!$B10:$X10,Capacity!$DH$3:$DH$25)))</f>
        <v>6033.47743337572</v>
      </c>
      <c r="G68" s="4" t="n">
        <f aca="false" t="array" ref="G68:G68">SUM(Capacity!AA$3:AA$25*Capacity!$DH11/(TRANSPOSE(Dists!$B10:$X10)*MMULT(1/Dists!$B10:$X10,Capacity!$DH$3:$DH$25)))</f>
        <v>86420.182533293</v>
      </c>
      <c r="H68" s="4" t="n">
        <f aca="false" t="array" ref="H68:H68">SUM(Capacity!AB$3:AB$25*Capacity!$DI11/(TRANSPOSE(Dists!$B10:$X10)*MMULT(1/Dists!$B10:$X10,Capacity!$DI$3:$DI$25)))</f>
        <v>4616.28796674762</v>
      </c>
      <c r="I68" s="0"/>
      <c r="J68" s="0"/>
      <c r="K68" s="0"/>
      <c r="L68" s="0"/>
      <c r="M68" s="0"/>
      <c r="N68" s="4" t="n">
        <f aca="false" t="array" ref="N68:N68">SUM(Capacity!AH$3:AH$25*Capacity!$DH11/(TRANSPOSE(Dists!$B10:$X10)*MMULT(1/Dists!$B10:$X10,Capacity!$DH$3:$DH$25)))</f>
        <v>111932.627872469</v>
      </c>
      <c r="O68" s="0"/>
      <c r="U68" s="0"/>
      <c r="V68" s="0"/>
      <c r="W68" s="0"/>
      <c r="X68" s="0"/>
      <c r="Y68" s="4" t="n">
        <f aca="false" t="array" ref="Y68:Y68">SUM(Capacity!AS$3:AS$25*Capacity!$DI11/(TRANSPOSE(Dists!$B10:$X10)*MMULT(1/Dists!$B10:$X10,Capacity!$DI$3:$DI$25)))</f>
        <v>509.015109998894</v>
      </c>
      <c r="Z68" s="4" t="n">
        <f aca="false" t="array" ref="Z68:Z68">SUM(Capacity!AT$3:AT$25*Capacity!$DH11/(TRANSPOSE(Dists!$B10:$X10)*MMULT(1/Dists!$B10:$X10,Capacity!$DH$3:$DH$25)))</f>
        <v>202423.036434233</v>
      </c>
      <c r="AA68" s="4" t="n">
        <f aca="false" t="array" ref="AA68:AA68">SUM(Capacity!AU$3:AU$25*Capacity!$DI11/(TRANSPOSE(Dists!$B10:$X10)*MMULT(1/Dists!$B10:$X10,Capacity!$DI$3:$DI$25)))</f>
        <v>12533.3936232716</v>
      </c>
      <c r="AB68" s="4" t="n">
        <f aca="false" t="array" ref="AB68:AB68">SUM(Capacity!AV$3:AV$25*Capacity!$DI11/(TRANSPOSE(Dists!$B10:$X10)*MMULT(1/Dists!$B10:$X10,Capacity!$DI$3:$DI$25)))</f>
        <v>5222.24734302985</v>
      </c>
      <c r="AC68" s="4" t="n">
        <f aca="false" t="array" ref="AC68:AC68">SUM(Capacity!AW$3:AW$25*Capacity!$DH11/(TRANSPOSE(Dists!$B10:$X10)*MMULT(1/Dists!$B10:$X10,Capacity!$DH$3:$DH$25)))</f>
        <v>212.8810372697</v>
      </c>
      <c r="AD68" s="4" t="n">
        <f aca="false" t="array" ref="AD68:AD68">SUM(Capacity!AX$3:AX$25*Capacity!$DI11/(TRANSPOSE(Dists!$B10:$X10)*MMULT(1/Dists!$B10:$X10,Capacity!$DI$3:$DI$25)))</f>
        <v>86.1670811599925</v>
      </c>
      <c r="AE68" s="4" t="n">
        <f aca="false" t="array" ref="AE68:AE68">SUM(Capacity!AY$3:AY$25*Capacity!$DI11/(TRANSPOSE(Dists!$B10:$X10)*MMULT(1/Dists!$B10:$X10,Capacity!$DI$3:$DI$25)))</f>
        <v>60.1602893917038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4" t="n">
        <f aca="false" t="array" ref="AW68:AW68">SUM(Capacity!BQ$3:BQ$25*Capacity!$DH11/(TRANSPOSE(Dists!$B10:$X10)*MMULT(1/Dists!$B10:$X10,Capacity!$DH$3:$DH$25)))</f>
        <v>733.973677320448</v>
      </c>
      <c r="AX68" s="0"/>
      <c r="AY68" s="4" t="n">
        <f aca="false" t="array" ref="AY68:AY68">SUM(Capacity!BS$3:BS$25*Capacity!$DH11/(TRANSPOSE(Dists!$B10:$X10)*MMULT(1/Dists!$B10:$X10,Capacity!$DH$3:$DH$25)))</f>
        <v>17.5978341327602</v>
      </c>
      <c r="AZ68" s="4" t="n">
        <f aca="false" t="array" ref="AZ68:AZ68">SUM(Capacity!BT$3:BT$25*Capacity!$DH11/(TRANSPOSE(Dists!$B10:$X10)*MMULT(1/Dists!$B10:$X10,Capacity!$DH$3:$DH$25)))</f>
        <v>24.746954249194</v>
      </c>
      <c r="BA68" s="0"/>
      <c r="BB68" s="4" t="n">
        <f aca="false" t="array" ref="BB68:BB68">SUM(Capacity!BV$3:BV$25*Capacity!$DI11/(TRANSPOSE(Dists!$B10:$X10)*MMULT(1/Dists!$B10:$X10,Capacity!$DI$3:$DI$25)))</f>
        <v>210.561012870964</v>
      </c>
      <c r="BC68" s="4" t="n">
        <f aca="false" t="array" ref="BC68:BC68">SUM(Capacity!BW$3:BW$25*Capacity!$DI11/(TRANSPOSE(Dists!$B10:$X10)*MMULT(1/Dists!$B10:$X10,Capacity!$DI$3:$DI$25)))</f>
        <v>180.480868175112</v>
      </c>
      <c r="BD68" s="4" t="n">
        <f aca="false" t="array" ref="BD68:BD68">SUM(Capacity!BX$3:BX$25*Capacity!$DI11/(TRANSPOSE(Dists!$B10:$X10)*MMULT(1/Dists!$B10:$X10,Capacity!$DI$3:$DI$25)))</f>
        <v>90.2404340875557</v>
      </c>
      <c r="BE68" s="4" t="n">
        <f aca="false" t="array" ref="BE68:BE68">SUM(Capacity!BY$3:BY$25*Capacity!$DI11/(TRANSPOSE(Dists!$B10:$X10)*MMULT(1/Dists!$B10:$X10,Capacity!$DI$3:$DI$25)))</f>
        <v>52.6402532177409</v>
      </c>
      <c r="BF68" s="4" t="n">
        <f aca="false" t="array" ref="BF68:BF68">SUM(Capacity!BZ$3:BZ$25*Capacity!$DH11/(TRANSPOSE(Dists!$B10:$X10)*MMULT(1/Dists!$B10:$X10,Capacity!$DH$3:$DH$25)))</f>
        <v>110096.051598067</v>
      </c>
      <c r="BG68" s="4" t="n">
        <f aca="false" t="array" ref="BG68:BG68">SUM(Capacity!CA$3:CA$25*Capacity!$DI11/(TRANSPOSE(Dists!$B10:$X10)*MMULT(1/Dists!$B10:$X10,Capacity!$DI$3:$DI$25)))</f>
        <v>4014.68212511813</v>
      </c>
      <c r="BH68" s="4" t="n">
        <f aca="false" t="array" ref="BH68:BH68">SUM(Capacity!CB$3:CB$25*Capacity!$DI11/(TRANSPOSE(Dists!$B10:$X10)*MMULT(1/Dists!$B10:$X10,Capacity!$DI$3:$DI$25)))</f>
        <v>5893.98990385497</v>
      </c>
      <c r="BI68" s="4" t="n">
        <f aca="false" t="array" ref="BI68:BI68">SUM(Capacity!CC$3:CC$25*Capacity!$DI11/(TRANSPOSE(Dists!$B10:$X10)*MMULT(1/Dists!$B10:$X10,Capacity!$DI$3:$DI$25)))</f>
        <v>10705.819000315</v>
      </c>
      <c r="BJ68" s="0"/>
      <c r="BK68" s="4" t="n">
        <f aca="false" t="array" ref="BK68:BK68">SUM(Capacity!CE$3:CE$25*Capacity!$DI11/(TRANSPOSE(Dists!$B10:$X10)*MMULT(1/Dists!$B10:$X10,Capacity!$DI$3:$DI$25)))</f>
        <v>5352.90950015751</v>
      </c>
      <c r="BL68" s="0"/>
      <c r="BM68" s="0"/>
      <c r="BN68" s="4" t="n">
        <f aca="false" t="array" ref="BN68:BN68">SUM(Capacity!CH$3:CH$25*Capacity!$DH11/(TRANSPOSE(Dists!$B10:$X10)*MMULT(1/Dists!$B10:$X10,Capacity!$DH$3:$DH$25)))</f>
        <v>1462132.82480999</v>
      </c>
      <c r="BO68" s="4" t="n">
        <f aca="false" t="array" ref="BO68:BO68">SUM(Capacity!CI$3:CI$25*Capacity!$DH11/(TRANSPOSE(Dists!$B10:$X10)*MMULT(1/Dists!$B10:$X10,Capacity!$DH$3:$DH$25)))</f>
        <v>2924.26634647584</v>
      </c>
      <c r="BP68" s="4" t="n">
        <f aca="false" t="array" ref="BP68:BP68">SUM(Capacity!CJ$3:CJ$25*Capacity!$DH11/(TRANSPOSE(Dists!$B10:$X10)*MMULT(1/Dists!$B10:$X10,Capacity!$DH$3:$DH$25)))</f>
        <v>341164.326324325</v>
      </c>
      <c r="BQ68" s="4" t="n">
        <f aca="false" t="array" ref="BQ68:BQ68">SUM(Capacity!CK$3:CK$25*Capacity!$DH11/(TRANSPOSE(Dists!$B10:$X10)*MMULT(1/Dists!$B10:$X10,Capacity!$DH$3:$DH$25)))</f>
        <v>316795.445922463</v>
      </c>
      <c r="BR68" s="4" t="n">
        <f aca="false" t="array" ref="BR68:BR68">SUM(Capacity!CL$3:CL$25*Capacity!$DH11/(TRANSPOSE(Dists!$B10:$X10)*MMULT(1/Dists!$B10:$X10,Capacity!$DH$3:$DH$25)))</f>
        <v>974.755914326855</v>
      </c>
      <c r="BS68" s="4" t="n">
        <f aca="false" t="array" ref="BS68:BS68">SUM(Capacity!CM$3:CM$25*Capacity!$DH11/(TRANSPOSE(Dists!$B10:$X10)*MMULT(1/Dists!$B10:$X10,Capacity!$DH$3:$DH$25)))</f>
        <v>487.378306289608</v>
      </c>
      <c r="BT68" s="4" t="n">
        <f aca="false" t="array" ref="BT68:BT68">SUM(Capacity!CN$3:CN$25*Capacity!$DI11/(TRANSPOSE(Dists!$B10:$X10)*MMULT(1/Dists!$B10:$X10,Capacity!$DI$3:$DI$25)))</f>
        <v>459557.766186627</v>
      </c>
      <c r="BU68" s="4" t="n">
        <f aca="false" t="array" ref="BU68:BU68">SUM(Capacity!CO$3:CO$25*Capacity!$DI11/(TRANSPOSE(Dists!$B10:$X10)*MMULT(1/Dists!$B10:$X10,Capacity!$DI$3:$DI$25)))</f>
        <v>50133.5744930866</v>
      </c>
      <c r="BV68" s="4" t="n">
        <f aca="false" t="array" ref="BV68:BV68">SUM(Capacity!CP$3:CP$25*Capacity!$DI11/(TRANSPOSE(Dists!$B10:$X10)*MMULT(1/Dists!$B10:$X10,Capacity!$DI$3:$DI$25)))</f>
        <v>5848.91702419343</v>
      </c>
      <c r="BW68" s="0"/>
      <c r="BX68" s="0"/>
      <c r="BY68" s="0"/>
      <c r="BZ68" s="0"/>
      <c r="CA68" s="0"/>
      <c r="CB68" s="0"/>
      <c r="CC68" s="0"/>
      <c r="CE68" s="4" t="n">
        <f aca="false" t="array" ref="CE68:CE68">SUM(Capacity!CY$3:CY$25*Capacity!$DH11/(TRANSPOSE(Dists!$B10:$X10)*MMULT(1/Dists!$B10:$X10,Capacity!$DH$3:$DH$25)))</f>
        <v>137.620064497584</v>
      </c>
      <c r="CG68" s="0"/>
      <c r="CH68" s="0"/>
      <c r="CI68" s="0"/>
      <c r="CJ68" s="0"/>
      <c r="CK68" s="0"/>
    </row>
    <row r="69" customFormat="false" ht="12.8" hidden="false" customHeight="false" outlineLevel="0" collapsed="false">
      <c r="A69" s="4" t="s">
        <v>144</v>
      </c>
      <c r="B69" s="7" t="s">
        <v>39</v>
      </c>
      <c r="C69" s="4" t="n">
        <f aca="false" t="array" ref="C69:C69">SUM(Capacity!S$3:S$25*Capacity!$DH12/(TRANSPOSE(Dists!$B11:$X11)*MMULT(1/Dists!$B11:$X11,Capacity!$DH$3:$DH$25)))</f>
        <v>7685.72117447153</v>
      </c>
      <c r="D69" s="4" t="n">
        <f aca="false" t="array" ref="D69:D69">SUM(Capacity!V$3:V$25*Capacity!$DH12/(TRANSPOSE(Dists!$B11:$X11)*MMULT(1/Dists!$B11:$X11,Capacity!$DH$3:$DH$25)))</f>
        <v>14342.0347000338</v>
      </c>
      <c r="E69" s="4" t="n">
        <f aca="false" t="array" ref="E69:E69">SUM(Capacity!Y$3:Y$25*Capacity!$DH12/(TRANSPOSE(Dists!$B11:$X11)*MMULT(1/Dists!$B11:$X11,Capacity!$DH$3:$DH$25)))</f>
        <v>19319.3128002231</v>
      </c>
      <c r="F69" s="4" t="n">
        <f aca="false" t="array" ref="F69:F69">SUM(Capacity!Z$3:Z$25*Capacity!$DH12/(TRANSPOSE(Dists!$B11:$X11)*MMULT(1/Dists!$B11:$X11,Capacity!$DH$3:$DH$25)))</f>
        <v>7732.16174714577</v>
      </c>
      <c r="G69" s="4" t="n">
        <f aca="false" t="array" ref="G69:G69">SUM(Capacity!AA$3:AA$25*Capacity!$DH12/(TRANSPOSE(Dists!$B11:$X11)*MMULT(1/Dists!$B11:$X11,Capacity!$DH$3:$DH$25)))</f>
        <v>96326.057067973</v>
      </c>
      <c r="H69" s="4" t="n">
        <f aca="false" t="array" ref="H69:H69">SUM(Capacity!AB$3:AB$25*Capacity!$DI12/(TRANSPOSE(Dists!$B11:$X11)*MMULT(1/Dists!$B11:$X11,Capacity!$DI$3:$DI$25)))</f>
        <v>2507.3973146147</v>
      </c>
      <c r="I69" s="0"/>
      <c r="J69" s="0"/>
      <c r="K69" s="0"/>
      <c r="L69" s="0"/>
      <c r="M69" s="0"/>
      <c r="N69" s="4" t="n">
        <f aca="false" t="array" ref="N69:N69">SUM(Capacity!AH$3:AH$25*Capacity!$DH12/(TRANSPOSE(Dists!$B11:$X11)*MMULT(1/Dists!$B11:$X11,Capacity!$DH$3:$DH$25)))</f>
        <v>123463.500015561</v>
      </c>
      <c r="O69" s="0"/>
      <c r="U69" s="0"/>
      <c r="V69" s="0"/>
      <c r="W69" s="0"/>
      <c r="X69" s="0"/>
      <c r="Y69" s="4" t="n">
        <f aca="false" t="array" ref="Y69:Y69">SUM(Capacity!AS$3:AS$25*Capacity!$DI12/(TRANSPOSE(Dists!$B11:$X11)*MMULT(1/Dists!$B11:$X11,Capacity!$DI$3:$DI$25)))</f>
        <v>319.559423256644</v>
      </c>
      <c r="Z69" s="4" t="n">
        <f aca="false" t="array" ref="Z69:Z69">SUM(Capacity!AT$3:AT$25*Capacity!$DH12/(TRANSPOSE(Dists!$B11:$X11)*MMULT(1/Dists!$B11:$X11,Capacity!$DH$3:$DH$25)))</f>
        <v>212402.768720719</v>
      </c>
      <c r="AA69" s="4" t="n">
        <f aca="false" t="array" ref="AA69:AA69">SUM(Capacity!AU$3:AU$25*Capacity!$DI12/(TRANSPOSE(Dists!$B11:$X11)*MMULT(1/Dists!$B11:$X11,Capacity!$DI$3:$DI$25)))</f>
        <v>7509.10882184333</v>
      </c>
      <c r="AB69" s="4" t="n">
        <f aca="false" t="array" ref="AB69:AB69">SUM(Capacity!AV$3:AV$25*Capacity!$DI12/(TRANSPOSE(Dists!$B11:$X11)*MMULT(1/Dists!$B11:$X11,Capacity!$DI$3:$DI$25)))</f>
        <v>3128.79534243472</v>
      </c>
      <c r="AC69" s="4" t="n">
        <f aca="false" t="array" ref="AC69:AC69">SUM(Capacity!AW$3:AW$25*Capacity!$DH12/(TRANSPOSE(Dists!$B11:$X11)*MMULT(1/Dists!$B11:$X11,Capacity!$DH$3:$DH$25)))</f>
        <v>240.25908947007</v>
      </c>
      <c r="AD69" s="4" t="n">
        <f aca="false" t="array" ref="AD69:AD69">SUM(Capacity!AX$3:AX$25*Capacity!$DI12/(TRANSPOSE(Dists!$B11:$X11)*MMULT(1/Dists!$B11:$X11,Capacity!$DI$3:$DI$25)))</f>
        <v>51.6251231501729</v>
      </c>
      <c r="AE69" s="4" t="n">
        <f aca="false" t="array" ref="AE69:AE69">SUM(Capacity!AY$3:AY$25*Capacity!$DI12/(TRANSPOSE(Dists!$B11:$X11)*MMULT(1/Dists!$B11:$X11,Capacity!$DI$3:$DI$25)))</f>
        <v>36.043722344848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4" t="n">
        <f aca="false" t="array" ref="AW69:AW69">SUM(Capacity!BQ$3:BQ$25*Capacity!$DH12/(TRANSPOSE(Dists!$B11:$X11)*MMULT(1/Dists!$B11:$X11,Capacity!$DH$3:$DH$25)))</f>
        <v>828.368039115661</v>
      </c>
      <c r="AX69" s="0"/>
      <c r="AY69" s="4" t="n">
        <f aca="false" t="array" ref="AY69:AY69">SUM(Capacity!BS$3:BS$25*Capacity!$DH12/(TRANSPOSE(Dists!$B11:$X11)*MMULT(1/Dists!$B11:$X11,Capacity!$DH$3:$DH$25)))</f>
        <v>19.6724235007888</v>
      </c>
      <c r="AZ69" s="4" t="n">
        <f aca="false" t="array" ref="AZ69:AZ69">SUM(Capacity!BT$3:BT$25*Capacity!$DH12/(TRANSPOSE(Dists!$B11:$X11)*MMULT(1/Dists!$B11:$X11,Capacity!$DH$3:$DH$25)))</f>
        <v>27.6643455479843</v>
      </c>
      <c r="BA69" s="0"/>
      <c r="BB69" s="4" t="n">
        <f aca="false" t="array" ref="BB69:BB69">SUM(Capacity!BV$3:BV$25*Capacity!$DI12/(TRANSPOSE(Dists!$B11:$X11)*MMULT(1/Dists!$B11:$X11,Capacity!$DI$3:$DI$25)))</f>
        <v>126.153028206968</v>
      </c>
      <c r="BC69" s="4" t="n">
        <f aca="false" t="array" ref="BC69:BC69">SUM(Capacity!BW$3:BW$25*Capacity!$DI12/(TRANSPOSE(Dists!$B11:$X11)*MMULT(1/Dists!$B11:$X11,Capacity!$DI$3:$DI$25)))</f>
        <v>108.131167034544</v>
      </c>
      <c r="BD69" s="4" t="n">
        <f aca="false" t="array" ref="BD69:BD69">SUM(Capacity!BX$3:BX$25*Capacity!$DI12/(TRANSPOSE(Dists!$B11:$X11)*MMULT(1/Dists!$B11:$X11,Capacity!$DI$3:$DI$25)))</f>
        <v>54.0655835172719</v>
      </c>
      <c r="BE69" s="4" t="n">
        <f aca="false" t="array" ref="BE69:BE69">SUM(Capacity!BY$3:BY$25*Capacity!$DI12/(TRANSPOSE(Dists!$B11:$X11)*MMULT(1/Dists!$B11:$X11,Capacity!$DI$3:$DI$25)))</f>
        <v>31.538257051742</v>
      </c>
      <c r="BF69" s="4" t="n">
        <f aca="false" t="array" ref="BF69:BF69">SUM(Capacity!BZ$3:BZ$25*Capacity!$DH12/(TRANSPOSE(Dists!$B11:$X11)*MMULT(1/Dists!$B11:$X11,Capacity!$DH$3:$DH$25)))</f>
        <v>124255.205867349</v>
      </c>
      <c r="BG69" s="4" t="n">
        <f aca="false" t="array" ref="BG69:BG69">SUM(Capacity!CA$3:CA$25*Capacity!$DI12/(TRANSPOSE(Dists!$B11:$X11)*MMULT(1/Dists!$B11:$X11,Capacity!$DI$3:$DI$25)))</f>
        <v>2428.37127617013</v>
      </c>
      <c r="BH69" s="4" t="n">
        <f aca="false" t="array" ref="BH69:BH69">SUM(Capacity!CB$3:CB$25*Capacity!$DI12/(TRANSPOSE(Dists!$B11:$X11)*MMULT(1/Dists!$B11:$X11,Capacity!$DI$3:$DI$25)))</f>
        <v>3582.18344345305</v>
      </c>
      <c r="BI69" s="4" t="n">
        <f aca="false" t="array" ref="BI69:BI69">SUM(Capacity!CC$3:CC$25*Capacity!$DI12/(TRANSPOSE(Dists!$B11:$X11)*MMULT(1/Dists!$B11:$X11,Capacity!$DI$3:$DI$25)))</f>
        <v>6475.65673645367</v>
      </c>
      <c r="BJ69" s="0"/>
      <c r="BK69" s="4" t="n">
        <f aca="false" t="array" ref="BK69:BK69">SUM(Capacity!CE$3:CE$25*Capacity!$DI12/(TRANSPOSE(Dists!$B11:$X11)*MMULT(1/Dists!$B11:$X11,Capacity!$DI$3:$DI$25)))</f>
        <v>3237.82836822684</v>
      </c>
      <c r="BL69" s="0"/>
      <c r="BM69" s="0"/>
      <c r="BN69" s="4" t="n">
        <f aca="false" t="array" ref="BN69:BN69">SUM(Capacity!CH$3:CH$25*Capacity!$DH12/(TRANSPOSE(Dists!$B11:$X11)*MMULT(1/Dists!$B11:$X11,Capacity!$DH$3:$DH$25)))</f>
        <v>2125366.67659536</v>
      </c>
      <c r="BO69" s="4" t="n">
        <f aca="false" t="array" ref="BO69:BO69">SUM(Capacity!CI$3:CI$25*Capacity!$DH12/(TRANSPOSE(Dists!$B11:$X11)*MMULT(1/Dists!$B11:$X11,Capacity!$DH$3:$DH$25)))</f>
        <v>4250.73420726693</v>
      </c>
      <c r="BP69" s="4" t="n">
        <f aca="false" t="array" ref="BP69:BP69">SUM(Capacity!CJ$3:CJ$25*Capacity!$DH12/(TRANSPOSE(Dists!$B11:$X11)*MMULT(1/Dists!$B11:$X11,Capacity!$DH$3:$DH$25)))</f>
        <v>495918.891861688</v>
      </c>
      <c r="BQ69" s="4" t="n">
        <f aca="false" t="array" ref="BQ69:BQ69">SUM(Capacity!CK$3:CK$25*Capacity!$DH12/(TRANSPOSE(Dists!$B11:$X11)*MMULT(1/Dists!$B11:$X11,Capacity!$DH$3:$DH$25)))</f>
        <v>460496.113932695</v>
      </c>
      <c r="BR69" s="4" t="n">
        <f aca="false" t="array" ref="BR69:BR69">SUM(Capacity!CL$3:CL$25*Capacity!$DH12/(TRANSPOSE(Dists!$B11:$X11)*MMULT(1/Dists!$B11:$X11,Capacity!$DH$3:$DH$25)))</f>
        <v>1416.91197294749</v>
      </c>
      <c r="BS69" s="4" t="n">
        <f aca="false" t="array" ref="BS69:BS69">SUM(Capacity!CM$3:CM$25*Capacity!$DH12/(TRANSPOSE(Dists!$B11:$X11)*MMULT(1/Dists!$B11:$X11,Capacity!$DH$3:$DH$25)))</f>
        <v>708.456414367637</v>
      </c>
      <c r="BT69" s="4" t="n">
        <f aca="false" t="array" ref="BT69:BT69">SUM(Capacity!CN$3:CN$25*Capacity!$DI12/(TRANSPOSE(Dists!$B11:$X11)*MMULT(1/Dists!$B11:$X11,Capacity!$DI$3:$DI$25)))</f>
        <v>275333.990134256</v>
      </c>
      <c r="BU69" s="4" t="n">
        <f aca="false" t="array" ref="BU69:BU69">SUM(Capacity!CO$3:CO$25*Capacity!$DI12/(TRANSPOSE(Dists!$B11:$X11)*MMULT(1/Dists!$B11:$X11,Capacity!$DI$3:$DI$25)))</f>
        <v>30036.4352873733</v>
      </c>
      <c r="BV69" s="4" t="n">
        <f aca="false" t="array" ref="BV69:BV69">SUM(Capacity!CP$3:CP$25*Capacity!$DI12/(TRANSPOSE(Dists!$B11:$X11)*MMULT(1/Dists!$B11:$X11,Capacity!$DI$3:$DI$25)))</f>
        <v>3504.25078352689</v>
      </c>
      <c r="BW69" s="0"/>
      <c r="BX69" s="0"/>
      <c r="BY69" s="0"/>
      <c r="BZ69" s="0"/>
      <c r="CA69" s="0"/>
      <c r="CB69" s="0"/>
      <c r="CC69" s="0"/>
      <c r="CE69" s="4" t="n">
        <f aca="false" t="array" ref="CE69:CE69">SUM(Capacity!CY$3:CY$25*Capacity!$DH12/(TRANSPOSE(Dists!$B11:$X11)*MMULT(1/Dists!$B11:$X11,Capacity!$DH$3:$DH$25)))</f>
        <v>155.319007334187</v>
      </c>
      <c r="CG69" s="0"/>
      <c r="CH69" s="0"/>
      <c r="CI69" s="0"/>
      <c r="CJ69" s="0"/>
      <c r="CK69" s="0"/>
    </row>
    <row r="70" customFormat="false" ht="12.8" hidden="false" customHeight="false" outlineLevel="0" collapsed="false">
      <c r="A70" s="4" t="s">
        <v>145</v>
      </c>
      <c r="B70" s="7" t="s">
        <v>39</v>
      </c>
      <c r="C70" s="4" t="n">
        <f aca="false" t="array" ref="C70:C70">SUM(Capacity!S$3:S$25*Capacity!$DH13/(TRANSPOSE(Dists!$B12:$X12)*MMULT(1/Dists!$B12:$X12,Capacity!$DH$3:$DH$25)))</f>
        <v>4208.16093505028</v>
      </c>
      <c r="D70" s="4" t="n">
        <f aca="false" t="array" ref="D70:D70">SUM(Capacity!V$3:V$25*Capacity!$DH13/(TRANSPOSE(Dists!$B12:$X12)*MMULT(1/Dists!$B12:$X12,Capacity!$DH$3:$DH$25)))</f>
        <v>7672.47623004958</v>
      </c>
      <c r="E70" s="4" t="n">
        <f aca="false" t="array" ref="E70:E70">SUM(Capacity!Y$3:Y$25*Capacity!$DH13/(TRANSPOSE(Dists!$B12:$X12)*MMULT(1/Dists!$B12:$X12,Capacity!$DH$3:$DH$25)))</f>
        <v>10708.2371839962</v>
      </c>
      <c r="F70" s="4" t="n">
        <f aca="false" t="array" ref="F70:F70">SUM(Capacity!Z$3:Z$25*Capacity!$DH13/(TRANSPOSE(Dists!$B12:$X12)*MMULT(1/Dists!$B12:$X12,Capacity!$DH$3:$DH$25)))</f>
        <v>4340.37422041353</v>
      </c>
      <c r="G70" s="4" t="n">
        <f aca="false" t="array" ref="G70:G70">SUM(Capacity!AA$3:AA$25*Capacity!$DH13/(TRANSPOSE(Dists!$B12:$X12)*MMULT(1/Dists!$B12:$X12,Capacity!$DH$3:$DH$25)))</f>
        <v>51264.2595953112</v>
      </c>
      <c r="H70" s="4" t="n">
        <f aca="false" t="array" ref="H70:H70">SUM(Capacity!AB$3:AB$25*Capacity!$DI13/(TRANSPOSE(Dists!$B12:$X12)*MMULT(1/Dists!$B12:$X12,Capacity!$DI$3:$DI$25)))</f>
        <v>2738.96024064121</v>
      </c>
      <c r="I70" s="0"/>
      <c r="J70" s="0"/>
      <c r="K70" s="0"/>
      <c r="L70" s="0"/>
      <c r="M70" s="0"/>
      <c r="N70" s="4" t="n">
        <f aca="false" t="array" ref="N70:N70">SUM(Capacity!AH$3:AH$25*Capacity!$DH13/(TRANSPOSE(Dists!$B12:$X12)*MMULT(1/Dists!$B12:$X12,Capacity!$DH$3:$DH$25)))</f>
        <v>66985.6648058434</v>
      </c>
      <c r="O70" s="0"/>
      <c r="U70" s="0"/>
      <c r="V70" s="0"/>
      <c r="W70" s="0"/>
      <c r="X70" s="0"/>
      <c r="Y70" s="4" t="n">
        <f aca="false" t="array" ref="Y70:Y70">SUM(Capacity!AS$3:AS$25*Capacity!$DI13/(TRANSPOSE(Dists!$B12:$X12)*MMULT(1/Dists!$B12:$X12,Capacity!$DI$3:$DI$25)))</f>
        <v>358.600649924508</v>
      </c>
      <c r="Z70" s="4" t="n">
        <f aca="false" t="array" ref="Z70:Z70">SUM(Capacity!AT$3:AT$25*Capacity!$DH13/(TRANSPOSE(Dists!$B12:$X12)*MMULT(1/Dists!$B12:$X12,Capacity!$DH$3:$DH$25)))</f>
        <v>124263.611485447</v>
      </c>
      <c r="AA70" s="4" t="n">
        <f aca="false" t="array" ref="AA70:AA70">SUM(Capacity!AU$3:AU$25*Capacity!$DI13/(TRANSPOSE(Dists!$B12:$X12)*MMULT(1/Dists!$B12:$X12,Capacity!$DI$3:$DI$25)))</f>
        <v>7686.17308933252</v>
      </c>
      <c r="AB70" s="4" t="n">
        <f aca="false" t="array" ref="AB70:AB70">SUM(Capacity!AV$3:AV$25*Capacity!$DI13/(TRANSPOSE(Dists!$B12:$X12)*MMULT(1/Dists!$B12:$X12,Capacity!$DI$3:$DI$25)))</f>
        <v>3202.57212055522</v>
      </c>
      <c r="AC70" s="4" t="n">
        <f aca="false" t="array" ref="AC70:AC70">SUM(Capacity!AW$3:AW$25*Capacity!$DH13/(TRANSPOSE(Dists!$B12:$X12)*MMULT(1/Dists!$B12:$X12,Capacity!$DH$3:$DH$25)))</f>
        <v>127.100288825752</v>
      </c>
      <c r="AD70" s="4" t="n">
        <f aca="false" t="array" ref="AD70:AD70">SUM(Capacity!AX$3:AX$25*Capacity!$DI13/(TRANSPOSE(Dists!$B12:$X12)*MMULT(1/Dists!$B12:$X12,Capacity!$DI$3:$DI$25)))</f>
        <v>52.8424399891611</v>
      </c>
      <c r="AE70" s="4" t="n">
        <f aca="false" t="array" ref="AE70:AE70">SUM(Capacity!AY$3:AY$25*Capacity!$DI13/(TRANSPOSE(Dists!$B12:$X12)*MMULT(1/Dists!$B12:$X12,Capacity!$DI$3:$DI$25)))</f>
        <v>36.8936308287961</v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4" t="n">
        <f aca="false" t="array" ref="AW70:AW70">SUM(Capacity!BQ$3:BQ$25*Capacity!$DH13/(TRANSPOSE(Dists!$B12:$X12)*MMULT(1/Dists!$B12:$X12,Capacity!$DH$3:$DH$25)))</f>
        <v>438.217830833568</v>
      </c>
      <c r="AX70" s="0"/>
      <c r="AY70" s="4" t="n">
        <f aca="false" t="array" ref="AY70:AY70">SUM(Capacity!BS$3:BS$25*Capacity!$DH13/(TRANSPOSE(Dists!$B12:$X12)*MMULT(1/Dists!$B12:$X12,Capacity!$DH$3:$DH$25)))</f>
        <v>9.76520468981142</v>
      </c>
      <c r="AZ70" s="4" t="n">
        <f aca="false" t="array" ref="AZ70:AZ70">SUM(Capacity!BT$3:BT$25*Capacity!$DH13/(TRANSPOSE(Dists!$B12:$X12)*MMULT(1/Dists!$B12:$X12,Capacity!$DH$3:$DH$25)))</f>
        <v>13.7323190950473</v>
      </c>
      <c r="BA70" s="0"/>
      <c r="BB70" s="4" t="n">
        <f aca="false" t="array" ref="BB70:BB70">SUM(Capacity!BV$3:BV$25*Capacity!$DI13/(TRANSPOSE(Dists!$B12:$X12)*MMULT(1/Dists!$B12:$X12,Capacity!$DI$3:$DI$25)))</f>
        <v>129.127707900786</v>
      </c>
      <c r="BC70" s="4" t="n">
        <f aca="false" t="array" ref="BC70:BC70">SUM(Capacity!BW$3:BW$25*Capacity!$DI13/(TRANSPOSE(Dists!$B12:$X12)*MMULT(1/Dists!$B12:$X12,Capacity!$DI$3:$DI$25)))</f>
        <v>110.680892486388</v>
      </c>
      <c r="BD70" s="4" t="n">
        <f aca="false" t="array" ref="BD70:BD70">SUM(Capacity!BX$3:BX$25*Capacity!$DI13/(TRANSPOSE(Dists!$B12:$X12)*MMULT(1/Dists!$B12:$X12,Capacity!$DI$3:$DI$25)))</f>
        <v>55.3404462431941</v>
      </c>
      <c r="BE70" s="4" t="n">
        <f aca="false" t="array" ref="BE70:BE70">SUM(Capacity!BY$3:BY$25*Capacity!$DI13/(TRANSPOSE(Dists!$B12:$X12)*MMULT(1/Dists!$B12:$X12,Capacity!$DI$3:$DI$25)))</f>
        <v>32.2819269751966</v>
      </c>
      <c r="BF70" s="4" t="n">
        <f aca="false" t="array" ref="BF70:BF70">SUM(Capacity!BZ$3:BZ$25*Capacity!$DH13/(TRANSPOSE(Dists!$B12:$X12)*MMULT(1/Dists!$B12:$X12,Capacity!$DH$3:$DH$25)))</f>
        <v>65732.6746250353</v>
      </c>
      <c r="BG70" s="4" t="n">
        <f aca="false" t="array" ref="BG70:BG70">SUM(Capacity!CA$3:CA$25*Capacity!$DI13/(TRANSPOSE(Dists!$B12:$X12)*MMULT(1/Dists!$B12:$X12,Capacity!$DI$3:$DI$25)))</f>
        <v>2648.98850757124</v>
      </c>
      <c r="BH70" s="4" t="n">
        <f aca="false" t="array" ref="BH70:BH70">SUM(Capacity!CB$3:CB$25*Capacity!$DI13/(TRANSPOSE(Dists!$B12:$X12)*MMULT(1/Dists!$B12:$X12,Capacity!$DI$3:$DI$25)))</f>
        <v>3861.74613679767</v>
      </c>
      <c r="BI70" s="4" t="n">
        <f aca="false" t="array" ref="BI70:BI70">SUM(Capacity!CC$3:CC$25*Capacity!$DI13/(TRANSPOSE(Dists!$B12:$X12)*MMULT(1/Dists!$B12:$X12,Capacity!$DI$3:$DI$25)))</f>
        <v>7063.9693535233</v>
      </c>
      <c r="BJ70" s="0"/>
      <c r="BK70" s="4" t="n">
        <f aca="false" t="array" ref="BK70:BK70">SUM(Capacity!CE$3:CE$25*Capacity!$DI13/(TRANSPOSE(Dists!$B12:$X12)*MMULT(1/Dists!$B12:$X12,Capacity!$DI$3:$DI$25)))</f>
        <v>3531.98467676165</v>
      </c>
      <c r="BL70" s="0"/>
      <c r="BM70" s="0"/>
      <c r="BN70" s="4" t="n">
        <f aca="false" t="array" ref="BN70:BN70">SUM(Capacity!CH$3:CH$25*Capacity!$DH13/(TRANSPOSE(Dists!$B12:$X12)*MMULT(1/Dists!$B12:$X12,Capacity!$DH$3:$DH$25)))</f>
        <v>1138377.53795451</v>
      </c>
      <c r="BO70" s="4" t="n">
        <f aca="false" t="array" ref="BO70:BO70">SUM(Capacity!CI$3:CI$25*Capacity!$DH13/(TRANSPOSE(Dists!$B12:$X12)*MMULT(1/Dists!$B12:$X12,Capacity!$DH$3:$DH$25)))</f>
        <v>2276.75558421193</v>
      </c>
      <c r="BP70" s="4" t="n">
        <f aca="false" t="array" ref="BP70:BP70">SUM(Capacity!CJ$3:CJ$25*Capacity!$DH13/(TRANSPOSE(Dists!$B12:$X12)*MMULT(1/Dists!$B12:$X12,Capacity!$DH$3:$DH$25)))</f>
        <v>265621.4259132</v>
      </c>
      <c r="BQ70" s="4" t="n">
        <f aca="false" t="array" ref="BQ70:BQ70">SUM(Capacity!CK$3:CK$25*Capacity!$DH13/(TRANSPOSE(Dists!$B12:$X12)*MMULT(1/Dists!$B12:$X12,Capacity!$DH$3:$DH$25)))</f>
        <v>246648.46695578</v>
      </c>
      <c r="BR70" s="4" t="n">
        <f aca="false" t="array" ref="BR70:BR70">SUM(Capacity!CL$3:CL$25*Capacity!$DH13/(TRANSPOSE(Dists!$B12:$X12)*MMULT(1/Dists!$B12:$X12,Capacity!$DH$3:$DH$25)))</f>
        <v>758.918867618342</v>
      </c>
      <c r="BS70" s="4" t="n">
        <f aca="false" t="array" ref="BS70:BS70">SUM(Capacity!CM$3:CM$25*Capacity!$DH13/(TRANSPOSE(Dists!$B12:$X12)*MMULT(1/Dists!$B12:$X12,Capacity!$DH$3:$DH$25)))</f>
        <v>379.459688469945</v>
      </c>
      <c r="BT70" s="4" t="n">
        <f aca="false" t="array" ref="BT70:BT70">SUM(Capacity!CN$3:CN$25*Capacity!$DI13/(TRANSPOSE(Dists!$B12:$X12)*MMULT(1/Dists!$B12:$X12,Capacity!$DI$3:$DI$25)))</f>
        <v>281826.346608859</v>
      </c>
      <c r="BU70" s="4" t="n">
        <f aca="false" t="array" ref="BU70:BU70">SUM(Capacity!CO$3:CO$25*Capacity!$DI13/(TRANSPOSE(Dists!$B12:$X12)*MMULT(1/Dists!$B12:$X12,Capacity!$DI$3:$DI$25)))</f>
        <v>30744.6923573301</v>
      </c>
      <c r="BV70" s="4" t="n">
        <f aca="false" t="array" ref="BV70:BV70">SUM(Capacity!CP$3:CP$25*Capacity!$DI13/(TRANSPOSE(Dists!$B12:$X12)*MMULT(1/Dists!$B12:$X12,Capacity!$DI$3:$DI$25)))</f>
        <v>3586.88077502185</v>
      </c>
      <c r="BW70" s="0"/>
      <c r="BX70" s="0"/>
      <c r="BY70" s="0"/>
      <c r="BZ70" s="0"/>
      <c r="CA70" s="0"/>
      <c r="CB70" s="0"/>
      <c r="CC70" s="0"/>
      <c r="CE70" s="4" t="n">
        <f aca="false" t="array" ref="CE70:CE70">SUM(Capacity!CY$3:CY$25*Capacity!$DH13/(TRANSPOSE(Dists!$B12:$X12)*MMULT(1/Dists!$B12:$X12,Capacity!$DH$3:$DH$25)))</f>
        <v>82.1658432812941</v>
      </c>
      <c r="CG70" s="0"/>
      <c r="CH70" s="0"/>
      <c r="CI70" s="0"/>
      <c r="CJ70" s="0"/>
      <c r="CK70" s="0"/>
    </row>
    <row r="71" customFormat="false" ht="12.8" hidden="false" customHeight="false" outlineLevel="0" collapsed="false">
      <c r="A71" s="4" t="s">
        <v>147</v>
      </c>
      <c r="B71" s="7" t="s">
        <v>39</v>
      </c>
      <c r="C71" s="4" t="n">
        <f aca="false" t="array" ref="C71:C71">SUM(Capacity!S$3:S$25*Capacity!$DH14/(TRANSPOSE(Dists!$B13:$X13)*MMULT(1/Dists!$B13:$X13,Capacity!$DH$3:$DH$25)))</f>
        <v>5099.5613350567</v>
      </c>
      <c r="D71" s="4" t="n">
        <f aca="false" t="array" ref="D71:D71">SUM(Capacity!V$3:V$25*Capacity!$DH14/(TRANSPOSE(Dists!$B13:$X13)*MMULT(1/Dists!$B13:$X13,Capacity!$DH$3:$DH$25)))</f>
        <v>9717.9798051816</v>
      </c>
      <c r="E71" s="4" t="n">
        <f aca="false" t="array" ref="E71:E71">SUM(Capacity!Y$3:Y$25*Capacity!$DH14/(TRANSPOSE(Dists!$B13:$X13)*MMULT(1/Dists!$B13:$X13,Capacity!$DH$3:$DH$25)))</f>
        <v>12065.42140729</v>
      </c>
      <c r="F71" s="4" t="n">
        <f aca="false" t="array" ref="F71:F71">SUM(Capacity!Z$3:Z$25*Capacity!$DH14/(TRANSPOSE(Dists!$B13:$X13)*MMULT(1/Dists!$B13:$X13,Capacity!$DH$3:$DH$25)))</f>
        <v>4513.32860709726</v>
      </c>
      <c r="G71" s="4" t="n">
        <f aca="false" t="array" ref="G71:G71">SUM(Capacity!AA$3:AA$25*Capacity!$DH14/(TRANSPOSE(Dists!$B13:$X13)*MMULT(1/Dists!$B13:$X13,Capacity!$DH$3:$DH$25)))</f>
        <v>65568.0665862668</v>
      </c>
      <c r="H71" s="4" t="n">
        <f aca="false" t="array" ref="H71:H71">SUM(Capacity!AB$3:AB$25*Capacity!$DI14/(TRANSPOSE(Dists!$B13:$X13)*MMULT(1/Dists!$B13:$X13,Capacity!$DI$3:$DI$25)))</f>
        <v>3200.62008216893</v>
      </c>
      <c r="I71" s="0"/>
      <c r="J71" s="0"/>
      <c r="K71" s="0"/>
      <c r="L71" s="0"/>
      <c r="M71" s="0"/>
      <c r="N71" s="4" t="n">
        <f aca="false" t="array" ref="N71:N71">SUM(Capacity!AH$3:AH$25*Capacity!$DH14/(TRANSPOSE(Dists!$B13:$X13)*MMULT(1/Dists!$B13:$X13,Capacity!$DH$3:$DH$25)))</f>
        <v>84327.6751920006</v>
      </c>
      <c r="O71" s="0"/>
      <c r="U71" s="0"/>
      <c r="V71" s="0"/>
      <c r="W71" s="0"/>
      <c r="X71" s="0"/>
      <c r="Y71" s="4" t="n">
        <f aca="false" t="array" ref="Y71:Y71">SUM(Capacity!AS$3:AS$25*Capacity!$DI14/(TRANSPOSE(Dists!$B13:$X13)*MMULT(1/Dists!$B13:$X13,Capacity!$DI$3:$DI$25)))</f>
        <v>358.65069707681</v>
      </c>
      <c r="Z71" s="4" t="n">
        <f aca="false" t="array" ref="Z71:Z71">SUM(Capacity!AT$3:AT$25*Capacity!$DH14/(TRANSPOSE(Dists!$B13:$X13)*MMULT(1/Dists!$B13:$X13,Capacity!$DH$3:$DH$25)))</f>
        <v>170795.336209919</v>
      </c>
      <c r="AA71" s="4" t="n">
        <f aca="false" t="array" ref="AA71:AA71">SUM(Capacity!AU$3:AU$25*Capacity!$DI14/(TRANSPOSE(Dists!$B13:$X13)*MMULT(1/Dists!$B13:$X13,Capacity!$DI$3:$DI$25)))</f>
        <v>7879.07370399181</v>
      </c>
      <c r="AB71" s="4" t="n">
        <f aca="false" t="array" ref="AB71:AB71">SUM(Capacity!AV$3:AV$25*Capacity!$DI14/(TRANSPOSE(Dists!$B13:$X13)*MMULT(1/Dists!$B13:$X13,Capacity!$DI$3:$DI$25)))</f>
        <v>3282.94737666326</v>
      </c>
      <c r="AC71" s="4" t="n">
        <f aca="false" t="array" ref="AC71:AC71">SUM(Capacity!AW$3:AW$25*Capacity!$DH14/(TRANSPOSE(Dists!$B13:$X13)*MMULT(1/Dists!$B13:$X13,Capacity!$DH$3:$DH$25)))</f>
        <v>162.956620697823</v>
      </c>
      <c r="AD71" s="4" t="n">
        <f aca="false" t="array" ref="AD71:AD71">SUM(Capacity!AX$3:AX$25*Capacity!$DI14/(TRANSPOSE(Dists!$B13:$X13)*MMULT(1/Dists!$B13:$X13,Capacity!$DI$3:$DI$25)))</f>
        <v>54.1686317149437</v>
      </c>
      <c r="AE71" s="4" t="n">
        <f aca="false" t="array" ref="AE71:AE71">SUM(Capacity!AY$3:AY$25*Capacity!$DI14/(TRANSPOSE(Dists!$B13:$X13)*MMULT(1/Dists!$B13:$X13,Capacity!$DI$3:$DI$25)))</f>
        <v>37.8195537791607</v>
      </c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4" t="n">
        <f aca="false" t="array" ref="AW71:AW71">SUM(Capacity!BQ$3:BQ$25*Capacity!$DH14/(TRANSPOSE(Dists!$B13:$X13)*MMULT(1/Dists!$B13:$X13,Capacity!$DH$3:$DH$25)))</f>
        <v>561.843702338624</v>
      </c>
      <c r="AX71" s="0"/>
      <c r="AY71" s="4" t="n">
        <f aca="false" t="array" ref="AY71:AY71">SUM(Capacity!BS$3:BS$25*Capacity!$DH14/(TRANSPOSE(Dists!$B13:$X13)*MMULT(1/Dists!$B13:$X13,Capacity!$DH$3:$DH$25)))</f>
        <v>11.8572644729839</v>
      </c>
      <c r="AZ71" s="4" t="n">
        <f aca="false" t="array" ref="AZ71:AZ71">SUM(Capacity!BT$3:BT$25*Capacity!$DH14/(TRANSPOSE(Dists!$B13:$X13)*MMULT(1/Dists!$B13:$X13,Capacity!$DH$3:$DH$25)))</f>
        <v>16.6742781651336</v>
      </c>
      <c r="BA71" s="0"/>
      <c r="BB71" s="4" t="n">
        <f aca="false" t="array" ref="BB71:BB71">SUM(Capacity!BV$3:BV$25*Capacity!$DI14/(TRANSPOSE(Dists!$B13:$X13)*MMULT(1/Dists!$B13:$X13,Capacity!$DI$3:$DI$25)))</f>
        <v>132.368438227062</v>
      </c>
      <c r="BC71" s="4" t="n">
        <f aca="false" t="array" ref="BC71:BC71">SUM(Capacity!BW$3:BW$25*Capacity!$DI14/(TRANSPOSE(Dists!$B13:$X13)*MMULT(1/Dists!$B13:$X13,Capacity!$DI$3:$DI$25)))</f>
        <v>113.458661337482</v>
      </c>
      <c r="BD71" s="4" t="n">
        <f aca="false" t="array" ref="BD71:BD71">SUM(Capacity!BX$3:BX$25*Capacity!$DI14/(TRANSPOSE(Dists!$B13:$X13)*MMULT(1/Dists!$B13:$X13,Capacity!$DI$3:$DI$25)))</f>
        <v>56.729330668741</v>
      </c>
      <c r="BE71" s="4" t="n">
        <f aca="false" t="array" ref="BE71:BE71">SUM(Capacity!BY$3:BY$25*Capacity!$DI14/(TRANSPOSE(Dists!$B13:$X13)*MMULT(1/Dists!$B13:$X13,Capacity!$DI$3:$DI$25)))</f>
        <v>33.0921095567656</v>
      </c>
      <c r="BF71" s="4" t="n">
        <f aca="false" t="array" ref="BF71:BF71">SUM(Capacity!BZ$3:BZ$25*Capacity!$DH14/(TRANSPOSE(Dists!$B13:$X13)*MMULT(1/Dists!$B13:$X13,Capacity!$DH$3:$DH$25)))</f>
        <v>84276.5553507935</v>
      </c>
      <c r="BG71" s="4" t="n">
        <f aca="false" t="array" ref="BG71:BG71">SUM(Capacity!CA$3:CA$25*Capacity!$DI14/(TRANSPOSE(Dists!$B13:$X13)*MMULT(1/Dists!$B13:$X13,Capacity!$DI$3:$DI$25)))</f>
        <v>2867.26209600769</v>
      </c>
      <c r="BH71" s="4" t="n">
        <f aca="false" t="array" ref="BH71:BH71">SUM(Capacity!CB$3:CB$25*Capacity!$DI14/(TRANSPOSE(Dists!$B13:$X13)*MMULT(1/Dists!$B13:$X13,Capacity!$DI$3:$DI$25)))</f>
        <v>4395.53115047382</v>
      </c>
      <c r="BI71" s="4" t="n">
        <f aca="false" t="array" ref="BI71:BI71">SUM(Capacity!CC$3:CC$25*Capacity!$DI14/(TRANSPOSE(Dists!$B13:$X13)*MMULT(1/Dists!$B13:$X13,Capacity!$DI$3:$DI$25)))</f>
        <v>7646.0322560205</v>
      </c>
      <c r="BJ71" s="0"/>
      <c r="BK71" s="4" t="n">
        <f aca="false" t="array" ref="BK71:BK71">SUM(Capacity!CE$3:CE$25*Capacity!$DI14/(TRANSPOSE(Dists!$B13:$X13)*MMULT(1/Dists!$B13:$X13,Capacity!$DI$3:$DI$25)))</f>
        <v>3823.01612801025</v>
      </c>
      <c r="BL71" s="0"/>
      <c r="BM71" s="0"/>
      <c r="BN71" s="4" t="n">
        <f aca="false" t="array" ref="BN71:BN71">SUM(Capacity!CH$3:CH$25*Capacity!$DH14/(TRANSPOSE(Dists!$B13:$X13)*MMULT(1/Dists!$B13:$X13,Capacity!$DH$3:$DH$25)))</f>
        <v>628780.176142054</v>
      </c>
      <c r="BO71" s="4" t="n">
        <f aca="false" t="array" ref="BO71:BO71">SUM(Capacity!CI$3:CI$25*Capacity!$DH14/(TRANSPOSE(Dists!$B13:$X13)*MMULT(1/Dists!$B13:$X13,Capacity!$DH$3:$DH$25)))</f>
        <v>1257.56105803394</v>
      </c>
      <c r="BP71" s="4" t="n">
        <f aca="false" t="array" ref="BP71:BP71">SUM(Capacity!CJ$3:CJ$25*Capacity!$DH14/(TRANSPOSE(Dists!$B13:$X13)*MMULT(1/Dists!$B13:$X13,Capacity!$DH$3:$DH$25)))</f>
        <v>146715.374975305</v>
      </c>
      <c r="BQ71" s="4" t="n">
        <f aca="false" t="array" ref="BQ71:BQ71">SUM(Capacity!CK$3:CK$25*Capacity!$DH14/(TRANSPOSE(Dists!$B13:$X13)*MMULT(1/Dists!$B13:$X13,Capacity!$DH$3:$DH$25)))</f>
        <v>136235.705384724</v>
      </c>
      <c r="BR71" s="4" t="n">
        <f aca="false" t="array" ref="BR71:BR71">SUM(Capacity!CL$3:CL$25*Capacity!$DH14/(TRANSPOSE(Dists!$B13:$X13)*MMULT(1/Dists!$B13:$X13,Capacity!$DH$3:$DH$25)))</f>
        <v>419.187490787423</v>
      </c>
      <c r="BS71" s="4" t="n">
        <f aca="false" t="array" ref="BS71:BS71">SUM(Capacity!CM$3:CM$25*Capacity!$DH14/(TRANSPOSE(Dists!$B13:$X13)*MMULT(1/Dists!$B13:$X13,Capacity!$DH$3:$DH$25)))</f>
        <v>209.594098975793</v>
      </c>
      <c r="BT71" s="4" t="n">
        <f aca="false" t="array" ref="BT71:BT71">SUM(Capacity!CN$3:CN$25*Capacity!$DI14/(TRANSPOSE(Dists!$B13:$X13)*MMULT(1/Dists!$B13:$X13,Capacity!$DI$3:$DI$25)))</f>
        <v>288899.369146367</v>
      </c>
      <c r="BU71" s="4" t="n">
        <f aca="false" t="array" ref="BU71:BU71">SUM(Capacity!CO$3:CO$25*Capacity!$DI14/(TRANSPOSE(Dists!$B13:$X13)*MMULT(1/Dists!$B13:$X13,Capacity!$DI$3:$DI$25)))</f>
        <v>31516.2948159673</v>
      </c>
      <c r="BV71" s="4" t="n">
        <f aca="false" t="array" ref="BV71:BV71">SUM(Capacity!CP$3:CP$25*Capacity!$DI14/(TRANSPOSE(Dists!$B13:$X13)*MMULT(1/Dists!$B13:$X13,Capacity!$DI$3:$DI$25)))</f>
        <v>3676.90106186285</v>
      </c>
      <c r="BW71" s="0"/>
      <c r="BX71" s="0"/>
      <c r="BY71" s="0"/>
      <c r="BZ71" s="0"/>
      <c r="CA71" s="0"/>
      <c r="CB71" s="0"/>
      <c r="CC71" s="0"/>
      <c r="CE71" s="4" t="n">
        <f aca="false" t="array" ref="CE71:CE71">SUM(Capacity!CY$3:CY$25*Capacity!$DH14/(TRANSPOSE(Dists!$B13:$X13)*MMULT(1/Dists!$B13:$X13,Capacity!$DH$3:$DH$25)))</f>
        <v>105.345694188492</v>
      </c>
      <c r="CG71" s="0"/>
      <c r="CH71" s="0"/>
      <c r="CI71" s="0"/>
      <c r="CJ71" s="0"/>
      <c r="CK71" s="0"/>
    </row>
    <row r="72" customFormat="false" ht="12.8" hidden="false" customHeight="false" outlineLevel="0" collapsed="false">
      <c r="A72" s="4" t="s">
        <v>148</v>
      </c>
      <c r="B72" s="7" t="s">
        <v>39</v>
      </c>
      <c r="C72" s="4" t="n">
        <f aca="false" t="array" ref="C72:C72">SUM(Capacity!S$3:S$25*Capacity!$DH15/(TRANSPOSE(Dists!$B14:$X14)*MMULT(1/Dists!$B14:$X14,Capacity!$DH$3:$DH$25)))</f>
        <v>5541.65028526893</v>
      </c>
      <c r="D72" s="4" t="n">
        <f aca="false" t="array" ref="D72:D72">SUM(Capacity!V$3:V$25*Capacity!$DH15/(TRANSPOSE(Dists!$B14:$X14)*MMULT(1/Dists!$B14:$X14,Capacity!$DH$3:$DH$25)))</f>
        <v>10580.0328703288</v>
      </c>
      <c r="E72" s="4" t="n">
        <f aca="false" t="array" ref="E72:E72">SUM(Capacity!Y$3:Y$25*Capacity!$DH15/(TRANSPOSE(Dists!$B14:$X14)*MMULT(1/Dists!$B14:$X14,Capacity!$DH$3:$DH$25)))</f>
        <v>13438.2099043913</v>
      </c>
      <c r="F72" s="4" t="n">
        <f aca="false" t="array" ref="F72:F72">SUM(Capacity!Z$3:Z$25*Capacity!$DH15/(TRANSPOSE(Dists!$B14:$X14)*MMULT(1/Dists!$B14:$X14,Capacity!$DH$3:$DH$25)))</f>
        <v>5172.32686550518</v>
      </c>
      <c r="G72" s="4" t="n">
        <f aca="false" t="array" ref="G72:G72">SUM(Capacity!AA$3:AA$25*Capacity!$DH15/(TRANSPOSE(Dists!$B14:$X14)*MMULT(1/Dists!$B14:$X14,Capacity!$DH$3:$DH$25)))</f>
        <v>71412.841687706</v>
      </c>
      <c r="H72" s="4" t="n">
        <f aca="false" t="array" ref="H72:H72">SUM(Capacity!AB$3:AB$25*Capacity!$DI15/(TRANSPOSE(Dists!$B14:$X14)*MMULT(1/Dists!$B14:$X14,Capacity!$DI$3:$DI$25)))</f>
        <v>3020.87217884044</v>
      </c>
      <c r="I72" s="0"/>
      <c r="J72" s="0"/>
      <c r="K72" s="0"/>
      <c r="L72" s="0"/>
      <c r="M72" s="0"/>
      <c r="N72" s="4" t="n">
        <f aca="false" t="array" ref="N72:N72">SUM(Capacity!AH$3:AH$25*Capacity!$DH15/(TRANSPOSE(Dists!$B14:$X14)*MMULT(1/Dists!$B14:$X14,Capacity!$DH$3:$DH$25)))</f>
        <v>88714.6365207748</v>
      </c>
      <c r="O72" s="0"/>
      <c r="U72" s="0"/>
      <c r="V72" s="0"/>
      <c r="W72" s="0"/>
      <c r="X72" s="0"/>
      <c r="Y72" s="4" t="n">
        <f aca="false" t="array" ref="Y72:Y72">SUM(Capacity!AS$3:AS$25*Capacity!$DI15/(TRANSPOSE(Dists!$B14:$X14)*MMULT(1/Dists!$B14:$X14,Capacity!$DI$3:$DI$25)))</f>
        <v>385.785572717095</v>
      </c>
      <c r="Z72" s="4" t="n">
        <f aca="false" t="array" ref="Z72:Z72">SUM(Capacity!AT$3:AT$25*Capacity!$DH15/(TRANSPOSE(Dists!$B14:$X14)*MMULT(1/Dists!$B14:$X14,Capacity!$DH$3:$DH$25)))</f>
        <v>144696.243867721</v>
      </c>
      <c r="AA72" s="4" t="n">
        <f aca="false" t="array" ref="AA72:AA72">SUM(Capacity!AU$3:AU$25*Capacity!$DI15/(TRANSPOSE(Dists!$B14:$X14)*MMULT(1/Dists!$B14:$X14,Capacity!$DI$3:$DI$25)))</f>
        <v>8190.92307914941</v>
      </c>
      <c r="AB72" s="4" t="n">
        <f aca="false" t="array" ref="AB72:AB72">SUM(Capacity!AV$3:AV$25*Capacity!$DI15/(TRANSPOSE(Dists!$B14:$X14)*MMULT(1/Dists!$B14:$X14,Capacity!$DI$3:$DI$25)))</f>
        <v>3412.88461631225</v>
      </c>
      <c r="AC72" s="4" t="n">
        <f aca="false" t="array" ref="AC72:AC72">SUM(Capacity!AW$3:AW$25*Capacity!$DH15/(TRANSPOSE(Dists!$B14:$X14)*MMULT(1/Dists!$B14:$X14,Capacity!$DH$3:$DH$25)))</f>
        <v>180.8898743955</v>
      </c>
      <c r="AD72" s="4" t="n">
        <f aca="false" t="array" ref="AD72:AD72">SUM(Capacity!AX$3:AX$25*Capacity!$DI15/(TRANSPOSE(Dists!$B14:$X14)*MMULT(1/Dists!$B14:$X14,Capacity!$DI$3:$DI$25)))</f>
        <v>56.3125961691522</v>
      </c>
      <c r="AE72" s="4" t="n">
        <f aca="false" t="array" ref="AE72:AE72">SUM(Capacity!AY$3:AY$25*Capacity!$DI15/(TRANSPOSE(Dists!$B14:$X14)*MMULT(1/Dists!$B14:$X14,Capacity!$DI$3:$DI$25)))</f>
        <v>39.3164307799171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4" t="n">
        <f aca="false" t="array" ref="AW72:AW72">SUM(Capacity!BQ$3:BQ$25*Capacity!$DH15/(TRANSPOSE(Dists!$B14:$X14)*MMULT(1/Dists!$B14:$X14,Capacity!$DH$3:$DH$25)))</f>
        <v>623.674179733981</v>
      </c>
      <c r="AX72" s="0"/>
      <c r="AY72" s="4" t="n">
        <f aca="false" t="array" ref="AY72:AY72">SUM(Capacity!BS$3:BS$25*Capacity!$DH15/(TRANSPOSE(Dists!$B14:$X14)*MMULT(1/Dists!$B14:$X14,Capacity!$DH$3:$DH$25)))</f>
        <v>12.6843634911097</v>
      </c>
      <c r="AZ72" s="4" t="n">
        <f aca="false" t="array" ref="AZ72:AZ72">SUM(Capacity!BT$3:BT$25*Capacity!$DH15/(TRANSPOSE(Dists!$B14:$X14)*MMULT(1/Dists!$B14:$X14,Capacity!$DH$3:$DH$25)))</f>
        <v>17.8373861593729</v>
      </c>
      <c r="BA72" s="0"/>
      <c r="BB72" s="4" t="n">
        <f aca="false" t="array" ref="BB72:BB72">SUM(Capacity!BV$3:BV$25*Capacity!$DI15/(TRANSPOSE(Dists!$B14:$X14)*MMULT(1/Dists!$B14:$X14,Capacity!$DI$3:$DI$25)))</f>
        <v>137.60750772971</v>
      </c>
      <c r="BC72" s="4" t="n">
        <f aca="false" t="array" ref="BC72:BC72">SUM(Capacity!BW$3:BW$25*Capacity!$DI15/(TRANSPOSE(Dists!$B14:$X14)*MMULT(1/Dists!$B14:$X14,Capacity!$DI$3:$DI$25)))</f>
        <v>117.949292339752</v>
      </c>
      <c r="BD72" s="4" t="n">
        <f aca="false" t="array" ref="BD72:BD72">SUM(Capacity!BX$3:BX$25*Capacity!$DI15/(TRANSPOSE(Dists!$B14:$X14)*MMULT(1/Dists!$B14:$X14,Capacity!$DI$3:$DI$25)))</f>
        <v>58.9746461698757</v>
      </c>
      <c r="BE72" s="4" t="n">
        <f aca="false" t="array" ref="BE72:BE72">SUM(Capacity!BY$3:BY$25*Capacity!$DI15/(TRANSPOSE(Dists!$B14:$X14)*MMULT(1/Dists!$B14:$X14,Capacity!$DI$3:$DI$25)))</f>
        <v>34.4018769324275</v>
      </c>
      <c r="BF72" s="4" t="n">
        <f aca="false" t="array" ref="BF72:BF72">SUM(Capacity!BZ$3:BZ$25*Capacity!$DH15/(TRANSPOSE(Dists!$B14:$X14)*MMULT(1/Dists!$B14:$X14,Capacity!$DH$3:$DH$25)))</f>
        <v>93551.1269600972</v>
      </c>
      <c r="BG72" s="4" t="n">
        <f aca="false" t="array" ref="BG72:BG72">SUM(Capacity!CA$3:CA$25*Capacity!$DI15/(TRANSPOSE(Dists!$B14:$X14)*MMULT(1/Dists!$B14:$X14,Capacity!$DI$3:$DI$25)))</f>
        <v>3093.02302589092</v>
      </c>
      <c r="BH72" s="4" t="n">
        <f aca="false" t="array" ref="BH72:BH72">SUM(Capacity!CB$3:CB$25*Capacity!$DI15/(TRANSPOSE(Dists!$B14:$X14)*MMULT(1/Dists!$B14:$X14,Capacity!$DI$3:$DI$25)))</f>
        <v>3208.4400516385</v>
      </c>
      <c r="BI72" s="4" t="n">
        <f aca="false" t="array" ref="BI72:BI72">SUM(Capacity!CC$3:CC$25*Capacity!$DI15/(TRANSPOSE(Dists!$B14:$X14)*MMULT(1/Dists!$B14:$X14,Capacity!$DI$3:$DI$25)))</f>
        <v>8248.06140237579</v>
      </c>
      <c r="BJ72" s="0"/>
      <c r="BK72" s="4" t="n">
        <f aca="false" t="array" ref="BK72:BK72">SUM(Capacity!CE$3:CE$25*Capacity!$DI15/(TRANSPOSE(Dists!$B14:$X14)*MMULT(1/Dists!$B14:$X14,Capacity!$DI$3:$DI$25)))</f>
        <v>4124.0307011879</v>
      </c>
      <c r="BL72" s="0"/>
      <c r="BM72" s="0"/>
      <c r="BN72" s="4" t="n">
        <f aca="false" t="array" ref="BN72:BN72">SUM(Capacity!CH$3:CH$25*Capacity!$DH15/(TRANSPOSE(Dists!$B14:$X14)*MMULT(1/Dists!$B14:$X14,Capacity!$DH$3:$DH$25)))</f>
        <v>753519.741706407</v>
      </c>
      <c r="BO72" s="4" t="n">
        <f aca="false" t="array" ref="BO72:BO72">SUM(Capacity!CI$3:CI$25*Capacity!$DH15/(TRANSPOSE(Dists!$B14:$X14)*MMULT(1/Dists!$B14:$X14,Capacity!$DH$3:$DH$25)))</f>
        <v>1507.04022644573</v>
      </c>
      <c r="BP72" s="4" t="n">
        <f aca="false" t="array" ref="BP72:BP72">SUM(Capacity!CJ$3:CJ$25*Capacity!$DH15/(TRANSPOSE(Dists!$B14:$X14)*MMULT(1/Dists!$B14:$X14,Capacity!$DH$3:$DH$25)))</f>
        <v>175821.273635629</v>
      </c>
      <c r="BQ72" s="4" t="n">
        <f aca="false" t="array" ref="BQ72:BQ72">SUM(Capacity!CK$3:CK$25*Capacity!$DH15/(TRANSPOSE(Dists!$B14:$X14)*MMULT(1/Dists!$B14:$X14,Capacity!$DH$3:$DH$25)))</f>
        <v>163262.611286264</v>
      </c>
      <c r="BR72" s="4" t="n">
        <f aca="false" t="array" ref="BR72:BR72">SUM(Capacity!CL$3:CL$25*Capacity!$DH15/(TRANSPOSE(Dists!$B14:$X14)*MMULT(1/Dists!$B14:$X14,Capacity!$DH$3:$DH$25)))</f>
        <v>502.347238496552</v>
      </c>
      <c r="BS72" s="4" t="n">
        <f aca="false" t="array" ref="BS72:BS72">SUM(Capacity!CM$3:CM$25*Capacity!$DH15/(TRANSPOSE(Dists!$B14:$X14)*MMULT(1/Dists!$B14:$X14,Capacity!$DH$3:$DH$25)))</f>
        <v>251.173991509257</v>
      </c>
      <c r="BT72" s="4" t="n">
        <f aca="false" t="array" ref="BT72:BT72">SUM(Capacity!CN$3:CN$25*Capacity!$DI15/(TRANSPOSE(Dists!$B14:$X14)*MMULT(1/Dists!$B14:$X14,Capacity!$DI$3:$DI$25)))</f>
        <v>300333.846235478</v>
      </c>
      <c r="BU72" s="4" t="n">
        <f aca="false" t="array" ref="BU72:BU72">SUM(Capacity!CO$3:CO$25*Capacity!$DI15/(TRANSPOSE(Dists!$B14:$X14)*MMULT(1/Dists!$B14:$X14,Capacity!$DI$3:$DI$25)))</f>
        <v>32763.6923165976</v>
      </c>
      <c r="BV72" s="4" t="n">
        <f aca="false" t="array" ref="BV72:BV72">SUM(Capacity!CP$3:CP$25*Capacity!$DI15/(TRANSPOSE(Dists!$B14:$X14)*MMULT(1/Dists!$B14:$X14,Capacity!$DI$3:$DI$25)))</f>
        <v>3822.43077026972</v>
      </c>
      <c r="BW72" s="0"/>
      <c r="BX72" s="0"/>
      <c r="BY72" s="0"/>
      <c r="BZ72" s="0"/>
      <c r="CA72" s="0"/>
      <c r="CB72" s="0"/>
      <c r="CC72" s="0"/>
      <c r="CE72" s="4" t="n">
        <f aca="false" t="array" ref="CE72:CE72">SUM(Capacity!CY$3:CY$25*Capacity!$DH15/(TRANSPOSE(Dists!$B14:$X14)*MMULT(1/Dists!$B14:$X14,Capacity!$DH$3:$DH$25)))</f>
        <v>116.938908700121</v>
      </c>
      <c r="CG72" s="0"/>
      <c r="CH72" s="0"/>
      <c r="CI72" s="0"/>
      <c r="CJ72" s="0"/>
      <c r="CK72" s="0"/>
    </row>
    <row r="73" customFormat="false" ht="12.8" hidden="false" customHeight="false" outlineLevel="0" collapsed="false">
      <c r="A73" s="4" t="s">
        <v>150</v>
      </c>
      <c r="B73" s="7" t="s">
        <v>39</v>
      </c>
      <c r="C73" s="4" t="n">
        <f aca="false" t="array" ref="C73:C73">SUM(Capacity!S$3:S$25*Capacity!$DH16/(TRANSPOSE(Dists!$B15:$X15)*MMULT(1/Dists!$B15:$X15,Capacity!$DH$3:$DH$25)))</f>
        <v>5122.13700834096</v>
      </c>
      <c r="D73" s="4" t="n">
        <f aca="false" t="array" ref="D73:D73">SUM(Capacity!V$3:V$25*Capacity!$DH16/(TRANSPOSE(Dists!$B15:$X15)*MMULT(1/Dists!$B15:$X15,Capacity!$DH$3:$DH$25)))</f>
        <v>9871.52830213951</v>
      </c>
      <c r="E73" s="4" t="n">
        <f aca="false" t="array" ref="E73:E73">SUM(Capacity!Y$3:Y$25*Capacity!$DH16/(TRANSPOSE(Dists!$B15:$X15)*MMULT(1/Dists!$B15:$X15,Capacity!$DH$3:$DH$25)))</f>
        <v>12368.1170706459</v>
      </c>
      <c r="F73" s="4" t="n">
        <f aca="false" t="array" ref="F73:F73">SUM(Capacity!Z$3:Z$25*Capacity!$DH16/(TRANSPOSE(Dists!$B15:$X15)*MMULT(1/Dists!$B15:$X15,Capacity!$DH$3:$DH$25)))</f>
        <v>4737.54957847698</v>
      </c>
      <c r="G73" s="4" t="n">
        <f aca="false" t="array" ref="G73:G73">SUM(Capacity!AA$3:AA$25*Capacity!$DH16/(TRANSPOSE(Dists!$B15:$X15)*MMULT(1/Dists!$B15:$X15,Capacity!$DH$3:$DH$25)))</f>
        <v>66764.3174436686</v>
      </c>
      <c r="H73" s="4" t="n">
        <f aca="false" t="array" ref="H73:H73">SUM(Capacity!AB$3:AB$25*Capacity!$DI16/(TRANSPOSE(Dists!$B15:$X15)*MMULT(1/Dists!$B15:$X15,Capacity!$DI$3:$DI$25)))</f>
        <v>3816.14716118992</v>
      </c>
      <c r="I73" s="0"/>
      <c r="J73" s="0"/>
      <c r="K73" s="0"/>
      <c r="L73" s="0"/>
      <c r="M73" s="0"/>
      <c r="N73" s="4" t="n">
        <f aca="false" t="array" ref="N73:N73">SUM(Capacity!AH$3:AH$25*Capacity!$DH16/(TRANSPOSE(Dists!$B15:$X15)*MMULT(1/Dists!$B15:$X15,Capacity!$DH$3:$DH$25)))</f>
        <v>85543.0893351324</v>
      </c>
      <c r="O73" s="0"/>
      <c r="U73" s="0"/>
      <c r="V73" s="0"/>
      <c r="W73" s="0"/>
      <c r="X73" s="0"/>
      <c r="Y73" s="4" t="n">
        <f aca="false" t="array" ref="Y73:Y73">SUM(Capacity!AS$3:AS$25*Capacity!$DI16/(TRANSPOSE(Dists!$B15:$X15)*MMULT(1/Dists!$B15:$X15,Capacity!$DI$3:$DI$25)))</f>
        <v>423.034274786798</v>
      </c>
      <c r="Z73" s="4" t="n">
        <f aca="false" t="array" ref="Z73:Z73">SUM(Capacity!AT$3:AT$25*Capacity!$DH16/(TRANSPOSE(Dists!$B15:$X15)*MMULT(1/Dists!$B15:$X15,Capacity!$DH$3:$DH$25)))</f>
        <v>167965.699464772</v>
      </c>
      <c r="AA73" s="4" t="n">
        <f aca="false" t="array" ref="AA73:AA73">SUM(Capacity!AU$3:AU$25*Capacity!$DI16/(TRANSPOSE(Dists!$B15:$X15)*MMULT(1/Dists!$B15:$X15,Capacity!$DI$3:$DI$25)))</f>
        <v>10799.621283919</v>
      </c>
      <c r="AB73" s="4" t="n">
        <f aca="false" t="array" ref="AB73:AB73">SUM(Capacity!AV$3:AV$25*Capacity!$DI16/(TRANSPOSE(Dists!$B15:$X15)*MMULT(1/Dists!$B15:$X15,Capacity!$DI$3:$DI$25)))</f>
        <v>4499.84220163294</v>
      </c>
      <c r="AC73" s="4" t="n">
        <f aca="false" t="array" ref="AC73:AC73">SUM(Capacity!AW$3:AW$25*Capacity!$DH16/(TRANSPOSE(Dists!$B15:$X15)*MMULT(1/Dists!$B15:$X15,Capacity!$DH$3:$DH$25)))</f>
        <v>164.117713064743</v>
      </c>
      <c r="AD73" s="4" t="n">
        <f aca="false" t="array" ref="AD73:AD73">SUM(Capacity!AX$3:AX$25*Capacity!$DI16/(TRANSPOSE(Dists!$B15:$X15)*MMULT(1/Dists!$B15:$X15,Capacity!$DI$3:$DI$25)))</f>
        <v>74.2473963269435</v>
      </c>
      <c r="AE73" s="4" t="n">
        <f aca="false" t="array" ref="AE73:AE73">SUM(Capacity!AY$3:AY$25*Capacity!$DI16/(TRANSPOSE(Dists!$B15:$X15)*MMULT(1/Dists!$B15:$X15,Capacity!$DI$3:$DI$25)))</f>
        <v>51.8381821628114</v>
      </c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4" t="n">
        <f aca="false" t="array" ref="AW73:AW73">SUM(Capacity!BQ$3:BQ$25*Capacity!$DH16/(TRANSPOSE(Dists!$B15:$X15)*MMULT(1/Dists!$B15:$X15,Capacity!$DH$3:$DH$25)))</f>
        <v>565.846929893254</v>
      </c>
      <c r="AX73" s="0"/>
      <c r="AY73" s="4" t="n">
        <f aca="false" t="array" ref="AY73:AY73">SUM(Capacity!BS$3:BS$25*Capacity!$DH16/(TRANSPOSE(Dists!$B15:$X15)*MMULT(1/Dists!$B15:$X15,Capacity!$DH$3:$DH$25)))</f>
        <v>14.144642228864</v>
      </c>
      <c r="AZ73" s="4" t="n">
        <f aca="false" t="array" ref="AZ73:AZ73">SUM(Capacity!BT$3:BT$25*Capacity!$DH16/(TRANSPOSE(Dists!$B15:$X15)*MMULT(1/Dists!$B15:$X15,Capacity!$DH$3:$DH$25)))</f>
        <v>19.89090313434</v>
      </c>
      <c r="BA73" s="0"/>
      <c r="BB73" s="4" t="n">
        <f aca="false" t="array" ref="BB73:BB73">SUM(Capacity!BV$3:BV$25*Capacity!$DI16/(TRANSPOSE(Dists!$B15:$X15)*MMULT(1/Dists!$B15:$X15,Capacity!$DI$3:$DI$25)))</f>
        <v>181.43363756984</v>
      </c>
      <c r="BC73" s="4" t="n">
        <f aca="false" t="array" ref="BC73:BC73">SUM(Capacity!BW$3:BW$25*Capacity!$DI16/(TRANSPOSE(Dists!$B15:$X15)*MMULT(1/Dists!$B15:$X15,Capacity!$DI$3:$DI$25)))</f>
        <v>155.514546488434</v>
      </c>
      <c r="BD73" s="4" t="n">
        <f aca="false" t="array" ref="BD73:BD73">SUM(Capacity!BX$3:BX$25*Capacity!$DI16/(TRANSPOSE(Dists!$B15:$X15)*MMULT(1/Dists!$B15:$X15,Capacity!$DI$3:$DI$25)))</f>
        <v>77.757273244217</v>
      </c>
      <c r="BE73" s="4" t="n">
        <f aca="false" t="array" ref="BE73:BE73">SUM(Capacity!BY$3:BY$25*Capacity!$DI16/(TRANSPOSE(Dists!$B15:$X15)*MMULT(1/Dists!$B15:$X15,Capacity!$DI$3:$DI$25)))</f>
        <v>45.35840939246</v>
      </c>
      <c r="BF73" s="4" t="n">
        <f aca="false" t="array" ref="BF73:BF73">SUM(Capacity!BZ$3:BZ$25*Capacity!$DH16/(TRANSPOSE(Dists!$B15:$X15)*MMULT(1/Dists!$B15:$X15,Capacity!$DH$3:$DH$25)))</f>
        <v>84877.0394839882</v>
      </c>
      <c r="BG73" s="4" t="n">
        <f aca="false" t="array" ref="BG73:BG73">SUM(Capacity!CA$3:CA$25*Capacity!$DI16/(TRANSPOSE(Dists!$B15:$X15)*MMULT(1/Dists!$B15:$X15,Capacity!$DI$3:$DI$25)))</f>
        <v>3318.00276073068</v>
      </c>
      <c r="BH73" s="4" t="n">
        <f aca="false" t="array" ref="BH73:BH73">SUM(Capacity!CB$3:CB$25*Capacity!$DI16/(TRANSPOSE(Dists!$B15:$X15)*MMULT(1/Dists!$B15:$X15,Capacity!$DI$3:$DI$25)))</f>
        <v>5251.51089631921</v>
      </c>
      <c r="BI73" s="4" t="n">
        <f aca="false" t="array" ref="BI73:BI73">SUM(Capacity!CC$3:CC$25*Capacity!$DI16/(TRANSPOSE(Dists!$B15:$X15)*MMULT(1/Dists!$B15:$X15,Capacity!$DI$3:$DI$25)))</f>
        <v>8848.00736194849</v>
      </c>
      <c r="BJ73" s="0"/>
      <c r="BK73" s="4" t="n">
        <f aca="false" t="array" ref="BK73:BK73">SUM(Capacity!CE$3:CE$25*Capacity!$DI16/(TRANSPOSE(Dists!$B15:$X15)*MMULT(1/Dists!$B15:$X15,Capacity!$DI$3:$DI$25)))</f>
        <v>4424.00368097424</v>
      </c>
      <c r="BL73" s="0"/>
      <c r="BM73" s="0"/>
      <c r="BN73" s="4" t="n">
        <f aca="false" t="array" ref="BN73:BN73">SUM(Capacity!CH$3:CH$25*Capacity!$DH16/(TRANSPOSE(Dists!$B15:$X15)*MMULT(1/Dists!$B15:$X15,Capacity!$DH$3:$DH$25)))</f>
        <v>1646327.0026842</v>
      </c>
      <c r="BO73" s="4" t="n">
        <f aca="false" t="array" ref="BO73:BO73">SUM(Capacity!CI$3:CI$25*Capacity!$DH16/(TRANSPOSE(Dists!$B15:$X15)*MMULT(1/Dists!$B15:$X15,Capacity!$DH$3:$DH$25)))</f>
        <v>3292.65451318053</v>
      </c>
      <c r="BP73" s="4" t="n">
        <f aca="false" t="array" ref="BP73:BP73">SUM(Capacity!CJ$3:CJ$25*Capacity!$DH16/(TRANSPOSE(Dists!$B15:$X15)*MMULT(1/Dists!$B15:$X15,Capacity!$DH$3:$DH$25)))</f>
        <v>384142.967683083</v>
      </c>
      <c r="BQ73" s="4" t="n">
        <f aca="false" t="array" ref="BQ73:BQ73">SUM(Capacity!CK$3:CK$25*Capacity!$DH16/(TRANSPOSE(Dists!$B15:$X15)*MMULT(1/Dists!$B15:$X15,Capacity!$DH$3:$DH$25)))</f>
        <v>356704.184313493</v>
      </c>
      <c r="BR73" s="4" t="n">
        <f aca="false" t="array" ref="BR73:BR73">SUM(Capacity!CL$3:CL$25*Capacity!$DH16/(TRANSPOSE(Dists!$B15:$X15)*MMULT(1/Dists!$B15:$X15,Capacity!$DH$3:$DH$25)))</f>
        <v>1097.55184361337</v>
      </c>
      <c r="BS73" s="4" t="n">
        <f aca="false" t="array" ref="BS73:BS73">SUM(Capacity!CM$3:CM$25*Capacity!$DH16/(TRANSPOSE(Dists!$B15:$X15)*MMULT(1/Dists!$B15:$X15,Capacity!$DH$3:$DH$25)))</f>
        <v>548.776176221581</v>
      </c>
      <c r="BT73" s="4" t="n">
        <f aca="false" t="array" ref="BT73:BT73">SUM(Capacity!CN$3:CN$25*Capacity!$DI16/(TRANSPOSE(Dists!$B15:$X15)*MMULT(1/Dists!$B15:$X15,Capacity!$DI$3:$DI$25)))</f>
        <v>395986.113743698</v>
      </c>
      <c r="BU73" s="4" t="n">
        <f aca="false" t="array" ref="BU73:BU73">SUM(Capacity!CO$3:CO$25*Capacity!$DI16/(TRANSPOSE(Dists!$B15:$X15)*MMULT(1/Dists!$B15:$X15,Capacity!$DI$3:$DI$25)))</f>
        <v>43198.4851356762</v>
      </c>
      <c r="BV73" s="4" t="n">
        <f aca="false" t="array" ref="BV73:BV73">SUM(Capacity!CP$3:CP$25*Capacity!$DI16/(TRANSPOSE(Dists!$B15:$X15)*MMULT(1/Dists!$B15:$X15,Capacity!$DI$3:$DI$25)))</f>
        <v>5039.82326582889</v>
      </c>
      <c r="BW73" s="0"/>
      <c r="BX73" s="0"/>
      <c r="BY73" s="0"/>
      <c r="BZ73" s="0"/>
      <c r="CA73" s="0"/>
      <c r="CB73" s="0"/>
      <c r="CC73" s="0"/>
      <c r="CE73" s="4" t="n">
        <f aca="false" t="array" ref="CE73:CE73">SUM(Capacity!CY$3:CY$25*Capacity!$DH16/(TRANSPOSE(Dists!$B15:$X15)*MMULT(1/Dists!$B15:$X15,Capacity!$DH$3:$DH$25)))</f>
        <v>106.096299354985</v>
      </c>
      <c r="CG73" s="0"/>
      <c r="CH73" s="0"/>
      <c r="CI73" s="0"/>
      <c r="CJ73" s="0"/>
      <c r="CK73" s="0"/>
    </row>
    <row r="74" customFormat="false" ht="12.8" hidden="false" customHeight="false" outlineLevel="0" collapsed="false">
      <c r="A74" s="4" t="s">
        <v>151</v>
      </c>
      <c r="B74" s="7" t="s">
        <v>39</v>
      </c>
      <c r="C74" s="4" t="n">
        <f aca="false" t="array" ref="C74:C74">SUM(Capacity!S$3:S$25*Capacity!$DH17/(TRANSPOSE(Dists!$B16:$X16)*MMULT(1/Dists!$B16:$X16,Capacity!$DH$3:$DH$25)))</f>
        <v>6387.42711667689</v>
      </c>
      <c r="D74" s="4" t="n">
        <f aca="false" t="array" ref="D74:D74">SUM(Capacity!V$3:V$25*Capacity!$DH17/(TRANSPOSE(Dists!$B16:$X16)*MMULT(1/Dists!$B16:$X16,Capacity!$DH$3:$DH$25)))</f>
        <v>12561.8563229882</v>
      </c>
      <c r="E74" s="4" t="n">
        <f aca="false" t="array" ref="E74:E74">SUM(Capacity!Y$3:Y$25*Capacity!$DH17/(TRANSPOSE(Dists!$B16:$X16)*MMULT(1/Dists!$B16:$X16,Capacity!$DH$3:$DH$25)))</f>
        <v>15239.10569291</v>
      </c>
      <c r="F74" s="4" t="n">
        <f aca="false" t="array" ref="F74:F74">SUM(Capacity!Z$3:Z$25*Capacity!$DH17/(TRANSPOSE(Dists!$B16:$X16)*MMULT(1/Dists!$B16:$X16,Capacity!$DH$3:$DH$25)))</f>
        <v>5756.90650225151</v>
      </c>
      <c r="G74" s="4" t="n">
        <f aca="false" t="array" ref="G74:G74">SUM(Capacity!AA$3:AA$25*Capacity!$DH17/(TRANSPOSE(Dists!$B16:$X16)*MMULT(1/Dists!$B16:$X16,Capacity!$DH$3:$DH$25)))</f>
        <v>85320.8396048902</v>
      </c>
      <c r="H74" s="4" t="n">
        <f aca="false" t="array" ref="H74:H74">SUM(Capacity!AB$3:AB$25*Capacity!$DI17/(TRANSPOSE(Dists!$B16:$X16)*MMULT(1/Dists!$B16:$X16,Capacity!$DI$3:$DI$25)))</f>
        <v>4544.78967676515</v>
      </c>
      <c r="I74" s="0"/>
      <c r="J74" s="0"/>
      <c r="K74" s="0"/>
      <c r="L74" s="0"/>
      <c r="M74" s="0"/>
      <c r="N74" s="4" t="n">
        <f aca="false" t="array" ref="N74:N74">SUM(Capacity!AH$3:AH$25*Capacity!$DH17/(TRANSPOSE(Dists!$B16:$X16)*MMULT(1/Dists!$B16:$X16,Capacity!$DH$3:$DH$25)))</f>
        <v>108088.006371236</v>
      </c>
      <c r="O74" s="0"/>
      <c r="U74" s="0"/>
      <c r="V74" s="0"/>
      <c r="W74" s="0"/>
      <c r="X74" s="0"/>
      <c r="Y74" s="4" t="n">
        <f aca="false" t="array" ref="Y74:Y74">SUM(Capacity!AS$3:AS$25*Capacity!$DI17/(TRANSPOSE(Dists!$B16:$X16)*MMULT(1/Dists!$B16:$X16,Capacity!$DI$3:$DI$25)))</f>
        <v>485.643541021391</v>
      </c>
      <c r="Z74" s="4" t="n">
        <f aca="false" t="array" ref="Z74:Z74">SUM(Capacity!AT$3:AT$25*Capacity!$DH17/(TRANSPOSE(Dists!$B16:$X16)*MMULT(1/Dists!$B16:$X16,Capacity!$DH$3:$DH$25)))</f>
        <v>221699.99699058</v>
      </c>
      <c r="AA74" s="4" t="n">
        <f aca="false" t="array" ref="AA74:AA74">SUM(Capacity!AU$3:AU$25*Capacity!$DI17/(TRANSPOSE(Dists!$B16:$X16)*MMULT(1/Dists!$B16:$X16,Capacity!$DI$3:$DI$25)))</f>
        <v>11625.9024034243</v>
      </c>
      <c r="AB74" s="4" t="n">
        <f aca="false" t="array" ref="AB74:AB74">SUM(Capacity!AV$3:AV$25*Capacity!$DI17/(TRANSPOSE(Dists!$B16:$X16)*MMULT(1/Dists!$B16:$X16,Capacity!$DI$3:$DI$25)))</f>
        <v>4844.1260014268</v>
      </c>
      <c r="AC74" s="4" t="n">
        <f aca="false" t="array" ref="AC74:AC74">SUM(Capacity!AW$3:AW$25*Capacity!$DH17/(TRANSPOSE(Dists!$B16:$X16)*MMULT(1/Dists!$B16:$X16,Capacity!$DH$3:$DH$25)))</f>
        <v>204.154792496574</v>
      </c>
      <c r="AD74" s="4" t="n">
        <f aca="false" t="array" ref="AD74:AD74">SUM(Capacity!AX$3:AX$25*Capacity!$DI17/(TRANSPOSE(Dists!$B16:$X16)*MMULT(1/Dists!$B16:$X16,Capacity!$DI$3:$DI$25)))</f>
        <v>79.9280790235422</v>
      </c>
      <c r="AE74" s="4" t="n">
        <f aca="false" t="array" ref="AE74:AE74">SUM(Capacity!AY$3:AY$25*Capacity!$DI17/(TRANSPOSE(Dists!$B16:$X16)*MMULT(1/Dists!$B16:$X16,Capacity!$DI$3:$DI$25)))</f>
        <v>55.8043315364367</v>
      </c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4" t="n">
        <f aca="false" t="array" ref="AW74:AW74">SUM(Capacity!BQ$3:BQ$25*Capacity!$DH17/(TRANSPOSE(Dists!$B16:$X16)*MMULT(1/Dists!$B16:$X16,Capacity!$DH$3:$DH$25)))</f>
        <v>703.887230695259</v>
      </c>
      <c r="AX74" s="0"/>
      <c r="AY74" s="4" t="n">
        <f aca="false" t="array" ref="AY74:AY74">SUM(Capacity!BS$3:BS$25*Capacity!$DH17/(TRANSPOSE(Dists!$B16:$X16)*MMULT(1/Dists!$B16:$X16,Capacity!$DH$3:$DH$25)))</f>
        <v>16.6318817317795</v>
      </c>
      <c r="AZ74" s="4" t="n">
        <f aca="false" t="array" ref="AZ74:AZ74">SUM(Capacity!BT$3:BT$25*Capacity!$DH17/(TRANSPOSE(Dists!$B16:$X16)*MMULT(1/Dists!$B16:$X16,Capacity!$DH$3:$DH$25)))</f>
        <v>23.3885836853149</v>
      </c>
      <c r="BA74" s="0"/>
      <c r="BB74" s="4" t="n">
        <f aca="false" t="array" ref="BB74:BB74">SUM(Capacity!BV$3:BV$25*Capacity!$DI17/(TRANSPOSE(Dists!$B16:$X16)*MMULT(1/Dists!$B16:$X16,Capacity!$DI$3:$DI$25)))</f>
        <v>195.315160377529</v>
      </c>
      <c r="BC74" s="4" t="n">
        <f aca="false" t="array" ref="BC74:BC74">SUM(Capacity!BW$3:BW$25*Capacity!$DI17/(TRANSPOSE(Dists!$B16:$X16)*MMULT(1/Dists!$B16:$X16,Capacity!$DI$3:$DI$25)))</f>
        <v>167.41299460931</v>
      </c>
      <c r="BD74" s="4" t="n">
        <f aca="false" t="array" ref="BD74:BD74">SUM(Capacity!BX$3:BX$25*Capacity!$DI17/(TRANSPOSE(Dists!$B16:$X16)*MMULT(1/Dists!$B16:$X16,Capacity!$DI$3:$DI$25)))</f>
        <v>83.706497304655</v>
      </c>
      <c r="BE74" s="4" t="n">
        <f aca="false" t="array" ref="BE74:BE74">SUM(Capacity!BY$3:BY$25*Capacity!$DI17/(TRANSPOSE(Dists!$B16:$X16)*MMULT(1/Dists!$B16:$X16,Capacity!$DI$3:$DI$25)))</f>
        <v>48.8287900943821</v>
      </c>
      <c r="BF74" s="4" t="n">
        <f aca="false" t="array" ref="BF74:BF74">SUM(Capacity!BZ$3:BZ$25*Capacity!$DH17/(TRANSPOSE(Dists!$B16:$X16)*MMULT(1/Dists!$B16:$X16,Capacity!$DH$3:$DH$25)))</f>
        <v>105583.084604289</v>
      </c>
      <c r="BG74" s="4" t="n">
        <f aca="false" t="array" ref="BG74:BG74">SUM(Capacity!CA$3:CA$25*Capacity!$DI17/(TRANSPOSE(Dists!$B16:$X16)*MMULT(1/Dists!$B16:$X16,Capacity!$DI$3:$DI$25)))</f>
        <v>3778.76245340809</v>
      </c>
      <c r="BH74" s="4" t="n">
        <f aca="false" t="array" ref="BH74:BH74">SUM(Capacity!CB$3:CB$25*Capacity!$DI17/(TRANSPOSE(Dists!$B16:$X16)*MMULT(1/Dists!$B16:$X16,Capacity!$DI$3:$DI$25)))</f>
        <v>6409.28074113624</v>
      </c>
      <c r="BI74" s="4" t="n">
        <f aca="false" t="array" ref="BI74:BI74">SUM(Capacity!CC$3:CC$25*Capacity!$DI17/(TRANSPOSE(Dists!$B16:$X16)*MMULT(1/Dists!$B16:$X16,Capacity!$DI$3:$DI$25)))</f>
        <v>10076.6998757549</v>
      </c>
      <c r="BJ74" s="0"/>
      <c r="BK74" s="4" t="n">
        <f aca="false" t="array" ref="BK74:BK74">SUM(Capacity!CE$3:CE$25*Capacity!$DI17/(TRANSPOSE(Dists!$B16:$X16)*MMULT(1/Dists!$B16:$X16,Capacity!$DI$3:$DI$25)))</f>
        <v>5038.34993787745</v>
      </c>
      <c r="BL74" s="0"/>
      <c r="BM74" s="0"/>
      <c r="BN74" s="4" t="n">
        <f aca="false" t="array" ref="BN74:BN74">SUM(Capacity!CH$3:CH$25*Capacity!$DH17/(TRANSPOSE(Dists!$B16:$X16)*MMULT(1/Dists!$B16:$X16,Capacity!$DH$3:$DH$25)))</f>
        <v>1070090.4193917</v>
      </c>
      <c r="BO74" s="4" t="n">
        <f aca="false" t="array" ref="BO74:BO74">SUM(Capacity!CI$3:CI$25*Capacity!$DH17/(TRANSPOSE(Dists!$B16:$X16)*MMULT(1/Dists!$B16:$X16,Capacity!$DH$3:$DH$25)))</f>
        <v>2140.18161746704</v>
      </c>
      <c r="BP74" s="4" t="n">
        <f aca="false" t="array" ref="BP74:BP74">SUM(Capacity!CJ$3:CJ$25*Capacity!$DH17/(TRANSPOSE(Dists!$B16:$X16)*MMULT(1/Dists!$B16:$X16,Capacity!$DH$3:$DH$25)))</f>
        <v>249687.765122917</v>
      </c>
      <c r="BQ74" s="4" t="n">
        <f aca="false" t="array" ref="BQ74:BQ74">SUM(Capacity!CK$3:CK$25*Capacity!$DH17/(TRANSPOSE(Dists!$B16:$X16)*MMULT(1/Dists!$B16:$X16,Capacity!$DH$3:$DH$25)))</f>
        <v>231852.924812726</v>
      </c>
      <c r="BR74" s="4" t="n">
        <f aca="false" t="array" ref="BR74:BR74">SUM(Capacity!CL$3:CL$25*Capacity!$DH17/(TRANSPOSE(Dists!$B16:$X16)*MMULT(1/Dists!$B16:$X16,Capacity!$DH$3:$DH$25)))</f>
        <v>713.394392651765</v>
      </c>
      <c r="BS74" s="4" t="n">
        <f aca="false" t="array" ref="BS74:BS74">SUM(Capacity!CM$3:CM$25*Capacity!$DH17/(TRANSPOSE(Dists!$B16:$X16)*MMULT(1/Dists!$B16:$X16,Capacity!$DH$3:$DH$25)))</f>
        <v>356.697586447946</v>
      </c>
      <c r="BT74" s="4" t="n">
        <f aca="false" t="array" ref="BT74:BT74">SUM(Capacity!CN$3:CN$25*Capacity!$DI17/(TRANSPOSE(Dists!$B16:$X16)*MMULT(1/Dists!$B16:$X16,Capacity!$DI$3:$DI$25)))</f>
        <v>426283.088125559</v>
      </c>
      <c r="BU74" s="4" t="n">
        <f aca="false" t="array" ref="BU74:BU74">SUM(Capacity!CO$3:CO$25*Capacity!$DI17/(TRANSPOSE(Dists!$B16:$X16)*MMULT(1/Dists!$B16:$X16,Capacity!$DI$3:$DI$25)))</f>
        <v>46503.6096136973</v>
      </c>
      <c r="BV74" s="4" t="n">
        <f aca="false" t="array" ref="BV74:BV74">SUM(Capacity!CP$3:CP$25*Capacity!$DI17/(TRANSPOSE(Dists!$B16:$X16)*MMULT(1/Dists!$B16:$X16,Capacity!$DI$3:$DI$25)))</f>
        <v>5425.42112159802</v>
      </c>
      <c r="BW74" s="0"/>
      <c r="BX74" s="0"/>
      <c r="BY74" s="0"/>
      <c r="BZ74" s="0"/>
      <c r="CA74" s="0"/>
      <c r="CB74" s="0"/>
      <c r="CC74" s="0"/>
      <c r="CE74" s="4" t="n">
        <f aca="false" t="array" ref="CE74:CE74">SUM(Capacity!CY$3:CY$25*Capacity!$DH17/(TRANSPOSE(Dists!$B16:$X16)*MMULT(1/Dists!$B16:$X16,Capacity!$DH$3:$DH$25)))</f>
        <v>131.978855755361</v>
      </c>
      <c r="CG74" s="0"/>
      <c r="CH74" s="0"/>
      <c r="CI74" s="0"/>
      <c r="CJ74" s="0"/>
      <c r="CK74" s="0"/>
    </row>
    <row r="75" customFormat="false" ht="12.8" hidden="false" customHeight="false" outlineLevel="0" collapsed="false">
      <c r="A75" s="4" t="s">
        <v>152</v>
      </c>
      <c r="B75" s="7" t="s">
        <v>39</v>
      </c>
      <c r="C75" s="4" t="n">
        <f aca="false" t="array" ref="C75:C75">SUM(Capacity!S$3:S$25*Capacity!$DH18/(TRANSPOSE(Dists!$B17:$X17)*MMULT(1/Dists!$B17:$X17,Capacity!$DH$3:$DH$25)))</f>
        <v>10085.3876041485</v>
      </c>
      <c r="D75" s="4" t="n">
        <f aca="false" t="array" ref="D75:D75">SUM(Capacity!V$3:V$25*Capacity!$DH18/(TRANSPOSE(Dists!$B17:$X17)*MMULT(1/Dists!$B17:$X17,Capacity!$DH$3:$DH$25)))</f>
        <v>19632.9111427263</v>
      </c>
      <c r="E75" s="4" t="n">
        <f aca="false" t="array" ref="E75:E75">SUM(Capacity!Y$3:Y$25*Capacity!$DH18/(TRANSPOSE(Dists!$B17:$X17)*MMULT(1/Dists!$B17:$X17,Capacity!$DH$3:$DH$25)))</f>
        <v>24293.3582958341</v>
      </c>
      <c r="F75" s="4" t="n">
        <f aca="false" t="array" ref="F75:F75">SUM(Capacity!Z$3:Z$25*Capacity!$DH18/(TRANSPOSE(Dists!$B17:$X17)*MMULT(1/Dists!$B17:$X17,Capacity!$DH$3:$DH$25)))</f>
        <v>9279.62357234434</v>
      </c>
      <c r="G75" s="4" t="n">
        <f aca="false" t="array" ref="G75:G75">SUM(Capacity!AA$3:AA$25*Capacity!$DH18/(TRANSPOSE(Dists!$B17:$X17)*MMULT(1/Dists!$B17:$X17,Capacity!$DH$3:$DH$25)))</f>
        <v>133064.677000397</v>
      </c>
      <c r="H75" s="4" t="n">
        <f aca="false" t="array" ref="H75:H75">SUM(Capacity!AB$3:AB$25*Capacity!$DI18/(TRANSPOSE(Dists!$B17:$X17)*MMULT(1/Dists!$B17:$X17,Capacity!$DI$3:$DI$25)))</f>
        <v>4309.3894243007</v>
      </c>
      <c r="I75" s="0"/>
      <c r="J75" s="0"/>
      <c r="K75" s="0"/>
      <c r="L75" s="0"/>
      <c r="M75" s="0"/>
      <c r="N75" s="4" t="n">
        <f aca="false" t="array" ref="N75:N75">SUM(Capacity!AH$3:AH$25*Capacity!$DH18/(TRANSPOSE(Dists!$B17:$X17)*MMULT(1/Dists!$B17:$X17,Capacity!$DH$3:$DH$25)))</f>
        <v>167557.856534239</v>
      </c>
      <c r="O75" s="0"/>
      <c r="U75" s="0"/>
      <c r="V75" s="0"/>
      <c r="W75" s="0"/>
      <c r="X75" s="0"/>
      <c r="Y75" s="4" t="n">
        <f aca="false" t="array" ref="Y75:Y75">SUM(Capacity!AS$3:AS$25*Capacity!$DI18/(TRANSPOSE(Dists!$B17:$X17)*MMULT(1/Dists!$B17:$X17,Capacity!$DI$3:$DI$25)))</f>
        <v>488.42104702733</v>
      </c>
      <c r="Z75" s="4" t="n">
        <f aca="false" t="array" ref="Z75:Z75">SUM(Capacity!AT$3:AT$25*Capacity!$DH18/(TRANSPOSE(Dists!$B17:$X17)*MMULT(1/Dists!$B17:$X17,Capacity!$DH$3:$DH$25)))</f>
        <v>330638.661074058</v>
      </c>
      <c r="AA75" s="4" t="n">
        <f aca="false" t="array" ref="AA75:AA75">SUM(Capacity!AU$3:AU$25*Capacity!$DI18/(TRANSPOSE(Dists!$B17:$X17)*MMULT(1/Dists!$B17:$X17,Capacity!$DI$3:$DI$25)))</f>
        <v>12928.3937588325</v>
      </c>
      <c r="AB75" s="4" t="n">
        <f aca="false" t="array" ref="AB75:AB75">SUM(Capacity!AV$3:AV$25*Capacity!$DI18/(TRANSPOSE(Dists!$B17:$X17)*MMULT(1/Dists!$B17:$X17,Capacity!$DI$3:$DI$25)))</f>
        <v>5386.83073284686</v>
      </c>
      <c r="AC75" s="4" t="n">
        <f aca="false" t="array" ref="AC75:AC75">SUM(Capacity!AW$3:AW$25*Capacity!$DH18/(TRANSPOSE(Dists!$B17:$X17)*MMULT(1/Dists!$B17:$X17,Capacity!$DH$3:$DH$25)))</f>
        <v>330.550281867064</v>
      </c>
      <c r="AD75" s="4" t="n">
        <f aca="false" t="array" ref="AD75:AD75">SUM(Capacity!AX$3:AX$25*Capacity!$DI18/(TRANSPOSE(Dists!$B17:$X17)*MMULT(1/Dists!$B17:$X17,Capacity!$DI$3:$DI$25)))</f>
        <v>88.8827070919732</v>
      </c>
      <c r="AE75" s="4" t="n">
        <f aca="false" t="array" ref="AE75:AE75">SUM(Capacity!AY$3:AY$25*Capacity!$DI18/(TRANSPOSE(Dists!$B17:$X17)*MMULT(1/Dists!$B17:$X17,Capacity!$DI$3:$DI$25)))</f>
        <v>62.0562900423958</v>
      </c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4" t="n">
        <f aca="false" t="array" ref="AW75:AW75">SUM(Capacity!BQ$3:BQ$25*Capacity!$DH18/(TRANSPOSE(Dists!$B17:$X17)*MMULT(1/Dists!$B17:$X17,Capacity!$DH$3:$DH$25)))</f>
        <v>1139.67504589856</v>
      </c>
      <c r="AX75" s="0"/>
      <c r="AY75" s="4" t="n">
        <f aca="false" t="array" ref="AY75:AY75">SUM(Capacity!BS$3:BS$25*Capacity!$DH18/(TRANSPOSE(Dists!$B17:$X17)*MMULT(1/Dists!$B17:$X17,Capacity!$DH$3:$DH$25)))</f>
        <v>29.025022182887</v>
      </c>
      <c r="AZ75" s="4" t="n">
        <f aca="false" t="array" ref="AZ75:AZ75">SUM(Capacity!BT$3:BT$25*Capacity!$DH18/(TRANSPOSE(Dists!$B17:$X17)*MMULT(1/Dists!$B17:$X17,Capacity!$DH$3:$DH$25)))</f>
        <v>40.8164374446849</v>
      </c>
      <c r="BA75" s="0"/>
      <c r="BB75" s="4" t="n">
        <f aca="false" t="array" ref="BB75:BB75">SUM(Capacity!BV$3:BV$25*Capacity!$DI18/(TRANSPOSE(Dists!$B17:$X17)*MMULT(1/Dists!$B17:$X17,Capacity!$DI$3:$DI$25)))</f>
        <v>217.197015148385</v>
      </c>
      <c r="BC75" s="4" t="n">
        <f aca="false" t="array" ref="BC75:BC75">SUM(Capacity!BW$3:BW$25*Capacity!$DI18/(TRANSPOSE(Dists!$B17:$X17)*MMULT(1/Dists!$B17:$X17,Capacity!$DI$3:$DI$25)))</f>
        <v>186.168870127188</v>
      </c>
      <c r="BD75" s="4" t="n">
        <f aca="false" t="array" ref="BD75:BD75">SUM(Capacity!BX$3:BX$25*Capacity!$DI18/(TRANSPOSE(Dists!$B17:$X17)*MMULT(1/Dists!$B17:$X17,Capacity!$DI$3:$DI$25)))</f>
        <v>93.0844350635936</v>
      </c>
      <c r="BE75" s="4" t="n">
        <f aca="false" t="array" ref="BE75:BE75">SUM(Capacity!BY$3:BY$25*Capacity!$DI18/(TRANSPOSE(Dists!$B17:$X17)*MMULT(1/Dists!$B17:$X17,Capacity!$DI$3:$DI$25)))</f>
        <v>54.2992537870964</v>
      </c>
      <c r="BF75" s="4" t="n">
        <f aca="false" t="array" ref="BF75:BF75">SUM(Capacity!BZ$3:BZ$25*Capacity!$DH18/(TRANSPOSE(Dists!$B17:$X17)*MMULT(1/Dists!$B17:$X17,Capacity!$DH$3:$DH$25)))</f>
        <v>170951.256884785</v>
      </c>
      <c r="BG75" s="4" t="n">
        <f aca="false" t="array" ref="BG75:BG75">SUM(Capacity!CA$3:CA$25*Capacity!$DI18/(TRANSPOSE(Dists!$B17:$X17)*MMULT(1/Dists!$B17:$X17,Capacity!$DI$3:$DI$25)))</f>
        <v>3898.65019260853</v>
      </c>
      <c r="BH75" s="4" t="n">
        <f aca="false" t="array" ref="BH75:BH75">SUM(Capacity!CB$3:CB$25*Capacity!$DI18/(TRANSPOSE(Dists!$B17:$X17)*MMULT(1/Dists!$B17:$X17,Capacity!$DI$3:$DI$25)))</f>
        <v>6374.80506821626</v>
      </c>
      <c r="BI75" s="4" t="n">
        <f aca="false" t="array" ref="BI75:BI75">SUM(Capacity!CC$3:CC$25*Capacity!$DI18/(TRANSPOSE(Dists!$B17:$X17)*MMULT(1/Dists!$B17:$X17,Capacity!$DI$3:$DI$25)))</f>
        <v>10396.4005136227</v>
      </c>
      <c r="BJ75" s="0"/>
      <c r="BK75" s="4" t="n">
        <f aca="false" t="array" ref="BK75:BK75">SUM(Capacity!CE$3:CE$25*Capacity!$DI18/(TRANSPOSE(Dists!$B17:$X17)*MMULT(1/Dists!$B17:$X17,Capacity!$DI$3:$DI$25)))</f>
        <v>5198.20025681137</v>
      </c>
      <c r="BL75" s="0"/>
      <c r="BM75" s="0"/>
      <c r="BN75" s="4" t="n">
        <f aca="false" t="array" ref="BN75:BN75">SUM(Capacity!CH$3:CH$25*Capacity!$DH18/(TRANSPOSE(Dists!$B17:$X17)*MMULT(1/Dists!$B17:$X17,Capacity!$DH$3:$DH$25)))</f>
        <v>3336609.74488567</v>
      </c>
      <c r="BO75" s="4" t="n">
        <f aca="false" t="array" ref="BO75:BO75">SUM(Capacity!CI$3:CI$25*Capacity!$DH18/(TRANSPOSE(Dists!$B17:$X17)*MMULT(1/Dists!$B17:$X17,Capacity!$DH$3:$DH$25)))</f>
        <v>6673.22052175427</v>
      </c>
      <c r="BP75" s="4" t="n">
        <f aca="false" t="array" ref="BP75:BP75">SUM(Capacity!CJ$3:CJ$25*Capacity!$DH18/(TRANSPOSE(Dists!$B17:$X17)*MMULT(1/Dists!$B17:$X17,Capacity!$DH$3:$DH$25)))</f>
        <v>778542.27459943</v>
      </c>
      <c r="BQ75" s="4" t="n">
        <f aca="false" t="array" ref="BQ75:BQ75">SUM(Capacity!CK$3:CK$25*Capacity!$DH18/(TRANSPOSE(Dists!$B17:$X17)*MMULT(1/Dists!$B17:$X17,Capacity!$DH$3:$DH$25)))</f>
        <v>722932.112201903</v>
      </c>
      <c r="BR75" s="4" t="n">
        <f aca="false" t="array" ref="BR75:BR75">SUM(Capacity!CL$3:CL$25*Capacity!$DH18/(TRANSPOSE(Dists!$B17:$X17)*MMULT(1/Dists!$B17:$X17,Capacity!$DH$3:$DH$25)))</f>
        <v>2224.4075299521</v>
      </c>
      <c r="BS75" s="4" t="n">
        <f aca="false" t="array" ref="BS75:BS75">SUM(Capacity!CM$3:CM$25*Capacity!$DH18/(TRANSPOSE(Dists!$B17:$X17)*MMULT(1/Dists!$B17:$X17,Capacity!$DH$3:$DH$25)))</f>
        <v>1112.20428200156</v>
      </c>
      <c r="BT75" s="4" t="n">
        <f aca="false" t="array" ref="BT75:BT75">SUM(Capacity!CN$3:CN$25*Capacity!$DI18/(TRANSPOSE(Dists!$B17:$X17)*MMULT(1/Dists!$B17:$X17,Capacity!$DI$3:$DI$25)))</f>
        <v>474041.104490524</v>
      </c>
      <c r="BU75" s="4" t="n">
        <f aca="false" t="array" ref="BU75:BU75">SUM(Capacity!CO$3:CO$25*Capacity!$DI18/(TRANSPOSE(Dists!$B17:$X17)*MMULT(1/Dists!$B17:$X17,Capacity!$DI$3:$DI$25)))</f>
        <v>51713.5750353298</v>
      </c>
      <c r="BV75" s="4" t="n">
        <f aca="false" t="array" ref="BV75:BV75">SUM(Capacity!CP$3:CP$25*Capacity!$DI18/(TRANSPOSE(Dists!$B17:$X17)*MMULT(1/Dists!$B17:$X17,Capacity!$DI$3:$DI$25)))</f>
        <v>6033.25042078848</v>
      </c>
      <c r="BW75" s="0"/>
      <c r="BX75" s="0"/>
      <c r="BY75" s="0"/>
      <c r="BZ75" s="0"/>
      <c r="CA75" s="0"/>
      <c r="CB75" s="0"/>
      <c r="CC75" s="0"/>
      <c r="CE75" s="4" t="n">
        <f aca="false" t="array" ref="CE75:CE75">SUM(Capacity!CY$3:CY$25*Capacity!$DH18/(TRANSPOSE(Dists!$B17:$X17)*MMULT(1/Dists!$B17:$X17,Capacity!$DH$3:$DH$25)))</f>
        <v>213.689071105981</v>
      </c>
      <c r="CG75" s="0"/>
      <c r="CH75" s="0"/>
      <c r="CI75" s="0"/>
      <c r="CJ75" s="0"/>
      <c r="CK75" s="0"/>
    </row>
    <row r="76" customFormat="false" ht="12.8" hidden="false" customHeight="false" outlineLevel="0" collapsed="false">
      <c r="A76" s="4" t="s">
        <v>153</v>
      </c>
      <c r="B76" s="7" t="s">
        <v>39</v>
      </c>
      <c r="C76" s="4" t="n">
        <f aca="false" t="array" ref="C76:C76">SUM(Capacity!S$3:S$25*Capacity!$DH19/(TRANSPOSE(Dists!$B18:$X18)*MMULT(1/Dists!$B18:$X18,Capacity!$DH$3:$DH$25)))</f>
        <v>5084.32957963959</v>
      </c>
      <c r="D76" s="4" t="n">
        <f aca="false" t="array" ref="D76:D76">SUM(Capacity!V$3:V$25*Capacity!$DH19/(TRANSPOSE(Dists!$B18:$X18)*MMULT(1/Dists!$B18:$X18,Capacity!$DH$3:$DH$25)))</f>
        <v>9818.44849011202</v>
      </c>
      <c r="E76" s="4" t="n">
        <f aca="false" t="array" ref="E76:E76">SUM(Capacity!Y$3:Y$25*Capacity!$DH19/(TRANSPOSE(Dists!$B18:$X18)*MMULT(1/Dists!$B18:$X18,Capacity!$DH$3:$DH$25)))</f>
        <v>12421.701815635</v>
      </c>
      <c r="F76" s="4" t="n">
        <f aca="false" t="array" ref="F76:F76">SUM(Capacity!Z$3:Z$25*Capacity!$DH19/(TRANSPOSE(Dists!$B18:$X18)*MMULT(1/Dists!$B18:$X18,Capacity!$DH$3:$DH$25)))</f>
        <v>4821.27216126066</v>
      </c>
      <c r="G76" s="4" t="n">
        <f aca="false" t="array" ref="G76:G76">SUM(Capacity!AA$3:AA$25*Capacity!$DH19/(TRANSPOSE(Dists!$B18:$X18)*MMULT(1/Dists!$B18:$X18,Capacity!$DH$3:$DH$25)))</f>
        <v>66433.6737238026</v>
      </c>
      <c r="H76" s="4" t="n">
        <f aca="false" t="array" ref="H76:H76">SUM(Capacity!AB$3:AB$25*Capacity!$DI19/(TRANSPOSE(Dists!$B18:$X18)*MMULT(1/Dists!$B18:$X18,Capacity!$DI$3:$DI$25)))</f>
        <v>3653.09694622577</v>
      </c>
      <c r="I76" s="0"/>
      <c r="J76" s="0"/>
      <c r="K76" s="0"/>
      <c r="L76" s="0"/>
      <c r="M76" s="0"/>
      <c r="N76" s="4" t="n">
        <f aca="false" t="array" ref="N76:N76">SUM(Capacity!AH$3:AH$25*Capacity!$DH19/(TRANSPOSE(Dists!$B18:$X18)*MMULT(1/Dists!$B18:$X18,Capacity!$DH$3:$DH$25)))</f>
        <v>83477.7180077087</v>
      </c>
      <c r="O76" s="0"/>
      <c r="U76" s="0"/>
      <c r="V76" s="0"/>
      <c r="W76" s="0"/>
      <c r="X76" s="0"/>
      <c r="Y76" s="4" t="n">
        <f aca="false" t="array" ref="Y76:Y76">SUM(Capacity!AS$3:AS$25*Capacity!$DI19/(TRANSPOSE(Dists!$B18:$X18)*MMULT(1/Dists!$B18:$X18,Capacity!$DI$3:$DI$25)))</f>
        <v>432.611199365281</v>
      </c>
      <c r="Z76" s="4" t="n">
        <f aca="false" t="array" ref="Z76:Z76">SUM(Capacity!AT$3:AT$25*Capacity!$DH19/(TRANSPOSE(Dists!$B18:$X18)*MMULT(1/Dists!$B18:$X18,Capacity!$DH$3:$DH$25)))</f>
        <v>151578.356982853</v>
      </c>
      <c r="AA76" s="4" t="n">
        <f aca="false" t="array" ref="AA76:AA76">SUM(Capacity!AU$3:AU$25*Capacity!$DI19/(TRANSPOSE(Dists!$B18:$X18)*MMULT(1/Dists!$B18:$X18,Capacity!$DI$3:$DI$25)))</f>
        <v>11256.6920306787</v>
      </c>
      <c r="AB76" s="4" t="n">
        <f aca="false" t="array" ref="AB76:AB76">SUM(Capacity!AV$3:AV$25*Capacity!$DI19/(TRANSPOSE(Dists!$B18:$X18)*MMULT(1/Dists!$B18:$X18,Capacity!$DI$3:$DI$25)))</f>
        <v>4690.28834611612</v>
      </c>
      <c r="AC76" s="4" t="n">
        <f aca="false" t="array" ref="AC76:AC76">SUM(Capacity!AW$3:AW$25*Capacity!$DH19/(TRANSPOSE(Dists!$B18:$X18)*MMULT(1/Dists!$B18:$X18,Capacity!$DH$3:$DH$25)))</f>
        <v>166.173285334838</v>
      </c>
      <c r="AD76" s="4" t="n">
        <f aca="false" t="array" ref="AD76:AD76">SUM(Capacity!AX$3:AX$25*Capacity!$DI19/(TRANSPOSE(Dists!$B18:$X18)*MMULT(1/Dists!$B18:$X18,Capacity!$DI$3:$DI$25)))</f>
        <v>77.3897577109159</v>
      </c>
      <c r="AE76" s="4" t="n">
        <f aca="false" t="array" ref="AE76:AE76">SUM(Capacity!AY$3:AY$25*Capacity!$DI19/(TRANSPOSE(Dists!$B18:$X18)*MMULT(1/Dists!$B18:$X18,Capacity!$DI$3:$DI$25)))</f>
        <v>54.0321217472576</v>
      </c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4" t="n">
        <f aca="false" t="array" ref="AW76:AW76">SUM(Capacity!BQ$3:BQ$25*Capacity!$DH19/(TRANSPOSE(Dists!$B18:$X18)*MMULT(1/Dists!$B18:$X18,Capacity!$DH$3:$DH$25)))</f>
        <v>572.934155497893</v>
      </c>
      <c r="AX76" s="0"/>
      <c r="AY76" s="4" t="n">
        <f aca="false" t="array" ref="AY76:AY76">SUM(Capacity!BS$3:BS$25*Capacity!$DH19/(TRANSPOSE(Dists!$B18:$X18)*MMULT(1/Dists!$B18:$X18,Capacity!$DH$3:$DH$25)))</f>
        <v>14.4471442322686</v>
      </c>
      <c r="AZ76" s="4" t="n">
        <f aca="false" t="array" ref="AZ76:AZ76">SUM(Capacity!BT$3:BT$25*Capacity!$DH19/(TRANSPOSE(Dists!$B18:$X18)*MMULT(1/Dists!$B18:$X18,Capacity!$DH$3:$DH$25)))</f>
        <v>20.3162965766278</v>
      </c>
      <c r="BA76" s="0"/>
      <c r="BB76" s="4" t="n">
        <f aca="false" t="array" ref="BB76:BB76">SUM(Capacity!BV$3:BV$25*Capacity!$DI19/(TRANSPOSE(Dists!$B18:$X18)*MMULT(1/Dists!$B18:$X18,Capacity!$DI$3:$DI$25)))</f>
        <v>189.112426115402</v>
      </c>
      <c r="BC76" s="4" t="n">
        <f aca="false" t="array" ref="BC76:BC76">SUM(Capacity!BW$3:BW$25*Capacity!$DI19/(TRANSPOSE(Dists!$B18:$X18)*MMULT(1/Dists!$B18:$X18,Capacity!$DI$3:$DI$25)))</f>
        <v>162.096365241773</v>
      </c>
      <c r="BD76" s="4" t="n">
        <f aca="false" t="array" ref="BD76:BD76">SUM(Capacity!BX$3:BX$25*Capacity!$DI19/(TRANSPOSE(Dists!$B18:$X18)*MMULT(1/Dists!$B18:$X18,Capacity!$DI$3:$DI$25)))</f>
        <v>81.0481826208864</v>
      </c>
      <c r="BE76" s="4" t="n">
        <f aca="false" t="array" ref="BE76:BE76">SUM(Capacity!BY$3:BY$25*Capacity!$DI19/(TRANSPOSE(Dists!$B18:$X18)*MMULT(1/Dists!$B18:$X18,Capacity!$DI$3:$DI$25)))</f>
        <v>47.2781065288505</v>
      </c>
      <c r="BF76" s="4" t="n">
        <f aca="false" t="array" ref="BF76:BF76">SUM(Capacity!BZ$3:BZ$25*Capacity!$DH19/(TRANSPOSE(Dists!$B18:$X18)*MMULT(1/Dists!$B18:$X18,Capacity!$DH$3:$DH$25)))</f>
        <v>85940.1233246839</v>
      </c>
      <c r="BG76" s="4" t="n">
        <f aca="false" t="array" ref="BG76:BG76">SUM(Capacity!CA$3:CA$25*Capacity!$DI19/(TRANSPOSE(Dists!$B18:$X18)*MMULT(1/Dists!$B18:$X18,Capacity!$DI$3:$DI$25)))</f>
        <v>3428.42544329338</v>
      </c>
      <c r="BH76" s="4" t="n">
        <f aca="false" t="array" ref="BH76:BH76">SUM(Capacity!CB$3:CB$25*Capacity!$DI19/(TRANSPOSE(Dists!$B18:$X18)*MMULT(1/Dists!$B18:$X18,Capacity!$DI$3:$DI$25)))</f>
        <v>5393.13777055963</v>
      </c>
      <c r="BI76" s="4" t="n">
        <f aca="false" t="array" ref="BI76:BI76">SUM(Capacity!CC$3:CC$25*Capacity!$DI19/(TRANSPOSE(Dists!$B18:$X18)*MMULT(1/Dists!$B18:$X18,Capacity!$DI$3:$DI$25)))</f>
        <v>9142.46784878236</v>
      </c>
      <c r="BJ76" s="0"/>
      <c r="BK76" s="4" t="n">
        <f aca="false" t="array" ref="BK76:BK76">SUM(Capacity!CE$3:CE$25*Capacity!$DI19/(TRANSPOSE(Dists!$B18:$X18)*MMULT(1/Dists!$B18:$X18,Capacity!$DI$3:$DI$25)))</f>
        <v>4571.23392439118</v>
      </c>
      <c r="BL76" s="0"/>
      <c r="BM76" s="0"/>
      <c r="BN76" s="4" t="n">
        <f aca="false" t="array" ref="BN76:BN76">SUM(Capacity!CH$3:CH$25*Capacity!$DH19/(TRANSPOSE(Dists!$B18:$X18)*MMULT(1/Dists!$B18:$X18,Capacity!$DH$3:$DH$25)))</f>
        <v>1360328.24493532</v>
      </c>
      <c r="BO76" s="4" t="n">
        <f aca="false" t="array" ref="BO76:BO76">SUM(Capacity!CI$3:CI$25*Capacity!$DH19/(TRANSPOSE(Dists!$B18:$X18)*MMULT(1/Dists!$B18:$X18,Capacity!$DH$3:$DH$25)))</f>
        <v>2720.65704646111</v>
      </c>
      <c r="BP76" s="4" t="n">
        <f aca="false" t="array" ref="BP76:BP76">SUM(Capacity!CJ$3:CJ$25*Capacity!$DH19/(TRANSPOSE(Dists!$B18:$X18)*MMULT(1/Dists!$B18:$X18,Capacity!$DH$3:$DH$25)))</f>
        <v>317409.924245815</v>
      </c>
      <c r="BQ76" s="4" t="n">
        <f aca="false" t="array" ref="BQ76:BQ76">SUM(Capacity!CK$3:CK$25*Capacity!$DH19/(TRANSPOSE(Dists!$B18:$X18)*MMULT(1/Dists!$B18:$X18,Capacity!$DH$3:$DH$25)))</f>
        <v>294737.786839522</v>
      </c>
      <c r="BR76" s="4" t="n">
        <f aca="false" t="array" ref="BR76:BR76">SUM(Capacity!CL$3:CL$25*Capacity!$DH19/(TRANSPOSE(Dists!$B18:$X18)*MMULT(1/Dists!$B18:$X18,Capacity!$DH$3:$DH$25)))</f>
        <v>906.886053957629</v>
      </c>
      <c r="BS76" s="4" t="n">
        <f aca="false" t="array" ref="BS76:BS76">SUM(Capacity!CM$3:CM$25*Capacity!$DH19/(TRANSPOSE(Dists!$B18:$X18)*MMULT(1/Dists!$B18:$X18,Capacity!$DH$3:$DH$25)))</f>
        <v>453.443305831759</v>
      </c>
      <c r="BT76" s="4" t="n">
        <f aca="false" t="array" ref="BT76:BT76">SUM(Capacity!CN$3:CN$25*Capacity!$DI19/(TRANSPOSE(Dists!$B18:$X18)*MMULT(1/Dists!$B18:$X18,Capacity!$DI$3:$DI$25)))</f>
        <v>412745.374458218</v>
      </c>
      <c r="BU76" s="4" t="n">
        <f aca="false" t="array" ref="BU76:BU76">SUM(Capacity!CO$3:CO$25*Capacity!$DI19/(TRANSPOSE(Dists!$B18:$X18)*MMULT(1/Dists!$B18:$X18,Capacity!$DI$3:$DI$25)))</f>
        <v>45026.7681227147</v>
      </c>
      <c r="BV76" s="4" t="n">
        <f aca="false" t="array" ref="BV76:BV76">SUM(Capacity!CP$3:CP$25*Capacity!$DI19/(TRANSPOSE(Dists!$B18:$X18)*MMULT(1/Dists!$B18:$X18,Capacity!$DI$3:$DI$25)))</f>
        <v>5253.12294765005</v>
      </c>
      <c r="BW76" s="0"/>
      <c r="BX76" s="0"/>
      <c r="BY76" s="0"/>
      <c r="BZ76" s="0"/>
      <c r="CA76" s="0"/>
      <c r="CB76" s="0"/>
      <c r="CC76" s="0"/>
      <c r="CE76" s="4" t="n">
        <f aca="false" t="array" ref="CE76:CE76">SUM(Capacity!CY$3:CY$25*Capacity!$DH19/(TRANSPOSE(Dists!$B18:$X18)*MMULT(1/Dists!$B18:$X18,Capacity!$DH$3:$DH$25)))</f>
        <v>107.425154155855</v>
      </c>
      <c r="CG76" s="0"/>
      <c r="CH76" s="0"/>
      <c r="CI76" s="0"/>
      <c r="CJ76" s="0"/>
      <c r="CK76" s="0"/>
    </row>
    <row r="77" customFormat="false" ht="12.8" hidden="false" customHeight="false" outlineLevel="0" collapsed="false">
      <c r="A77" s="4" t="s">
        <v>155</v>
      </c>
      <c r="B77" s="7" t="s">
        <v>39</v>
      </c>
      <c r="C77" s="4" t="n">
        <f aca="false" t="array" ref="C77:C77">SUM(Capacity!S$3:S$25*Capacity!$DH20/(TRANSPOSE(Dists!$B19:$X19)*MMULT(1/Dists!$B19:$X19,Capacity!$DH$3:$DH$25)))</f>
        <v>4399.27894592372</v>
      </c>
      <c r="D77" s="4" t="n">
        <f aca="false" t="array" ref="D77:D77">SUM(Capacity!V$3:V$25*Capacity!$DH20/(TRANSPOSE(Dists!$B19:$X19)*MMULT(1/Dists!$B19:$X19,Capacity!$DH$3:$DH$25)))</f>
        <v>8089.04199316179</v>
      </c>
      <c r="E77" s="4" t="n">
        <f aca="false" t="array" ref="E77:E77">SUM(Capacity!Y$3:Y$25*Capacity!$DH20/(TRANSPOSE(Dists!$B19:$X19)*MMULT(1/Dists!$B19:$X19,Capacity!$DH$3:$DH$25)))</f>
        <v>11335.3009113485</v>
      </c>
      <c r="F77" s="4" t="n">
        <f aca="false" t="array" ref="F77:F77">SUM(Capacity!Z$3:Z$25*Capacity!$DH20/(TRANSPOSE(Dists!$B19:$X19)*MMULT(1/Dists!$B19:$X19,Capacity!$DH$3:$DH$25)))</f>
        <v>4652.79628262368</v>
      </c>
      <c r="G77" s="4" t="n">
        <f aca="false" t="array" ref="G77:G77">SUM(Capacity!AA$3:AA$25*Capacity!$DH20/(TRANSPOSE(Dists!$B19:$X19)*MMULT(1/Dists!$B19:$X19,Capacity!$DH$3:$DH$25)))</f>
        <v>54150.7888035264</v>
      </c>
      <c r="H77" s="4" t="n">
        <f aca="false" t="array" ref="H77:H77">SUM(Capacity!AB$3:AB$25*Capacity!$DI20/(TRANSPOSE(Dists!$B19:$X19)*MMULT(1/Dists!$B19:$X19,Capacity!$DI$3:$DI$25)))</f>
        <v>1356.79851514151</v>
      </c>
      <c r="I77" s="0"/>
      <c r="J77" s="0"/>
      <c r="K77" s="0"/>
      <c r="L77" s="0"/>
      <c r="M77" s="0"/>
      <c r="N77" s="4" t="n">
        <f aca="false" t="array" ref="N77:N77">SUM(Capacity!AH$3:AH$25*Capacity!$DH20/(TRANSPOSE(Dists!$B19:$X19)*MMULT(1/Dists!$B19:$X19,Capacity!$DH$3:$DH$25)))</f>
        <v>70036.1628038004</v>
      </c>
      <c r="O77" s="0"/>
      <c r="U77" s="0"/>
      <c r="V77" s="0"/>
      <c r="W77" s="0"/>
      <c r="X77" s="0"/>
      <c r="Y77" s="4" t="n">
        <f aca="false" t="array" ref="Y77:Y77">SUM(Capacity!AS$3:AS$25*Capacity!$DI20/(TRANSPOSE(Dists!$B19:$X19)*MMULT(1/Dists!$B19:$X19,Capacity!$DI$3:$DI$25)))</f>
        <v>180.156301515893</v>
      </c>
      <c r="Z77" s="4" t="n">
        <f aca="false" t="array" ref="Z77:Z77">SUM(Capacity!AT$3:AT$25*Capacity!$DH20/(TRANSPOSE(Dists!$B19:$X19)*MMULT(1/Dists!$B19:$X19,Capacity!$DH$3:$DH$25)))</f>
        <v>110726.873973644</v>
      </c>
      <c r="AA77" s="4" t="n">
        <f aca="false" t="array" ref="AA77:AA77">SUM(Capacity!AU$3:AU$25*Capacity!$DI20/(TRANSPOSE(Dists!$B19:$X19)*MMULT(1/Dists!$B19:$X19,Capacity!$DI$3:$DI$25)))</f>
        <v>3918.82472714238</v>
      </c>
      <c r="AB77" s="4" t="n">
        <f aca="false" t="array" ref="AB77:AB77">SUM(Capacity!AV$3:AV$25*Capacity!$DI20/(TRANSPOSE(Dists!$B19:$X19)*MMULT(1/Dists!$B19:$X19,Capacity!$DI$3:$DI$25)))</f>
        <v>1632.84363630933</v>
      </c>
      <c r="AC77" s="4" t="n">
        <f aca="false" t="array" ref="AC77:AC77">SUM(Capacity!AW$3:AW$25*Capacity!$DH20/(TRANSPOSE(Dists!$B19:$X19)*MMULT(1/Dists!$B19:$X19,Capacity!$DH$3:$DH$25)))</f>
        <v>133.933007918543</v>
      </c>
      <c r="AD77" s="4" t="n">
        <f aca="false" t="array" ref="AD77:AD77">SUM(Capacity!AX$3:AX$25*Capacity!$DI20/(TRANSPOSE(Dists!$B19:$X19)*MMULT(1/Dists!$B19:$X19,Capacity!$DI$3:$DI$25)))</f>
        <v>26.9419199991039</v>
      </c>
      <c r="AE77" s="4" t="n">
        <f aca="false" t="array" ref="AE77:AE77">SUM(Capacity!AY$3:AY$25*Capacity!$DI20/(TRANSPOSE(Dists!$B19:$X19)*MMULT(1/Dists!$B19:$X19,Capacity!$DI$3:$DI$25)))</f>
        <v>18.8103586902834</v>
      </c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4" t="n">
        <f aca="false" t="array" ref="AW77:AW77">SUM(Capacity!BQ$3:BQ$25*Capacity!$DH20/(TRANSPOSE(Dists!$B19:$X19)*MMULT(1/Dists!$B19:$X19,Capacity!$DH$3:$DH$25)))</f>
        <v>461.775757941373</v>
      </c>
      <c r="AX77" s="0"/>
      <c r="AY77" s="4" t="n">
        <f aca="false" t="array" ref="AY77:AY77">SUM(Capacity!BS$3:BS$25*Capacity!$DH20/(TRANSPOSE(Dists!$B19:$X19)*MMULT(1/Dists!$B19:$X19,Capacity!$DH$3:$DH$25)))</f>
        <v>10.5117412791142</v>
      </c>
      <c r="AZ77" s="4" t="n">
        <f aca="false" t="array" ref="AZ77:AZ77">SUM(Capacity!BT$3:BT$25*Capacity!$DH20/(TRANSPOSE(Dists!$B19:$X19)*MMULT(1/Dists!$B19:$X19,Capacity!$DH$3:$DH$25)))</f>
        <v>14.7821361737543</v>
      </c>
      <c r="BA77" s="0"/>
      <c r="BB77" s="4" t="n">
        <f aca="false" t="array" ref="BB77:BB77">SUM(Capacity!BV$3:BV$25*Capacity!$DI20/(TRANSPOSE(Dists!$B19:$X19)*MMULT(1/Dists!$B19:$X19,Capacity!$DI$3:$DI$25)))</f>
        <v>65.836255415992</v>
      </c>
      <c r="BC77" s="4" t="n">
        <f aca="false" t="array" ref="BC77:BC77">SUM(Capacity!BW$3:BW$25*Capacity!$DI20/(TRANSPOSE(Dists!$B19:$X19)*MMULT(1/Dists!$B19:$X19,Capacity!$DI$3:$DI$25)))</f>
        <v>56.4310760708504</v>
      </c>
      <c r="BD77" s="4" t="n">
        <f aca="false" t="array" ref="BD77:BD77">SUM(Capacity!BX$3:BX$25*Capacity!$DI20/(TRANSPOSE(Dists!$B19:$X19)*MMULT(1/Dists!$B19:$X19,Capacity!$DI$3:$DI$25)))</f>
        <v>28.2155380354251</v>
      </c>
      <c r="BE77" s="4" t="n">
        <f aca="false" t="array" ref="BE77:BE77">SUM(Capacity!BY$3:BY$25*Capacity!$DI20/(TRANSPOSE(Dists!$B19:$X19)*MMULT(1/Dists!$B19:$X19,Capacity!$DI$3:$DI$25)))</f>
        <v>16.459063853998</v>
      </c>
      <c r="BF77" s="4" t="n">
        <f aca="false" t="array" ref="BF77:BF77">SUM(Capacity!BZ$3:BZ$25*Capacity!$DH20/(TRANSPOSE(Dists!$B19:$X19)*MMULT(1/Dists!$B19:$X19,Capacity!$DH$3:$DH$25)))</f>
        <v>69266.363691206</v>
      </c>
      <c r="BG77" s="4" t="n">
        <f aca="false" t="array" ref="BG77:BG77">SUM(Capacity!CA$3:CA$25*Capacity!$DI20/(TRANSPOSE(Dists!$B19:$X19)*MMULT(1/Dists!$B19:$X19,Capacity!$DI$3:$DI$25)))</f>
        <v>1322.12807156711</v>
      </c>
      <c r="BH77" s="4" t="n">
        <f aca="false" t="array" ref="BH77:BH77">SUM(Capacity!CB$3:CB$25*Capacity!$DI20/(TRANSPOSE(Dists!$B19:$X19)*MMULT(1/Dists!$B19:$X19,Capacity!$DI$3:$DI$25)))</f>
        <v>1876.64082761778</v>
      </c>
      <c r="BI77" s="4" t="n">
        <f aca="false" t="array" ref="BI77:BI77">SUM(Capacity!CC$3:CC$25*Capacity!$DI20/(TRANSPOSE(Dists!$B19:$X19)*MMULT(1/Dists!$B19:$X19,Capacity!$DI$3:$DI$25)))</f>
        <v>3525.67485751229</v>
      </c>
      <c r="BJ77" s="0"/>
      <c r="BK77" s="4" t="n">
        <f aca="false" t="array" ref="BK77:BK77">SUM(Capacity!CE$3:CE$25*Capacity!$DI20/(TRANSPOSE(Dists!$B19:$X19)*MMULT(1/Dists!$B19:$X19,Capacity!$DI$3:$DI$25)))</f>
        <v>1762.83742875614</v>
      </c>
      <c r="BL77" s="0"/>
      <c r="BM77" s="0"/>
      <c r="BN77" s="4" t="n">
        <f aca="false" t="array" ref="BN77:BN77">SUM(Capacity!CH$3:CH$25*Capacity!$DH20/(TRANSPOSE(Dists!$B19:$X19)*MMULT(1/Dists!$B19:$X19,Capacity!$DH$3:$DH$25)))</f>
        <v>1413702.93370439</v>
      </c>
      <c r="BO77" s="4" t="n">
        <f aca="false" t="array" ref="BO77:BO77">SUM(Capacity!CI$3:CI$25*Capacity!$DH20/(TRANSPOSE(Dists!$B19:$X19)*MMULT(1/Dists!$B19:$X19,Capacity!$DH$3:$DH$25)))</f>
        <v>2827.40629575672</v>
      </c>
      <c r="BP77" s="4" t="n">
        <f aca="false" t="array" ref="BP77:BP77">SUM(Capacity!CJ$3:CJ$25*Capacity!$DH20/(TRANSPOSE(Dists!$B19:$X19)*MMULT(1/Dists!$B19:$X19,Capacity!$DH$3:$DH$25)))</f>
        <v>329864.018193415</v>
      </c>
      <c r="BQ77" s="4" t="n">
        <f aca="false" t="array" ref="BQ77:BQ77">SUM(Capacity!CK$3:CK$25*Capacity!$DH20/(TRANSPOSE(Dists!$B19:$X19)*MMULT(1/Dists!$B19:$X19,Capacity!$DH$3:$DH$25)))</f>
        <v>306302.302638828</v>
      </c>
      <c r="BR77" s="4" t="n">
        <f aca="false" t="array" ref="BR77:BR77">SUM(Capacity!CL$3:CL$25*Capacity!$DH20/(TRANSPOSE(Dists!$B19:$X19)*MMULT(1/Dists!$B19:$X19,Capacity!$DH$3:$DH$25)))</f>
        <v>942.469051389819</v>
      </c>
      <c r="BS77" s="4" t="n">
        <f aca="false" t="array" ref="BS77:BS77">SUM(Capacity!CM$3:CM$25*Capacity!$DH20/(TRANSPOSE(Dists!$B19:$X19)*MMULT(1/Dists!$B19:$X19,Capacity!$DH$3:$DH$25)))</f>
        <v>471.234740298093</v>
      </c>
      <c r="BT77" s="4" t="n">
        <f aca="false" t="array" ref="BT77:BT77">SUM(Capacity!CN$3:CN$25*Capacity!$DI20/(TRANSPOSE(Dists!$B19:$X19)*MMULT(1/Dists!$B19:$X19,Capacity!$DI$3:$DI$25)))</f>
        <v>143690.239995221</v>
      </c>
      <c r="BU77" s="4" t="n">
        <f aca="false" t="array" ref="BU77:BU77">SUM(Capacity!CO$3:CO$25*Capacity!$DI20/(TRANSPOSE(Dists!$B19:$X19)*MMULT(1/Dists!$B19:$X19,Capacity!$DI$3:$DI$25)))</f>
        <v>15675.2989085695</v>
      </c>
      <c r="BV77" s="4" t="n">
        <f aca="false" t="array" ref="BV77:BV77">SUM(Capacity!CP$3:CP$25*Capacity!$DI20/(TRANSPOSE(Dists!$B19:$X19)*MMULT(1/Dists!$B19:$X19,Capacity!$DI$3:$DI$25)))</f>
        <v>1828.78487266645</v>
      </c>
      <c r="BW77" s="0"/>
      <c r="BX77" s="0"/>
      <c r="BY77" s="0"/>
      <c r="BZ77" s="0"/>
      <c r="CA77" s="0"/>
      <c r="CB77" s="0"/>
      <c r="CC77" s="0"/>
      <c r="CE77" s="4" t="n">
        <f aca="false" t="array" ref="CE77:CE77">SUM(Capacity!CY$3:CY$25*Capacity!$DH20/(TRANSPOSE(Dists!$B19:$X19)*MMULT(1/Dists!$B19:$X19,Capacity!$DH$3:$DH$25)))</f>
        <v>86.5829546140074</v>
      </c>
      <c r="CG77" s="0"/>
      <c r="CH77" s="0"/>
      <c r="CI77" s="0"/>
      <c r="CJ77" s="0"/>
      <c r="CK77" s="0"/>
    </row>
    <row r="78" customFormat="false" ht="12.8" hidden="false" customHeight="false" outlineLevel="0" collapsed="false">
      <c r="A78" s="4" t="s">
        <v>156</v>
      </c>
      <c r="B78" s="7" t="s">
        <v>39</v>
      </c>
      <c r="C78" s="4" t="n">
        <f aca="false" t="array" ref="C78:C78">SUM(Capacity!S$3:S$25*Capacity!$DH21/(TRANSPOSE(Dists!$B20:$X20)*MMULT(1/Dists!$B20:$X20,Capacity!$DH$3:$DH$25)))</f>
        <v>6116.78581870092</v>
      </c>
      <c r="D78" s="4" t="n">
        <f aca="false" t="array" ref="D78:D78">SUM(Capacity!V$3:V$25*Capacity!$DH21/(TRANSPOSE(Dists!$B20:$X20)*MMULT(1/Dists!$B20:$X20,Capacity!$DH$3:$DH$25)))</f>
        <v>12046.6494968474</v>
      </c>
      <c r="E78" s="4" t="n">
        <f aca="false" t="array" ref="E78:E78">SUM(Capacity!Y$3:Y$25*Capacity!$DH21/(TRANSPOSE(Dists!$B20:$X20)*MMULT(1/Dists!$B20:$X20,Capacity!$DH$3:$DH$25)))</f>
        <v>14754.7060560824</v>
      </c>
      <c r="F78" s="4" t="n">
        <f aca="false" t="array" ref="F78:F78">SUM(Capacity!Z$3:Z$25*Capacity!$DH21/(TRANSPOSE(Dists!$B20:$X20)*MMULT(1/Dists!$B20:$X20,Capacity!$DH$3:$DH$25)))</f>
        <v>5645.11126414603</v>
      </c>
      <c r="G78" s="4" t="n">
        <f aca="false" t="array" ref="G78:G78">SUM(Capacity!AA$3:AA$25*Capacity!$DH21/(TRANSPOSE(Dists!$B20:$X20)*MMULT(1/Dists!$B20:$X20,Capacity!$DH$3:$DH$25)))</f>
        <v>81845.4128948054</v>
      </c>
      <c r="H78" s="4" t="n">
        <f aca="false" t="array" ref="H78:H78">SUM(Capacity!AB$3:AB$25*Capacity!$DI21/(TRANSPOSE(Dists!$B20:$X20)*MMULT(1/Dists!$B20:$X20,Capacity!$DI$3:$DI$25)))</f>
        <v>4230.91248184242</v>
      </c>
      <c r="I78" s="0"/>
      <c r="J78" s="0"/>
      <c r="K78" s="0"/>
      <c r="L78" s="0"/>
      <c r="M78" s="0"/>
      <c r="N78" s="4" t="n">
        <f aca="false" t="array" ref="N78:N78">SUM(Capacity!AH$3:AH$25*Capacity!$DH21/(TRANSPOSE(Dists!$B20:$X20)*MMULT(1/Dists!$B20:$X20,Capacity!$DH$3:$DH$25)))</f>
        <v>99763.0743513946</v>
      </c>
      <c r="O78" s="0"/>
      <c r="U78" s="0"/>
      <c r="V78" s="0"/>
      <c r="W78" s="0"/>
      <c r="X78" s="0"/>
      <c r="Y78" s="4" t="n">
        <f aca="false" t="array" ref="Y78:Y78">SUM(Capacity!AS$3:AS$25*Capacity!$DI21/(TRANSPOSE(Dists!$B20:$X20)*MMULT(1/Dists!$B20:$X20,Capacity!$DI$3:$DI$25)))</f>
        <v>514.857359009462</v>
      </c>
      <c r="Z78" s="4" t="n">
        <f aca="false" t="array" ref="Z78:Z78">SUM(Capacity!AT$3:AT$25*Capacity!$DH21/(TRANSPOSE(Dists!$B20:$X20)*MMULT(1/Dists!$B20:$X20,Capacity!$DH$3:$DH$25)))</f>
        <v>180908.687613981</v>
      </c>
      <c r="AA78" s="4" t="n">
        <f aca="false" t="array" ref="AA78:AA78">SUM(Capacity!AU$3:AU$25*Capacity!$DI21/(TRANSPOSE(Dists!$B20:$X20)*MMULT(1/Dists!$B20:$X20,Capacity!$DI$3:$DI$25)))</f>
        <v>13859.6367964804</v>
      </c>
      <c r="AB78" s="4" t="n">
        <f aca="false" t="array" ref="AB78:AB78">SUM(Capacity!AV$3:AV$25*Capacity!$DI21/(TRANSPOSE(Dists!$B20:$X20)*MMULT(1/Dists!$B20:$X20,Capacity!$DI$3:$DI$25)))</f>
        <v>5774.84866520016</v>
      </c>
      <c r="AC78" s="4" t="n">
        <f aca="false" t="array" ref="AC78:AC78">SUM(Capacity!AW$3:AW$25*Capacity!$DH21/(TRANSPOSE(Dists!$B20:$X20)*MMULT(1/Dists!$B20:$X20,Capacity!$DH$3:$DH$25)))</f>
        <v>206.879503332623</v>
      </c>
      <c r="AD78" s="4" t="n">
        <f aca="false" t="array" ref="AD78:AD78">SUM(Capacity!AX$3:AX$25*Capacity!$DI21/(TRANSPOSE(Dists!$B20:$X20)*MMULT(1/Dists!$B20:$X20,Capacity!$DI$3:$DI$25)))</f>
        <v>95.2850029758026</v>
      </c>
      <c r="AE78" s="4" t="n">
        <f aca="false" t="array" ref="AE78:AE78">SUM(Capacity!AY$3:AY$25*Capacity!$DI21/(TRANSPOSE(Dists!$B20:$X20)*MMULT(1/Dists!$B20:$X20,Capacity!$DI$3:$DI$25)))</f>
        <v>66.5262566231058</v>
      </c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4" t="n">
        <f aca="false" t="array" ref="AW78:AW78">SUM(Capacity!BQ$3:BQ$25*Capacity!$DH21/(TRANSPOSE(Dists!$B20:$X20)*MMULT(1/Dists!$B20:$X20,Capacity!$DH$3:$DH$25)))</f>
        <v>713.281519907763</v>
      </c>
      <c r="AX78" s="0"/>
      <c r="AY78" s="4" t="n">
        <f aca="false" t="array" ref="AY78:AY78">SUM(Capacity!BS$3:BS$25*Capacity!$DH21/(TRANSPOSE(Dists!$B20:$X20)*MMULT(1/Dists!$B20:$X20,Capacity!$DH$3:$DH$25)))</f>
        <v>18.0622635625728</v>
      </c>
      <c r="AZ78" s="4" t="n">
        <f aca="false" t="array" ref="AZ78:AZ78">SUM(Capacity!BT$3:BT$25*Capacity!$DH21/(TRANSPOSE(Dists!$B20:$X20)*MMULT(1/Dists!$B20:$X20,Capacity!$DH$3:$DH$25)))</f>
        <v>25.400058134868</v>
      </c>
      <c r="BA78" s="0"/>
      <c r="BB78" s="4" t="n">
        <f aca="false" t="array" ref="BB78:BB78">SUM(Capacity!BV$3:BV$25*Capacity!$DI21/(TRANSPOSE(Dists!$B20:$X20)*MMULT(1/Dists!$B20:$X20,Capacity!$DI$3:$DI$25)))</f>
        <v>232.84189818087</v>
      </c>
      <c r="BC78" s="4" t="n">
        <f aca="false" t="array" ref="BC78:BC78">SUM(Capacity!BW$3:BW$25*Capacity!$DI21/(TRANSPOSE(Dists!$B20:$X20)*MMULT(1/Dists!$B20:$X20,Capacity!$DI$3:$DI$25)))</f>
        <v>199.578769869318</v>
      </c>
      <c r="BD78" s="4" t="n">
        <f aca="false" t="array" ref="BD78:BD78">SUM(Capacity!BX$3:BX$25*Capacity!$DI21/(TRANSPOSE(Dists!$B20:$X20)*MMULT(1/Dists!$B20:$X20,Capacity!$DI$3:$DI$25)))</f>
        <v>99.7893849346586</v>
      </c>
      <c r="BE78" s="4" t="n">
        <f aca="false" t="array" ref="BE78:BE78">SUM(Capacity!BY$3:BY$25*Capacity!$DI21/(TRANSPOSE(Dists!$B20:$X20)*MMULT(1/Dists!$B20:$X20,Capacity!$DI$3:$DI$25)))</f>
        <v>58.2104745452176</v>
      </c>
      <c r="BF78" s="4" t="n">
        <f aca="false" t="array" ref="BF78:BF78">SUM(Capacity!BZ$3:BZ$25*Capacity!$DH21/(TRANSPOSE(Dists!$B20:$X20)*MMULT(1/Dists!$B20:$X20,Capacity!$DH$3:$DH$25)))</f>
        <v>106992.227986164</v>
      </c>
      <c r="BG78" s="4" t="n">
        <f aca="false" t="array" ref="BG78:BG78">SUM(Capacity!CA$3:CA$25*Capacity!$DI21/(TRANSPOSE(Dists!$B20:$X20)*MMULT(1/Dists!$B20:$X20,Capacity!$DI$3:$DI$25)))</f>
        <v>4203.41109726505</v>
      </c>
      <c r="BH78" s="4" t="n">
        <f aca="false" t="array" ref="BH78:BH78">SUM(Capacity!CB$3:CB$25*Capacity!$DI21/(TRANSPOSE(Dists!$B20:$X20)*MMULT(1/Dists!$B20:$X20,Capacity!$DI$3:$DI$25)))</f>
        <v>7117.64148915613</v>
      </c>
      <c r="BI78" s="4" t="n">
        <f aca="false" t="array" ref="BI78:BI78">SUM(Capacity!CC$3:CC$25*Capacity!$DI21/(TRANSPOSE(Dists!$B20:$X20)*MMULT(1/Dists!$B20:$X20,Capacity!$DI$3:$DI$25)))</f>
        <v>11209.0962593735</v>
      </c>
      <c r="BJ78" s="0"/>
      <c r="BK78" s="4" t="n">
        <f aca="false" t="array" ref="BK78:BK78">SUM(Capacity!CE$3:CE$25*Capacity!$DI21/(TRANSPOSE(Dists!$B20:$X20)*MMULT(1/Dists!$B20:$X20,Capacity!$DI$3:$DI$25)))</f>
        <v>5604.54812968673</v>
      </c>
      <c r="BL78" s="0"/>
      <c r="BM78" s="0"/>
      <c r="BN78" s="4" t="n">
        <f aca="false" t="array" ref="BN78:BN78">SUM(Capacity!CH$3:CH$25*Capacity!$DH21/(TRANSPOSE(Dists!$B20:$X20)*MMULT(1/Dists!$B20:$X20,Capacity!$DH$3:$DH$25)))</f>
        <v>1510148.25144098</v>
      </c>
      <c r="BO78" s="4" t="n">
        <f aca="false" t="array" ref="BO78:BO78">SUM(Capacity!CI$3:CI$25*Capacity!$DH21/(TRANSPOSE(Dists!$B20:$X20)*MMULT(1/Dists!$B20:$X20,Capacity!$DH$3:$DH$25)))</f>
        <v>3020.29717412686</v>
      </c>
      <c r="BP78" s="4" t="n">
        <f aca="false" t="array" ref="BP78:BP78">SUM(Capacity!CJ$3:CJ$25*Capacity!$DH21/(TRANSPOSE(Dists!$B20:$X20)*MMULT(1/Dists!$B20:$X20,Capacity!$DH$3:$DH$25)))</f>
        <v>352367.925851882</v>
      </c>
      <c r="BQ78" s="4" t="n">
        <f aca="false" t="array" ref="BQ78:BQ78">SUM(Capacity!CK$3:CK$25*Capacity!$DH21/(TRANSPOSE(Dists!$B20:$X20)*MMULT(1/Dists!$B20:$X20,Capacity!$DH$3:$DH$25)))</f>
        <v>327198.788339076</v>
      </c>
      <c r="BR78" s="4" t="n">
        <f aca="false" t="array" ref="BR78:BR78">SUM(Capacity!CL$3:CL$25*Capacity!$DH21/(TRANSPOSE(Dists!$B20:$X20)*MMULT(1/Dists!$B20:$X20,Capacity!$DH$3:$DH$25)))</f>
        <v>1006.76617310233</v>
      </c>
      <c r="BS78" s="4" t="n">
        <f aca="false" t="array" ref="BS78:BS78">SUM(Capacity!CM$3:CM$25*Capacity!$DH21/(TRANSPOSE(Dists!$B20:$X20)*MMULT(1/Dists!$B20:$X20,Capacity!$DH$3:$DH$25)))</f>
        <v>503.383422846199</v>
      </c>
      <c r="BT78" s="4" t="n">
        <f aca="false" t="array" ref="BT78:BT78">SUM(Capacity!CN$3:CN$25*Capacity!$DI21/(TRANSPOSE(Dists!$B20:$X20)*MMULT(1/Dists!$B20:$X20,Capacity!$DI$3:$DI$25)))</f>
        <v>508186.682537614</v>
      </c>
      <c r="BU78" s="4" t="n">
        <f aca="false" t="array" ref="BU78:BU78">SUM(Capacity!CO$3:CO$25*Capacity!$DI21/(TRANSPOSE(Dists!$B20:$X20)*MMULT(1/Dists!$B20:$X20,Capacity!$DI$3:$DI$25)))</f>
        <v>55438.5471859215</v>
      </c>
      <c r="BV78" s="4" t="n">
        <f aca="false" t="array" ref="BV78:BV78">SUM(Capacity!CP$3:CP$25*Capacity!$DI21/(TRANSPOSE(Dists!$B20:$X20)*MMULT(1/Dists!$B20:$X20,Capacity!$DI$3:$DI$25)))</f>
        <v>6467.83050502418</v>
      </c>
      <c r="BW78" s="0"/>
      <c r="BX78" s="0"/>
      <c r="BY78" s="0"/>
      <c r="BZ78" s="0"/>
      <c r="CA78" s="0"/>
      <c r="CB78" s="0"/>
      <c r="CC78" s="0"/>
      <c r="CE78" s="4" t="n">
        <f aca="false" t="array" ref="CE78:CE78">SUM(Capacity!CY$3:CY$25*Capacity!$DH21/(TRANSPOSE(Dists!$B20:$X20)*MMULT(1/Dists!$B20:$X20,Capacity!$DH$3:$DH$25)))</f>
        <v>133.740284982706</v>
      </c>
      <c r="CG78" s="0"/>
      <c r="CH78" s="0"/>
      <c r="CI78" s="0"/>
      <c r="CJ78" s="0"/>
      <c r="CK78" s="0"/>
    </row>
    <row r="79" customFormat="false" ht="12.8" hidden="false" customHeight="false" outlineLevel="0" collapsed="false">
      <c r="A79" s="4" t="s">
        <v>157</v>
      </c>
      <c r="B79" s="7" t="s">
        <v>39</v>
      </c>
      <c r="C79" s="4" t="n">
        <f aca="false" t="array" ref="C79:C79">SUM(Capacity!S$3:S$25*Capacity!$DH22/(TRANSPOSE(Dists!$B21:$X21)*MMULT(1/Dists!$B21:$X21,Capacity!$DH$3:$DH$25)))</f>
        <v>6592.61812021571</v>
      </c>
      <c r="D79" s="4" t="n">
        <f aca="false" t="array" ref="D79:D79">SUM(Capacity!V$3:V$25*Capacity!$DH22/(TRANSPOSE(Dists!$B21:$X21)*MMULT(1/Dists!$B21:$X21,Capacity!$DH$3:$DH$25)))</f>
        <v>12059.2002872387</v>
      </c>
      <c r="E79" s="4" t="n">
        <f aca="false" t="array" ref="E79:E79">SUM(Capacity!Y$3:Y$25*Capacity!$DH22/(TRANSPOSE(Dists!$B21:$X21)*MMULT(1/Dists!$B21:$X21,Capacity!$DH$3:$DH$25)))</f>
        <v>17054.8543960506</v>
      </c>
      <c r="F79" s="4" t="n">
        <f aca="false" t="array" ref="F79:F79">SUM(Capacity!Z$3:Z$25*Capacity!$DH22/(TRANSPOSE(Dists!$B21:$X21)*MMULT(1/Dists!$B21:$X21,Capacity!$DH$3:$DH$25)))</f>
        <v>7028.35580573724</v>
      </c>
      <c r="G79" s="4" t="n">
        <f aca="false" t="array" ref="G79:G79">SUM(Capacity!AA$3:AA$25*Capacity!$DH22/(TRANSPOSE(Dists!$B21:$X21)*MMULT(1/Dists!$B21:$X21,Capacity!$DH$3:$DH$25)))</f>
        <v>80634.0619725843</v>
      </c>
      <c r="H79" s="4" t="n">
        <f aca="false" t="array" ref="H79:H79">SUM(Capacity!AB$3:AB$25*Capacity!$DI22/(TRANSPOSE(Dists!$B21:$X21)*MMULT(1/Dists!$B21:$X21,Capacity!$DI$3:$DI$25)))</f>
        <v>2027.75014370517</v>
      </c>
      <c r="I79" s="0"/>
      <c r="J79" s="0"/>
      <c r="K79" s="0"/>
      <c r="L79" s="0"/>
      <c r="M79" s="0"/>
      <c r="N79" s="4" t="n">
        <f aca="false" t="array" ref="N79:N79">SUM(Capacity!AH$3:AH$25*Capacity!$DH22/(TRANSPOSE(Dists!$B21:$X21)*MMULT(1/Dists!$B21:$X21,Capacity!$DH$3:$DH$25)))</f>
        <v>103848.467494987</v>
      </c>
      <c r="O79" s="0"/>
      <c r="U79" s="0"/>
      <c r="V79" s="0"/>
      <c r="W79" s="0"/>
      <c r="X79" s="0"/>
      <c r="Y79" s="4" t="n">
        <f aca="false" t="array" ref="Y79:Y79">SUM(Capacity!AS$3:AS$25*Capacity!$DI22/(TRANSPOSE(Dists!$B21:$X21)*MMULT(1/Dists!$B21:$X21,Capacity!$DI$3:$DI$25)))</f>
        <v>279.940913574148</v>
      </c>
      <c r="Z79" s="4" t="n">
        <f aca="false" t="array" ref="Z79:Z79">SUM(Capacity!AT$3:AT$25*Capacity!$DH22/(TRANSPOSE(Dists!$B21:$X21)*MMULT(1/Dists!$B21:$X21,Capacity!$DH$3:$DH$25)))</f>
        <v>176325.581343645</v>
      </c>
      <c r="AA79" s="4" t="n">
        <f aca="false" t="array" ref="AA79:AA79">SUM(Capacity!AU$3:AU$25*Capacity!$DI22/(TRANSPOSE(Dists!$B21:$X21)*MMULT(1/Dists!$B21:$X21,Capacity!$DI$3:$DI$25)))</f>
        <v>6134.48377533365</v>
      </c>
      <c r="AB79" s="4" t="n">
        <f aca="false" t="array" ref="AB79:AB79">SUM(Capacity!AV$3:AV$25*Capacity!$DI22/(TRANSPOSE(Dists!$B21:$X21)*MMULT(1/Dists!$B21:$X21,Capacity!$DI$3:$DI$25)))</f>
        <v>2556.03490638902</v>
      </c>
      <c r="AC79" s="4" t="n">
        <f aca="false" t="array" ref="AC79:AC79">SUM(Capacity!AW$3:AW$25*Capacity!$DH22/(TRANSPOSE(Dists!$B21:$X21)*MMULT(1/Dists!$B21:$X21,Capacity!$DH$3:$DH$25)))</f>
        <v>201.666639514653</v>
      </c>
      <c r="AD79" s="4" t="n">
        <f aca="false" t="array" ref="AD79:AD79">SUM(Capacity!AX$3:AX$25*Capacity!$DI22/(TRANSPOSE(Dists!$B21:$X21)*MMULT(1/Dists!$B21:$X21,Capacity!$DI$3:$DI$25)))</f>
        <v>42.1745759554189</v>
      </c>
      <c r="AE79" s="4" t="n">
        <f aca="false" t="array" ref="AE79:AE79">SUM(Capacity!AY$3:AY$25*Capacity!$DI22/(TRANSPOSE(Dists!$B21:$X21)*MMULT(1/Dists!$B21:$X21,Capacity!$DI$3:$DI$25)))</f>
        <v>29.4455221216015</v>
      </c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4" t="n">
        <f aca="false" t="array" ref="AW79:AW79">SUM(Capacity!BQ$3:BQ$25*Capacity!$DH22/(TRANSPOSE(Dists!$B21:$X21)*MMULT(1/Dists!$B21:$X21,Capacity!$DH$3:$DH$25)))</f>
        <v>695.308548360286</v>
      </c>
      <c r="AX79" s="0"/>
      <c r="AY79" s="4" t="n">
        <f aca="false" t="array" ref="AY79:AY79">SUM(Capacity!BS$3:BS$25*Capacity!$DH22/(TRANSPOSE(Dists!$B21:$X21)*MMULT(1/Dists!$B21:$X21,Capacity!$DH$3:$DH$25)))</f>
        <v>15.8634690426726</v>
      </c>
      <c r="AZ79" s="4" t="n">
        <f aca="false" t="array" ref="AZ79:AZ79">SUM(Capacity!BT$3:BT$25*Capacity!$DH22/(TRANSPOSE(Dists!$B21:$X21)*MMULT(1/Dists!$B21:$X21,Capacity!$DH$3:$DH$25)))</f>
        <v>22.3080033412584</v>
      </c>
      <c r="BA79" s="0"/>
      <c r="BB79" s="4" t="n">
        <f aca="false" t="array" ref="BB79:BB79">SUM(Capacity!BV$3:BV$25*Capacity!$DI22/(TRANSPOSE(Dists!$B21:$X21)*MMULT(1/Dists!$B21:$X21,Capacity!$DI$3:$DI$25)))</f>
        <v>103.059327425605</v>
      </c>
      <c r="BC79" s="4" t="n">
        <f aca="false" t="array" ref="BC79:BC79">SUM(Capacity!BW$3:BW$25*Capacity!$DI22/(TRANSPOSE(Dists!$B21:$X21)*MMULT(1/Dists!$B21:$X21,Capacity!$DI$3:$DI$25)))</f>
        <v>88.3365663648047</v>
      </c>
      <c r="BD79" s="4" t="n">
        <f aca="false" t="array" ref="BD79:BD79">SUM(Capacity!BX$3:BX$25*Capacity!$DI22/(TRANSPOSE(Dists!$B21:$X21)*MMULT(1/Dists!$B21:$X21,Capacity!$DI$3:$DI$25)))</f>
        <v>44.1682831824023</v>
      </c>
      <c r="BE79" s="4" t="n">
        <f aca="false" t="array" ref="BE79:BE79">SUM(Capacity!BY$3:BY$25*Capacity!$DI22/(TRANSPOSE(Dists!$B21:$X21)*MMULT(1/Dists!$B21:$X21,Capacity!$DI$3:$DI$25)))</f>
        <v>25.7648318564013</v>
      </c>
      <c r="BF79" s="4" t="n">
        <f aca="false" t="array" ref="BF79:BF79">SUM(Capacity!BZ$3:BZ$25*Capacity!$DH22/(TRANSPOSE(Dists!$B21:$X21)*MMULT(1/Dists!$B21:$X21,Capacity!$DH$3:$DH$25)))</f>
        <v>104296.282254043</v>
      </c>
      <c r="BG79" s="4" t="n">
        <f aca="false" t="array" ref="BG79:BG79">SUM(Capacity!CA$3:CA$25*Capacity!$DI22/(TRANSPOSE(Dists!$B21:$X21)*MMULT(1/Dists!$B21:$X21,Capacity!$DI$3:$DI$25)))</f>
        <v>2064.99329366179</v>
      </c>
      <c r="BH79" s="4" t="n">
        <f aca="false" t="array" ref="BH79:BH79">SUM(Capacity!CB$3:CB$25*Capacity!$DI22/(TRANSPOSE(Dists!$B21:$X21)*MMULT(1/Dists!$B21:$X21,Capacity!$DI$3:$DI$25)))</f>
        <v>3027.07795701728</v>
      </c>
      <c r="BI79" s="4" t="n">
        <f aca="false" t="array" ref="BI79:BI79">SUM(Capacity!CC$3:CC$25*Capacity!$DI22/(TRANSPOSE(Dists!$B21:$X21)*MMULT(1/Dists!$B21:$X21,Capacity!$DI$3:$DI$25)))</f>
        <v>5506.6487830981</v>
      </c>
      <c r="BJ79" s="0"/>
      <c r="BK79" s="4" t="n">
        <f aca="false" t="array" ref="BK79:BK79">SUM(Capacity!CE$3:CE$25*Capacity!$DI22/(TRANSPOSE(Dists!$B21:$X21)*MMULT(1/Dists!$B21:$X21,Capacity!$DI$3:$DI$25)))</f>
        <v>2753.32439154905</v>
      </c>
      <c r="BL79" s="0"/>
      <c r="BM79" s="0"/>
      <c r="BN79" s="4" t="n">
        <f aca="false" t="array" ref="BN79:BN79">SUM(Capacity!CH$3:CH$25*Capacity!$DH22/(TRANSPOSE(Dists!$B21:$X21)*MMULT(1/Dists!$B21:$X21,Capacity!$DH$3:$DH$25)))</f>
        <v>2070372.93021262</v>
      </c>
      <c r="BO79" s="4" t="n">
        <f aca="false" t="array" ref="BO79:BO79">SUM(Capacity!CI$3:CI$25*Capacity!$DH22/(TRANSPOSE(Dists!$B21:$X21)*MMULT(1/Dists!$B21:$X21,Capacity!$DH$3:$DH$25)))</f>
        <v>4140.7465688313</v>
      </c>
      <c r="BP79" s="4" t="n">
        <f aca="false" t="array" ref="BP79:BP79">SUM(Capacity!CJ$3:CJ$25*Capacity!$DH22/(TRANSPOSE(Dists!$B21:$X21)*MMULT(1/Dists!$B21:$X21,Capacity!$DH$3:$DH$25)))</f>
        <v>483087.017593812</v>
      </c>
      <c r="BQ79" s="4" t="n">
        <f aca="false" t="array" ref="BQ79:BQ79">SUM(Capacity!CK$3:CK$25*Capacity!$DH22/(TRANSPOSE(Dists!$B21:$X21)*MMULT(1/Dists!$B21:$X21,Capacity!$DH$3:$DH$25)))</f>
        <v>448580.802102098</v>
      </c>
      <c r="BR79" s="4" t="n">
        <f aca="false" t="array" ref="BR79:BR79">SUM(Capacity!CL$3:CL$25*Capacity!$DH22/(TRANSPOSE(Dists!$B21:$X21)*MMULT(1/Dists!$B21:$X21,Capacity!$DH$3:$DH$25)))</f>
        <v>1380.24932949424</v>
      </c>
      <c r="BS79" s="4" t="n">
        <f aca="false" t="array" ref="BS79:BS79">SUM(Capacity!CM$3:CM$25*Capacity!$DH22/(TRANSPOSE(Dists!$B21:$X21)*MMULT(1/Dists!$B21:$X21,Capacity!$DH$3:$DH$25)))</f>
        <v>690.125019659971</v>
      </c>
      <c r="BT79" s="4" t="n">
        <f aca="false" t="array" ref="BT79:BT79">SUM(Capacity!CN$3:CN$25*Capacity!$DI22/(TRANSPOSE(Dists!$B21:$X21)*MMULT(1/Dists!$B21:$X21,Capacity!$DI$3:$DI$25)))</f>
        <v>224931.071762234</v>
      </c>
      <c r="BU79" s="4" t="n">
        <f aca="false" t="array" ref="BU79:BU79">SUM(Capacity!CO$3:CO$25*Capacity!$DI22/(TRANSPOSE(Dists!$B21:$X21)*MMULT(1/Dists!$B21:$X21,Capacity!$DI$3:$DI$25)))</f>
        <v>24537.9351013346</v>
      </c>
      <c r="BV79" s="4" t="n">
        <f aca="false" t="array" ref="BV79:BV79">SUM(Capacity!CP$3:CP$25*Capacity!$DI22/(TRANSPOSE(Dists!$B21:$X21)*MMULT(1/Dists!$B21:$X21,Capacity!$DI$3:$DI$25)))</f>
        <v>2862.7590951557</v>
      </c>
      <c r="BW79" s="0"/>
      <c r="BX79" s="0"/>
      <c r="BY79" s="0"/>
      <c r="BZ79" s="0"/>
      <c r="CA79" s="0"/>
      <c r="CB79" s="0"/>
      <c r="CC79" s="0"/>
      <c r="CE79" s="4" t="n">
        <f aca="false" t="array" ref="CE79:CE79">SUM(Capacity!CY$3:CY$25*Capacity!$DH22/(TRANSPOSE(Dists!$B21:$X21)*MMULT(1/Dists!$B21:$X21,Capacity!$DH$3:$DH$25)))</f>
        <v>130.370352817554</v>
      </c>
      <c r="CG79" s="0"/>
      <c r="CH79" s="0"/>
      <c r="CI79" s="0"/>
      <c r="CJ79" s="0"/>
      <c r="CK79" s="0"/>
    </row>
    <row r="80" customFormat="false" ht="12.8" hidden="false" customHeight="false" outlineLevel="0" collapsed="false">
      <c r="A80" s="4" t="s">
        <v>158</v>
      </c>
      <c r="B80" s="7" t="s">
        <v>39</v>
      </c>
      <c r="C80" s="4" t="n">
        <f aca="false" t="array" ref="C80:C80">SUM(Capacity!S$3:S$25*Capacity!$DH23/(TRANSPOSE(Dists!$B22:$X22)*MMULT(1/Dists!$B22:$X22,Capacity!$DH$3:$DH$25)))</f>
        <v>6287.74736216969</v>
      </c>
      <c r="D80" s="4" t="n">
        <f aca="false" t="array" ref="D80:D80">SUM(Capacity!V$3:V$25*Capacity!$DH23/(TRANSPOSE(Dists!$B22:$X22)*MMULT(1/Dists!$B22:$X22,Capacity!$DH$3:$DH$25)))</f>
        <v>12491.3734888895</v>
      </c>
      <c r="E80" s="4" t="n">
        <f aca="false" t="array" ref="E80:E80">SUM(Capacity!Y$3:Y$25*Capacity!$DH23/(TRANSPOSE(Dists!$B22:$X22)*MMULT(1/Dists!$B22:$X22,Capacity!$DH$3:$DH$25)))</f>
        <v>15046.370491133</v>
      </c>
      <c r="F80" s="4" t="n">
        <f aca="false" t="array" ref="F80:F80">SUM(Capacity!Z$3:Z$25*Capacity!$DH23/(TRANSPOSE(Dists!$B22:$X22)*MMULT(1/Dists!$B22:$X22,Capacity!$DH$3:$DH$25)))</f>
        <v>5703.97923401952</v>
      </c>
      <c r="G80" s="4" t="n">
        <f aca="false" t="array" ref="G80:G80">SUM(Capacity!AA$3:AA$25*Capacity!$DH23/(TRANSPOSE(Dists!$B22:$X22)*MMULT(1/Dists!$B22:$X22,Capacity!$DH$3:$DH$25)))</f>
        <v>85018.3788860956</v>
      </c>
      <c r="H80" s="4" t="n">
        <f aca="false" t="array" ref="H80:H80">SUM(Capacity!AB$3:AB$25*Capacity!$DI23/(TRANSPOSE(Dists!$B22:$X22)*MMULT(1/Dists!$B22:$X22,Capacity!$DI$3:$DI$25)))</f>
        <v>3870.23925907539</v>
      </c>
      <c r="I80" s="0"/>
      <c r="J80" s="0"/>
      <c r="K80" s="0"/>
      <c r="L80" s="0"/>
      <c r="M80" s="0"/>
      <c r="N80" s="4" t="n">
        <f aca="false" t="array" ref="N80:N80">SUM(Capacity!AH$3:AH$25*Capacity!$DH23/(TRANSPOSE(Dists!$B22:$X22)*MMULT(1/Dists!$B22:$X22,Capacity!$DH$3:$DH$25)))</f>
        <v>102412.760668131</v>
      </c>
      <c r="O80" s="0"/>
      <c r="U80" s="0"/>
      <c r="V80" s="0"/>
      <c r="W80" s="0"/>
      <c r="X80" s="0"/>
      <c r="Y80" s="4" t="n">
        <f aca="false" t="array" ref="Y80:Y80">SUM(Capacity!AS$3:AS$25*Capacity!$DI23/(TRANSPOSE(Dists!$B22:$X22)*MMULT(1/Dists!$B22:$X22,Capacity!$DI$3:$DI$25)))</f>
        <v>473.406087029206</v>
      </c>
      <c r="Z80" s="4" t="n">
        <f aca="false" t="array" ref="Z80:Z80">SUM(Capacity!AT$3:AT$25*Capacity!$DH23/(TRANSPOSE(Dists!$B22:$X22)*MMULT(1/Dists!$B22:$X22,Capacity!$DH$3:$DH$25)))</f>
        <v>181986.617070159</v>
      </c>
      <c r="AA80" s="4" t="n">
        <f aca="false" t="array" ref="AA80:AA80">SUM(Capacity!AU$3:AU$25*Capacity!$DI23/(TRANSPOSE(Dists!$B22:$X22)*MMULT(1/Dists!$B22:$X22,Capacity!$DI$3:$DI$25)))</f>
        <v>12923.3691043301</v>
      </c>
      <c r="AB80" s="4" t="n">
        <f aca="false" t="array" ref="AB80:AB80">SUM(Capacity!AV$3:AV$25*Capacity!$DI23/(TRANSPOSE(Dists!$B22:$X22)*MMULT(1/Dists!$B22:$X22,Capacity!$DI$3:$DI$25)))</f>
        <v>5384.7371268042</v>
      </c>
      <c r="AC80" s="4" t="n">
        <f aca="false" t="array" ref="AC80:AC80">SUM(Capacity!AW$3:AW$25*Capacity!$DH23/(TRANSPOSE(Dists!$B22:$X22)*MMULT(1/Dists!$B22:$X22,Capacity!$DH$3:$DH$25)))</f>
        <v>215.954906573271</v>
      </c>
      <c r="AD80" s="4" t="n">
        <f aca="false" t="array" ref="AD80:AD80">SUM(Capacity!AX$3:AX$25*Capacity!$DI23/(TRANSPOSE(Dists!$B22:$X22)*MMULT(1/Dists!$B22:$X22,Capacity!$DI$3:$DI$25)))</f>
        <v>88.8481625922694</v>
      </c>
      <c r="AE80" s="4" t="n">
        <f aca="false" t="array" ref="AE80:AE80">SUM(Capacity!AY$3:AY$25*Capacity!$DI23/(TRANSPOSE(Dists!$B22:$X22)*MMULT(1/Dists!$B22:$X22,Capacity!$DI$3:$DI$25)))</f>
        <v>62.0321717007844</v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4" t="n">
        <f aca="false" t="array" ref="AW80:AW80">SUM(Capacity!BQ$3:BQ$25*Capacity!$DH23/(TRANSPOSE(Dists!$B22:$X22)*MMULT(1/Dists!$B22:$X22,Capacity!$DH$3:$DH$25)))</f>
        <v>744.571799094377</v>
      </c>
      <c r="AX80" s="0"/>
      <c r="AY80" s="4" t="n">
        <f aca="false" t="array" ref="AY80:AY80">SUM(Capacity!BS$3:BS$25*Capacity!$DH23/(TRANSPOSE(Dists!$B22:$X22)*MMULT(1/Dists!$B22:$X22,Capacity!$DH$3:$DH$25)))</f>
        <v>18.8381643739237</v>
      </c>
      <c r="AZ80" s="4" t="n">
        <f aca="false" t="array" ref="AZ80:AZ80">SUM(Capacity!BT$3:BT$25*Capacity!$DH23/(TRANSPOSE(Dists!$B22:$X22)*MMULT(1/Dists!$B22:$X22,Capacity!$DH$3:$DH$25)))</f>
        <v>26.4911686508302</v>
      </c>
      <c r="BA80" s="0"/>
      <c r="BB80" s="4" t="n">
        <f aca="false" t="array" ref="BB80:BB80">SUM(Capacity!BV$3:BV$25*Capacity!$DI23/(TRANSPOSE(Dists!$B22:$X22)*MMULT(1/Dists!$B22:$X22,Capacity!$DI$3:$DI$25)))</f>
        <v>217.112600952745</v>
      </c>
      <c r="BC80" s="4" t="n">
        <f aca="false" t="array" ref="BC80:BC80">SUM(Capacity!BW$3:BW$25*Capacity!$DI23/(TRANSPOSE(Dists!$B22:$X22)*MMULT(1/Dists!$B22:$X22,Capacity!$DI$3:$DI$25)))</f>
        <v>186.096515102353</v>
      </c>
      <c r="BD80" s="4" t="n">
        <f aca="false" t="array" ref="BD80:BD80">SUM(Capacity!BX$3:BX$25*Capacity!$DI23/(TRANSPOSE(Dists!$B22:$X22)*MMULT(1/Dists!$B22:$X22,Capacity!$DI$3:$DI$25)))</f>
        <v>93.0482575511765</v>
      </c>
      <c r="BE80" s="4" t="n">
        <f aca="false" t="array" ref="BE80:BE80">SUM(Capacity!BY$3:BY$25*Capacity!$DI23/(TRANSPOSE(Dists!$B22:$X22)*MMULT(1/Dists!$B22:$X22,Capacity!$DI$3:$DI$25)))</f>
        <v>54.2781502381864</v>
      </c>
      <c r="BF80" s="4" t="n">
        <f aca="false" t="array" ref="BF80:BF80">SUM(Capacity!BZ$3:BZ$25*Capacity!$DH23/(TRANSPOSE(Dists!$B22:$X22)*MMULT(1/Dists!$B22:$X22,Capacity!$DH$3:$DH$25)))</f>
        <v>111685.769864157</v>
      </c>
      <c r="BG80" s="4" t="n">
        <f aca="false" t="array" ref="BG80:BG80">SUM(Capacity!CA$3:CA$25*Capacity!$DI23/(TRANSPOSE(Dists!$B22:$X22)*MMULT(1/Dists!$B22:$X22,Capacity!$DI$3:$DI$25)))</f>
        <v>3922.87951358303</v>
      </c>
      <c r="BH80" s="4" t="n">
        <f aca="false" t="array" ref="BH80:BH80">SUM(Capacity!CB$3:CB$25*Capacity!$DI23/(TRANSPOSE(Dists!$B22:$X22)*MMULT(1/Dists!$B22:$X22,Capacity!$DI$3:$DI$25)))</f>
        <v>6768.74198633286</v>
      </c>
      <c r="BI80" s="4" t="n">
        <f aca="false" t="array" ref="BI80:BI80">SUM(Capacity!CC$3:CC$25*Capacity!$DI23/(TRANSPOSE(Dists!$B22:$X22)*MMULT(1/Dists!$B22:$X22,Capacity!$DI$3:$DI$25)))</f>
        <v>10461.0120362214</v>
      </c>
      <c r="BJ80" s="0"/>
      <c r="BK80" s="4" t="n">
        <f aca="false" t="array" ref="BK80:BK80">SUM(Capacity!CE$3:CE$25*Capacity!$DI23/(TRANSPOSE(Dists!$B22:$X22)*MMULT(1/Dists!$B22:$X22,Capacity!$DI$3:$DI$25)))</f>
        <v>5230.50601811071</v>
      </c>
      <c r="BL80" s="0"/>
      <c r="BM80" s="0"/>
      <c r="BN80" s="4" t="n">
        <f aca="false" t="array" ref="BN80:BN80">SUM(Capacity!CH$3:CH$25*Capacity!$DH23/(TRANSPOSE(Dists!$B22:$X22)*MMULT(1/Dists!$B22:$X22,Capacity!$DH$3:$DH$25)))</f>
        <v>1220738.711626</v>
      </c>
      <c r="BO80" s="4" t="n">
        <f aca="false" t="array" ref="BO80:BO80">SUM(Capacity!CI$3:CI$25*Capacity!$DH23/(TRANSPOSE(Dists!$B22:$X22)*MMULT(1/Dists!$B22:$X22,Capacity!$DH$3:$DH$25)))</f>
        <v>2441.47813160702</v>
      </c>
      <c r="BP80" s="4" t="n">
        <f aca="false" t="array" ref="BP80:BP80">SUM(Capacity!CJ$3:CJ$25*Capacity!$DH23/(TRANSPOSE(Dists!$B22:$X22)*MMULT(1/Dists!$B22:$X22,Capacity!$DH$3:$DH$25)))</f>
        <v>284839.033256895</v>
      </c>
      <c r="BQ80" s="4" t="n">
        <f aca="false" t="array" ref="BQ80:BQ80">SUM(Capacity!CK$3:CK$25*Capacity!$DH23/(TRANSPOSE(Dists!$B22:$X22)*MMULT(1/Dists!$B22:$X22,Capacity!$DH$3:$DH$25)))</f>
        <v>264493.388074957</v>
      </c>
      <c r="BR80" s="4" t="n">
        <f aca="false" t="array" ref="BR80:BR80">SUM(Capacity!CL$3:CL$25*Capacity!$DH23/(TRANSPOSE(Dists!$B22:$X22)*MMULT(1/Dists!$B22:$X22,Capacity!$DH$3:$DH$25)))</f>
        <v>813.826517052048</v>
      </c>
      <c r="BS80" s="4" t="n">
        <f aca="false" t="array" ref="BS80:BS80">SUM(Capacity!CM$3:CM$25*Capacity!$DH23/(TRANSPOSE(Dists!$B22:$X22)*MMULT(1/Dists!$B22:$X22,Capacity!$DH$3:$DH$25)))</f>
        <v>406.913613413305</v>
      </c>
      <c r="BT80" s="4" t="n">
        <f aca="false" t="array" ref="BT80:BT80">SUM(Capacity!CN$3:CN$25*Capacity!$DI23/(TRANSPOSE(Dists!$B22:$X22)*MMULT(1/Dists!$B22:$X22,Capacity!$DI$3:$DI$25)))</f>
        <v>473856.86715877</v>
      </c>
      <c r="BU80" s="4" t="n">
        <f aca="false" t="array" ref="BU80:BU80">SUM(Capacity!CO$3:CO$25*Capacity!$DI23/(TRANSPOSE(Dists!$B22:$X22)*MMULT(1/Dists!$B22:$X22,Capacity!$DI$3:$DI$25)))</f>
        <v>51693.4764173204</v>
      </c>
      <c r="BV80" s="4" t="n">
        <f aca="false" t="array" ref="BV80:BV80">SUM(Capacity!CP$3:CP$25*Capacity!$DI23/(TRANSPOSE(Dists!$B22:$X22)*MMULT(1/Dists!$B22:$X22,Capacity!$DI$3:$DI$25)))</f>
        <v>6030.90558202071</v>
      </c>
      <c r="BW80" s="0"/>
      <c r="BX80" s="0"/>
      <c r="BY80" s="0"/>
      <c r="BZ80" s="0"/>
      <c r="CA80" s="0"/>
      <c r="CB80" s="0"/>
      <c r="CC80" s="0"/>
      <c r="CE80" s="4" t="n">
        <f aca="false" t="array" ref="CE80:CE80">SUM(Capacity!CY$3:CY$25*Capacity!$DH23/(TRANSPOSE(Dists!$B22:$X22)*MMULT(1/Dists!$B22:$X22,Capacity!$DH$3:$DH$25)))</f>
        <v>139.607212330196</v>
      </c>
      <c r="CG80" s="0"/>
      <c r="CH80" s="0"/>
      <c r="CI80" s="0"/>
      <c r="CJ80" s="0"/>
      <c r="CK80" s="0"/>
    </row>
    <row r="81" customFormat="false" ht="12.8" hidden="false" customHeight="false" outlineLevel="0" collapsed="false">
      <c r="A81" s="4" t="s">
        <v>159</v>
      </c>
      <c r="B81" s="7" t="s">
        <v>39</v>
      </c>
      <c r="C81" s="4" t="n">
        <f aca="false" t="array" ref="C81:C81">SUM(Capacity!S$3:S$25*Capacity!$DH24/(TRANSPOSE(Dists!$B23:$X23)*MMULT(1/Dists!$B23:$X23,Capacity!$DH$3:$DH$25)))</f>
        <v>4207.65650694418</v>
      </c>
      <c r="D81" s="4" t="n">
        <f aca="false" t="array" ref="D81:D81">SUM(Capacity!V$3:V$25*Capacity!$DH24/(TRANSPOSE(Dists!$B23:$X23)*MMULT(1/Dists!$B23:$X23,Capacity!$DH$3:$DH$25)))</f>
        <v>8031.63987084658</v>
      </c>
      <c r="E81" s="4" t="n">
        <f aca="false" t="array" ref="E81:E81">SUM(Capacity!Y$3:Y$25*Capacity!$DH24/(TRANSPOSE(Dists!$B23:$X23)*MMULT(1/Dists!$B23:$X23,Capacity!$DH$3:$DH$25)))</f>
        <v>10073.3393397358</v>
      </c>
      <c r="F81" s="4" t="n">
        <f aca="false" t="array" ref="F81:F81">SUM(Capacity!Z$3:Z$25*Capacity!$DH24/(TRANSPOSE(Dists!$B23:$X23)*MMULT(1/Dists!$B23:$X23,Capacity!$DH$3:$DH$25)))</f>
        <v>3820.74122354389</v>
      </c>
      <c r="G81" s="4" t="n">
        <f aca="false" t="array" ref="G81:G81">SUM(Capacity!AA$3:AA$25*Capacity!$DH24/(TRANSPOSE(Dists!$B23:$X23)*MMULT(1/Dists!$B23:$X23,Capacity!$DH$3:$DH$25)))</f>
        <v>54209.5455753203</v>
      </c>
      <c r="H81" s="4" t="n">
        <f aca="false" t="array" ref="H81:H81">SUM(Capacity!AB$3:AB$25*Capacity!$DI24/(TRANSPOSE(Dists!$B23:$X23)*MMULT(1/Dists!$B23:$X23,Capacity!$DI$3:$DI$25)))</f>
        <v>2326.74153078272</v>
      </c>
      <c r="I81" s="0"/>
      <c r="J81" s="0"/>
      <c r="K81" s="0"/>
      <c r="L81" s="0"/>
      <c r="M81" s="0"/>
      <c r="N81" s="4" t="n">
        <f aca="false" t="array" ref="N81:N81">SUM(Capacity!AH$3:AH$25*Capacity!$DH24/(TRANSPOSE(Dists!$B23:$X23)*MMULT(1/Dists!$B23:$X23,Capacity!$DH$3:$DH$25)))</f>
        <v>68826.5987631439</v>
      </c>
      <c r="O81" s="0"/>
      <c r="U81" s="0"/>
      <c r="V81" s="0"/>
      <c r="W81" s="0"/>
      <c r="X81" s="0"/>
      <c r="Y81" s="4" t="n">
        <f aca="false" t="array" ref="Y81:Y81">SUM(Capacity!AS$3:AS$25*Capacity!$DI24/(TRANSPOSE(Dists!$B23:$X23)*MMULT(1/Dists!$B23:$X23,Capacity!$DI$3:$DI$25)))</f>
        <v>273.00161394783</v>
      </c>
      <c r="Z81" s="4" t="n">
        <f aca="false" t="array" ref="Z81:Z81">SUM(Capacity!AT$3:AT$25*Capacity!$DH24/(TRANSPOSE(Dists!$B23:$X23)*MMULT(1/Dists!$B23:$X23,Capacity!$DH$3:$DH$25)))</f>
        <v>110626.12511323</v>
      </c>
      <c r="AA81" s="4" t="n">
        <f aca="false" t="array" ref="AA81:AA81">SUM(Capacity!AU$3:AU$25*Capacity!$DI24/(TRANSPOSE(Dists!$B23:$X23)*MMULT(1/Dists!$B23:$X23,Capacity!$DI$3:$DI$25)))</f>
        <v>6072.25770421269</v>
      </c>
      <c r="AB81" s="4" t="n">
        <f aca="false" t="array" ref="AB81:AB81">SUM(Capacity!AV$3:AV$25*Capacity!$DI24/(TRANSPOSE(Dists!$B23:$X23)*MMULT(1/Dists!$B23:$X23,Capacity!$DI$3:$DI$25)))</f>
        <v>2530.10737675529</v>
      </c>
      <c r="AC81" s="4" t="n">
        <f aca="false" t="array" ref="AC81:AC81">SUM(Capacity!AW$3:AW$25*Capacity!$DH24/(TRANSPOSE(Dists!$B23:$X23)*MMULT(1/Dists!$B23:$X23,Capacity!$DH$3:$DH$25)))</f>
        <v>124.956170410474</v>
      </c>
      <c r="AD81" s="4" t="n">
        <f aca="false" t="array" ref="AD81:AD81">SUM(Capacity!AX$3:AX$25*Capacity!$DI24/(TRANSPOSE(Dists!$B23:$X23)*MMULT(1/Dists!$B23:$X23,Capacity!$DI$3:$DI$25)))</f>
        <v>41.7467717164622</v>
      </c>
      <c r="AE81" s="4" t="n">
        <f aca="false" t="array" ref="AE81:AE81">SUM(Capacity!AY$3:AY$25*Capacity!$DI24/(TRANSPOSE(Dists!$B23:$X23)*MMULT(1/Dists!$B23:$X23,Capacity!$DI$3:$DI$25)))</f>
        <v>29.1468369802209</v>
      </c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4" t="n">
        <f aca="false" t="array" ref="AW81:AW81">SUM(Capacity!BQ$3:BQ$25*Capacity!$DH24/(TRANSPOSE(Dists!$B23:$X23)*MMULT(1/Dists!$B23:$X23,Capacity!$DH$3:$DH$25)))</f>
        <v>430.82531481591</v>
      </c>
      <c r="AX81" s="0"/>
      <c r="AY81" s="4" t="n">
        <f aca="false" t="array" ref="AY81:AY81">SUM(Capacity!BS$3:BS$25*Capacity!$DH24/(TRANSPOSE(Dists!$B23:$X23)*MMULT(1/Dists!$B23:$X23,Capacity!$DH$3:$DH$25)))</f>
        <v>9.99831417977936</v>
      </c>
      <c r="AZ81" s="4" t="n">
        <f aca="false" t="array" ref="AZ81:AZ81">SUM(Capacity!BT$3:BT$25*Capacity!$DH24/(TRANSPOSE(Dists!$B23:$X23)*MMULT(1/Dists!$B23:$X23,Capacity!$DH$3:$DH$25)))</f>
        <v>14.0601293153147</v>
      </c>
      <c r="BA81" s="0"/>
      <c r="BB81" s="4" t="n">
        <f aca="false" t="array" ref="BB81:BB81">SUM(Capacity!BV$3:BV$25*Capacity!$DI24/(TRANSPOSE(Dists!$B23:$X23)*MMULT(1/Dists!$B23:$X23,Capacity!$DI$3:$DI$25)))</f>
        <v>102.013929430773</v>
      </c>
      <c r="BC81" s="4" t="n">
        <f aca="false" t="array" ref="BC81:BC81">SUM(Capacity!BW$3:BW$25*Capacity!$DI24/(TRANSPOSE(Dists!$B23:$X23)*MMULT(1/Dists!$B23:$X23,Capacity!$DI$3:$DI$25)))</f>
        <v>87.4405109406628</v>
      </c>
      <c r="BD81" s="4" t="n">
        <f aca="false" t="array" ref="BD81:BD81">SUM(Capacity!BX$3:BX$25*Capacity!$DI24/(TRANSPOSE(Dists!$B23:$X23)*MMULT(1/Dists!$B23:$X23,Capacity!$DI$3:$DI$25)))</f>
        <v>43.7202554703313</v>
      </c>
      <c r="BE81" s="4" t="n">
        <f aca="false" t="array" ref="BE81:BE81">SUM(Capacity!BY$3:BY$25*Capacity!$DI24/(TRANSPOSE(Dists!$B23:$X23)*MMULT(1/Dists!$B23:$X23,Capacity!$DI$3:$DI$25)))</f>
        <v>25.5034823576933</v>
      </c>
      <c r="BF81" s="4" t="n">
        <f aca="false" t="array" ref="BF81:BF81">SUM(Capacity!BZ$3:BZ$25*Capacity!$DH24/(TRANSPOSE(Dists!$B23:$X23)*MMULT(1/Dists!$B23:$X23,Capacity!$DH$3:$DH$25)))</f>
        <v>64623.7972223865</v>
      </c>
      <c r="BG81" s="4" t="n">
        <f aca="false" t="array" ref="BG81:BG81">SUM(Capacity!CA$3:CA$25*Capacity!$DI24/(TRANSPOSE(Dists!$B23:$X23)*MMULT(1/Dists!$B23:$X23,Capacity!$DI$3:$DI$25)))</f>
        <v>2009.48999874997</v>
      </c>
      <c r="BH81" s="4" t="n">
        <f aca="false" t="array" ref="BH81:BH81">SUM(Capacity!CB$3:CB$25*Capacity!$DI24/(TRANSPOSE(Dists!$B23:$X23)*MMULT(1/Dists!$B23:$X23,Capacity!$DI$3:$DI$25)))</f>
        <v>3202.03584060409</v>
      </c>
      <c r="BI81" s="4" t="n">
        <f aca="false" t="array" ref="BI81:BI81">SUM(Capacity!CC$3:CC$25*Capacity!$DI24/(TRANSPOSE(Dists!$B23:$X23)*MMULT(1/Dists!$B23:$X23,Capacity!$DI$3:$DI$25)))</f>
        <v>5358.63999666659</v>
      </c>
      <c r="BJ81" s="0"/>
      <c r="BK81" s="4" t="n">
        <f aca="false" t="array" ref="BK81:BK81">SUM(Capacity!CE$3:CE$25*Capacity!$DI24/(TRANSPOSE(Dists!$B23:$X23)*MMULT(1/Dists!$B23:$X23,Capacity!$DI$3:$DI$25)))</f>
        <v>2679.3199983333</v>
      </c>
      <c r="BL81" s="0"/>
      <c r="BM81" s="0"/>
      <c r="BN81" s="4" t="n">
        <f aca="false" t="array" ref="BN81:BN81">SUM(Capacity!CH$3:CH$25*Capacity!$DH24/(TRANSPOSE(Dists!$B23:$X23)*MMULT(1/Dists!$B23:$X23,Capacity!$DH$3:$DH$25)))</f>
        <v>793092.441818218</v>
      </c>
      <c r="BO81" s="4" t="n">
        <f aca="false" t="array" ref="BO81:BO81">SUM(Capacity!CI$3:CI$25*Capacity!$DH24/(TRANSPOSE(Dists!$B23:$X23)*MMULT(1/Dists!$B23:$X23,Capacity!$DH$3:$DH$25)))</f>
        <v>1586.18547675887</v>
      </c>
      <c r="BP81" s="4" t="n">
        <f aca="false" t="array" ref="BP81:BP81">SUM(Capacity!CJ$3:CJ$25*Capacity!$DH24/(TRANSPOSE(Dists!$B23:$X23)*MMULT(1/Dists!$B23:$X23,Capacity!$DH$3:$DH$25)))</f>
        <v>185054.903546556</v>
      </c>
      <c r="BQ81" s="4" t="n">
        <f aca="false" t="array" ref="BQ81:BQ81">SUM(Capacity!CK$3:CK$25*Capacity!$DH24/(TRANSPOSE(Dists!$B23:$X23)*MMULT(1/Dists!$B23:$X23,Capacity!$DH$3:$DH$25)))</f>
        <v>171836.696192824</v>
      </c>
      <c r="BR81" s="4" t="n">
        <f aca="false" t="array" ref="BR81:BR81">SUM(Capacity!CL$3:CL$25*Capacity!$DH24/(TRANSPOSE(Dists!$B23:$X23)*MMULT(1/Dists!$B23:$X23,Capacity!$DH$3:$DH$25)))</f>
        <v>528.728888460332</v>
      </c>
      <c r="BS81" s="4" t="n">
        <f aca="false" t="array" ref="BS81:BS81">SUM(Capacity!CM$3:CM$25*Capacity!$DH24/(TRANSPOSE(Dists!$B23:$X23)*MMULT(1/Dists!$B23:$X23,Capacity!$DH$3:$DH$25)))</f>
        <v>264.364741385697</v>
      </c>
      <c r="BT81" s="4" t="n">
        <f aca="false" t="array" ref="BT81:BT81">SUM(Capacity!CN$3:CN$25*Capacity!$DI24/(TRANSPOSE(Dists!$B23:$X23)*MMULT(1/Dists!$B23:$X23,Capacity!$DI$3:$DI$25)))</f>
        <v>222649.449154465</v>
      </c>
      <c r="BU81" s="4" t="n">
        <f aca="false" t="array" ref="BU81:BU81">SUM(Capacity!CO$3:CO$25*Capacity!$DI24/(TRANSPOSE(Dists!$B23:$X23)*MMULT(1/Dists!$B23:$X23,Capacity!$DI$3:$DI$25)))</f>
        <v>24289.0308168507</v>
      </c>
      <c r="BV81" s="4" t="n">
        <f aca="false" t="array" ref="BV81:BV81">SUM(Capacity!CP$3:CP$25*Capacity!$DI24/(TRANSPOSE(Dists!$B23:$X23)*MMULT(1/Dists!$B23:$X23,Capacity!$DI$3:$DI$25)))</f>
        <v>2833.72026196592</v>
      </c>
      <c r="BW81" s="0"/>
      <c r="BX81" s="0"/>
      <c r="BY81" s="0"/>
      <c r="BZ81" s="0"/>
      <c r="CA81" s="0"/>
      <c r="CB81" s="0"/>
      <c r="CC81" s="0"/>
      <c r="CE81" s="4" t="n">
        <f aca="false" t="array" ref="CE81:CE81">SUM(Capacity!CY$3:CY$25*Capacity!$DH24/(TRANSPOSE(Dists!$B23:$X23)*MMULT(1/Dists!$B23:$X23,Capacity!$DH$3:$DH$25)))</f>
        <v>80.7797465279831</v>
      </c>
      <c r="CG81" s="0"/>
      <c r="CH81" s="0"/>
      <c r="CI81" s="0"/>
      <c r="CJ81" s="0"/>
      <c r="CK81" s="0"/>
    </row>
    <row r="82" customFormat="false" ht="12.8" hidden="false" customHeight="false" outlineLevel="0" collapsed="false">
      <c r="A82" s="4" t="s">
        <v>160</v>
      </c>
      <c r="B82" s="7" t="s">
        <v>39</v>
      </c>
      <c r="C82" s="4" t="n">
        <f aca="false" t="array" ref="C82:C82">SUM(Capacity!S$3:S$25*Capacity!$DH25/(TRANSPOSE(Dists!$B24:$X24)*MMULT(1/Dists!$B24:$X24,Capacity!$DH$3:$DH$25)))</f>
        <v>4509.43823473775</v>
      </c>
      <c r="D82" s="4" t="n">
        <f aca="false" t="array" ref="D82:D82">SUM(Capacity!V$3:V$25*Capacity!$DH25/(TRANSPOSE(Dists!$B24:$X24)*MMULT(1/Dists!$B24:$X24,Capacity!$DH$3:$DH$25)))</f>
        <v>8530.64405390389</v>
      </c>
      <c r="E82" s="4" t="n">
        <f aca="false" t="array" ref="E82:E82">SUM(Capacity!Y$3:Y$25*Capacity!$DH25/(TRANSPOSE(Dists!$B24:$X24)*MMULT(1/Dists!$B24:$X24,Capacity!$DH$3:$DH$25)))</f>
        <v>10934.5004011142</v>
      </c>
      <c r="F82" s="4" t="n">
        <f aca="false" t="array" ref="F82:F82">SUM(Capacity!Z$3:Z$25*Capacity!$DH25/(TRANSPOSE(Dists!$B24:$X24)*MMULT(1/Dists!$B24:$X24,Capacity!$DH$3:$DH$25)))</f>
        <v>4208.401053082</v>
      </c>
      <c r="G82" s="4" t="n">
        <f aca="false" t="array" ref="G82:G82">SUM(Capacity!AA$3:AA$25*Capacity!$DH25/(TRANSPOSE(Dists!$B24:$X24)*MMULT(1/Dists!$B24:$X24,Capacity!$DH$3:$DH$25)))</f>
        <v>57466.1242529329</v>
      </c>
      <c r="H82" s="4" t="n">
        <f aca="false" t="array" ref="H82:H82">SUM(Capacity!AB$3:AB$25*Capacity!$DI25/(TRANSPOSE(Dists!$B24:$X24)*MMULT(1/Dists!$B24:$X24,Capacity!$DI$3:$DI$25)))</f>
        <v>2703.70837083765</v>
      </c>
      <c r="I82" s="0"/>
      <c r="J82" s="0"/>
      <c r="K82" s="0"/>
      <c r="L82" s="0"/>
      <c r="M82" s="0"/>
      <c r="N82" s="4" t="n">
        <f aca="false" t="array" ref="N82:N82">SUM(Capacity!AH$3:AH$25*Capacity!$DH25/(TRANSPOSE(Dists!$B24:$X24)*MMULT(1/Dists!$B24:$X24,Capacity!$DH$3:$DH$25)))</f>
        <v>74555.345871378</v>
      </c>
      <c r="O82" s="0"/>
      <c r="U82" s="0"/>
      <c r="V82" s="0"/>
      <c r="W82" s="0"/>
      <c r="X82" s="0"/>
      <c r="Y82" s="4" t="n">
        <f aca="false" t="array" ref="Y82:Y82">SUM(Capacity!AS$3:AS$25*Capacity!$DI25/(TRANSPOSE(Dists!$B24:$X24)*MMULT(1/Dists!$B24:$X24,Capacity!$DI$3:$DI$25)))</f>
        <v>306.880369976138</v>
      </c>
      <c r="Z82" s="4" t="n">
        <f aca="false" t="array" ref="Z82:Z82">SUM(Capacity!AT$3:AT$25*Capacity!$DH25/(TRANSPOSE(Dists!$B24:$X24)*MMULT(1/Dists!$B24:$X24,Capacity!$DH$3:$DH$25)))</f>
        <v>134905.577548675</v>
      </c>
      <c r="AA82" s="4" t="n">
        <f aca="false" t="array" ref="AA82:AA82">SUM(Capacity!AU$3:AU$25*Capacity!$DI25/(TRANSPOSE(Dists!$B24:$X24)*MMULT(1/Dists!$B24:$X24,Capacity!$DI$3:$DI$25)))</f>
        <v>6388.60544763558</v>
      </c>
      <c r="AB82" s="4" t="n">
        <f aca="false" t="array" ref="AB82:AB82">SUM(Capacity!AV$3:AV$25*Capacity!$DI25/(TRANSPOSE(Dists!$B24:$X24)*MMULT(1/Dists!$B24:$X24,Capacity!$DI$3:$DI$25)))</f>
        <v>2661.91893651482</v>
      </c>
      <c r="AC82" s="4" t="n">
        <f aca="false" t="array" ref="AC82:AC82">SUM(Capacity!AW$3:AW$25*Capacity!$DH25/(TRANSPOSE(Dists!$B24:$X24)*MMULT(1/Dists!$B24:$X24,Capacity!$DH$3:$DH$25)))</f>
        <v>130.12596241729</v>
      </c>
      <c r="AD82" s="4" t="n">
        <f aca="false" t="array" ref="AD82:AD82">SUM(Capacity!AX$3:AX$25*Capacity!$DI25/(TRANSPOSE(Dists!$B24:$X24)*MMULT(1/Dists!$B24:$X24,Capacity!$DI$3:$DI$25)))</f>
        <v>43.9216624524946</v>
      </c>
      <c r="AE82" s="4" t="n">
        <f aca="false" t="array" ref="AE82:AE82">SUM(Capacity!AY$3:AY$25*Capacity!$DI25/(TRANSPOSE(Dists!$B24:$X24)*MMULT(1/Dists!$B24:$X24,Capacity!$DI$3:$DI$25)))</f>
        <v>30.6653061486508</v>
      </c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4" t="n">
        <f aca="false" t="array" ref="AW82:AW82">SUM(Capacity!BQ$3:BQ$25*Capacity!$DH25/(TRANSPOSE(Dists!$B24:$X24)*MMULT(1/Dists!$B24:$X24,Capacity!$DH$3:$DH$25)))</f>
        <v>448.649782879816</v>
      </c>
      <c r="AX82" s="0"/>
      <c r="AY82" s="4" t="n">
        <f aca="false" t="array" ref="AY82:AY82">SUM(Capacity!BS$3:BS$25*Capacity!$DH25/(TRANSPOSE(Dists!$B24:$X24)*MMULT(1/Dists!$B24:$X24,Capacity!$DH$3:$DH$25)))</f>
        <v>10.0579628286159</v>
      </c>
      <c r="AZ82" s="4" t="n">
        <f aca="false" t="array" ref="AZ82:AZ82">SUM(Capacity!BT$3:BT$25*Capacity!$DH25/(TRANSPOSE(Dists!$B24:$X24)*MMULT(1/Dists!$B24:$X24,Capacity!$DH$3:$DH$25)))</f>
        <v>14.1440102277411</v>
      </c>
      <c r="BA82" s="0"/>
      <c r="BB82" s="4" t="n">
        <f aca="false" t="array" ref="BB82:BB82">SUM(Capacity!BV$3:BV$25*Capacity!$DI25/(TRANSPOSE(Dists!$B24:$X24)*MMULT(1/Dists!$B24:$X24,Capacity!$DI$3:$DI$25)))</f>
        <v>107.328571520278</v>
      </c>
      <c r="BC82" s="4" t="n">
        <f aca="false" t="array" ref="BC82:BC82">SUM(Capacity!BW$3:BW$25*Capacity!$DI25/(TRANSPOSE(Dists!$B24:$X24)*MMULT(1/Dists!$B24:$X24,Capacity!$DI$3:$DI$25)))</f>
        <v>91.9959184459524</v>
      </c>
      <c r="BD82" s="4" t="n">
        <f aca="false" t="array" ref="BD82:BD82">SUM(Capacity!BX$3:BX$25*Capacity!$DI25/(TRANSPOSE(Dists!$B24:$X24)*MMULT(1/Dists!$B24:$X24,Capacity!$DI$3:$DI$25)))</f>
        <v>45.9979592229761</v>
      </c>
      <c r="BE82" s="4" t="n">
        <f aca="false" t="array" ref="BE82:BE82">SUM(Capacity!BY$3:BY$25*Capacity!$DI25/(TRANSPOSE(Dists!$B24:$X24)*MMULT(1/Dists!$B24:$X24,Capacity!$DI$3:$DI$25)))</f>
        <v>26.8321428800694</v>
      </c>
      <c r="BF82" s="4" t="n">
        <f aca="false" t="array" ref="BF82:BF82">SUM(Capacity!BZ$3:BZ$25*Capacity!$DH25/(TRANSPOSE(Dists!$B24:$X24)*MMULT(1/Dists!$B24:$X24,Capacity!$DH$3:$DH$25)))</f>
        <v>67297.4674319724</v>
      </c>
      <c r="BG82" s="4" t="n">
        <f aca="false" t="array" ref="BG82:BG82">SUM(Capacity!CA$3:CA$25*Capacity!$DI25/(TRANSPOSE(Dists!$B24:$X24)*MMULT(1/Dists!$B24:$X24,Capacity!$DI$3:$DI$25)))</f>
        <v>2188.59157544586</v>
      </c>
      <c r="BH82" s="4" t="n">
        <f aca="false" t="array" ref="BH82:BH82">SUM(Capacity!CB$3:CB$25*Capacity!$DI25/(TRANSPOSE(Dists!$B24:$X24)*MMULT(1/Dists!$B24:$X24,Capacity!$DI$3:$DI$25)))</f>
        <v>3439.69698289041</v>
      </c>
      <c r="BI82" s="4" t="n">
        <f aca="false" t="array" ref="BI82:BI82">SUM(Capacity!CC$3:CC$25*Capacity!$DI25/(TRANSPOSE(Dists!$B24:$X24)*MMULT(1/Dists!$B24:$X24,Capacity!$DI$3:$DI$25)))</f>
        <v>5836.24420118896</v>
      </c>
      <c r="BJ82" s="0"/>
      <c r="BK82" s="4" t="n">
        <f aca="false" t="array" ref="BK82:BK82">SUM(Capacity!CE$3:CE$25*Capacity!$DI25/(TRANSPOSE(Dists!$B24:$X24)*MMULT(1/Dists!$B24:$X24,Capacity!$DI$3:$DI$25)))</f>
        <v>2918.12210059448</v>
      </c>
      <c r="BL82" s="0"/>
      <c r="BM82" s="0"/>
      <c r="BN82" s="4" t="n">
        <f aca="false" t="array" ref="BN82:BN82">SUM(Capacity!CH$3:CH$25*Capacity!$DH25/(TRANSPOSE(Dists!$B24:$X24)*MMULT(1/Dists!$B24:$X24,Capacity!$DH$3:$DH$25)))</f>
        <v>806543.760365194</v>
      </c>
      <c r="BO82" s="4" t="n">
        <f aca="false" t="array" ref="BO82:BO82">SUM(Capacity!CI$3:CI$25*Capacity!$DH25/(TRANSPOSE(Dists!$B24:$X24)*MMULT(1/Dists!$B24:$X24,Capacity!$DH$3:$DH$25)))</f>
        <v>1613.08811976586</v>
      </c>
      <c r="BP82" s="4" t="n">
        <f aca="false" t="array" ref="BP82:BP82">SUM(Capacity!CJ$3:CJ$25*Capacity!$DH25/(TRANSPOSE(Dists!$B24:$X24)*MMULT(1/Dists!$B24:$X24,Capacity!$DH$3:$DH$25)))</f>
        <v>188193.544545393</v>
      </c>
      <c r="BQ82" s="4" t="n">
        <f aca="false" t="array" ref="BQ82:BQ82">SUM(Capacity!CK$3:CK$25*Capacity!$DH25/(TRANSPOSE(Dists!$B24:$X24)*MMULT(1/Dists!$B24:$X24,Capacity!$DH$3:$DH$25)))</f>
        <v>174751.14854931</v>
      </c>
      <c r="BR82" s="4" t="n">
        <f aca="false" t="array" ref="BR82:BR82">SUM(Capacity!CL$3:CL$25*Capacity!$DH25/(TRANSPOSE(Dists!$B24:$X24)*MMULT(1/Dists!$B24:$X24,Capacity!$DH$3:$DH$25)))</f>
        <v>537.696440079247</v>
      </c>
      <c r="BS82" s="4" t="n">
        <f aca="false" t="array" ref="BS82:BS82">SUM(Capacity!CM$3:CM$25*Capacity!$DH25/(TRANSPOSE(Dists!$B24:$X24)*MMULT(1/Dists!$B24:$X24,Capacity!$DH$3:$DH$25)))</f>
        <v>268.848520157594</v>
      </c>
      <c r="BT82" s="4" t="n">
        <f aca="false" t="array" ref="BT82:BT82">SUM(Capacity!CN$3:CN$25*Capacity!$DI25/(TRANSPOSE(Dists!$B24:$X24)*MMULT(1/Dists!$B24:$X24,Capacity!$DI$3:$DI$25)))</f>
        <v>234248.866413305</v>
      </c>
      <c r="BU82" s="4" t="n">
        <f aca="false" t="array" ref="BU82:BU82">SUM(Capacity!CO$3:CO$25*Capacity!$DI25/(TRANSPOSE(Dists!$B24:$X24)*MMULT(1/Dists!$B24:$X24,Capacity!$DI$3:$DI$25)))</f>
        <v>25554.4217905423</v>
      </c>
      <c r="BV82" s="4" t="n">
        <f aca="false" t="array" ref="BV82:BV82">SUM(Capacity!CP$3:CP$25*Capacity!$DI25/(TRANSPOSE(Dists!$B24:$X24)*MMULT(1/Dists!$B24:$X24,Capacity!$DI$3:$DI$25)))</f>
        <v>2981.3492088966</v>
      </c>
      <c r="BW82" s="0"/>
      <c r="BX82" s="0"/>
      <c r="BY82" s="0"/>
      <c r="BZ82" s="0"/>
      <c r="CA82" s="0"/>
      <c r="CB82" s="0"/>
      <c r="CC82" s="0"/>
      <c r="CE82" s="4" t="n">
        <f aca="false" t="array" ref="CE82:CE82">SUM(Capacity!CY$3:CY$25*Capacity!$DH25/(TRANSPOSE(Dists!$B24:$X24)*MMULT(1/Dists!$B24:$X24,Capacity!$DH$3:$DH$25)))</f>
        <v>84.1218342899655</v>
      </c>
      <c r="CG82" s="0"/>
      <c r="CH82" s="0"/>
      <c r="CI82" s="0"/>
      <c r="CJ82" s="0"/>
      <c r="CK82" s="0"/>
    </row>
    <row r="83" customFormat="false" ht="12.8" hidden="false" customHeight="false" outlineLevel="0" collapsed="false">
      <c r="B83" s="7"/>
    </row>
    <row r="84" customFormat="false" ht="12.8" hidden="false" customHeight="false" outlineLevel="0" collapsed="false">
      <c r="B84" s="7"/>
    </row>
    <row r="85" customFormat="false" ht="12.8" hidden="false" customHeight="false" outlineLevel="0" collapsed="false">
      <c r="B85" s="7"/>
    </row>
    <row r="86" customFormat="false" ht="12.8" hidden="false" customHeight="false" outlineLevel="0" collapsed="false">
      <c r="B86" s="7"/>
    </row>
    <row r="87" customFormat="false" ht="12.8" hidden="false" customHeight="false" outlineLevel="0" collapsed="false">
      <c r="B87" s="7"/>
    </row>
    <row r="88" customFormat="false" ht="12.8" hidden="false" customHeight="false" outlineLevel="0" collapsed="false">
      <c r="B88" s="7"/>
    </row>
    <row r="89" customFormat="false" ht="12.8" hidden="false" customHeight="false" outlineLevel="0" collapsed="false">
      <c r="A89" s="0"/>
      <c r="B89" s="7"/>
      <c r="C89" s="0"/>
      <c r="D89" s="0"/>
    </row>
    <row r="90" customFormat="false" ht="12.8" hidden="false" customHeight="false" outlineLevel="0" collapsed="false">
      <c r="B90" s="7"/>
    </row>
    <row r="91" customFormat="false" ht="12.8" hidden="false" customHeight="false" outlineLevel="0" collapsed="false">
      <c r="B91" s="7"/>
    </row>
    <row r="92" customFormat="false" ht="12.8" hidden="false" customHeight="false" outlineLevel="0" collapsed="false">
      <c r="B92" s="7"/>
    </row>
    <row r="93" customFormat="false" ht="12.8" hidden="false" customHeight="false" outlineLevel="0" collapsed="false">
      <c r="B93" s="7"/>
    </row>
    <row r="94" customFormat="false" ht="12.8" hidden="false" customHeight="false" outlineLevel="0" collapsed="false">
      <c r="B94" s="7"/>
    </row>
    <row r="95" customFormat="false" ht="12.8" hidden="false" customHeight="false" outlineLevel="0" collapsed="false">
      <c r="B95" s="7"/>
    </row>
    <row r="96" customFormat="false" ht="12.8" hidden="false" customHeight="false" outlineLevel="0" collapsed="false">
      <c r="B96" s="7"/>
    </row>
    <row r="97" customFormat="false" ht="12.8" hidden="false" customHeight="false" outlineLevel="0" collapsed="false">
      <c r="B97" s="7"/>
    </row>
    <row r="98" customFormat="false" ht="12.8" hidden="false" customHeight="false" outlineLevel="0" collapsed="false">
      <c r="B98" s="7"/>
    </row>
    <row r="99" customFormat="false" ht="12.8" hidden="false" customHeight="false" outlineLevel="0" collapsed="false">
      <c r="B99" s="7"/>
    </row>
    <row r="100" customFormat="false" ht="12.8" hidden="false" customHeight="false" outlineLevel="0" collapsed="false">
      <c r="B100" s="7"/>
    </row>
    <row r="101" customFormat="false" ht="12.8" hidden="false" customHeight="false" outlineLevel="0" collapsed="false">
      <c r="B101" s="7"/>
    </row>
    <row r="102" customFormat="false" ht="12.8" hidden="false" customHeight="false" outlineLevel="0" collapsed="false">
      <c r="B102" s="7"/>
    </row>
    <row r="103" customFormat="false" ht="12.8" hidden="false" customHeight="false" outlineLevel="0" collapsed="false">
      <c r="B103" s="7"/>
    </row>
    <row r="104" customFormat="false" ht="12.8" hidden="false" customHeight="false" outlineLevel="0" collapsed="false">
      <c r="B104" s="7"/>
    </row>
    <row r="105" customFormat="false" ht="12.8" hidden="false" customHeight="false" outlineLevel="0" collapsed="false">
      <c r="B105" s="7"/>
    </row>
    <row r="106" customFormat="false" ht="12.8" hidden="false" customHeight="false" outlineLevel="0" collapsed="false">
      <c r="B106" s="7"/>
    </row>
    <row r="107" customFormat="false" ht="12.8" hidden="false" customHeight="false" outlineLevel="0" collapsed="false">
      <c r="B107" s="7"/>
    </row>
    <row r="108" customFormat="false" ht="12.8" hidden="false" customHeight="false" outlineLevel="0" collapsed="false">
      <c r="B108" s="7"/>
    </row>
    <row r="109" customFormat="false" ht="12.8" hidden="false" customHeight="false" outlineLevel="0" collapsed="false">
      <c r="B109" s="7"/>
    </row>
    <row r="110" customFormat="false" ht="12.8" hidden="false" customHeight="false" outlineLevel="0" collapsed="false">
      <c r="B110" s="7"/>
    </row>
    <row r="111" customFormat="false" ht="12.8" hidden="false" customHeight="false" outlineLevel="0" collapsed="false">
      <c r="B111" s="7"/>
    </row>
    <row r="112" customFormat="false" ht="12.8" hidden="false" customHeight="false" outlineLevel="0" collapsed="false">
      <c r="B112" s="7"/>
    </row>
    <row r="113" customFormat="false" ht="12.8" hidden="false" customHeight="false" outlineLevel="0" collapsed="false">
      <c r="A113" s="0"/>
      <c r="B113" s="7"/>
    </row>
    <row r="114" customFormat="false" ht="12.8" hidden="false" customHeight="false" outlineLevel="0" collapsed="false">
      <c r="B114" s="7"/>
    </row>
    <row r="115" customFormat="false" ht="12.8" hidden="false" customHeight="false" outlineLevel="0" collapsed="false">
      <c r="B115" s="7"/>
    </row>
    <row r="116" customFormat="false" ht="12.8" hidden="false" customHeight="false" outlineLevel="0" collapsed="false">
      <c r="B116" s="7"/>
    </row>
    <row r="117" customFormat="false" ht="12.8" hidden="false" customHeight="false" outlineLevel="0" collapsed="false">
      <c r="B117" s="7"/>
    </row>
    <row r="118" customFormat="false" ht="12.8" hidden="false" customHeight="false" outlineLevel="0" collapsed="false">
      <c r="B118" s="7"/>
    </row>
    <row r="119" customFormat="false" ht="12.8" hidden="false" customHeight="false" outlineLevel="0" collapsed="false">
      <c r="B119" s="7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</row>
    <row r="143" customFormat="false" ht="12.8" hidden="false" customHeight="false" outlineLevel="0" collapsed="false">
      <c r="B143" s="7"/>
    </row>
    <row r="144" customFormat="false" ht="12.8" hidden="false" customHeight="false" outlineLevel="0" collapsed="false">
      <c r="B144" s="7"/>
    </row>
    <row r="145" customFormat="false" ht="12.8" hidden="false" customHeight="false" outlineLevel="0" collapsed="false">
      <c r="B145" s="7"/>
    </row>
    <row r="146" customFormat="false" ht="12.8" hidden="false" customHeight="false" outlineLevel="0" collapsed="false">
      <c r="B146" s="7"/>
    </row>
    <row r="147" customFormat="false" ht="12.8" hidden="false" customHeight="false" outlineLevel="0" collapsed="false">
      <c r="B147" s="7"/>
    </row>
    <row r="148" customFormat="false" ht="12.8" hidden="false" customHeight="false" outlineLevel="0" collapsed="false">
      <c r="B148" s="7"/>
    </row>
    <row r="149" customFormat="false" ht="12.8" hidden="false" customHeight="false" outlineLevel="0" collapsed="false">
      <c r="B149" s="7"/>
    </row>
    <row r="150" customFormat="false" ht="12.8" hidden="false" customHeight="false" outlineLevel="0" collapsed="false">
      <c r="B150" s="7"/>
    </row>
    <row r="151" customFormat="false" ht="12.8" hidden="false" customHeight="false" outlineLevel="0" collapsed="false">
      <c r="B151" s="7"/>
    </row>
    <row r="152" customFormat="false" ht="12.8" hidden="false" customHeight="false" outlineLevel="0" collapsed="false">
      <c r="B152" s="7"/>
    </row>
    <row r="153" customFormat="false" ht="12.8" hidden="false" customHeight="false" outlineLevel="0" collapsed="false">
      <c r="B153" s="7"/>
    </row>
    <row r="154" customFormat="false" ht="12.8" hidden="false" customHeight="false" outlineLevel="0" collapsed="false">
      <c r="B154" s="7"/>
    </row>
    <row r="155" customFormat="false" ht="12.8" hidden="false" customHeight="false" outlineLevel="0" collapsed="false">
      <c r="B155" s="7"/>
    </row>
    <row r="156" customFormat="false" ht="12.8" hidden="false" customHeight="false" outlineLevel="0" collapsed="false">
      <c r="B156" s="7"/>
    </row>
    <row r="157" customFormat="false" ht="12.8" hidden="false" customHeight="false" outlineLevel="0" collapsed="false">
      <c r="B157" s="7"/>
    </row>
    <row r="158" customFormat="false" ht="12.8" hidden="false" customHeight="false" outlineLevel="0" collapsed="false">
      <c r="B158" s="7"/>
    </row>
    <row r="159" customFormat="false" ht="12.8" hidden="false" customHeight="false" outlineLevel="0" collapsed="false">
      <c r="B159" s="7"/>
    </row>
    <row r="160" customFormat="false" ht="12.8" hidden="false" customHeight="false" outlineLevel="0" collapsed="false">
      <c r="B160" s="7"/>
    </row>
    <row r="161" customFormat="false" ht="12.8" hidden="false" customHeight="false" outlineLevel="0" collapsed="false">
      <c r="B161" s="7"/>
    </row>
    <row r="162" customFormat="false" ht="12.8" hidden="false" customHeight="false" outlineLevel="0" collapsed="false">
      <c r="B162" s="7"/>
    </row>
    <row r="163" customFormat="false" ht="12.8" hidden="false" customHeight="false" outlineLevel="0" collapsed="false">
      <c r="B163" s="7"/>
    </row>
    <row r="164" customFormat="false" ht="12.8" hidden="false" customHeight="false" outlineLevel="0" collapsed="false">
      <c r="B164" s="7"/>
    </row>
    <row r="165" customFormat="false" ht="12.8" hidden="false" customHeight="false" outlineLevel="0" collapsed="false">
      <c r="B165" s="7"/>
    </row>
    <row r="166" customFormat="false" ht="12.8" hidden="false" customHeight="false" outlineLevel="0" collapsed="false">
      <c r="B166" s="7"/>
    </row>
    <row r="167" customFormat="false" ht="12.8" hidden="false" customHeight="false" outlineLevel="0" collapsed="false">
      <c r="B167" s="7"/>
    </row>
    <row r="168" customFormat="false" ht="12.8" hidden="false" customHeight="false" outlineLevel="0" collapsed="false">
      <c r="B168" s="7"/>
    </row>
    <row r="169" customFormat="false" ht="12.8" hidden="false" customHeight="false" outlineLevel="0" collapsed="false">
      <c r="B169" s="7"/>
    </row>
    <row r="170" customFormat="false" ht="12.8" hidden="false" customHeight="false" outlineLevel="0" collapsed="false">
      <c r="B170" s="7"/>
    </row>
    <row r="171" customFormat="false" ht="12.8" hidden="false" customHeight="false" outlineLevel="0" collapsed="false">
      <c r="B171" s="7"/>
    </row>
    <row r="172" customFormat="false" ht="12.8" hidden="false" customHeight="false" outlineLevel="0" collapsed="false">
      <c r="B172" s="7"/>
    </row>
    <row r="173" customFormat="false" ht="12.8" hidden="false" customHeight="false" outlineLevel="0" collapsed="false">
      <c r="B173" s="7"/>
    </row>
    <row r="174" customFormat="false" ht="12.8" hidden="false" customHeight="false" outlineLevel="0" collapsed="false">
      <c r="B174" s="7"/>
    </row>
    <row r="175" customFormat="false" ht="12.8" hidden="false" customHeight="false" outlineLevel="0" collapsed="false">
      <c r="B175" s="7"/>
    </row>
    <row r="176" customFormat="false" ht="12.8" hidden="false" customHeight="false" outlineLevel="0" collapsed="false">
      <c r="B176" s="7"/>
    </row>
    <row r="177" customFormat="false" ht="12.8" hidden="false" customHeight="false" outlineLevel="0" collapsed="false">
      <c r="B177" s="7"/>
    </row>
    <row r="178" customFormat="false" ht="12.8" hidden="false" customHeight="false" outlineLevel="0" collapsed="false">
      <c r="B178" s="7"/>
    </row>
    <row r="179" customFormat="false" ht="12.8" hidden="false" customHeight="false" outlineLevel="0" collapsed="false">
      <c r="B179" s="7"/>
    </row>
    <row r="180" customFormat="false" ht="12.8" hidden="false" customHeight="false" outlineLevel="0" collapsed="false">
      <c r="B180" s="7"/>
    </row>
    <row r="181" customFormat="false" ht="12.8" hidden="false" customHeight="false" outlineLevel="0" collapsed="false">
      <c r="B181" s="7"/>
    </row>
    <row r="182" customFormat="false" ht="12.8" hidden="false" customHeight="false" outlineLevel="0" collapsed="false">
      <c r="B182" s="7"/>
    </row>
    <row r="183" customFormat="false" ht="12.8" hidden="false" customHeight="false" outlineLevel="0" collapsed="false">
      <c r="B183" s="7"/>
    </row>
    <row r="184" customFormat="false" ht="12.8" hidden="false" customHeight="false" outlineLevel="0" collapsed="false">
      <c r="B184" s="7"/>
    </row>
    <row r="185" customFormat="false" ht="12.8" hidden="false" customHeight="false" outlineLevel="0" collapsed="false">
      <c r="B185" s="7"/>
    </row>
    <row r="186" customFormat="false" ht="12.8" hidden="false" customHeight="false" outlineLevel="0" collapsed="false">
      <c r="B186" s="7"/>
    </row>
    <row r="187" customFormat="false" ht="12.8" hidden="false" customHeight="false" outlineLevel="0" collapsed="false">
      <c r="B187" s="7"/>
    </row>
    <row r="188" customFormat="false" ht="12.8" hidden="false" customHeight="false" outlineLevel="0" collapsed="false">
      <c r="B188" s="7"/>
    </row>
    <row r="189" customFormat="false" ht="12.8" hidden="false" customHeight="false" outlineLevel="0" collapsed="false">
      <c r="B189" s="7"/>
    </row>
    <row r="190" customFormat="false" ht="12.8" hidden="false" customHeight="false" outlineLevel="0" collapsed="false">
      <c r="B190" s="7"/>
    </row>
    <row r="191" customFormat="false" ht="12.8" hidden="false" customHeight="false" outlineLevel="0" collapsed="false">
      <c r="B191" s="7"/>
    </row>
    <row r="192" customFormat="false" ht="12.8" hidden="false" customHeight="false" outlineLevel="0" collapsed="false">
      <c r="B192" s="7"/>
    </row>
    <row r="193" customFormat="false" ht="12.8" hidden="false" customHeight="false" outlineLevel="0" collapsed="false">
      <c r="B193" s="7"/>
    </row>
    <row r="194" customFormat="false" ht="12.8" hidden="false" customHeight="false" outlineLevel="0" collapsed="false">
      <c r="B194" s="7"/>
    </row>
    <row r="195" customFormat="false" ht="12.8" hidden="false" customHeight="false" outlineLevel="0" collapsed="false">
      <c r="B195" s="7"/>
    </row>
    <row r="196" customFormat="false" ht="12.8" hidden="false" customHeight="false" outlineLevel="0" collapsed="false">
      <c r="B196" s="7"/>
    </row>
    <row r="197" customFormat="false" ht="12.8" hidden="false" customHeight="false" outlineLevel="0" collapsed="false">
      <c r="B197" s="7"/>
    </row>
    <row r="198" customFormat="false" ht="12.8" hidden="false" customHeight="false" outlineLevel="0" collapsed="false">
      <c r="B198" s="7"/>
    </row>
    <row r="199" customFormat="false" ht="12.8" hidden="false" customHeight="false" outlineLevel="0" collapsed="false">
      <c r="B199" s="7"/>
    </row>
    <row r="200" customFormat="false" ht="12.8" hidden="false" customHeight="false" outlineLevel="0" collapsed="false">
      <c r="B200" s="7"/>
    </row>
    <row r="201" customFormat="false" ht="12.8" hidden="false" customHeight="false" outlineLevel="0" collapsed="false">
      <c r="B201" s="7"/>
    </row>
    <row r="202" customFormat="false" ht="12.8" hidden="false" customHeight="false" outlineLevel="0" collapsed="false">
      <c r="B202" s="7"/>
    </row>
    <row r="203" customFormat="false" ht="12.8" hidden="false" customHeight="false" outlineLevel="0" collapsed="false">
      <c r="B203" s="7"/>
    </row>
    <row r="204" customFormat="false" ht="12.8" hidden="false" customHeight="false" outlineLevel="0" collapsed="false">
      <c r="B204" s="7"/>
    </row>
    <row r="205" customFormat="false" ht="12.8" hidden="false" customHeight="false" outlineLevel="0" collapsed="false">
      <c r="B205" s="7"/>
    </row>
    <row r="206" customFormat="false" ht="12.8" hidden="false" customHeight="false" outlineLevel="0" collapsed="false">
      <c r="B206" s="7"/>
    </row>
    <row r="207" customFormat="false" ht="12.8" hidden="false" customHeight="false" outlineLevel="0" collapsed="false">
      <c r="B207" s="7"/>
    </row>
    <row r="208" customFormat="false" ht="12.8" hidden="false" customHeight="false" outlineLevel="0" collapsed="false">
      <c r="B208" s="7"/>
    </row>
    <row r="209" customFormat="false" ht="12.8" hidden="false" customHeight="false" outlineLevel="0" collapsed="false">
      <c r="B209" s="7"/>
    </row>
    <row r="210" customFormat="false" ht="12.8" hidden="false" customHeight="false" outlineLevel="0" collapsed="false">
      <c r="B210" s="7"/>
    </row>
    <row r="211" customFormat="false" ht="12.8" hidden="false" customHeight="false" outlineLevel="0" collapsed="false">
      <c r="B211" s="7"/>
    </row>
    <row r="212" customFormat="false" ht="12.8" hidden="false" customHeight="false" outlineLevel="0" collapsed="false">
      <c r="B212" s="7"/>
    </row>
    <row r="213" customFormat="false" ht="12.8" hidden="false" customHeight="false" outlineLevel="0" collapsed="false">
      <c r="B213" s="7"/>
    </row>
    <row r="214" customFormat="false" ht="12.8" hidden="false" customHeight="false" outlineLevel="0" collapsed="false">
      <c r="B214" s="7"/>
    </row>
    <row r="215" customFormat="false" ht="12.8" hidden="false" customHeight="false" outlineLevel="0" collapsed="false">
      <c r="B215" s="7"/>
    </row>
    <row r="216" customFormat="false" ht="12.8" hidden="false" customHeight="false" outlineLevel="0" collapsed="false">
      <c r="B216" s="7"/>
    </row>
    <row r="217" customFormat="false" ht="12.8" hidden="false" customHeight="false" outlineLevel="0" collapsed="false">
      <c r="B217" s="7"/>
    </row>
    <row r="218" customFormat="false" ht="12.8" hidden="false" customHeight="false" outlineLevel="0" collapsed="false">
      <c r="B218" s="7"/>
    </row>
    <row r="219" customFormat="false" ht="12.8" hidden="false" customHeight="false" outlineLevel="0" collapsed="false">
      <c r="B219" s="7"/>
    </row>
    <row r="220" customFormat="false" ht="12.8" hidden="false" customHeight="false" outlineLevel="0" collapsed="false">
      <c r="B220" s="7"/>
    </row>
    <row r="221" customFormat="false" ht="12.8" hidden="false" customHeight="false" outlineLevel="0" collapsed="false">
      <c r="B221" s="7"/>
    </row>
    <row r="222" customFormat="false" ht="12.8" hidden="false" customHeight="false" outlineLevel="0" collapsed="false">
      <c r="B222" s="7"/>
    </row>
    <row r="223" customFormat="false" ht="12.8" hidden="false" customHeight="false" outlineLevel="0" collapsed="false">
      <c r="B223" s="7"/>
    </row>
    <row r="224" customFormat="false" ht="12.8" hidden="false" customHeight="false" outlineLevel="0" collapsed="false">
      <c r="B224" s="7"/>
    </row>
    <row r="225" customFormat="false" ht="12.8" hidden="false" customHeight="false" outlineLevel="0" collapsed="false">
      <c r="B225" s="7"/>
    </row>
    <row r="226" customFormat="false" ht="12.8" hidden="false" customHeight="false" outlineLevel="0" collapsed="false">
      <c r="B226" s="7"/>
    </row>
    <row r="227" customFormat="false" ht="12.8" hidden="false" customHeight="false" outlineLevel="0" collapsed="false">
      <c r="B227" s="7"/>
    </row>
    <row r="228" customFormat="false" ht="12.8" hidden="false" customHeight="false" outlineLevel="0" collapsed="false">
      <c r="B228" s="7"/>
    </row>
    <row r="229" customFormat="false" ht="12.8" hidden="false" customHeight="false" outlineLevel="0" collapsed="false">
      <c r="B229" s="7"/>
    </row>
    <row r="230" customFormat="false" ht="12.8" hidden="false" customHeight="false" outlineLevel="0" collapsed="false">
      <c r="B230" s="7"/>
    </row>
    <row r="231" customFormat="false" ht="12.8" hidden="false" customHeight="false" outlineLevel="0" collapsed="false">
      <c r="B231" s="7"/>
    </row>
    <row r="232" customFormat="false" ht="12.8" hidden="false" customHeight="false" outlineLevel="0" collapsed="false">
      <c r="B232" s="7"/>
    </row>
    <row r="233" customFormat="false" ht="12.8" hidden="false" customHeight="false" outlineLevel="0" collapsed="false">
      <c r="B233" s="7"/>
    </row>
    <row r="234" customFormat="false" ht="12.8" hidden="false" customHeight="false" outlineLevel="0" collapsed="false">
      <c r="B234" s="7"/>
    </row>
    <row r="235" customFormat="false" ht="12.8" hidden="false" customHeight="false" outlineLevel="0" collapsed="false">
      <c r="B235" s="7"/>
    </row>
    <row r="236" customFormat="false" ht="12.8" hidden="false" customHeight="false" outlineLevel="0" collapsed="false">
      <c r="B236" s="7"/>
    </row>
    <row r="237" customFormat="false" ht="12.8" hidden="false" customHeight="false" outlineLevel="0" collapsed="false">
      <c r="B237" s="7"/>
    </row>
    <row r="238" customFormat="false" ht="12.8" hidden="false" customHeight="false" outlineLevel="0" collapsed="false">
      <c r="B238" s="7"/>
    </row>
    <row r="239" customFormat="false" ht="12.8" hidden="false" customHeight="false" outlineLevel="0" collapsed="false">
      <c r="B239" s="7"/>
    </row>
    <row r="240" customFormat="false" ht="12.8" hidden="false" customHeight="false" outlineLevel="0" collapsed="false">
      <c r="B240" s="7"/>
    </row>
    <row r="241" customFormat="false" ht="12.8" hidden="false" customHeight="false" outlineLevel="0" collapsed="false">
      <c r="B241" s="7"/>
    </row>
    <row r="242" customFormat="false" ht="12.8" hidden="false" customHeight="false" outlineLevel="0" collapsed="false">
      <c r="B242" s="7"/>
    </row>
    <row r="243" customFormat="false" ht="12.8" hidden="false" customHeight="false" outlineLevel="0" collapsed="false">
      <c r="B243" s="7"/>
    </row>
    <row r="244" customFormat="false" ht="12.8" hidden="false" customHeight="false" outlineLevel="0" collapsed="false">
      <c r="B244" s="7"/>
    </row>
    <row r="245" customFormat="false" ht="12.8" hidden="false" customHeight="false" outlineLevel="0" collapsed="false">
      <c r="B245" s="7"/>
    </row>
    <row r="246" customFormat="false" ht="12.8" hidden="false" customHeight="false" outlineLevel="0" collapsed="false">
      <c r="B246" s="7"/>
    </row>
    <row r="247" customFormat="false" ht="12.8" hidden="false" customHeight="false" outlineLevel="0" collapsed="false">
      <c r="B247" s="7"/>
    </row>
    <row r="248" customFormat="false" ht="12.8" hidden="false" customHeight="false" outlineLevel="0" collapsed="false">
      <c r="B248" s="7"/>
    </row>
    <row r="249" customFormat="false" ht="12.8" hidden="false" customHeight="false" outlineLevel="0" collapsed="false">
      <c r="B249" s="7"/>
    </row>
    <row r="250" customFormat="false" ht="12.8" hidden="false" customHeight="false" outlineLevel="0" collapsed="false">
      <c r="B250" s="7"/>
    </row>
    <row r="251" customFormat="false" ht="12.8" hidden="false" customHeight="false" outlineLevel="0" collapsed="false">
      <c r="B251" s="7"/>
    </row>
    <row r="252" customFormat="false" ht="12.8" hidden="false" customHeight="false" outlineLevel="0" collapsed="false">
      <c r="B252" s="7"/>
    </row>
    <row r="253" customFormat="false" ht="12.8" hidden="false" customHeight="false" outlineLevel="0" collapsed="false">
      <c r="B253" s="7"/>
    </row>
    <row r="254" customFormat="false" ht="12.8" hidden="false" customHeight="false" outlineLevel="0" collapsed="false">
      <c r="B254" s="7"/>
    </row>
    <row r="255" customFormat="false" ht="12.8" hidden="false" customHeight="false" outlineLevel="0" collapsed="false">
      <c r="B255" s="7"/>
    </row>
    <row r="256" customFormat="false" ht="12.8" hidden="false" customHeight="false" outlineLevel="0" collapsed="false">
      <c r="B256" s="7"/>
    </row>
    <row r="257" customFormat="false" ht="12.8" hidden="false" customHeight="false" outlineLevel="0" collapsed="false">
      <c r="B257" s="7"/>
    </row>
    <row r="258" customFormat="false" ht="12.8" hidden="false" customHeight="false" outlineLevel="0" collapsed="false">
      <c r="B258" s="7"/>
    </row>
    <row r="259" customFormat="false" ht="12.8" hidden="false" customHeight="false" outlineLevel="0" collapsed="false">
      <c r="B259" s="7"/>
    </row>
    <row r="260" customFormat="false" ht="12.8" hidden="false" customHeight="false" outlineLevel="0" collapsed="false">
      <c r="B260" s="7"/>
    </row>
    <row r="261" customFormat="false" ht="12.8" hidden="false" customHeight="false" outlineLevel="0" collapsed="false">
      <c r="B261" s="7"/>
    </row>
    <row r="262" customFormat="false" ht="12.8" hidden="false" customHeight="false" outlineLevel="0" collapsed="false">
      <c r="B262" s="7"/>
    </row>
    <row r="263" customFormat="false" ht="12.8" hidden="false" customHeight="false" outlineLevel="0" collapsed="false">
      <c r="B263" s="7"/>
    </row>
    <row r="264" customFormat="false" ht="12.8" hidden="false" customHeight="false" outlineLevel="0" collapsed="false">
      <c r="B264" s="7"/>
    </row>
    <row r="265" customFormat="false" ht="12.8" hidden="false" customHeight="false" outlineLevel="0" collapsed="false">
      <c r="B265" s="7"/>
    </row>
    <row r="266" customFormat="false" ht="12.8" hidden="false" customHeight="false" outlineLevel="0" collapsed="false">
      <c r="B266" s="7"/>
    </row>
    <row r="267" customFormat="false" ht="12.8" hidden="false" customHeight="false" outlineLevel="0" collapsed="false">
      <c r="B267" s="7"/>
    </row>
    <row r="268" customFormat="false" ht="12.8" hidden="false" customHeight="false" outlineLevel="0" collapsed="false">
      <c r="B268" s="7"/>
    </row>
    <row r="269" customFormat="false" ht="12.8" hidden="false" customHeight="false" outlineLevel="0" collapsed="false">
      <c r="B269" s="7"/>
    </row>
    <row r="270" customFormat="false" ht="12.8" hidden="false" customHeight="false" outlineLevel="0" collapsed="false">
      <c r="B270" s="7"/>
    </row>
    <row r="271" customFormat="false" ht="12.8" hidden="false" customHeight="false" outlineLevel="0" collapsed="false">
      <c r="B271" s="7"/>
    </row>
    <row r="272" customFormat="false" ht="12.8" hidden="false" customHeight="false" outlineLevel="0" collapsed="false">
      <c r="B272" s="7"/>
    </row>
    <row r="273" customFormat="false" ht="12.8" hidden="false" customHeight="false" outlineLevel="0" collapsed="false">
      <c r="B273" s="7"/>
    </row>
    <row r="274" customFormat="false" ht="12.8" hidden="false" customHeight="false" outlineLevel="0" collapsed="false">
      <c r="B274" s="7"/>
    </row>
    <row r="275" customFormat="false" ht="12.8" hidden="false" customHeight="false" outlineLevel="0" collapsed="false">
      <c r="B275" s="7"/>
    </row>
    <row r="276" customFormat="false" ht="12.8" hidden="false" customHeight="false" outlineLevel="0" collapsed="false">
      <c r="B276" s="7"/>
    </row>
    <row r="277" customFormat="false" ht="12.8" hidden="false" customHeight="false" outlineLevel="0" collapsed="false">
      <c r="B277" s="7"/>
    </row>
    <row r="278" customFormat="false" ht="12.8" hidden="false" customHeight="false" outlineLevel="0" collapsed="false">
      <c r="B278" s="7"/>
    </row>
    <row r="279" customFormat="false" ht="12.8" hidden="false" customHeight="false" outlineLevel="0" collapsed="false">
      <c r="B279" s="7"/>
    </row>
    <row r="280" customFormat="false" ht="12.8" hidden="false" customHeight="false" outlineLevel="0" collapsed="false">
      <c r="B280" s="7"/>
    </row>
    <row r="281" customFormat="false" ht="12.8" hidden="false" customHeight="false" outlineLevel="0" collapsed="false">
      <c r="B281" s="7"/>
    </row>
    <row r="282" customFormat="false" ht="12.8" hidden="false" customHeight="false" outlineLevel="0" collapsed="false">
      <c r="B282" s="7"/>
    </row>
    <row r="283" customFormat="false" ht="12.8" hidden="false" customHeight="false" outlineLevel="0" collapsed="false">
      <c r="B283" s="7"/>
    </row>
    <row r="284" customFormat="false" ht="12.8" hidden="false" customHeight="false" outlineLevel="0" collapsed="false">
      <c r="B284" s="7"/>
    </row>
    <row r="285" customFormat="false" ht="12.8" hidden="false" customHeight="false" outlineLevel="0" collapsed="false">
      <c r="B285" s="7"/>
    </row>
    <row r="286" customFormat="false" ht="12.8" hidden="false" customHeight="false" outlineLevel="0" collapsed="false">
      <c r="B286" s="7"/>
    </row>
    <row r="287" customFormat="false" ht="12.8" hidden="false" customHeight="false" outlineLevel="0" collapsed="false">
      <c r="B287" s="7"/>
    </row>
    <row r="288" customFormat="false" ht="12.8" hidden="false" customHeight="false" outlineLevel="0" collapsed="false">
      <c r="B288" s="7"/>
    </row>
    <row r="289" customFormat="false" ht="12.8" hidden="false" customHeight="false" outlineLevel="0" collapsed="false">
      <c r="B289" s="7"/>
    </row>
    <row r="290" customFormat="false" ht="12.8" hidden="false" customHeight="false" outlineLevel="0" collapsed="false">
      <c r="B290" s="7"/>
    </row>
    <row r="291" customFormat="false" ht="12.8" hidden="false" customHeight="false" outlineLevel="0" collapsed="false">
      <c r="B291" s="7"/>
    </row>
    <row r="292" customFormat="false" ht="12.8" hidden="false" customHeight="false" outlineLevel="0" collapsed="false">
      <c r="B292" s="7"/>
    </row>
    <row r="293" customFormat="false" ht="12.8" hidden="false" customHeight="false" outlineLevel="0" collapsed="false">
      <c r="B293" s="7"/>
    </row>
    <row r="294" customFormat="false" ht="12.8" hidden="false" customHeight="false" outlineLevel="0" collapsed="false">
      <c r="B294" s="7"/>
    </row>
    <row r="295" customFormat="false" ht="12.8" hidden="false" customHeight="false" outlineLevel="0" collapsed="false">
      <c r="B295" s="7"/>
    </row>
    <row r="296" customFormat="false" ht="12.8" hidden="false" customHeight="false" outlineLevel="0" collapsed="false">
      <c r="B296" s="7"/>
    </row>
    <row r="297" customFormat="false" ht="12.8" hidden="false" customHeight="false" outlineLevel="0" collapsed="false">
      <c r="B297" s="7"/>
    </row>
    <row r="298" customFormat="false" ht="12.8" hidden="false" customHeight="false" outlineLevel="0" collapsed="false">
      <c r="B298" s="7"/>
    </row>
    <row r="299" customFormat="false" ht="12.8" hidden="false" customHeight="false" outlineLevel="0" collapsed="false">
      <c r="B299" s="7"/>
    </row>
    <row r="300" customFormat="false" ht="12.8" hidden="false" customHeight="false" outlineLevel="0" collapsed="false">
      <c r="B300" s="7"/>
    </row>
    <row r="301" customFormat="false" ht="12.8" hidden="false" customHeight="false" outlineLevel="0" collapsed="false">
      <c r="B301" s="7"/>
    </row>
    <row r="302" customFormat="false" ht="12.8" hidden="false" customHeight="false" outlineLevel="0" collapsed="false">
      <c r="B302" s="7"/>
    </row>
    <row r="303" customFormat="false" ht="12.8" hidden="false" customHeight="false" outlineLevel="0" collapsed="false">
      <c r="B303" s="7"/>
    </row>
    <row r="304" customFormat="false" ht="12.8" hidden="false" customHeight="false" outlineLevel="0" collapsed="false">
      <c r="B304" s="7"/>
    </row>
    <row r="305" customFormat="false" ht="12.8" hidden="false" customHeight="false" outlineLevel="0" collapsed="false">
      <c r="B305" s="7"/>
    </row>
    <row r="306" customFormat="false" ht="12.8" hidden="false" customHeight="false" outlineLevel="0" collapsed="false">
      <c r="B306" s="7"/>
    </row>
    <row r="307" customFormat="false" ht="12.8" hidden="false" customHeight="false" outlineLevel="0" collapsed="false">
      <c r="B307" s="7"/>
    </row>
    <row r="308" customFormat="false" ht="12.8" hidden="false" customHeight="false" outlineLevel="0" collapsed="false">
      <c r="B308" s="7"/>
    </row>
    <row r="309" customFormat="false" ht="12.8" hidden="false" customHeight="false" outlineLevel="0" collapsed="false">
      <c r="B309" s="7"/>
    </row>
    <row r="310" customFormat="false" ht="12.8" hidden="false" customHeight="false" outlineLevel="0" collapsed="false">
      <c r="B310" s="7"/>
    </row>
    <row r="311" customFormat="false" ht="12.8" hidden="false" customHeight="false" outlineLevel="0" collapsed="false">
      <c r="B311" s="7"/>
    </row>
    <row r="312" customFormat="false" ht="12.8" hidden="false" customHeight="false" outlineLevel="0" collapsed="false">
      <c r="B312" s="7"/>
    </row>
    <row r="313" customFormat="false" ht="12.8" hidden="false" customHeight="false" outlineLevel="0" collapsed="false">
      <c r="B313" s="7"/>
    </row>
    <row r="314" customFormat="false" ht="12.8" hidden="false" customHeight="false" outlineLevel="0" collapsed="false">
      <c r="B314" s="7"/>
    </row>
    <row r="315" customFormat="false" ht="12.8" hidden="false" customHeight="false" outlineLevel="0" collapsed="false">
      <c r="B315" s="7"/>
    </row>
    <row r="316" customFormat="false" ht="12.8" hidden="false" customHeight="false" outlineLevel="0" collapsed="false">
      <c r="B316" s="7"/>
    </row>
    <row r="317" customFormat="false" ht="12.8" hidden="false" customHeight="false" outlineLevel="0" collapsed="false">
      <c r="B317" s="7"/>
    </row>
    <row r="318" customFormat="false" ht="12.8" hidden="false" customHeight="false" outlineLevel="0" collapsed="false">
      <c r="B318" s="7"/>
    </row>
    <row r="319" customFormat="false" ht="12.8" hidden="false" customHeight="false" outlineLevel="0" collapsed="false">
      <c r="B319" s="7"/>
    </row>
    <row r="320" customFormat="false" ht="12.8" hidden="false" customHeight="false" outlineLevel="0" collapsed="false">
      <c r="B320" s="7"/>
    </row>
    <row r="321" customFormat="false" ht="12.8" hidden="false" customHeight="false" outlineLevel="0" collapsed="false">
      <c r="B321" s="7"/>
    </row>
    <row r="322" customFormat="false" ht="12.8" hidden="false" customHeight="false" outlineLevel="0" collapsed="false">
      <c r="B322" s="7"/>
    </row>
    <row r="323" customFormat="false" ht="12.8" hidden="false" customHeight="false" outlineLevel="0" collapsed="false">
      <c r="B323" s="7"/>
    </row>
    <row r="324" customFormat="false" ht="12.8" hidden="false" customHeight="false" outlineLevel="0" collapsed="false">
      <c r="B324" s="7"/>
    </row>
    <row r="325" customFormat="false" ht="12.8" hidden="false" customHeight="false" outlineLevel="0" collapsed="false">
      <c r="B325" s="7"/>
    </row>
    <row r="326" customFormat="false" ht="12.8" hidden="false" customHeight="false" outlineLevel="0" collapsed="false">
      <c r="B326" s="7"/>
    </row>
    <row r="327" customFormat="false" ht="12.8" hidden="false" customHeight="false" outlineLevel="0" collapsed="false">
      <c r="B327" s="7"/>
    </row>
    <row r="328" customFormat="false" ht="12.8" hidden="false" customHeight="false" outlineLevel="0" collapsed="false">
      <c r="B328" s="7"/>
    </row>
    <row r="329" customFormat="false" ht="12.8" hidden="false" customHeight="false" outlineLevel="0" collapsed="false">
      <c r="B329" s="7"/>
    </row>
    <row r="330" customFormat="false" ht="12.8" hidden="false" customHeight="false" outlineLevel="0" collapsed="false">
      <c r="B330" s="7"/>
    </row>
    <row r="331" customFormat="false" ht="12.8" hidden="false" customHeight="false" outlineLevel="0" collapsed="false">
      <c r="B331" s="7"/>
    </row>
    <row r="332" customFormat="false" ht="12.8" hidden="false" customHeight="false" outlineLevel="0" collapsed="false">
      <c r="B332" s="7"/>
    </row>
    <row r="333" customFormat="false" ht="12.8" hidden="false" customHeight="false" outlineLevel="0" collapsed="false">
      <c r="B333" s="7"/>
    </row>
    <row r="334" customFormat="false" ht="12.8" hidden="false" customHeight="false" outlineLevel="0" collapsed="false">
      <c r="B334" s="7"/>
    </row>
    <row r="335" customFormat="false" ht="12.8" hidden="false" customHeight="false" outlineLevel="0" collapsed="false">
      <c r="B335" s="7"/>
    </row>
    <row r="336" customFormat="false" ht="12.8" hidden="false" customHeight="false" outlineLevel="0" collapsed="false">
      <c r="B336" s="7"/>
    </row>
    <row r="337" customFormat="false" ht="12.8" hidden="false" customHeight="false" outlineLevel="0" collapsed="false">
      <c r="B337" s="7"/>
    </row>
    <row r="338" customFormat="false" ht="12.8" hidden="false" customHeight="false" outlineLevel="0" collapsed="false">
      <c r="B338" s="7"/>
    </row>
    <row r="339" customFormat="false" ht="12.8" hidden="false" customHeight="false" outlineLevel="0" collapsed="false">
      <c r="B339" s="7"/>
    </row>
    <row r="340" customFormat="false" ht="12.8" hidden="false" customHeight="false" outlineLevel="0" collapsed="false">
      <c r="B340" s="7"/>
    </row>
    <row r="341" customFormat="false" ht="12.8" hidden="false" customHeight="false" outlineLevel="0" collapsed="false">
      <c r="B341" s="7"/>
    </row>
    <row r="342" customFormat="false" ht="12.8" hidden="false" customHeight="false" outlineLevel="0" collapsed="false">
      <c r="B342" s="7"/>
    </row>
    <row r="343" customFormat="false" ht="12.8" hidden="false" customHeight="false" outlineLevel="0" collapsed="false">
      <c r="B343" s="7"/>
    </row>
    <row r="344" customFormat="false" ht="12.8" hidden="false" customHeight="false" outlineLevel="0" collapsed="false">
      <c r="B344" s="7"/>
    </row>
    <row r="345" customFormat="false" ht="12.8" hidden="false" customHeight="false" outlineLevel="0" collapsed="false">
      <c r="B345" s="7"/>
    </row>
    <row r="346" customFormat="false" ht="12.8" hidden="false" customHeight="false" outlineLevel="0" collapsed="false">
      <c r="B346" s="7"/>
    </row>
    <row r="347" customFormat="false" ht="12.8" hidden="false" customHeight="false" outlineLevel="0" collapsed="false">
      <c r="B347" s="7"/>
    </row>
    <row r="348" customFormat="false" ht="12.8" hidden="false" customHeight="false" outlineLevel="0" collapsed="false">
      <c r="B348" s="7"/>
      <c r="BW348" s="4" t="n">
        <v>0</v>
      </c>
    </row>
    <row r="349" customFormat="false" ht="12.8" hidden="false" customHeight="false" outlineLevel="0" collapsed="false">
      <c r="B349" s="7"/>
      <c r="BW349" s="4" t="n">
        <v>0</v>
      </c>
    </row>
    <row r="350" customFormat="false" ht="12.8" hidden="false" customHeight="false" outlineLevel="0" collapsed="false">
      <c r="B350" s="7"/>
      <c r="BW350" s="4" t="n">
        <v>0</v>
      </c>
    </row>
    <row r="351" customFormat="false" ht="12.8" hidden="false" customHeight="false" outlineLevel="0" collapsed="false">
      <c r="B351" s="7"/>
      <c r="BW351" s="4" t="n">
        <v>0</v>
      </c>
    </row>
    <row r="352" customFormat="false" ht="12.8" hidden="false" customHeight="false" outlineLevel="0" collapsed="false">
      <c r="B352" s="7"/>
      <c r="BW352" s="4" t="n">
        <v>0</v>
      </c>
    </row>
    <row r="353" customFormat="false" ht="12.8" hidden="false" customHeight="false" outlineLevel="0" collapsed="false">
      <c r="B353" s="7"/>
      <c r="BW353" s="4" t="n">
        <v>0</v>
      </c>
    </row>
    <row r="354" customFormat="false" ht="12.8" hidden="false" customHeight="false" outlineLevel="0" collapsed="false">
      <c r="B354" s="7"/>
      <c r="BW354" s="4" t="n">
        <v>0</v>
      </c>
    </row>
    <row r="355" customFormat="false" ht="12.8" hidden="false" customHeight="false" outlineLevel="0" collapsed="false">
      <c r="B355" s="7"/>
      <c r="BW355" s="4" t="n">
        <v>0</v>
      </c>
    </row>
    <row r="356" customFormat="false" ht="12.8" hidden="false" customHeight="false" outlineLevel="0" collapsed="false">
      <c r="B356" s="7"/>
      <c r="BW356" s="4" t="n">
        <v>0</v>
      </c>
    </row>
    <row r="357" customFormat="false" ht="12.8" hidden="false" customHeight="false" outlineLevel="0" collapsed="false">
      <c r="B357" s="7"/>
      <c r="BW357" s="4" t="n">
        <v>0</v>
      </c>
    </row>
    <row r="358" customFormat="false" ht="12.8" hidden="false" customHeight="false" outlineLevel="0" collapsed="false">
      <c r="B358" s="7"/>
      <c r="BW358" s="4" t="n">
        <v>0</v>
      </c>
    </row>
    <row r="359" customFormat="false" ht="12.8" hidden="false" customHeight="false" outlineLevel="0" collapsed="false">
      <c r="B359" s="7"/>
      <c r="BW359" s="4" t="n">
        <v>0</v>
      </c>
    </row>
    <row r="360" customFormat="false" ht="12.8" hidden="false" customHeight="false" outlineLevel="0" collapsed="false">
      <c r="B360" s="7"/>
      <c r="BW360" s="4" t="n">
        <v>0</v>
      </c>
    </row>
    <row r="361" customFormat="false" ht="12.8" hidden="false" customHeight="false" outlineLevel="0" collapsed="false">
      <c r="B361" s="7"/>
      <c r="BW361" s="4" t="n">
        <v>0</v>
      </c>
    </row>
    <row r="362" customFormat="false" ht="12.8" hidden="false" customHeight="false" outlineLevel="0" collapsed="false">
      <c r="B362" s="7"/>
      <c r="BW362" s="4" t="n">
        <v>0</v>
      </c>
    </row>
    <row r="363" customFormat="false" ht="12.8" hidden="false" customHeight="false" outlineLevel="0" collapsed="false">
      <c r="B363" s="7"/>
      <c r="BW363" s="4" t="e">
        <f aca="false">SUM(#REF!)*1.3528</f>
        <v>#REF!</v>
      </c>
    </row>
    <row r="364" customFormat="false" ht="12.8" hidden="false" customHeight="false" outlineLevel="0" collapsed="false">
      <c r="B364" s="7"/>
      <c r="BW364" s="4" t="n">
        <v>0</v>
      </c>
    </row>
    <row r="365" customFormat="false" ht="12.8" hidden="false" customHeight="false" outlineLevel="0" collapsed="false">
      <c r="B365" s="7"/>
      <c r="BW365" s="4" t="n">
        <v>0</v>
      </c>
    </row>
    <row r="366" customFormat="false" ht="12.8" hidden="false" customHeight="false" outlineLevel="0" collapsed="false">
      <c r="B366" s="7"/>
      <c r="BW366" s="4" t="n">
        <v>0</v>
      </c>
    </row>
    <row r="367" customFormat="false" ht="12.8" hidden="false" customHeight="false" outlineLevel="0" collapsed="false">
      <c r="B367" s="7"/>
      <c r="BW367" s="4" t="n">
        <v>0</v>
      </c>
    </row>
    <row r="368" customFormat="false" ht="12.8" hidden="false" customHeight="false" outlineLevel="0" collapsed="false">
      <c r="B368" s="7"/>
      <c r="BW368" s="4" t="n">
        <v>0</v>
      </c>
    </row>
    <row r="369" customFormat="false" ht="12.8" hidden="false" customHeight="false" outlineLevel="0" collapsed="false">
      <c r="B369" s="7"/>
      <c r="BW369" s="4" t="n">
        <v>0</v>
      </c>
    </row>
    <row r="370" customFormat="false" ht="12.8" hidden="false" customHeight="false" outlineLevel="0" collapsed="false">
      <c r="B370" s="7"/>
      <c r="BW370" s="4" t="n">
        <v>0</v>
      </c>
    </row>
    <row r="371" customFormat="false" ht="12.8" hidden="false" customHeight="false" outlineLevel="0" collapsed="false">
      <c r="B371" s="7"/>
    </row>
    <row r="372" customFormat="false" ht="12.8" hidden="false" customHeight="false" outlineLevel="0" collapsed="false">
      <c r="B372" s="7"/>
    </row>
    <row r="373" customFormat="false" ht="12.8" hidden="false" customHeight="false" outlineLevel="0" collapsed="false">
      <c r="B373" s="7"/>
    </row>
    <row r="374" customFormat="false" ht="12.8" hidden="false" customHeight="false" outlineLevel="0" collapsed="false">
      <c r="B374" s="7"/>
    </row>
    <row r="375" customFormat="false" ht="12.8" hidden="false" customHeight="false" outlineLevel="0" collapsed="false">
      <c r="B375" s="7"/>
    </row>
    <row r="376" customFormat="false" ht="12.8" hidden="false" customHeight="false" outlineLevel="0" collapsed="false">
      <c r="B376" s="7"/>
    </row>
    <row r="377" customFormat="false" ht="12.8" hidden="false" customHeight="false" outlineLevel="0" collapsed="false">
      <c r="B377" s="7"/>
    </row>
    <row r="378" customFormat="false" ht="12.8" hidden="false" customHeight="false" outlineLevel="0" collapsed="false">
      <c r="B378" s="7"/>
    </row>
    <row r="379" customFormat="false" ht="12.8" hidden="false" customHeight="false" outlineLevel="0" collapsed="false">
      <c r="B379" s="7"/>
    </row>
    <row r="380" customFormat="false" ht="12.8" hidden="false" customHeight="false" outlineLevel="0" collapsed="false">
      <c r="B380" s="7"/>
    </row>
    <row r="381" customFormat="false" ht="12.8" hidden="false" customHeight="false" outlineLevel="0" collapsed="false">
      <c r="B381" s="7"/>
    </row>
    <row r="382" customFormat="false" ht="12.8" hidden="false" customHeight="false" outlineLevel="0" collapsed="false">
      <c r="B382" s="7"/>
    </row>
    <row r="383" customFormat="false" ht="12.8" hidden="false" customHeight="false" outlineLevel="0" collapsed="false">
      <c r="B383" s="7"/>
    </row>
    <row r="384" customFormat="false" ht="12.8" hidden="false" customHeight="false" outlineLevel="0" collapsed="false">
      <c r="B384" s="7"/>
    </row>
    <row r="385" customFormat="false" ht="12.8" hidden="false" customHeight="false" outlineLevel="0" collapsed="false">
      <c r="B385" s="7"/>
    </row>
    <row r="386" customFormat="false" ht="12.8" hidden="false" customHeight="false" outlineLevel="0" collapsed="false">
      <c r="B386" s="7"/>
    </row>
    <row r="387" customFormat="false" ht="12.8" hidden="false" customHeight="false" outlineLevel="0" collapsed="false">
      <c r="B387" s="7"/>
    </row>
    <row r="388" customFormat="false" ht="12.8" hidden="false" customHeight="false" outlineLevel="0" collapsed="false">
      <c r="B388" s="7"/>
    </row>
    <row r="389" customFormat="false" ht="12.8" hidden="false" customHeight="false" outlineLevel="0" collapsed="false">
      <c r="B389" s="7"/>
    </row>
    <row r="390" customFormat="false" ht="12.8" hidden="false" customHeight="false" outlineLevel="0" collapsed="false">
      <c r="B390" s="7"/>
    </row>
    <row r="391" customFormat="false" ht="12.8" hidden="false" customHeight="false" outlineLevel="0" collapsed="false">
      <c r="B391" s="7"/>
    </row>
    <row r="392" customFormat="false" ht="12.8" hidden="false" customHeight="false" outlineLevel="0" collapsed="false">
      <c r="B392" s="7"/>
    </row>
    <row r="393" customFormat="false" ht="12.8" hidden="false" customHeight="false" outlineLevel="0" collapsed="false">
      <c r="B393" s="7"/>
    </row>
    <row r="394" customFormat="false" ht="12.8" hidden="false" customHeight="false" outlineLevel="0" collapsed="false">
      <c r="B394" s="7"/>
    </row>
    <row r="395" customFormat="false" ht="12.8" hidden="false" customHeight="false" outlineLevel="0" collapsed="false">
      <c r="B395" s="7"/>
    </row>
    <row r="396" customFormat="false" ht="12.8" hidden="false" customHeight="false" outlineLevel="0" collapsed="false">
      <c r="B396" s="7"/>
    </row>
    <row r="397" customFormat="false" ht="12.8" hidden="false" customHeight="false" outlineLevel="0" collapsed="false">
      <c r="B397" s="7"/>
    </row>
    <row r="398" customFormat="false" ht="12.8" hidden="false" customHeight="false" outlineLevel="0" collapsed="false">
      <c r="B398" s="7"/>
    </row>
    <row r="399" customFormat="false" ht="12.8" hidden="false" customHeight="false" outlineLevel="0" collapsed="false">
      <c r="B399" s="7"/>
    </row>
    <row r="400" customFormat="false" ht="12.8" hidden="false" customHeight="false" outlineLevel="0" collapsed="false">
      <c r="B400" s="7"/>
    </row>
    <row r="401" customFormat="false" ht="12.8" hidden="false" customHeight="false" outlineLevel="0" collapsed="false">
      <c r="B401" s="7"/>
    </row>
    <row r="402" customFormat="false" ht="12.8" hidden="false" customHeight="false" outlineLevel="0" collapsed="false">
      <c r="B402" s="7"/>
    </row>
    <row r="403" customFormat="false" ht="12.8" hidden="false" customHeight="false" outlineLevel="0" collapsed="false">
      <c r="B403" s="7"/>
    </row>
    <row r="404" customFormat="false" ht="12.8" hidden="false" customHeight="false" outlineLevel="0" collapsed="false">
      <c r="B404" s="7"/>
    </row>
    <row r="405" customFormat="false" ht="12.8" hidden="false" customHeight="false" outlineLevel="0" collapsed="false">
      <c r="B405" s="7"/>
    </row>
    <row r="406" customFormat="false" ht="12.8" hidden="false" customHeight="false" outlineLevel="0" collapsed="false">
      <c r="B406" s="7"/>
    </row>
    <row r="407" customFormat="false" ht="12.8" hidden="false" customHeight="false" outlineLevel="0" collapsed="false">
      <c r="B407" s="7"/>
    </row>
    <row r="408" customFormat="false" ht="12.8" hidden="false" customHeight="false" outlineLevel="0" collapsed="false">
      <c r="B408" s="7"/>
    </row>
    <row r="409" customFormat="false" ht="12.8" hidden="false" customHeight="false" outlineLevel="0" collapsed="false">
      <c r="B409" s="7"/>
    </row>
    <row r="410" customFormat="false" ht="12.8" hidden="false" customHeight="false" outlineLevel="0" collapsed="false">
      <c r="B410" s="7"/>
    </row>
    <row r="411" customFormat="false" ht="12.8" hidden="false" customHeight="false" outlineLevel="0" collapsed="false">
      <c r="B411" s="7"/>
    </row>
    <row r="412" customFormat="false" ht="12.8" hidden="false" customHeight="false" outlineLevel="0" collapsed="false">
      <c r="B412" s="7"/>
    </row>
    <row r="413" customFormat="false" ht="12.8" hidden="false" customHeight="false" outlineLevel="0" collapsed="false">
      <c r="B413" s="7"/>
    </row>
    <row r="414" customFormat="false" ht="12.8" hidden="false" customHeight="false" outlineLevel="0" collapsed="false">
      <c r="B414" s="7"/>
    </row>
    <row r="415" customFormat="false" ht="12.8" hidden="false" customHeight="false" outlineLevel="0" collapsed="false">
      <c r="B415" s="7"/>
    </row>
    <row r="416" customFormat="false" ht="12.8" hidden="false" customHeight="false" outlineLevel="0" collapsed="false">
      <c r="B416" s="7"/>
    </row>
    <row r="417" customFormat="false" ht="12.8" hidden="false" customHeight="false" outlineLevel="0" collapsed="false">
      <c r="B417" s="7"/>
    </row>
    <row r="418" customFormat="false" ht="12.8" hidden="false" customHeight="false" outlineLevel="0" collapsed="false">
      <c r="B418" s="7"/>
    </row>
    <row r="419" customFormat="false" ht="12.8" hidden="false" customHeight="false" outlineLevel="0" collapsed="false">
      <c r="B419" s="7"/>
    </row>
    <row r="420" customFormat="false" ht="12.8" hidden="false" customHeight="false" outlineLevel="0" collapsed="false">
      <c r="B420" s="7"/>
    </row>
    <row r="421" customFormat="false" ht="12.8" hidden="false" customHeight="false" outlineLevel="0" collapsed="false">
      <c r="B421" s="7"/>
    </row>
    <row r="422" customFormat="false" ht="12.8" hidden="false" customHeight="false" outlineLevel="0" collapsed="false">
      <c r="B422" s="7"/>
    </row>
    <row r="423" customFormat="false" ht="12.8" hidden="false" customHeight="false" outlineLevel="0" collapsed="false">
      <c r="B423" s="7"/>
    </row>
    <row r="424" customFormat="false" ht="12.8" hidden="false" customHeight="false" outlineLevel="0" collapsed="false">
      <c r="B424" s="7"/>
    </row>
    <row r="425" customFormat="false" ht="12.8" hidden="false" customHeight="false" outlineLevel="0" collapsed="false">
      <c r="B425" s="7"/>
    </row>
    <row r="426" customFormat="false" ht="12.8" hidden="false" customHeight="false" outlineLevel="0" collapsed="false">
      <c r="B426" s="7"/>
    </row>
    <row r="427" customFormat="false" ht="12.8" hidden="false" customHeight="false" outlineLevel="0" collapsed="false">
      <c r="B427" s="7"/>
    </row>
    <row r="428" customFormat="false" ht="12.8" hidden="false" customHeight="false" outlineLevel="0" collapsed="false">
      <c r="B428" s="7"/>
    </row>
    <row r="429" customFormat="false" ht="12.8" hidden="false" customHeight="false" outlineLevel="0" collapsed="false">
      <c r="B429" s="7"/>
    </row>
    <row r="430" customFormat="false" ht="12.8" hidden="false" customHeight="false" outlineLevel="0" collapsed="false">
      <c r="B430" s="7"/>
    </row>
    <row r="431" customFormat="false" ht="12.8" hidden="false" customHeight="false" outlineLevel="0" collapsed="false">
      <c r="B431" s="7"/>
    </row>
    <row r="432" customFormat="false" ht="12.8" hidden="false" customHeight="false" outlineLevel="0" collapsed="false">
      <c r="B432" s="7"/>
    </row>
    <row r="433" customFormat="false" ht="12.8" hidden="false" customHeight="false" outlineLevel="0" collapsed="false">
      <c r="B433" s="7"/>
    </row>
    <row r="434" customFormat="false" ht="12.8" hidden="false" customHeight="false" outlineLevel="0" collapsed="false">
      <c r="B434" s="7"/>
    </row>
    <row r="435" customFormat="false" ht="12.8" hidden="false" customHeight="false" outlineLevel="0" collapsed="false">
      <c r="B435" s="7"/>
    </row>
    <row r="436" customFormat="false" ht="12.8" hidden="false" customHeight="false" outlineLevel="0" collapsed="false">
      <c r="B436" s="7"/>
    </row>
    <row r="437" customFormat="false" ht="12.8" hidden="false" customHeight="false" outlineLevel="0" collapsed="false">
      <c r="B437" s="7"/>
    </row>
    <row r="438" customFormat="false" ht="12.8" hidden="false" customHeight="false" outlineLevel="0" collapsed="false">
      <c r="B438" s="7"/>
    </row>
    <row r="439" customFormat="false" ht="12.8" hidden="false" customHeight="false" outlineLevel="0" collapsed="false">
      <c r="B439" s="7"/>
    </row>
    <row r="440" customFormat="false" ht="12.8" hidden="false" customHeight="false" outlineLevel="0" collapsed="false">
      <c r="B440" s="7"/>
    </row>
    <row r="441" customFormat="false" ht="12.8" hidden="false" customHeight="false" outlineLevel="0" collapsed="false">
      <c r="B441" s="7"/>
    </row>
    <row r="442" customFormat="false" ht="12.8" hidden="false" customHeight="false" outlineLevel="0" collapsed="false">
      <c r="B442" s="7"/>
    </row>
    <row r="443" customFormat="false" ht="12.8" hidden="false" customHeight="false" outlineLevel="0" collapsed="false">
      <c r="B443" s="7"/>
    </row>
    <row r="444" customFormat="false" ht="12.8" hidden="false" customHeight="false" outlineLevel="0" collapsed="false">
      <c r="B444" s="7"/>
    </row>
    <row r="445" customFormat="false" ht="12.8" hidden="false" customHeight="false" outlineLevel="0" collapsed="false">
      <c r="B445" s="7"/>
    </row>
    <row r="446" customFormat="false" ht="12.8" hidden="false" customHeight="false" outlineLevel="0" collapsed="false">
      <c r="B446" s="7"/>
    </row>
    <row r="447" customFormat="false" ht="12.8" hidden="false" customHeight="false" outlineLevel="0" collapsed="false">
      <c r="B447" s="7"/>
    </row>
    <row r="448" customFormat="false" ht="12.8" hidden="false" customHeight="false" outlineLevel="0" collapsed="false">
      <c r="B448" s="7"/>
    </row>
    <row r="449" customFormat="false" ht="12.8" hidden="false" customHeight="false" outlineLevel="0" collapsed="false">
      <c r="B449" s="7"/>
    </row>
    <row r="450" customFormat="false" ht="12.8" hidden="false" customHeight="false" outlineLevel="0" collapsed="false">
      <c r="B450" s="7"/>
    </row>
    <row r="451" customFormat="false" ht="12.8" hidden="false" customHeight="false" outlineLevel="0" collapsed="false">
      <c r="B451" s="7"/>
    </row>
    <row r="452" customFormat="false" ht="12.8" hidden="false" customHeight="false" outlineLevel="0" collapsed="false">
      <c r="B452" s="7"/>
    </row>
    <row r="453" customFormat="false" ht="12.8" hidden="false" customHeight="false" outlineLevel="0" collapsed="false">
      <c r="B453" s="7"/>
    </row>
    <row r="454" customFormat="false" ht="12.8" hidden="false" customHeight="false" outlineLevel="0" collapsed="false">
      <c r="B454" s="7"/>
    </row>
    <row r="455" customFormat="false" ht="12.8" hidden="false" customHeight="false" outlineLevel="0" collapsed="false">
      <c r="B455" s="7"/>
    </row>
    <row r="456" customFormat="false" ht="12.8" hidden="false" customHeight="false" outlineLevel="0" collapsed="false">
      <c r="B456" s="7"/>
    </row>
    <row r="457" customFormat="false" ht="12.8" hidden="false" customHeight="false" outlineLevel="0" collapsed="false">
      <c r="B457" s="7"/>
    </row>
    <row r="458" customFormat="false" ht="12.8" hidden="false" customHeight="false" outlineLevel="0" collapsed="false">
      <c r="B458" s="7"/>
    </row>
    <row r="459" customFormat="false" ht="12.8" hidden="false" customHeight="false" outlineLevel="0" collapsed="false">
      <c r="B459" s="7"/>
    </row>
    <row r="460" customFormat="false" ht="12.8" hidden="false" customHeight="false" outlineLevel="0" collapsed="false">
      <c r="B460" s="7"/>
    </row>
    <row r="461" customFormat="false" ht="12.8" hidden="false" customHeight="false" outlineLevel="0" collapsed="false">
      <c r="B461" s="7"/>
    </row>
    <row r="462" customFormat="false" ht="12.8" hidden="false" customHeight="false" outlineLevel="0" collapsed="false">
      <c r="B462" s="7"/>
    </row>
    <row r="463" customFormat="false" ht="12.8" hidden="false" customHeight="false" outlineLevel="0" collapsed="false">
      <c r="B463" s="7"/>
    </row>
    <row r="464" customFormat="false" ht="12.8" hidden="false" customHeight="false" outlineLevel="0" collapsed="false">
      <c r="B464" s="7"/>
    </row>
    <row r="465" customFormat="false" ht="12.8" hidden="false" customHeight="false" outlineLevel="0" collapsed="false">
      <c r="B465" s="7"/>
    </row>
    <row r="466" customFormat="false" ht="12.8" hidden="false" customHeight="false" outlineLevel="0" collapsed="false">
      <c r="B466" s="7"/>
    </row>
    <row r="467" customFormat="false" ht="12.8" hidden="false" customHeight="false" outlineLevel="0" collapsed="false">
      <c r="B467" s="7"/>
    </row>
    <row r="468" customFormat="false" ht="12.8" hidden="false" customHeight="false" outlineLevel="0" collapsed="false">
      <c r="B468" s="7"/>
    </row>
    <row r="469" customFormat="false" ht="12.8" hidden="false" customHeight="false" outlineLevel="0" collapsed="false">
      <c r="B469" s="7"/>
    </row>
    <row r="470" customFormat="false" ht="12.8" hidden="false" customHeight="false" outlineLevel="0" collapsed="false">
      <c r="B470" s="7"/>
    </row>
    <row r="471" customFormat="false" ht="12.8" hidden="false" customHeight="false" outlineLevel="0" collapsed="false">
      <c r="B471" s="7"/>
    </row>
    <row r="472" customFormat="false" ht="12.8" hidden="false" customHeight="false" outlineLevel="0" collapsed="false">
      <c r="B472" s="7"/>
    </row>
    <row r="473" customFormat="false" ht="12.8" hidden="false" customHeight="false" outlineLevel="0" collapsed="false">
      <c r="B473" s="7"/>
    </row>
    <row r="474" customFormat="false" ht="12.8" hidden="false" customHeight="false" outlineLevel="0" collapsed="false">
      <c r="B474" s="7"/>
    </row>
    <row r="475" customFormat="false" ht="12.8" hidden="false" customHeight="false" outlineLevel="0" collapsed="false">
      <c r="B475" s="7"/>
    </row>
    <row r="476" customFormat="false" ht="12.8" hidden="false" customHeight="false" outlineLevel="0" collapsed="false">
      <c r="B476" s="7"/>
    </row>
    <row r="477" customFormat="false" ht="12.8" hidden="false" customHeight="false" outlineLevel="0" collapsed="false">
      <c r="B477" s="7"/>
    </row>
    <row r="478" customFormat="false" ht="12.8" hidden="false" customHeight="false" outlineLevel="0" collapsed="false">
      <c r="B478" s="7"/>
    </row>
    <row r="479" customFormat="false" ht="12.8" hidden="false" customHeight="false" outlineLevel="0" collapsed="false">
      <c r="B479" s="7"/>
    </row>
    <row r="480" customFormat="false" ht="12.8" hidden="false" customHeight="false" outlineLevel="0" collapsed="false">
      <c r="B480" s="7"/>
    </row>
    <row r="481" customFormat="false" ht="12.8" hidden="false" customHeight="false" outlineLevel="0" collapsed="false">
      <c r="B481" s="7"/>
    </row>
    <row r="482" customFormat="false" ht="12.8" hidden="false" customHeight="false" outlineLevel="0" collapsed="false">
      <c r="B482" s="7"/>
    </row>
    <row r="483" customFormat="false" ht="12.8" hidden="false" customHeight="false" outlineLevel="0" collapsed="false">
      <c r="B483" s="7"/>
    </row>
    <row r="484" customFormat="false" ht="12.8" hidden="false" customHeight="false" outlineLevel="0" collapsed="false">
      <c r="B484" s="7"/>
    </row>
    <row r="485" customFormat="false" ht="12.8" hidden="false" customHeight="false" outlineLevel="0" collapsed="false">
      <c r="B485" s="7"/>
    </row>
    <row r="486" customFormat="false" ht="12.8" hidden="false" customHeight="false" outlineLevel="0" collapsed="false">
      <c r="B486" s="7"/>
    </row>
    <row r="487" customFormat="false" ht="12.8" hidden="false" customHeight="false" outlineLevel="0" collapsed="false">
      <c r="B487" s="7"/>
    </row>
    <row r="488" customFormat="false" ht="12.8" hidden="false" customHeight="false" outlineLevel="0" collapsed="false">
      <c r="B488" s="7"/>
    </row>
    <row r="489" customFormat="false" ht="12.8" hidden="false" customHeight="false" outlineLevel="0" collapsed="false">
      <c r="B489" s="7"/>
    </row>
    <row r="490" customFormat="false" ht="12.8" hidden="false" customHeight="false" outlineLevel="0" collapsed="false">
      <c r="B490" s="7"/>
    </row>
    <row r="491" customFormat="false" ht="12.8" hidden="false" customHeight="false" outlineLevel="0" collapsed="false">
      <c r="B491" s="7"/>
    </row>
    <row r="492" customFormat="false" ht="12.8" hidden="false" customHeight="false" outlineLevel="0" collapsed="false">
      <c r="B492" s="7"/>
    </row>
    <row r="493" customFormat="false" ht="12.8" hidden="false" customHeight="false" outlineLevel="0" collapsed="false">
      <c r="B493" s="7"/>
    </row>
    <row r="494" customFormat="false" ht="12.8" hidden="false" customHeight="false" outlineLevel="0" collapsed="false">
      <c r="B494" s="7"/>
    </row>
    <row r="495" customFormat="false" ht="12.8" hidden="false" customHeight="false" outlineLevel="0" collapsed="false">
      <c r="B495" s="7"/>
    </row>
    <row r="496" customFormat="false" ht="12.8" hidden="false" customHeight="false" outlineLevel="0" collapsed="false">
      <c r="B496" s="7"/>
    </row>
    <row r="497" customFormat="false" ht="12.8" hidden="false" customHeight="false" outlineLevel="0" collapsed="false">
      <c r="B497" s="7"/>
    </row>
    <row r="498" customFormat="false" ht="12.8" hidden="false" customHeight="false" outlineLevel="0" collapsed="false">
      <c r="B498" s="7"/>
    </row>
    <row r="499" customFormat="false" ht="12.8" hidden="false" customHeight="false" outlineLevel="0" collapsed="false">
      <c r="B499" s="7"/>
    </row>
    <row r="500" customFormat="false" ht="12.8" hidden="false" customHeight="false" outlineLevel="0" collapsed="false">
      <c r="B500" s="7"/>
    </row>
    <row r="501" customFormat="false" ht="12.8" hidden="false" customHeight="false" outlineLevel="0" collapsed="false">
      <c r="B501" s="7"/>
    </row>
    <row r="502" customFormat="false" ht="12.8" hidden="false" customHeight="false" outlineLevel="0" collapsed="false">
      <c r="B502" s="7"/>
    </row>
    <row r="503" customFormat="false" ht="12.8" hidden="false" customHeight="false" outlineLevel="0" collapsed="false">
      <c r="B503" s="7"/>
    </row>
    <row r="504" customFormat="false" ht="12.8" hidden="false" customHeight="false" outlineLevel="0" collapsed="false">
      <c r="B504" s="7"/>
    </row>
    <row r="505" customFormat="false" ht="12.8" hidden="false" customHeight="false" outlineLevel="0" collapsed="false">
      <c r="B505" s="7"/>
    </row>
    <row r="506" customFormat="false" ht="12.8" hidden="false" customHeight="false" outlineLevel="0" collapsed="false">
      <c r="B506" s="7"/>
    </row>
    <row r="507" customFormat="false" ht="12.8" hidden="false" customHeight="false" outlineLevel="0" collapsed="false">
      <c r="B507" s="7"/>
    </row>
    <row r="508" customFormat="false" ht="12.8" hidden="false" customHeight="false" outlineLevel="0" collapsed="false">
      <c r="B508" s="7"/>
    </row>
    <row r="509" customFormat="false" ht="12.8" hidden="false" customHeight="false" outlineLevel="0" collapsed="false">
      <c r="B509" s="7"/>
    </row>
    <row r="510" customFormat="false" ht="12.8" hidden="false" customHeight="false" outlineLevel="0" collapsed="false">
      <c r="B510" s="7"/>
    </row>
    <row r="511" customFormat="false" ht="12.8" hidden="false" customHeight="false" outlineLevel="0" collapsed="false">
      <c r="B511" s="7"/>
    </row>
    <row r="512" customFormat="false" ht="12.8" hidden="false" customHeight="false" outlineLevel="0" collapsed="false">
      <c r="B512" s="7"/>
    </row>
    <row r="513" customFormat="false" ht="12.8" hidden="false" customHeight="false" outlineLevel="0" collapsed="false">
      <c r="B513" s="7"/>
    </row>
    <row r="514" customFormat="false" ht="12.8" hidden="false" customHeight="false" outlineLevel="0" collapsed="false">
      <c r="B514" s="7"/>
    </row>
    <row r="515" customFormat="false" ht="12.8" hidden="false" customHeight="false" outlineLevel="0" collapsed="false">
      <c r="B515" s="7"/>
    </row>
    <row r="516" customFormat="false" ht="12.8" hidden="false" customHeight="false" outlineLevel="0" collapsed="false">
      <c r="B516" s="7"/>
    </row>
    <row r="517" customFormat="false" ht="12.8" hidden="false" customHeight="false" outlineLevel="0" collapsed="false">
      <c r="B517" s="7"/>
    </row>
    <row r="518" customFormat="false" ht="12.8" hidden="false" customHeight="false" outlineLevel="0" collapsed="false">
      <c r="B518" s="7"/>
    </row>
    <row r="519" customFormat="false" ht="12.8" hidden="false" customHeight="false" outlineLevel="0" collapsed="false">
      <c r="B519" s="7"/>
    </row>
    <row r="520" customFormat="false" ht="12.8" hidden="false" customHeight="false" outlineLevel="0" collapsed="false">
      <c r="B520" s="7"/>
    </row>
    <row r="521" customFormat="false" ht="12.8" hidden="false" customHeight="false" outlineLevel="0" collapsed="false">
      <c r="B521" s="7"/>
    </row>
    <row r="522" customFormat="false" ht="12.8" hidden="false" customHeight="false" outlineLevel="0" collapsed="false">
      <c r="B522" s="7"/>
    </row>
    <row r="523" customFormat="false" ht="12.8" hidden="false" customHeight="false" outlineLevel="0" collapsed="false">
      <c r="B523" s="7"/>
    </row>
    <row r="524" customFormat="false" ht="12.8" hidden="false" customHeight="false" outlineLevel="0" collapsed="false">
      <c r="B524" s="7"/>
    </row>
    <row r="525" customFormat="false" ht="12.8" hidden="false" customHeight="false" outlineLevel="0" collapsed="false">
      <c r="B525" s="7"/>
    </row>
    <row r="526" customFormat="false" ht="12.8" hidden="false" customHeight="false" outlineLevel="0" collapsed="false">
      <c r="B526" s="7"/>
    </row>
    <row r="527" customFormat="false" ht="12.8" hidden="false" customHeight="false" outlineLevel="0" collapsed="false">
      <c r="B527" s="7"/>
    </row>
    <row r="528" customFormat="false" ht="12.8" hidden="false" customHeight="false" outlineLevel="0" collapsed="false">
      <c r="B528" s="7"/>
    </row>
    <row r="529" customFormat="false" ht="12.8" hidden="false" customHeight="false" outlineLevel="0" collapsed="false">
      <c r="B529" s="7"/>
    </row>
    <row r="530" customFormat="false" ht="12.8" hidden="false" customHeight="false" outlineLevel="0" collapsed="false">
      <c r="B530" s="7"/>
    </row>
    <row r="531" customFormat="false" ht="12.8" hidden="false" customHeight="false" outlineLevel="0" collapsed="false">
      <c r="B531" s="7"/>
    </row>
    <row r="532" customFormat="false" ht="12.8" hidden="false" customHeight="false" outlineLevel="0" collapsed="false">
      <c r="B532" s="7"/>
    </row>
    <row r="533" customFormat="false" ht="12.8" hidden="false" customHeight="false" outlineLevel="0" collapsed="false">
      <c r="B533" s="7"/>
    </row>
    <row r="534" customFormat="false" ht="12.8" hidden="false" customHeight="false" outlineLevel="0" collapsed="false">
      <c r="B534" s="7"/>
    </row>
    <row r="535" customFormat="false" ht="12.8" hidden="false" customHeight="false" outlineLevel="0" collapsed="false">
      <c r="B535" s="7"/>
    </row>
    <row r="536" customFormat="false" ht="12.8" hidden="false" customHeight="false" outlineLevel="0" collapsed="false">
      <c r="B536" s="7"/>
    </row>
    <row r="537" customFormat="false" ht="12.8" hidden="false" customHeight="false" outlineLevel="0" collapsed="false">
      <c r="B537" s="7"/>
    </row>
    <row r="538" customFormat="false" ht="12.8" hidden="false" customHeight="false" outlineLevel="0" collapsed="false">
      <c r="B538" s="7"/>
    </row>
    <row r="539" customFormat="false" ht="12.8" hidden="false" customHeight="false" outlineLevel="0" collapsed="false">
      <c r="B539" s="7"/>
    </row>
    <row r="540" customFormat="false" ht="12.8" hidden="false" customHeight="false" outlineLevel="0" collapsed="false">
      <c r="B540" s="7"/>
    </row>
    <row r="541" customFormat="false" ht="12.8" hidden="false" customHeight="false" outlineLevel="0" collapsed="false">
      <c r="B541" s="7"/>
    </row>
    <row r="542" customFormat="false" ht="12.8" hidden="false" customHeight="false" outlineLevel="0" collapsed="false">
      <c r="B542" s="7"/>
    </row>
    <row r="543" customFormat="false" ht="12.8" hidden="false" customHeight="false" outlineLevel="0" collapsed="false">
      <c r="B543" s="7"/>
    </row>
    <row r="544" customFormat="false" ht="12.8" hidden="false" customHeight="false" outlineLevel="0" collapsed="false">
      <c r="B544" s="7"/>
    </row>
    <row r="545" customFormat="false" ht="12.8" hidden="false" customHeight="false" outlineLevel="0" collapsed="false">
      <c r="B54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6" t="s">
        <v>286</v>
      </c>
    </row>
    <row r="3" customFormat="false" ht="12.8" hidden="false" customHeight="false" outlineLevel="0" collapsed="false">
      <c r="A3" s="0" t="s">
        <v>287</v>
      </c>
    </row>
    <row r="4" customFormat="false" ht="12.8" hidden="false" customHeight="false" outlineLevel="0" collapsed="false">
      <c r="A4" s="0" t="n">
        <f aca="false">12*32</f>
        <v>384</v>
      </c>
      <c r="B4" s="0" t="s">
        <v>288</v>
      </c>
    </row>
    <row r="6" customFormat="false" ht="12.8" hidden="false" customHeight="false" outlineLevel="0" collapsed="false">
      <c r="A6" s="0" t="s">
        <v>289</v>
      </c>
    </row>
    <row r="7" customFormat="false" ht="12.8" hidden="false" customHeight="false" outlineLevel="0" collapsed="false">
      <c r="A7" s="0" t="n">
        <f aca="false">SQRT(A4*2/(SQRT(3)*3))</f>
        <v>12.1573709704255</v>
      </c>
      <c r="B7" s="0" t="s">
        <v>290</v>
      </c>
    </row>
    <row r="9" customFormat="false" ht="12.8" hidden="false" customHeight="false" outlineLevel="0" collapsed="false">
      <c r="A9" s="0" t="n">
        <v>6</v>
      </c>
      <c r="B9" s="0" t="s">
        <v>291</v>
      </c>
    </row>
    <row r="10" customFormat="false" ht="12.8" hidden="false" customHeight="false" outlineLevel="0" collapsed="false">
      <c r="A10" s="0" t="n">
        <f aca="false">A7*6</f>
        <v>72.9442258225529</v>
      </c>
      <c r="B10" s="0" t="s">
        <v>292</v>
      </c>
    </row>
    <row r="11" customFormat="false" ht="12.8" hidden="false" customHeight="false" outlineLevel="0" collapsed="false">
      <c r="A11" s="0" t="n">
        <f aca="false">(A7/2)*SQRT(2)*2*6</f>
        <v>103.15871345506</v>
      </c>
      <c r="B11" s="0" t="s">
        <v>293</v>
      </c>
    </row>
    <row r="12" customFormat="false" ht="12.8" hidden="false" customHeight="false" outlineLevel="0" collapsed="false">
      <c r="A12" s="0" t="n">
        <f aca="false">A7*2*2</f>
        <v>48.6294838817019</v>
      </c>
      <c r="B12" s="0" t="s">
        <v>294</v>
      </c>
    </row>
    <row r="13" customFormat="false" ht="12.8" hidden="false" customHeight="false" outlineLevel="0" collapsed="false">
      <c r="A13" s="0" t="n">
        <f aca="false">2*4*A7*SQRT(3)/2</f>
        <v>84.2287368289595</v>
      </c>
      <c r="B13" s="0" t="s">
        <v>295</v>
      </c>
    </row>
    <row r="15" customFormat="false" ht="12.8" hidden="false" customHeight="false" outlineLevel="0" collapsed="false">
      <c r="A15" s="0" t="n">
        <f aca="false">SUM(A9:A13)</f>
        <v>314.961159988274</v>
      </c>
      <c r="B15" s="0" t="s">
        <v>296</v>
      </c>
    </row>
    <row r="16" customFormat="false" ht="12.8" hidden="false" customHeight="false" outlineLevel="0" collapsed="false">
      <c r="A16" s="0" t="n">
        <f aca="false">A15/1000</f>
        <v>0.314961159988274</v>
      </c>
      <c r="B16" s="0" t="s">
        <v>297</v>
      </c>
    </row>
    <row r="17" customFormat="false" ht="12.8" hidden="false" customHeight="false" outlineLevel="0" collapsed="false">
      <c r="A17" s="0" t="n">
        <f aca="false">A16*Capacity!AT36</f>
        <v>0.000590552174978014</v>
      </c>
      <c r="B17" s="0" t="s">
        <v>298</v>
      </c>
    </row>
    <row r="18" customFormat="false" ht="12.8" hidden="false" customHeight="false" outlineLevel="0" collapsed="false">
      <c r="A18" s="0" t="n">
        <v>10</v>
      </c>
      <c r="B18" s="0" t="s">
        <v>299</v>
      </c>
    </row>
    <row r="19" customFormat="false" ht="12.8" hidden="false" customHeight="false" outlineLevel="0" collapsed="false">
      <c r="A19" s="0" t="n">
        <v>6</v>
      </c>
      <c r="B19" s="0" t="s">
        <v>300</v>
      </c>
    </row>
    <row r="20" customFormat="false" ht="12.8" hidden="false" customHeight="false" outlineLevel="0" collapsed="false">
      <c r="A20" s="17" t="n">
        <f aca="false">A17/(A18*A19)</f>
        <v>9.84253624963357E-006</v>
      </c>
      <c r="B20" s="0" t="s">
        <v>301</v>
      </c>
      <c r="C20" s="0" t="s">
        <v>302</v>
      </c>
    </row>
    <row r="22" customFormat="false" ht="12.8" hidden="false" customHeight="false" outlineLevel="0" collapsed="false">
      <c r="A22" s="0" t="n">
        <v>0.25</v>
      </c>
      <c r="B22" s="0" t="s">
        <v>303</v>
      </c>
    </row>
    <row r="23" customFormat="false" ht="12.8" hidden="false" customHeight="false" outlineLevel="0" collapsed="false">
      <c r="A23" s="0" t="n">
        <v>100</v>
      </c>
      <c r="B23" s="0" t="s">
        <v>299</v>
      </c>
    </row>
    <row r="24" customFormat="false" ht="12.8" hidden="false" customHeight="false" outlineLevel="0" collapsed="false">
      <c r="A24" s="0" t="n">
        <v>6</v>
      </c>
      <c r="B24" s="0" t="s">
        <v>300</v>
      </c>
    </row>
    <row r="25" customFormat="false" ht="12.8" hidden="false" customHeight="false" outlineLevel="0" collapsed="false">
      <c r="A25" s="17" t="n">
        <f aca="false">Capacity!$AW$30*A22/(A23*A24)</f>
        <v>1.611328125E-006</v>
      </c>
      <c r="B25" s="0" t="s">
        <v>301</v>
      </c>
    </row>
    <row r="27" customFormat="false" ht="12.8" hidden="false" customHeight="false" outlineLevel="0" collapsed="false">
      <c r="A27" s="16" t="s">
        <v>304</v>
      </c>
    </row>
    <row r="28" customFormat="false" ht="12.8" hidden="false" customHeight="false" outlineLevel="0" collapsed="false">
      <c r="A28" s="0" t="n">
        <v>0.75</v>
      </c>
      <c r="B28" s="0" t="s">
        <v>305</v>
      </c>
    </row>
    <row r="29" customFormat="false" ht="12.8" hidden="false" customHeight="false" outlineLevel="0" collapsed="false">
      <c r="A29" s="0" t="n">
        <v>0.8</v>
      </c>
      <c r="B29" s="0" t="s">
        <v>306</v>
      </c>
    </row>
    <row r="30" customFormat="false" ht="12.8" hidden="false" customHeight="false" outlineLevel="0" collapsed="false">
      <c r="A30" s="0" t="n">
        <v>0.5</v>
      </c>
      <c r="B30" s="0" t="s">
        <v>307</v>
      </c>
    </row>
    <row r="31" customFormat="false" ht="12.8" hidden="false" customHeight="false" outlineLevel="0" collapsed="false">
      <c r="A31" s="0" t="n">
        <v>0.8</v>
      </c>
      <c r="B31" s="0" t="s">
        <v>308</v>
      </c>
    </row>
    <row r="32" customFormat="false" ht="12.8" hidden="false" customHeight="false" outlineLevel="0" collapsed="false">
      <c r="A32" s="0" t="n">
        <f aca="false">5/6</f>
        <v>0.833333333333333</v>
      </c>
      <c r="B32" s="0" t="s">
        <v>309</v>
      </c>
    </row>
    <row r="33" customFormat="false" ht="12.8" hidden="false" customHeight="false" outlineLevel="0" collapsed="false">
      <c r="A33" s="0" t="n">
        <v>365</v>
      </c>
      <c r="B33" s="0" t="s">
        <v>310</v>
      </c>
    </row>
    <row r="34" customFormat="false" ht="12.8" hidden="false" customHeight="false" outlineLevel="0" collapsed="false">
      <c r="A34" s="17" t="n">
        <f aca="false">A28*A33/(A29*A30*A31*A32*1000*2000)</f>
        <v>0.00051328125</v>
      </c>
      <c r="B34" s="0" t="s">
        <v>301</v>
      </c>
    </row>
    <row r="36" customFormat="false" ht="12.8" hidden="false" customHeight="false" outlineLevel="0" collapsed="false">
      <c r="A36" s="16" t="s">
        <v>311</v>
      </c>
    </row>
    <row r="37" customFormat="false" ht="12.8" hidden="false" customHeight="false" outlineLevel="0" collapsed="false">
      <c r="A37" s="0" t="n">
        <v>0.4</v>
      </c>
      <c r="B37" s="0" t="s">
        <v>312</v>
      </c>
    </row>
    <row r="38" customFormat="false" ht="12.8" hidden="false" customHeight="false" outlineLevel="0" collapsed="false">
      <c r="A38" s="0" t="n">
        <f aca="false">12.33/2</f>
        <v>6.165</v>
      </c>
      <c r="B38" s="0" t="s">
        <v>313</v>
      </c>
    </row>
    <row r="39" customFormat="false" ht="12.8" hidden="false" customHeight="false" outlineLevel="0" collapsed="false">
      <c r="A39" s="0" t="n">
        <v>365</v>
      </c>
      <c r="B39" s="0" t="s">
        <v>310</v>
      </c>
    </row>
    <row r="40" customFormat="false" ht="12.8" hidden="false" customHeight="false" outlineLevel="0" collapsed="false">
      <c r="A40" s="0" t="n">
        <v>0.8</v>
      </c>
      <c r="B40" s="0" t="s">
        <v>314</v>
      </c>
    </row>
    <row r="41" customFormat="false" ht="12.8" hidden="false" customHeight="false" outlineLevel="0" collapsed="false">
      <c r="A41" s="0" t="n">
        <v>4</v>
      </c>
      <c r="B41" s="0" t="s">
        <v>315</v>
      </c>
    </row>
    <row r="42" customFormat="false" ht="12.8" hidden="false" customHeight="false" outlineLevel="0" collapsed="false">
      <c r="A42" s="17" t="n">
        <f aca="false">A37*A38*A39/(1000*2000*A40*A41)</f>
        <v>0.0001406390625</v>
      </c>
      <c r="B42" s="0" t="s">
        <v>301</v>
      </c>
    </row>
    <row r="43" customFormat="false" ht="12.8" hidden="false" customHeight="false" outlineLevel="0" collapsed="false">
      <c r="A43" s="0" t="n">
        <f aca="false">1/A42</f>
        <v>7110.400071104</v>
      </c>
    </row>
    <row r="45" customFormat="false" ht="12.8" hidden="false" customHeight="false" outlineLevel="0" collapsed="false">
      <c r="A45" s="16" t="s">
        <v>316</v>
      </c>
    </row>
    <row r="46" customFormat="false" ht="12.8" hidden="false" customHeight="false" outlineLevel="0" collapsed="false">
      <c r="A46" s="0" t="n">
        <v>10</v>
      </c>
      <c r="B46" s="0" t="s">
        <v>317</v>
      </c>
    </row>
    <row r="47" customFormat="false" ht="12.8" hidden="false" customHeight="false" outlineLevel="0" collapsed="false">
      <c r="A47" s="17" t="n">
        <f aca="false">A34/A46</f>
        <v>5.1328125E-005</v>
      </c>
      <c r="B47" s="0" t="s">
        <v>301</v>
      </c>
    </row>
    <row r="48" customFormat="false" ht="12.8" hidden="false" customHeight="false" outlineLevel="0" collapsed="false">
      <c r="A48" s="0" t="n">
        <f aca="false">1/A47</f>
        <v>19482.496194825</v>
      </c>
    </row>
    <row r="50" customFormat="false" ht="12.8" hidden="false" customHeight="false" outlineLevel="0" collapsed="false">
      <c r="A50" s="16" t="s">
        <v>318</v>
      </c>
    </row>
    <row r="51" customFormat="false" ht="12.8" hidden="false" customHeight="false" outlineLevel="0" collapsed="false">
      <c r="A51" s="0" t="n">
        <v>3.5</v>
      </c>
      <c r="B51" s="0" t="s">
        <v>319</v>
      </c>
    </row>
    <row r="52" customFormat="false" ht="12.8" hidden="false" customHeight="false" outlineLevel="0" collapsed="false">
      <c r="A52" s="0" t="n">
        <v>2.5</v>
      </c>
      <c r="B52" s="0" t="s">
        <v>320</v>
      </c>
    </row>
    <row r="53" customFormat="false" ht="12.8" hidden="false" customHeight="false" outlineLevel="0" collapsed="false">
      <c r="A53" s="0" t="n">
        <f aca="false">20/9</f>
        <v>2.22222222222222</v>
      </c>
      <c r="B53" s="0" t="s">
        <v>251</v>
      </c>
    </row>
    <row r="54" customFormat="false" ht="12.8" hidden="false" customHeight="false" outlineLevel="0" collapsed="false">
      <c r="A54" s="0" t="n">
        <v>5</v>
      </c>
      <c r="B54" s="0" t="s">
        <v>299</v>
      </c>
    </row>
    <row r="55" customFormat="false" ht="12.8" hidden="false" customHeight="false" outlineLevel="0" collapsed="false">
      <c r="A55" s="0" t="n">
        <v>2</v>
      </c>
      <c r="B55" s="0" t="s">
        <v>321</v>
      </c>
    </row>
    <row r="56" customFormat="false" ht="12.8" hidden="false" customHeight="false" outlineLevel="0" collapsed="false">
      <c r="A56" s="17" t="n">
        <f aca="false">SUM(A51:A52)*A53/(A54*A55*1000*2000)</f>
        <v>6.66666666666667E-007</v>
      </c>
      <c r="B56" s="0" t="s">
        <v>301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3"/>
  <sheetViews>
    <sheetView showFormulas="false" showGridLines="true" showRowColHeaders="true" showZeros="true" rightToLeft="false" tabSelected="false" showOutlineSymbols="true" defaultGridColor="true" view="normal" topLeftCell="BN1" colorId="64" zoomScale="75" zoomScaleNormal="75" zoomScalePageLayoutView="100" workbookViewId="0">
      <pane xSplit="0" ySplit="1" topLeftCell="A2" activePane="bottomLeft" state="frozen"/>
      <selection pane="topLeft" activeCell="BN1" activeCellId="0" sqref="BN1"/>
      <selection pane="bottomLeft" activeCell="BW18" activeCellId="0" sqref="BW18"/>
    </sheetView>
  </sheetViews>
  <sheetFormatPr defaultRowHeight="12.8" zeroHeight="false" outlineLevelRow="0" outlineLevelCol="0"/>
  <cols>
    <col collapsed="false" customWidth="true" hidden="false" outlineLevel="0" max="1" min="1" style="4" width="13.7"/>
    <col collapsed="false" customWidth="true" hidden="false" outlineLevel="0" max="2" min="2" style="4" width="3.9"/>
    <col collapsed="false" customWidth="true" hidden="false" outlineLevel="0" max="3" min="3" style="4" width="11.12"/>
    <col collapsed="false" customWidth="true" hidden="false" outlineLevel="0" max="5" min="4" style="4" width="10.84"/>
    <col collapsed="false" customWidth="true" hidden="false" outlineLevel="0" max="6" min="6" style="4" width="10.69"/>
    <col collapsed="false" customWidth="true" hidden="false" outlineLevel="0" max="7" min="7" style="4" width="12.98"/>
    <col collapsed="false" customWidth="true" hidden="false" outlineLevel="0" max="8" min="8" style="4" width="8.81"/>
    <col collapsed="false" customWidth="true" hidden="false" outlineLevel="0" max="9" min="9" style="4" width="11.41"/>
    <col collapsed="false" customWidth="true" hidden="false" outlineLevel="0" max="10" min="10" style="4" width="9.53"/>
    <col collapsed="false" customWidth="true" hidden="false" outlineLevel="0" max="11" min="11" style="4" width="16.17"/>
    <col collapsed="false" customWidth="true" hidden="false" outlineLevel="0" max="13" min="12" style="4" width="13.43"/>
    <col collapsed="false" customWidth="true" hidden="false" outlineLevel="0" max="14" min="14" style="4" width="11.27"/>
    <col collapsed="false" customWidth="true" hidden="false" outlineLevel="0" max="15" min="15" style="4" width="10.84"/>
    <col collapsed="false" customWidth="true" hidden="false" outlineLevel="0" max="16" min="16" style="4" width="10.98"/>
    <col collapsed="false" customWidth="true" hidden="false" outlineLevel="0" max="18" min="17" style="4" width="12.29"/>
    <col collapsed="false" customWidth="true" hidden="false" outlineLevel="0" max="19" min="19" style="4" width="15.15"/>
    <col collapsed="false" customWidth="true" hidden="false" outlineLevel="0" max="20" min="20" style="4" width="14.59"/>
    <col collapsed="false" customWidth="true" hidden="false" outlineLevel="0" max="21" min="21" style="4" width="10.39"/>
    <col collapsed="false" customWidth="true" hidden="false" outlineLevel="0" max="22" min="22" style="4" width="10.54"/>
    <col collapsed="false" customWidth="true" hidden="false" outlineLevel="0" max="23" min="23" style="4" width="11.27"/>
    <col collapsed="false" customWidth="true" hidden="false" outlineLevel="0" max="24" min="24" style="4" width="11.99"/>
    <col collapsed="false" customWidth="true" hidden="false" outlineLevel="0" max="25" min="25" style="4" width="10.39"/>
    <col collapsed="false" customWidth="true" hidden="false" outlineLevel="0" max="26" min="26" style="4" width="12.71"/>
    <col collapsed="false" customWidth="true" hidden="false" outlineLevel="0" max="27" min="27" style="4" width="12.13"/>
    <col collapsed="false" customWidth="true" hidden="false" outlineLevel="0" max="28" min="28" style="4" width="14.43"/>
    <col collapsed="false" customWidth="true" hidden="false" outlineLevel="0" max="29" min="29" style="4" width="11.41"/>
    <col collapsed="false" customWidth="true" hidden="false" outlineLevel="0" max="30" min="30" style="4" width="11.7"/>
    <col collapsed="false" customWidth="true" hidden="false" outlineLevel="0" max="31" min="31" style="4" width="14.43"/>
    <col collapsed="false" customWidth="true" hidden="false" outlineLevel="0" max="32" min="32" style="4" width="16.6"/>
    <col collapsed="false" customWidth="true" hidden="false" outlineLevel="0" max="33" min="33" style="4" width="9.24"/>
    <col collapsed="false" customWidth="true" hidden="false" outlineLevel="0" max="34" min="34" style="4" width="12.42"/>
    <col collapsed="false" customWidth="true" hidden="false" outlineLevel="0" max="35" min="35" style="4" width="11.12"/>
    <col collapsed="false" customWidth="true" hidden="false" outlineLevel="0" max="36" min="36" style="4" width="13.57"/>
    <col collapsed="false" customWidth="true" hidden="false" outlineLevel="0" max="37" min="37" style="4" width="12.42"/>
    <col collapsed="false" customWidth="true" hidden="false" outlineLevel="0" max="38" min="38" style="4" width="14.3"/>
    <col collapsed="false" customWidth="true" hidden="false" outlineLevel="0" max="39" min="39" style="4" width="11.27"/>
    <col collapsed="false" customWidth="true" hidden="false" outlineLevel="0" max="40" min="40" style="4" width="9.1"/>
    <col collapsed="false" customWidth="true" hidden="false" outlineLevel="0" max="41" min="41" style="4" width="14.88"/>
    <col collapsed="false" customWidth="true" hidden="false" outlineLevel="0" max="42" min="42" style="4" width="14.16"/>
    <col collapsed="false" customWidth="true" hidden="false" outlineLevel="0" max="43" min="43" style="4" width="16.17"/>
    <col collapsed="false" customWidth="true" hidden="false" outlineLevel="0" max="44" min="44" style="4" width="15.88"/>
    <col collapsed="false" customWidth="true" hidden="false" outlineLevel="0" max="45" min="45" style="4" width="12.13"/>
    <col collapsed="false" customWidth="true" hidden="false" outlineLevel="0" max="46" min="46" style="4" width="9.82"/>
    <col collapsed="false" customWidth="true" hidden="false" outlineLevel="0" max="47" min="47" style="4" width="10.98"/>
    <col collapsed="false" customWidth="true" hidden="false" outlineLevel="0" max="48" min="48" style="4" width="13.87"/>
    <col collapsed="false" customWidth="true" hidden="false" outlineLevel="0" max="49" min="49" style="4" width="11.99"/>
    <col collapsed="false" customWidth="true" hidden="false" outlineLevel="0" max="50" min="50" style="4" width="12.85"/>
    <col collapsed="false" customWidth="true" hidden="false" outlineLevel="0" max="51" min="51" style="4" width="14.59"/>
    <col collapsed="false" customWidth="true" hidden="false" outlineLevel="0" max="52" min="52" style="4" width="10.54"/>
    <col collapsed="false" customWidth="true" hidden="false" outlineLevel="0" max="53" min="53" style="4" width="12.42"/>
    <col collapsed="false" customWidth="true" hidden="false" outlineLevel="0" max="54" min="54" style="4" width="11.12"/>
    <col collapsed="false" customWidth="true" hidden="false" outlineLevel="0" max="55" min="55" style="4" width="10.54"/>
    <col collapsed="false" customWidth="true" hidden="false" outlineLevel="0" max="56" min="56" style="4" width="10.84"/>
    <col collapsed="false" customWidth="true" hidden="false" outlineLevel="0" max="57" min="57" style="4" width="9.82"/>
    <col collapsed="false" customWidth="true" hidden="false" outlineLevel="0" max="58" min="58" style="4" width="9.24"/>
    <col collapsed="false" customWidth="true" hidden="false" outlineLevel="0" max="60" min="59" style="4" width="15.88"/>
    <col collapsed="false" customWidth="true" hidden="false" outlineLevel="0" max="61" min="61" style="4" width="13.43"/>
    <col collapsed="false" customWidth="true" hidden="false" outlineLevel="0" max="62" min="62" style="4" width="12.29"/>
    <col collapsed="false" customWidth="true" hidden="false" outlineLevel="0" max="63" min="63" style="4" width="18.92"/>
    <col collapsed="false" customWidth="true" hidden="false" outlineLevel="0" max="64" min="64" style="4" width="15.74"/>
    <col collapsed="false" customWidth="true" hidden="false" outlineLevel="0" max="65" min="65" style="4" width="12.13"/>
    <col collapsed="false" customWidth="true" hidden="false" outlineLevel="0" max="66" min="66" style="4" width="10.84"/>
    <col collapsed="false" customWidth="true" hidden="false" outlineLevel="0" max="67" min="67" style="4" width="8.22"/>
    <col collapsed="false" customWidth="true" hidden="false" outlineLevel="0" max="68" min="68" style="4" width="9.39"/>
    <col collapsed="false" customWidth="true" hidden="false" outlineLevel="0" max="69" min="69" style="4" width="10.84"/>
    <col collapsed="false" customWidth="true" hidden="false" outlineLevel="0" max="71" min="70" style="4" width="8.22"/>
    <col collapsed="false" customWidth="true" hidden="false" outlineLevel="0" max="74" min="72" style="4" width="12.98"/>
    <col collapsed="false" customWidth="true" hidden="false" outlineLevel="0" max="75" min="75" style="4" width="10.84"/>
    <col collapsed="false" customWidth="true" hidden="false" outlineLevel="0" max="76" min="76" style="4" width="10.39"/>
    <col collapsed="false" customWidth="true" hidden="false" outlineLevel="0" max="77" min="77" style="4" width="14.88"/>
    <col collapsed="false" customWidth="true" hidden="false" outlineLevel="0" max="78" min="78" style="4" width="14.43"/>
    <col collapsed="false" customWidth="true" hidden="false" outlineLevel="0" max="79" min="79" style="4" width="15.61"/>
    <col collapsed="false" customWidth="true" hidden="false" outlineLevel="0" max="80" min="80" style="4" width="12.56"/>
    <col collapsed="false" customWidth="true" hidden="false" outlineLevel="0" max="81" min="81" style="4" width="10.84"/>
    <col collapsed="false" customWidth="true" hidden="false" outlineLevel="0" max="82" min="82" style="4" width="15.74"/>
    <col collapsed="false" customWidth="true" hidden="false" outlineLevel="0" max="83" min="83" style="4" width="18.2"/>
    <col collapsed="false" customWidth="true" hidden="false" outlineLevel="0" max="84" min="84" style="4" width="16.33"/>
    <col collapsed="false" customWidth="true" hidden="false" outlineLevel="0" max="85" min="85" style="4" width="14.88"/>
    <col collapsed="false" customWidth="true" hidden="false" outlineLevel="0" max="86" min="86" style="4" width="10.98"/>
    <col collapsed="false" customWidth="true" hidden="false" outlineLevel="0" max="87" min="87" style="4" width="12.13"/>
    <col collapsed="false" customWidth="true" hidden="false" outlineLevel="0" max="88" min="88" style="4" width="15.31"/>
    <col collapsed="false" customWidth="true" hidden="false" outlineLevel="0" max="89" min="89" style="4" width="12.98"/>
    <col collapsed="false" customWidth="true" hidden="false" outlineLevel="0" max="90" min="90" style="4" width="4.48"/>
    <col collapsed="false" customWidth="false" hidden="false" outlineLevel="0" max="1023" min="91" style="4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8" t="s">
        <v>269</v>
      </c>
      <c r="B1" s="7" t="s">
        <v>39</v>
      </c>
      <c r="C1" s="7" t="s">
        <v>40</v>
      </c>
      <c r="D1" s="7" t="s">
        <v>41</v>
      </c>
      <c r="E1" s="7" t="s">
        <v>44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2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3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7" t="s">
        <v>322</v>
      </c>
    </row>
    <row r="2" s="19" customFormat="true" ht="12.8" hidden="false" customHeight="false" outlineLevel="0" collapsed="false">
      <c r="A2" s="18" t="s">
        <v>323</v>
      </c>
      <c r="B2" s="18" t="s">
        <v>39</v>
      </c>
      <c r="C2" s="18" t="n">
        <v>1</v>
      </c>
      <c r="D2" s="18" t="n">
        <v>2</v>
      </c>
      <c r="E2" s="18" t="n">
        <v>3</v>
      </c>
      <c r="F2" s="18" t="n">
        <v>4</v>
      </c>
      <c r="G2" s="18" t="n">
        <v>5</v>
      </c>
      <c r="H2" s="18" t="n">
        <v>6</v>
      </c>
      <c r="I2" s="18" t="n">
        <v>7</v>
      </c>
      <c r="J2" s="18" t="n">
        <v>8</v>
      </c>
      <c r="K2" s="18" t="n">
        <v>9</v>
      </c>
      <c r="L2" s="18" t="n">
        <v>10</v>
      </c>
      <c r="M2" s="18" t="n">
        <v>11</v>
      </c>
      <c r="N2" s="18" t="n">
        <v>12</v>
      </c>
      <c r="O2" s="18" t="n">
        <v>13</v>
      </c>
      <c r="P2" s="18" t="n">
        <v>14</v>
      </c>
      <c r="Q2" s="18" t="n">
        <v>15</v>
      </c>
      <c r="R2" s="18" t="n">
        <v>16</v>
      </c>
      <c r="S2" s="18" t="n">
        <v>17</v>
      </c>
      <c r="T2" s="18" t="n">
        <v>18</v>
      </c>
      <c r="U2" s="18" t="n">
        <v>19</v>
      </c>
      <c r="V2" s="18" t="n">
        <v>20</v>
      </c>
      <c r="W2" s="18" t="n">
        <v>21</v>
      </c>
      <c r="X2" s="18" t="n">
        <v>22</v>
      </c>
      <c r="Y2" s="18" t="n">
        <v>23</v>
      </c>
      <c r="Z2" s="18" t="n">
        <v>24</v>
      </c>
      <c r="AA2" s="18" t="n">
        <v>25</v>
      </c>
      <c r="AB2" s="18" t="n">
        <v>26</v>
      </c>
      <c r="AC2" s="18" t="n">
        <v>27</v>
      </c>
      <c r="AD2" s="18" t="n">
        <v>28</v>
      </c>
      <c r="AE2" s="18" t="n">
        <v>29</v>
      </c>
      <c r="AF2" s="18" t="n">
        <v>30</v>
      </c>
      <c r="AG2" s="18" t="n">
        <v>31</v>
      </c>
      <c r="AH2" s="18" t="n">
        <v>32</v>
      </c>
      <c r="AI2" s="18" t="n">
        <v>33</v>
      </c>
      <c r="AJ2" s="18" t="n">
        <v>34</v>
      </c>
      <c r="AK2" s="18" t="n">
        <v>35</v>
      </c>
      <c r="AL2" s="18" t="n">
        <v>36</v>
      </c>
      <c r="AM2" s="18" t="n">
        <v>37</v>
      </c>
      <c r="AN2" s="18" t="n">
        <v>38</v>
      </c>
      <c r="AO2" s="18" t="n">
        <v>39</v>
      </c>
      <c r="AP2" s="18" t="n">
        <v>40</v>
      </c>
      <c r="AQ2" s="18" t="n">
        <v>41</v>
      </c>
      <c r="AR2" s="18" t="n">
        <v>42</v>
      </c>
      <c r="AS2" s="18" t="n">
        <v>43</v>
      </c>
      <c r="AT2" s="18" t="n">
        <v>44</v>
      </c>
      <c r="AU2" s="18" t="n">
        <v>45</v>
      </c>
      <c r="AV2" s="18" t="n">
        <v>46</v>
      </c>
      <c r="AW2" s="18" t="n">
        <v>47</v>
      </c>
      <c r="AX2" s="18" t="n">
        <v>48</v>
      </c>
      <c r="AY2" s="18" t="n">
        <v>49</v>
      </c>
      <c r="AZ2" s="18" t="n">
        <v>50</v>
      </c>
      <c r="BA2" s="18" t="n">
        <v>51</v>
      </c>
      <c r="BB2" s="18" t="n">
        <v>52</v>
      </c>
      <c r="BC2" s="18" t="n">
        <v>53</v>
      </c>
      <c r="BD2" s="18" t="n">
        <v>54</v>
      </c>
      <c r="BE2" s="18" t="n">
        <v>55</v>
      </c>
      <c r="BF2" s="18" t="n">
        <v>56</v>
      </c>
      <c r="BG2" s="18" t="n">
        <v>57</v>
      </c>
      <c r="BH2" s="18" t="n">
        <v>58</v>
      </c>
      <c r="BI2" s="18" t="n">
        <v>59</v>
      </c>
      <c r="BJ2" s="18" t="n">
        <v>60</v>
      </c>
      <c r="BK2" s="18" t="n">
        <v>61</v>
      </c>
      <c r="BL2" s="18" t="n">
        <v>62</v>
      </c>
      <c r="BM2" s="18" t="n">
        <v>63</v>
      </c>
      <c r="BN2" s="18" t="n">
        <v>64</v>
      </c>
      <c r="BO2" s="18" t="n">
        <v>65</v>
      </c>
      <c r="BP2" s="18" t="n">
        <v>66</v>
      </c>
      <c r="BQ2" s="18" t="n">
        <v>67</v>
      </c>
      <c r="BR2" s="18" t="n">
        <v>68</v>
      </c>
      <c r="BS2" s="18" t="n">
        <v>69</v>
      </c>
      <c r="BT2" s="18" t="n">
        <v>70</v>
      </c>
      <c r="BU2" s="18" t="n">
        <v>71</v>
      </c>
      <c r="BV2" s="18" t="n">
        <v>72</v>
      </c>
      <c r="BW2" s="18" t="n">
        <v>73</v>
      </c>
      <c r="BX2" s="18" t="n">
        <v>74</v>
      </c>
      <c r="BY2" s="18" t="n">
        <v>75</v>
      </c>
      <c r="BZ2" s="18" t="n">
        <v>76</v>
      </c>
      <c r="CA2" s="18" t="n">
        <v>77</v>
      </c>
      <c r="CB2" s="18" t="n">
        <v>78</v>
      </c>
      <c r="CC2" s="18" t="n">
        <v>79</v>
      </c>
      <c r="CD2" s="18" t="n">
        <v>80</v>
      </c>
      <c r="CE2" s="18" t="n">
        <v>81</v>
      </c>
      <c r="CF2" s="18" t="n">
        <v>82</v>
      </c>
      <c r="CG2" s="18" t="n">
        <v>83</v>
      </c>
      <c r="CH2" s="18" t="n">
        <v>84</v>
      </c>
      <c r="CI2" s="18" t="n">
        <v>85</v>
      </c>
      <c r="CJ2" s="18" t="n">
        <v>86</v>
      </c>
      <c r="CK2" s="18" t="n">
        <v>87</v>
      </c>
      <c r="CL2" s="7" t="s">
        <v>322</v>
      </c>
    </row>
    <row r="3" customFormat="false" ht="12.8" hidden="false" customHeight="false" outlineLevel="0" collapsed="false">
      <c r="A3" s="4" t="s">
        <v>131</v>
      </c>
      <c r="B3" s="7" t="s">
        <v>39</v>
      </c>
      <c r="C3" s="4" t="n">
        <f aca="false" t="array" ref="C3:C3">SUM(Capacity!S3*Demand!C3*Capacity!$DH$3:$DH$25/(TRANSPOSE(Dists!$B2:$X2)*SUM(Capacity!$DH$3:$DH$25/TRANSPOSE(Dists!$B2:$X2))))</f>
        <v>0.0111013597558158</v>
      </c>
      <c r="D3" s="4" t="n">
        <f aca="false" t="array" ref="D3:D3">SUM(Capacity!V3*Demand!D3*Capacity!$DH$3:$DH$25/(TRANSPOSE(Dists!$B2:$X2)*SUM(Capacity!$DH$3:$DH$25/TRANSPOSE(Dists!$B2:$X2))))</f>
        <v>514.243421517869</v>
      </c>
      <c r="E3" s="4" t="n">
        <f aca="false" t="array" ref="E3:E3">SUM(Capacity!Y3*Demand!E3*Capacity!$DH$3:$DH$25/(TRANSPOSE(Dists!$B2:$X2)*SUM(Capacity!$DH$3:$DH$25/TRANSPOSE(Dists!$B2:$X2))))</f>
        <v>48.6113114717516</v>
      </c>
      <c r="F3" s="4" t="n">
        <f aca="false">$E3*Capacity!$M3/(2*(1-Capacity!$H$28)*Capacity!$H3)</f>
        <v>15.8239946197108</v>
      </c>
      <c r="G3" s="4" t="n">
        <f aca="false" t="array" ref="G3:G3">SUM(Capacity!AA3*Demand!G3*Capacity!$DH$3:$DH$25/(TRANSPOSE(Dists!$B2:$X2)*SUM(Capacity!$DH$3:$DH$25/TRANSPOSE(Dists!$B2:$X2))))</f>
        <v>0.593154411410663</v>
      </c>
      <c r="H3" s="4" t="n">
        <f aca="false" t="array" ref="H3:H3">SUM(Capacity!AB3*Demand!H3*Capacity!$DH$3:$DH$25/(TRANSPOSE(Dists!$B2:$X2)*SUM(Capacity!$DH$3:$DH$25/TRANSPOSE(Dists!$B2:$X2))))</f>
        <v>0</v>
      </c>
      <c r="I3" s="4" t="n">
        <f aca="false" t="array" ref="I3:I3">SUM(Capacity!AC3*Demand!I$3:I$25*Capacity!$DG$3:$DG$25/(TRANSPOSE(Dists!$B2:$X2)*SUM(Capacity!$DG$3:$DG$25/TRANSPOSE(Dists!$B2:$X2))))</f>
        <v>3.52252615109565</v>
      </c>
      <c r="J3" s="4" t="n">
        <f aca="false" t="array" ref="J3:J3">SUM(Capacity!AD3*Demand!J$3:J$25*Capacity!$DG$3:$DG$25/(TRANSPOSE(Dists!$B2:$X2)*SUM(Capacity!$DG$3:$DG$25/TRANSPOSE(Dists!$B2:$X2))))</f>
        <v>3.04998030390435</v>
      </c>
      <c r="K3" s="4" t="n">
        <f aca="false">5479.45205479452*$R3</f>
        <v>514360.34471678</v>
      </c>
      <c r="L3" s="4" t="n">
        <f aca="false">17142.8571428571*$S3</f>
        <v>94164.3084019827</v>
      </c>
      <c r="M3" s="4" t="n">
        <f aca="false">IF(50420.1680672269*$T3&gt;($K3/20),50420.1680672269*$T3-($K3/20),0)</f>
        <v>129072.626712626</v>
      </c>
      <c r="N3" s="4" t="n">
        <f aca="false" t="array" ref="N3:N3">SUM(Capacity!AH3*Demand!N3*Capacity!$DH$3:$DH$25/(TRANSPOSE(Dists!$B2:$X2)*SUM(Capacity!$DH$3:$DH$25/TRANSPOSE(Dists!$B2:$X2))))</f>
        <v>53.5205912394476</v>
      </c>
      <c r="O3" s="4" t="n">
        <f aca="false">D31*DemClcs!$A$31*DemClcs!$A$32</f>
        <v>450.407811091328</v>
      </c>
      <c r="P3" s="4" t="n">
        <f aca="false">O3*DemClcs!$A$29*DemClcs!$A$30</f>
        <v>180.163124436531</v>
      </c>
      <c r="Q3" s="4" t="n">
        <f aca="false" t="array" ref="Q3:Q3">SUM(Capacity!AK3*Demand!Q3*Capacity!$DI$3:$DI$25/(TRANSPOSE(Dists!$B2:$X2)*SUM(Capacity!$DI$3:$DI$25/TRANSPOSE(Dists!$B2:$X2))))</f>
        <v>0.0195089594841087</v>
      </c>
      <c r="R3" s="4" t="n">
        <f aca="false" t="array" ref="R3:R3">SUM(Capacity!AL3*Demand!R3*Capacity!$DH$3:$DH$25/(TRANSPOSE(Dists!$B2:$X2)*SUM(Capacity!$DH$3:$DH$25/TRANSPOSE(Dists!$B2:$X2))))</f>
        <v>93.8707629108123</v>
      </c>
      <c r="S3" s="4" t="n">
        <f aca="false">SUM($BG31,$BI31,$BK31)*Capacity!AM3/SUM(Capacity!$AM3:$AN3,Capacity!$CX3)</f>
        <v>5.49291799011567</v>
      </c>
      <c r="T3" s="4" t="n">
        <f aca="false">SUM($BG31,$BI31,$BK31)*Capacity!AN3/SUM(Capacity!$AM3:$AN3,Capacity!$CX3)</f>
        <v>3.07001443831123</v>
      </c>
      <c r="U3" s="4" t="n">
        <f aca="false">$M3*120*2/(16*1000*2000)</f>
        <v>0.968044700344697</v>
      </c>
      <c r="V3" s="4" t="n">
        <f aca="false" t="array" ref="V3:V3">SUM(Capacity!AP3*Demand!V$3:V$25*Capacity!$DH$3:$DH$25/(TRANSPOSE(Dists!$B2:$X2)*SUM(Capacity!$DH$3:$DH$25/TRANSPOSE(Dists!$B2:$X2))))</f>
        <v>12.5153523001754</v>
      </c>
      <c r="W3" s="4" t="n">
        <f aca="false" t="array" ref="W3:W3">SUM(Capacity!AQ3*Demand!W$3:W$25*Capacity!$DH$3:$DH$25/(TRANSPOSE(Dists!$B2:$X2)*SUM(Capacity!$DH$3:$DH$25/TRANSPOSE(Dists!$B2:$X2))))</f>
        <v>56.9252912962058</v>
      </c>
      <c r="X3" s="4" t="n">
        <f aca="false" t="array" ref="X3:X3">SUM(Capacity!AR3*Demand!X$3:X$25*Capacity!$DH$3:$DH$25/(TRANSPOSE(Dists!$B2:$X2)*SUM(Capacity!$DH$3:$DH$25/TRANSPOSE(Dists!$B2:$X2))))</f>
        <v>1101.35366798918</v>
      </c>
      <c r="Y3" s="4" t="n">
        <f aca="false">$L3*600*6/(90*1000*2000)</f>
        <v>1.88328616803965</v>
      </c>
      <c r="Z3" s="4" t="n">
        <f aca="false" t="array" ref="Z3:Z3">SUM(Capacity!AT3*Demand!Z$3:Z$25*Capacity!$DI$3:$DI$25/(TRANSPOSE(Dists!$B2:$X2)*SUM(Capacity!$DI$3:$DI$25/TRANSPOSE(Dists!$B2:$X2))))</f>
        <v>5.46756440042011</v>
      </c>
      <c r="AA3" s="4" t="n">
        <f aca="false" t="array" ref="AA3:AA3">SUM(Capacity!AU3*Demand!AA$3:AA$25*Capacity!$DI$3:$DI$25/(TRANSPOSE(Dists!$B2:$X2)*SUM(Capacity!$DI$3:$DI$25/TRANSPOSE(Dists!$B2:$X2))))</f>
        <v>3.04372802754962</v>
      </c>
      <c r="AB3" s="4" t="n">
        <f aca="false" t="array" ref="AB3:AB3">SUM(Capacity!AV3*Demand!AB$3:AB$25*Capacity!$DI$3:$DI$25/(TRANSPOSE(Dists!$B2:$X2)*SUM(Capacity!$DI$3:$DI$25/TRANSPOSE(Dists!$B2:$X2))))</f>
        <v>3.26582011165552</v>
      </c>
      <c r="AC3" s="4" t="n">
        <f aca="false" t="array" ref="AC3:AC3">SUM(Capacity!AW3*Demand!AC$3:AC$25*Capacity!$DI$3:$DI$25/(TRANSPOSE(Dists!$B2:$X2)*SUM(Capacity!$DI$3:$DI$25/TRANSPOSE(Dists!$B2:$X2))))</f>
        <v>0.917841054185035</v>
      </c>
      <c r="AD3" s="4" t="n">
        <f aca="false" t="array" ref="AD3:AD3">SUM(Capacity!AX3*Demand!AD$3:AD$25*Capacity!$DI$3:$DI$25/(TRANSPOSE(Dists!$B2:$X2)*SUM(Capacity!$DI$3:$DI$25/TRANSPOSE(Dists!$B2:$X2))))</f>
        <v>0.534649572390154</v>
      </c>
      <c r="AE3" s="4" t="n">
        <f aca="false" t="array" ref="AE3:AE3">SUM(Capacity!AY3*Demand!AE$3:AE$25*Capacity!$DI$3:$DI$25/(TRANSPOSE(Dists!$B2:$X2)*SUM(Capacity!$DI$3:$DI$25/TRANSPOSE(Dists!$B2:$X2))))</f>
        <v>0.385397159633921</v>
      </c>
      <c r="AF3" s="4" t="n">
        <f aca="false" t="array" ref="AF3:AF3">SUM(Capacity!AZ3*Demand!AF$3:AF$25*Capacity!$DI$3:$DI$25/(TRANSPOSE(Dists!$B2:$X2)*SUM(Capacity!$DI$3:$DI$25/TRANSPOSE(Dists!$B2:$X2))))</f>
        <v>0.0868445804993121</v>
      </c>
      <c r="AG3" s="4" t="n">
        <f aca="false" t="array" ref="AG3:AG3">SUM(Capacity!BA3*Demand!AG$3:AG$25*Capacity!$DI$3:$DI$25/(TRANSPOSE(Dists!$B2:$X2)*SUM(Capacity!$DI$3:$DI$25/TRANSPOSE(Dists!$B2:$X2))))</f>
        <v>0.338925663088337</v>
      </c>
      <c r="AH3" s="4" t="n">
        <f aca="false" t="array" ref="AH3:AH3">SUM(Capacity!BB3*Demand!AH$3:AH$25*Capacity!$DI$3:$DI$25/(TRANSPOSE(Dists!$B2:$X2)*SUM(Capacity!$DI$3:$DI$25/TRANSPOSE(Dists!$B2:$X2))))</f>
        <v>0.378544275646425</v>
      </c>
      <c r="AI3" s="4" t="n">
        <f aca="false" t="array" ref="AI3:AI3">SUM(Capacity!BC3*Demand!AI$3:AI$25*Capacity!$DI$3:$DI$25/(TRANSPOSE(Dists!$B2:$X2)*SUM(Capacity!$DI$3:$DI$25/TRANSPOSE(Dists!$B2:$X2))))</f>
        <v>0.0548765618109378</v>
      </c>
      <c r="AJ3" s="4" t="n">
        <f aca="false" t="array" ref="AJ3:AJ3">SUM(Capacity!BD3*Demand!AJ$3:AJ$25*Capacity!$DI$3:$DI$25/(TRANSPOSE(Dists!$B2:$X2)*SUM(Capacity!$DI$3:$DI$25/TRANSPOSE(Dists!$B2:$X2))))</f>
        <v>0.146007573208779</v>
      </c>
      <c r="AK3" s="4" t="n">
        <f aca="false" t="array" ref="AK3:AK3">SUM(Capacity!BE3*Demand!AK$3:AK$25*Capacity!$DI$3:$DI$25/(TRANSPOSE(Dists!$B2:$X2)*SUM(Capacity!$DI$3:$DI$25/TRANSPOSE(Dists!$B2:$X2))))</f>
        <v>0.0793536022764892</v>
      </c>
      <c r="AL3" s="4" t="n">
        <f aca="false" t="array" ref="AL3:AL3">SUM(Capacity!BF3*Demand!AL$3:AL$25*Capacity!$DI$3:$DI$25/(TRANSPOSE(Dists!$B2:$X2)*SUM(Capacity!$DI$3:$DI$25/TRANSPOSE(Dists!$B2:$X2))))</f>
        <v>0.0524466618135607</v>
      </c>
      <c r="AM3" s="4" t="n">
        <f aca="false" t="array" ref="AM3:AM3">SUM(Capacity!BG3*Demand!AM$3:AM$25*Capacity!$DI$3:$DI$25/(TRANSPOSE(Dists!$B2:$X2)*SUM(Capacity!$DI$3:$DI$25/TRANSPOSE(Dists!$B2:$X2))))</f>
        <v>0.108698789013111</v>
      </c>
      <c r="AN3" s="4" t="n">
        <f aca="false" t="array" ref="AN3:AN3">SUM(Capacity!BH3*Demand!AN$3:AN$25*Capacity!$DI$3:$DI$25/(TRANSPOSE(Dists!$B2:$X2)*SUM(Capacity!$DI$3:$DI$25/TRANSPOSE(Dists!$B2:$X2))))</f>
        <v>0.068432991514334</v>
      </c>
      <c r="AO3" s="4" t="n">
        <f aca="false" t="array" ref="AO3:AO3">SUM(Capacity!BI3*Demand!AO$3:AO$25*Capacity!$DI$3:$DI$25/(TRANSPOSE(Dists!$B2:$X2)*SUM(Capacity!$DI$3:$DI$25/TRANSPOSE(Dists!$B2:$X2))))</f>
        <v>0.167747385367704</v>
      </c>
      <c r="AP3" s="4" t="n">
        <f aca="false" t="array" ref="AP3:AP3">SUM(Capacity!BJ3*Demand!AP$3:AP$25*Capacity!$DI$3:$DI$25/(TRANSPOSE(Dists!$B2:$X2)*SUM(Capacity!$DI$3:$DI$25/TRANSPOSE(Dists!$B2:$X2))))</f>
        <v>0.134331614698808</v>
      </c>
      <c r="AQ3" s="4" t="n">
        <f aca="false" t="array" ref="AQ3:AQ3">SUM(Capacity!BK3*Demand!AQ$3:AQ$25*Capacity!$DI$3:$DI$25/(TRANSPOSE(Dists!$B2:$X2)*SUM(Capacity!$DI$3:$DI$25/TRANSPOSE(Dists!$B2:$X2))))</f>
        <v>0.0102465839935266</v>
      </c>
      <c r="AR3" s="4" t="n">
        <f aca="false" t="array" ref="AR3:AR3">SUM(Capacity!BL3*Demand!AR$3:AR$25*Capacity!$DI$3:$DI$25/(TRANSPOSE(Dists!$B2:$X2)*SUM(Capacity!$DI$3:$DI$25/TRANSPOSE(Dists!$B2:$X2))))</f>
        <v>0.0166184981991144</v>
      </c>
      <c r="AS3" s="4" t="n">
        <f aca="false" t="array" ref="AS3:AS3">SUM(Capacity!BM3*Demand!AS$3:AS$25*Capacity!$DI$3:$DI$25/(TRANSPOSE(Dists!$B2:$X2)*SUM(Capacity!$DI$3:$DI$25/TRANSPOSE(Dists!$B2:$X2))))</f>
        <v>0.0360939042228702</v>
      </c>
      <c r="AT3" s="4" t="n">
        <f aca="false" t="array" ref="AT3:AT3">SUM(Capacity!BN3*Demand!AT$3:AT$25*Capacity!$DI$3:$DI$25/(TRANSPOSE(Dists!$B2:$X2)*SUM(Capacity!$DI$3:$DI$25/TRANSPOSE(Dists!$B2:$X2))))</f>
        <v>0.355631860660059</v>
      </c>
      <c r="AU3" s="4" t="n">
        <f aca="false" t="array" ref="AU3:AU3">SUM(Capacity!BO3*Demand!AU$3:AU$25*Capacity!$DI$3:$DI$25/(TRANSPOSE(Dists!$B2:$X2)*SUM(Capacity!$DI$3:$DI$25/TRANSPOSE(Dists!$B2:$X2))))</f>
        <v>0.381852329606246</v>
      </c>
      <c r="AV3" s="4" t="n">
        <f aca="false" t="array" ref="AV3:AV3">SUM(Capacity!BP3*Demand!AV$3:AV$25*Capacity!$DI$3:$DI$25/(TRANSPOSE(Dists!$B2:$X2)*SUM(Capacity!$DI$3:$DI$25/TRANSPOSE(Dists!$B2:$X2))))</f>
        <v>0.0170358121358859</v>
      </c>
      <c r="AW3" s="4" t="n">
        <f aca="false" t="array" ref="AW3:AW3">SUM(Capacity!BQ3*Demand!AW$3:AW$25*Capacity!$DI$3:$DI$25/(TRANSPOSE(Dists!$B2:$X2)*SUM(Capacity!$DI$3:$DI$25/TRANSPOSE(Dists!$B2:$X2))))</f>
        <v>0.506239795356917</v>
      </c>
      <c r="AX3" s="4" t="n">
        <f aca="false" t="array" ref="AX3:AX3">SUM(Capacity!BR3*Demand!AX$3:AX$25*Capacity!$DI$3:$DI$25/(TRANSPOSE(Dists!$B2:$X2)*SUM(Capacity!$DI$3:$DI$25/TRANSPOSE(Dists!$B2:$X2))))</f>
        <v>0.0609762368987081</v>
      </c>
      <c r="AY3" s="4" t="n">
        <f aca="false" t="array" ref="AY3:AY3">SUM(Capacity!BS3*Demand!AY$3:AY$25*Capacity!$DI$3:$DI$25/(TRANSPOSE(Dists!$B2:$X2)*SUM(Capacity!$DI$3:$DI$25/TRANSPOSE(Dists!$B2:$X2))))</f>
        <v>0.0397279581986088</v>
      </c>
      <c r="AZ3" s="4" t="n">
        <f aca="false" t="array" ref="AZ3:AZ3">SUM(Capacity!BT3*Demand!AZ$3:AZ$25*Capacity!$DI$3:$DI$25/(TRANSPOSE(Dists!$B2:$X2)*SUM(Capacity!$DI$3:$DI$25/TRANSPOSE(Dists!$B2:$X2))))</f>
        <v>0.261881693924779</v>
      </c>
      <c r="BA3" s="4" t="n">
        <f aca="false">L3*25/(2000*1000*51)</f>
        <v>0.0230794873534271</v>
      </c>
      <c r="BB3" s="4" t="n">
        <f aca="false" t="array" ref="BB3:BB3">SUM(Capacity!BV3*Demand!BB$3:BB$25*Capacity!$DI$3:$DI$25/(TRANSPOSE(Dists!$B2:$X2)*SUM(Capacity!$DI$3:$DI$25/TRANSPOSE(Dists!$B2:$X2))))</f>
        <v>0.0468789607934868</v>
      </c>
      <c r="BC3" s="4" t="n">
        <f aca="false" t="array" ref="BC3:BC3">SUM(Capacity!BW3*Demand!BC$3:BC$25*Capacity!$DI$3:$DI$25/(TRANSPOSE(Dists!$B2:$X2)*SUM(Capacity!$DI$3:$DI$25/TRANSPOSE(Dists!$B2:$X2))))</f>
        <v>0.0321526709002228</v>
      </c>
      <c r="BD3" s="4" t="n">
        <f aca="false" t="array" ref="BD3:BD3">SUM(Capacity!BX3*Demand!BD$3:BD$25*Capacity!$DI$3:$DI$25/(TRANSPOSE(Dists!$B2:$X2)*SUM(Capacity!$DI$3:$DI$25/TRANSPOSE(Dists!$B2:$X2))))</f>
        <v>0.0202988563751892</v>
      </c>
      <c r="BE3" s="4" t="n">
        <f aca="false" t="array" ref="BE3:BE3">SUM(Capacity!BY3*Demand!BE$3:BE$25*Capacity!$DI$3:$DI$25/(TRANSPOSE(Dists!$B2:$X2)*SUM(Capacity!$DI$3:$DI$25/TRANSPOSE(Dists!$B2:$X2))))</f>
        <v>0.0106481909697995</v>
      </c>
      <c r="BF3" s="4" t="n">
        <f aca="false" t="array" ref="BF3:BF3">SUM(Capacity!BZ3*Demand!BF$3:BF$25*Capacity!$DI$3:$DI$25/(TRANSPOSE(Dists!$B2:$X2)*SUM(Capacity!$DI$3:$DI$25/TRANSPOSE(Dists!$B2:$X2))))</f>
        <v>1.3137514042643</v>
      </c>
      <c r="BG3" s="4" t="n">
        <f aca="false" t="array" ref="BG3:BG3">SUM(Capacity!CA3*Demand!BG$3:BG$25*Capacity!$DI$3:$DI$25/(TRANSPOSE(Dists!$B2:$X2)*SUM(Capacity!$DI$3:$DI$25/TRANSPOSE(Dists!$B2:$X2))))</f>
        <v>4.31266816285304</v>
      </c>
      <c r="BH3" s="4" t="n">
        <f aca="false" t="array" ref="BH3:BH3">SUM(Capacity!CB3*Demand!BH$3:BH$25*Capacity!$DI$3:$DI$25/(TRANSPOSE(Dists!$B2:$X2)*SUM(Capacity!$DI$3:$DI$25/TRANSPOSE(Dists!$B2:$X2))))</f>
        <v>7.9821058125939</v>
      </c>
      <c r="BI3" s="4" t="n">
        <f aca="false" t="array" ref="BI3:BI3">SUM(Capacity!CC3*Demand!BI3*Capacity!$DI$3:$DI$25/(TRANSPOSE(Dists!$B2:$X2)*SUM(Capacity!$DI$3:$DI$25/TRANSPOSE(Dists!$B2:$X2))))</f>
        <v>3.55783572734641</v>
      </c>
      <c r="BJ3" s="4" t="n">
        <f aca="false" t="array" ref="BJ3:BJ3">SUM(Capacity!CD3*Demand!BJ3*Capacity!$DI$3:$DI$25/(TRANSPOSE(Dists!$B2:$X2)*SUM(Capacity!$DI$3:$DI$25/TRANSPOSE(Dists!$B2:$X2))))</f>
        <v>230.262742627407</v>
      </c>
      <c r="BK3" s="4" t="n">
        <f aca="false" t="array" ref="BK3:BK3">SUM(Capacity!CE3*Demand!BK3*Capacity!$DI$3:$DI$25/(TRANSPOSE(Dists!$B2:$X2)*SUM(Capacity!$DI$3:$DI$25/TRANSPOSE(Dists!$B2:$X2))))</f>
        <v>1.7789178636732</v>
      </c>
      <c r="BL3" s="4" t="n">
        <f aca="false" t="array" ref="BL3:BL3">SUM(Capacity!CF3*Demand!BL3*Capacity!$DI$3:$DI$25/(TRANSPOSE(Dists!$B2:$X2)*SUM(Capacity!$DI$3:$DI$25/TRANSPOSE(Dists!$B2:$X2))))</f>
        <v>148.705830618389</v>
      </c>
      <c r="BM3" s="4" t="n">
        <f aca="false" t="array" ref="BM3:BM3">SUM(Capacity!CG3*Demand!BM3*Capacity!$DI$3:$DI$25/(TRANSPOSE(Dists!$B2:$X2)*SUM(Capacity!$DI$3:$DI$25/TRANSPOSE(Dists!$B2:$X2))))</f>
        <v>2.90368272082634</v>
      </c>
      <c r="BN3" s="4" t="n">
        <f aca="false">MAX($BO3/0.006,$BP3/0.7,$BR3/0.002,$BS3/0.001)</f>
        <v>8.71464561552483E-005</v>
      </c>
      <c r="BO3" s="4" t="n">
        <f aca="false" t="array" ref="BO3:BO3">SUM(Capacity!CI3*Demand!BO3*Capacity!$DI$3:$DI$25/(TRANSPOSE(Dists!$B2:$X2)*SUM(Capacity!$DI$3:$DI$25/TRANSPOSE(Dists!$B2:$X2))))</f>
        <v>5.2287873693149E-007</v>
      </c>
      <c r="BP3" s="4" t="n">
        <f aca="false" t="array" ref="BP3:BP3">SUM(Capacity!CJ3*Demand!BP3*Capacity!$DI$3:$DI$25/(TRANSPOSE(Dists!$B2:$X2)*SUM(Capacity!$DI$3:$DI$25/TRANSPOSE(Dists!$B2:$X2))))</f>
        <v>1.08182308492111E-008</v>
      </c>
      <c r="BQ3" s="4" t="n">
        <f aca="false" t="array" ref="BQ3:BQ3">SUM(Capacity!CK3*Demand!BQ3*Capacity!$DI$3:$DI$25/(TRANSPOSE(Dists!$B2:$X2)*SUM(Capacity!$DI$3:$DI$25/TRANSPOSE(Dists!$B2:$X2))))</f>
        <v>0</v>
      </c>
      <c r="BR3" s="4" t="n">
        <f aca="false" t="array" ref="BR3:BR3">SUM(Capacity!CL3*Demand!BR3*Capacity!$DI$3:$DI$25/(TRANSPOSE(Dists!$B2:$X2)*SUM(Capacity!$DI$3:$DI$25/TRANSPOSE(Dists!$B2:$X2))))</f>
        <v>5.2287873693149E-008</v>
      </c>
      <c r="BS3" s="4" t="n">
        <f aca="false" t="array" ref="BS3:BS3">SUM(Capacity!CM3*Demand!BS3*Capacity!$DI$3:$DI$25/(TRANSPOSE(Dists!$B2:$X2)*SUM(Capacity!$DI$3:$DI$25/TRANSPOSE(Dists!$B2:$X2))))</f>
        <v>1.04575593761678E-008</v>
      </c>
      <c r="BT3" s="4" t="n">
        <f aca="false" t="array" ref="BT3:BT3">SUM(Capacity!CN3*Demand!BT3*Capacity!$DI$3:$DI$25/(TRANSPOSE(Dists!$B2:$X2)*SUM(Capacity!$DI$3:$DI$25/TRANSPOSE(Dists!$B2:$X2))))</f>
        <v>0.365995347824153</v>
      </c>
      <c r="BU3" s="4" t="n">
        <f aca="false" t="array" ref="BU3:BU3">SUM(Capacity!CO3*Demand!BU3*Capacity!$DI$3:$DI$25/(TRANSPOSE(Dists!$B2:$X2)*SUM(Capacity!$DI$3:$DI$25/TRANSPOSE(Dists!$B2:$X2))))</f>
        <v>0.0365995347824153</v>
      </c>
      <c r="BV3" s="4" t="n">
        <f aca="false" t="array" ref="BV3:BV3">SUM(Capacity!CP3*Demand!BV3*Capacity!$DI$3:$DI$25/(TRANSPOSE(Dists!$B2:$X2)*SUM(Capacity!$DI$3:$DI$25/TRANSPOSE(Dists!$B2:$X2))))</f>
        <v>0.00365995347824153</v>
      </c>
      <c r="BW3" s="4" t="n">
        <f aca="false">E31*DemClcs!$A$40*DemClcs!$A$41*8.34/(DemClcs!$A$38)</f>
        <v>301.762143292663</v>
      </c>
      <c r="BX3" s="4" t="n">
        <f aca="false" t="array" ref="BX3:BX3">SUM(Capacity!CR3*Demand!BX3*Capacity!$DI$3:$DI$25/(TRANSPOSE(Dists!$B2:$X2)*SUM(Capacity!$DI$3:$DI$25/TRANSPOSE(Dists!$B2:$X2))))</f>
        <v>0.355672833457553</v>
      </c>
      <c r="BY3" s="4" t="n">
        <f aca="false" t="array" ref="BY3:BY3">SUM(Capacity!CS3*Demand!BY3*Capacity!$DI$3:$DI$25/(TRANSPOSE(Dists!$B2:$X2)*SUM(Capacity!$DI$3:$DI$25/TRANSPOSE(Dists!$B2:$X2))))</f>
        <v>32.212365534851</v>
      </c>
      <c r="BZ3" s="4" t="n">
        <f aca="false" t="array" ref="BZ3:BZ3">SUM(Capacity!CT3*Demand!BZ3*Capacity!$DI$3:$DI$25/(TRANSPOSE(Dists!$B2:$X2)*SUM(Capacity!$DI$3:$DI$25/TRANSPOSE(Dists!$B2:$X2))))</f>
        <v>0.191541202199801</v>
      </c>
      <c r="CA3" s="4" t="n">
        <f aca="false" t="array" ref="CA3:CA3">SUM(Capacity!CU3*Demand!CA3*Capacity!$DI$3:$DI$25/(TRANSPOSE(Dists!$B2:$X2)*SUM(Capacity!$DI$3:$DI$25/TRANSPOSE(Dists!$B2:$X2))))</f>
        <v>0.0740349082211677</v>
      </c>
      <c r="CB3" s="4" t="n">
        <f aca="false" t="array" ref="CB3:CB3">SUM(Capacity!CV3*Demand!CB3*Capacity!$DI$3:$DI$25/(TRANSPOSE(Dists!$B2:$X2)*SUM(Capacity!$DI$3:$DI$25/TRANSPOSE(Dists!$B2:$X2))))</f>
        <v>59.9478822010636</v>
      </c>
      <c r="CC3" s="4" t="n">
        <f aca="false" t="array" ref="CC3:CC3">SUM(Capacity!CW3*Demand!CC3*Capacity!$DI$3:$DI$25/(TRANSPOSE(Dists!$B2:$X2)*SUM(Capacity!$DI$3:$DI$25/TRANSPOSE(Dists!$B2:$X2))))</f>
        <v>301.120726451386</v>
      </c>
      <c r="CD3" s="4" t="n">
        <f aca="false">SUM($BG31,$BI31,$BK31)*Capacity!CX3/SUM(Capacity!$AM3:$AN3,Capacity!$CX3)</f>
        <v>9.60908769855612</v>
      </c>
      <c r="CE3" s="4" t="n">
        <f aca="false" t="array" ref="CE3:CE3">SUM(Capacity!CY3*Demand!CE3*Capacity!$DI$3:$DI$25/(TRANSPOSE(Dists!$B2:$X2)*SUM(Capacity!$DI$3:$DI$25/TRANSPOSE(Dists!$B2:$X2))))</f>
        <v>0.35219345014856</v>
      </c>
      <c r="CF3" s="4" t="n">
        <f aca="false" t="array" ref="CF3:CF3">SUM(Capacity!CZ3*Demand!CF3*Capacity!$DI$3:$DI$25/(TRANSPOSE(Dists!$B2:$X2)*SUM(Capacity!$DI$3:$DI$25/TRANSPOSE(Dists!$B2:$X2))))</f>
        <v>53.3465322554248</v>
      </c>
      <c r="CG3" s="4" t="n">
        <f aca="false" t="array" ref="CG3:CG3">SUM(Capacity!DA3*Demand!CG3*Capacity!$DI$3:$DI$25/(TRANSPOSE(Dists!$B2:$X2)*SUM(Capacity!$DI$3:$DI$25/TRANSPOSE(Dists!$B2:$X2))))</f>
        <v>8.37751488529679E-006</v>
      </c>
      <c r="CH3" s="4" t="n">
        <f aca="false" t="array" ref="CH3:CH3">SUM(Capacity!DB3*Demand!CH3*Capacity!$DI$3:$DI$25/(TRANSPOSE(Dists!$B2:$X2)*SUM(Capacity!$DI$3:$DI$25/TRANSPOSE(Dists!$B2:$X2))))</f>
        <v>4.56527757348082E-005</v>
      </c>
      <c r="CI3" s="4" t="n">
        <f aca="false" t="array" ref="CI3:CI3">SUM(Capacity!DC3*Demand!CI3*Capacity!$DI$3:$DI$25/(TRANSPOSE(Dists!$B2:$X2)*SUM(Capacity!$DI$3:$DI$25/TRANSPOSE(Dists!$B2:$X2))))</f>
        <v>0.0312780714394129</v>
      </c>
      <c r="CJ3" s="4" t="n">
        <f aca="false" t="array" ref="CJ3:CJ3">SUM(Capacity!DD3*Demand!CJ3*Capacity!$DI$3:$DI$25/(TRANSPOSE(Dists!$B2:$X2)*SUM(Capacity!$DI$3:$DI$25/TRANSPOSE(Dists!$B2:$X2))))</f>
        <v>0.00772549151671587</v>
      </c>
      <c r="CK3" s="4" t="n">
        <f aca="false" t="array" ref="CK3:CK3">SUM(Capacity!DE3*Demand!CK3*Capacity!$DI$3:$DI$25/(TRANSPOSE(Dists!$B2:$X2)*SUM(Capacity!$DI$3:$DI$25/TRANSPOSE(Dists!$B2:$X2))))</f>
        <v>0.970064912950546</v>
      </c>
      <c r="CL3" s="7" t="s">
        <v>322</v>
      </c>
    </row>
    <row r="4" customFormat="false" ht="12.8" hidden="false" customHeight="false" outlineLevel="0" collapsed="false">
      <c r="A4" s="4" t="s">
        <v>133</v>
      </c>
      <c r="B4" s="7" t="s">
        <v>39</v>
      </c>
      <c r="C4" s="4" t="n">
        <f aca="false" t="array" ref="C4:C4">SUM(Capacity!S4*Demand!C4*Capacity!$DH$3:$DH$25/(TRANSPOSE(Dists!$B3:$X3)*SUM(Capacity!$DH$3:$DH$25/TRANSPOSE(Dists!$B3:$X3))))</f>
        <v>0.01857652255731</v>
      </c>
      <c r="D4" s="4" t="n">
        <f aca="false" t="array" ref="D4:D4">SUM(Capacity!V4*Demand!D4*Capacity!$DH$3:$DH$25/(TRANSPOSE(Dists!$B3:$X3)*SUM(Capacity!$DH$3:$DH$25/TRANSPOSE(Dists!$B3:$X3))))</f>
        <v>865.578283580824</v>
      </c>
      <c r="E4" s="4" t="n">
        <f aca="false" t="array" ref="E4:E4">SUM(Capacity!Y4*Demand!E4*Capacity!$DH$3:$DH$25/(TRANSPOSE(Dists!$B3:$X3)*SUM(Capacity!$DH$3:$DH$25/TRANSPOSE(Dists!$B3:$X3))))</f>
        <v>160.480524419267</v>
      </c>
      <c r="F4" s="4" t="n">
        <f aca="false">$E4*Capacity!$M4/(2*(1-Capacity!$H$28)*Capacity!$H4)</f>
        <v>82.5603970026746</v>
      </c>
      <c r="G4" s="4" t="n">
        <f aca="false" t="array" ref="G4:G4">SUM(Capacity!AA4*Demand!G4*Capacity!$DH$3:$DH$25/(TRANSPOSE(Dists!$B3:$X3)*SUM(Capacity!$DH$3:$DH$25/TRANSPOSE(Dists!$B3:$X3))))</f>
        <v>44.0249940308658</v>
      </c>
      <c r="H4" s="4" t="n">
        <f aca="false" t="array" ref="H4:H4">SUM(Capacity!AB4*Demand!H4*Capacity!$DH$3:$DH$25/(TRANSPOSE(Dists!$B3:$X3)*SUM(Capacity!$DH$3:$DH$25/TRANSPOSE(Dists!$B3:$X3))))</f>
        <v>0</v>
      </c>
      <c r="I4" s="4" t="n">
        <f aca="false" t="array" ref="I4:I4">SUM(Capacity!AC4*Demand!I$3:I$25*Capacity!$DG$3:$DG$25/(TRANSPOSE(Dists!$B3:$X3)*SUM(Capacity!$DG$3:$DG$25/TRANSPOSE(Dists!$B3:$X3))))</f>
        <v>5.34472073118933</v>
      </c>
      <c r="J4" s="4" t="n">
        <f aca="false" t="array" ref="J4:J4">SUM(Capacity!AD4*Demand!J$3:J$25*Capacity!$DG$3:$DG$25/(TRANSPOSE(Dists!$B3:$X3)*SUM(Capacity!$DG$3:$DG$25/TRANSPOSE(Dists!$B3:$X3))))</f>
        <v>5.24153012381067</v>
      </c>
      <c r="K4" s="4" t="n">
        <f aca="false">5479.45205479452*$R4</f>
        <v>893484.469917479</v>
      </c>
      <c r="L4" s="4" t="n">
        <f aca="false">17142.8571428571*$S4</f>
        <v>247410.130162711</v>
      </c>
      <c r="M4" s="4" t="n">
        <f aca="false">IF(50420.1680672269*$T4&gt;($K4/20),50420.1680672269*$T4-($K4/20),0)</f>
        <v>362027.36033324</v>
      </c>
      <c r="N4" s="4" t="n">
        <f aca="false" t="array" ref="N4:N4">SUM(Capacity!AH4*Demand!N4*Capacity!$DH$3:$DH$25/(TRANSPOSE(Dists!$B3:$X3)*SUM(Capacity!$DH$3:$DH$25/TRANSPOSE(Dists!$B3:$X3))))</f>
        <v>90.8252458686026</v>
      </c>
      <c r="O4" s="4" t="n">
        <f aca="false">D32*DemClcs!$A$31*DemClcs!$A$32</f>
        <v>912.410779130107</v>
      </c>
      <c r="P4" s="4" t="n">
        <f aca="false">O4*DemClcs!$A$29*DemClcs!$A$30</f>
        <v>364.964311652043</v>
      </c>
      <c r="Q4" s="4" t="n">
        <f aca="false" t="array" ref="Q4:Q4">SUM(Capacity!AK4*Demand!Q4*Capacity!$DI$3:$DI$25/(TRANSPOSE(Dists!$B3:$X3)*SUM(Capacity!$DI$3:$DI$25/TRANSPOSE(Dists!$B3:$X3))))</f>
        <v>1.88839404692985</v>
      </c>
      <c r="R4" s="4" t="n">
        <f aca="false" t="array" ref="R4:R4">SUM(Capacity!AL4*Demand!R4*Capacity!$DH$3:$DH$25/(TRANSPOSE(Dists!$B3:$X3)*SUM(Capacity!$DH$3:$DH$25/TRANSPOSE(Dists!$B3:$X3))))</f>
        <v>163.06091575994</v>
      </c>
      <c r="S4" s="4" t="n">
        <f aca="false">SUM($BG32,$BI32,$BK32)*Capacity!AM4/SUM(Capacity!$AM4:$AN4,Capacity!$CX4)</f>
        <v>14.4322575928248</v>
      </c>
      <c r="T4" s="4" t="n">
        <f aca="false">SUM($BG32,$BI32,$BK32)*Capacity!AN4/SUM(Capacity!$AM4:$AN4,Capacity!$CX4)</f>
        <v>8.06624807927743</v>
      </c>
      <c r="U4" s="4" t="n">
        <f aca="false">$M4*120*2/(16*1000*2000)</f>
        <v>2.7152052024993</v>
      </c>
      <c r="V4" s="4" t="n">
        <f aca="false" t="array" ref="V4:V4">SUM(Capacity!AP4*Demand!V$3:V$25*Capacity!$DH$3:$DH$25/(TRANSPOSE(Dists!$B3:$X3)*SUM(Capacity!$DH$3:$DH$25/TRANSPOSE(Dists!$B3:$X3))))</f>
        <v>26.7930305924885</v>
      </c>
      <c r="W4" s="4" t="n">
        <f aca="false" t="array" ref="W4:W4">SUM(Capacity!AQ4*Demand!W$3:W$25*Capacity!$DH$3:$DH$25/(TRANSPOSE(Dists!$B3:$X3)*SUM(Capacity!$DH$3:$DH$25/TRANSPOSE(Dists!$B3:$X3))))</f>
        <v>100.505845081391</v>
      </c>
      <c r="X4" s="4" t="n">
        <f aca="false" t="array" ref="X4:X4">SUM(Capacity!AR4*Demand!X$3:X$25*Capacity!$DH$3:$DH$25/(TRANSPOSE(Dists!$B3:$X3)*SUM(Capacity!$DH$3:$DH$25/TRANSPOSE(Dists!$B3:$X3))))</f>
        <v>1023.95296946499</v>
      </c>
      <c r="Y4" s="4" t="n">
        <f aca="false">$L4*600*6/(90*1000*2000)</f>
        <v>4.94820260325421</v>
      </c>
      <c r="Z4" s="4" t="n">
        <f aca="false" t="array" ref="Z4:Z4">SUM(Capacity!AT4*Demand!Z$3:Z$25*Capacity!$DI$3:$DI$25/(TRANSPOSE(Dists!$B3:$X3)*SUM(Capacity!$DI$3:$DI$25/TRANSPOSE(Dists!$B3:$X3))))</f>
        <v>0.436010292246859</v>
      </c>
      <c r="AA4" s="4" t="n">
        <f aca="false" t="array" ref="AA4:AA4">SUM(Capacity!AU4*Demand!AA$3:AA$25*Capacity!$DI$3:$DI$25/(TRANSPOSE(Dists!$B3:$X3)*SUM(Capacity!$DI$3:$DI$25/TRANSPOSE(Dists!$B3:$X3))))</f>
        <v>4.39492258957693</v>
      </c>
      <c r="AB4" s="4" t="n">
        <f aca="false" t="array" ref="AB4:AB4">SUM(Capacity!AV4*Demand!AB$3:AB$25*Capacity!$DI$3:$DI$25/(TRANSPOSE(Dists!$B3:$X3)*SUM(Capacity!$DI$3:$DI$25/TRANSPOSE(Dists!$B3:$X3))))</f>
        <v>5.24751696946819</v>
      </c>
      <c r="AC4" s="4" t="n">
        <f aca="false" t="array" ref="AC4:AC4">SUM(Capacity!AW4*Demand!AC$3:AC$25*Capacity!$DI$3:$DI$25/(TRANSPOSE(Dists!$B3:$X3)*SUM(Capacity!$DI$3:$DI$25/TRANSPOSE(Dists!$B3:$X3))))</f>
        <v>1.83744254307588</v>
      </c>
      <c r="AD4" s="4" t="n">
        <f aca="false" t="array" ref="AD4:AD4">SUM(Capacity!AX4*Demand!AD$3:AD$25*Capacity!$DI$3:$DI$25/(TRANSPOSE(Dists!$B3:$X3)*SUM(Capacity!$DI$3:$DI$25/TRANSPOSE(Dists!$B3:$X3))))</f>
        <v>0.859074476828435</v>
      </c>
      <c r="AE4" s="4" t="n">
        <f aca="false" t="array" ref="AE4:AE4">SUM(Capacity!AY4*Demand!AE$3:AE$25*Capacity!$DI$3:$DI$25/(TRANSPOSE(Dists!$B3:$X3)*SUM(Capacity!$DI$3:$DI$25/TRANSPOSE(Dists!$B3:$X3))))</f>
        <v>0.68773063874834</v>
      </c>
      <c r="AF4" s="4" t="n">
        <f aca="false" t="array" ref="AF4:AF4">SUM(Capacity!AZ4*Demand!AF$3:AF$25*Capacity!$DI$3:$DI$25/(TRANSPOSE(Dists!$B3:$X3)*SUM(Capacity!$DI$3:$DI$25/TRANSPOSE(Dists!$B3:$X3))))</f>
        <v>0.145528201787255</v>
      </c>
      <c r="AG4" s="4" t="n">
        <f aca="false" t="array" ref="AG4:AG4">SUM(Capacity!BA4*Demand!AG$3:AG$25*Capacity!$DI$3:$DI$25/(TRANSPOSE(Dists!$B3:$X3)*SUM(Capacity!$DI$3:$DI$25/TRANSPOSE(Dists!$B3:$X3))))</f>
        <v>0.591344257675566</v>
      </c>
      <c r="AH4" s="4" t="n">
        <f aca="false" t="array" ref="AH4:AH4">SUM(Capacity!BB4*Demand!AH$3:AH$25*Capacity!$DI$3:$DI$25/(TRANSPOSE(Dists!$B3:$X3)*SUM(Capacity!$DI$3:$DI$25/TRANSPOSE(Dists!$B3:$X3))))</f>
        <v>0.51187951496427</v>
      </c>
      <c r="AI4" s="4" t="n">
        <f aca="false" t="array" ref="AI4:AI4">SUM(Capacity!BC4*Demand!AI$3:AI$25*Capacity!$DI$3:$DI$25/(TRANSPOSE(Dists!$B3:$X3)*SUM(Capacity!$DI$3:$DI$25/TRANSPOSE(Dists!$B3:$X3))))</f>
        <v>0.0882438747677843</v>
      </c>
      <c r="AJ4" s="4" t="n">
        <f aca="false" t="array" ref="AJ4:AJ4">SUM(Capacity!BD4*Demand!AJ$3:AJ$25*Capacity!$DI$3:$DI$25/(TRANSPOSE(Dists!$B3:$X3)*SUM(Capacity!$DI$3:$DI$25/TRANSPOSE(Dists!$B3:$X3))))</f>
        <v>0.201497934493445</v>
      </c>
      <c r="AK4" s="4" t="n">
        <f aca="false" t="array" ref="AK4:AK4">SUM(Capacity!BE4*Demand!AK$3:AK$25*Capacity!$DI$3:$DI$25/(TRANSPOSE(Dists!$B3:$X3)*SUM(Capacity!$DI$3:$DI$25/TRANSPOSE(Dists!$B3:$X3))))</f>
        <v>0.110196542590867</v>
      </c>
      <c r="AL4" s="4" t="n">
        <f aca="false" t="array" ref="AL4:AL4">SUM(Capacity!BF4*Demand!AL$3:AL$25*Capacity!$DI$3:$DI$25/(TRANSPOSE(Dists!$B3:$X3)*SUM(Capacity!$DI$3:$DI$25/TRANSPOSE(Dists!$B3:$X3))))</f>
        <v>0.0879742535676973</v>
      </c>
      <c r="AM4" s="4" t="n">
        <f aca="false" t="array" ref="AM4:AM4">SUM(Capacity!BG4*Demand!AM$3:AM$25*Capacity!$DI$3:$DI$25/(TRANSPOSE(Dists!$B3:$X3)*SUM(Capacity!$DI$3:$DI$25/TRANSPOSE(Dists!$B3:$X3))))</f>
        <v>0.22407071690345</v>
      </c>
      <c r="AN4" s="4" t="n">
        <f aca="false" t="array" ref="AN4:AN4">SUM(Capacity!BH4*Demand!AN$3:AN$25*Capacity!$DI$3:$DI$25/(TRANSPOSE(Dists!$B3:$X3)*SUM(Capacity!$DI$3:$DI$25/TRANSPOSE(Dists!$B3:$X3))))</f>
        <v>0.125083262450147</v>
      </c>
      <c r="AO4" s="4" t="n">
        <f aca="false" t="array" ref="AO4:AO4">SUM(Capacity!BI4*Demand!AO$3:AO$25*Capacity!$DI$3:$DI$25/(TRANSPOSE(Dists!$B3:$X3)*SUM(Capacity!$DI$3:$DI$25/TRANSPOSE(Dists!$B3:$X3))))</f>
        <v>0.356441082944497</v>
      </c>
      <c r="AP4" s="4" t="n">
        <f aca="false" t="array" ref="AP4:AP4">SUM(Capacity!BJ4*Demand!AP$3:AP$25*Capacity!$DI$3:$DI$25/(TRANSPOSE(Dists!$B3:$X3)*SUM(Capacity!$DI$3:$DI$25/TRANSPOSE(Dists!$B3:$X3))))</f>
        <v>0.209491245321219</v>
      </c>
      <c r="AQ4" s="4" t="n">
        <f aca="false" t="array" ref="AQ4:AQ4">SUM(Capacity!BK4*Demand!AQ$3:AQ$25*Capacity!$DI$3:$DI$25/(TRANSPOSE(Dists!$B3:$X3)*SUM(Capacity!$DI$3:$DI$25/TRANSPOSE(Dists!$B3:$X3))))</f>
        <v>0.0179017877909587</v>
      </c>
      <c r="AR4" s="4" t="n">
        <f aca="false" t="array" ref="AR4:AR4">SUM(Capacity!BL4*Demand!AR$3:AR$25*Capacity!$DI$3:$DI$25/(TRANSPOSE(Dists!$B3:$X3)*SUM(Capacity!$DI$3:$DI$25/TRANSPOSE(Dists!$B3:$X3))))</f>
        <v>0.0347944167667486</v>
      </c>
      <c r="AS4" s="4" t="n">
        <f aca="false" t="array" ref="AS4:AS4">SUM(Capacity!BM4*Demand!AS$3:AS$25*Capacity!$DI$3:$DI$25/(TRANSPOSE(Dists!$B3:$X3)*SUM(Capacity!$DI$3:$DI$25/TRANSPOSE(Dists!$B3:$X3))))</f>
        <v>0.065813050676431</v>
      </c>
      <c r="AT4" s="4" t="n">
        <f aca="false" t="array" ref="AT4:AT4">SUM(Capacity!BN4*Demand!AT$3:AT$25*Capacity!$DI$3:$DI$25/(TRANSPOSE(Dists!$B3:$X3)*SUM(Capacity!$DI$3:$DI$25/TRANSPOSE(Dists!$B3:$X3))))</f>
        <v>0.772136491570537</v>
      </c>
      <c r="AU4" s="4" t="n">
        <f aca="false" t="array" ref="AU4:AU4">SUM(Capacity!BO4*Demand!AU$3:AU$25*Capacity!$DI$3:$DI$25/(TRANSPOSE(Dists!$B3:$X3)*SUM(Capacity!$DI$3:$DI$25/TRANSPOSE(Dists!$B3:$X3))))</f>
        <v>0.391765484604611</v>
      </c>
      <c r="AV4" s="4" t="n">
        <f aca="false" t="array" ref="AV4:AV4">SUM(Capacity!BP4*Demand!AV$3:AV$25*Capacity!$DI$3:$DI$25/(TRANSPOSE(Dists!$B3:$X3)*SUM(Capacity!$DI$3:$DI$25/TRANSPOSE(Dists!$B3:$X3))))</f>
        <v>0.0269376989275284</v>
      </c>
      <c r="AW4" s="4" t="n">
        <f aca="false" t="array" ref="AW4:AW4">SUM(Capacity!BQ4*Demand!AW$3:AW$25*Capacity!$DI$3:$DI$25/(TRANSPOSE(Dists!$B3:$X3)*SUM(Capacity!$DI$3:$DI$25/TRANSPOSE(Dists!$B3:$X3))))</f>
        <v>1.01156961599477</v>
      </c>
      <c r="AX4" s="4" t="n">
        <f aca="false" t="array" ref="AX4:AX4">SUM(Capacity!BR4*Demand!AX$3:AX$25*Capacity!$DI$3:$DI$25/(TRANSPOSE(Dists!$B3:$X3)*SUM(Capacity!$DI$3:$DI$25/TRANSPOSE(Dists!$B3:$X3))))</f>
        <v>0.113544416960842</v>
      </c>
      <c r="AY4" s="4" t="n">
        <f aca="false" t="array" ref="AY4:AY4">SUM(Capacity!BS4*Demand!AY$3:AY$25*Capacity!$DI$3:$DI$25/(TRANSPOSE(Dists!$B3:$X3)*SUM(Capacity!$DI$3:$DI$25/TRANSPOSE(Dists!$B3:$X3))))</f>
        <v>0.0582096486656464</v>
      </c>
      <c r="AZ4" s="4" t="n">
        <f aca="false" t="array" ref="AZ4:AZ4">SUM(Capacity!BT4*Demand!AZ$3:AZ$25*Capacity!$DI$3:$DI$25/(TRANSPOSE(Dists!$B3:$X3)*SUM(Capacity!$DI$3:$DI$25/TRANSPOSE(Dists!$B3:$X3))))</f>
        <v>0.409085597578354</v>
      </c>
      <c r="BA4" s="4" t="n">
        <f aca="false">L4*25/(2000*1000*51)</f>
        <v>0.0606397377849781</v>
      </c>
      <c r="BB4" s="4" t="n">
        <f aca="false" t="array" ref="BB4:BB4">SUM(Capacity!BV4*Demand!BB$3:BB$25*Capacity!$DI$3:$DI$25/(TRANSPOSE(Dists!$B3:$X3)*SUM(Capacity!$DI$3:$DI$25/TRANSPOSE(Dists!$B3:$X3))))</f>
        <v>0.0600063859981297</v>
      </c>
      <c r="BC4" s="4" t="n">
        <f aca="false" t="array" ref="BC4:BC4">SUM(Capacity!BW4*Demand!BC$3:BC$25*Capacity!$DI$3:$DI$25/(TRANSPOSE(Dists!$B3:$X3)*SUM(Capacity!$DI$3:$DI$25/TRANSPOSE(Dists!$B3:$X3))))</f>
        <v>0.0428930798573804</v>
      </c>
      <c r="BD4" s="4" t="n">
        <f aca="false" t="array" ref="BD4:BD4">SUM(Capacity!BX4*Demand!BD$3:BD$25*Capacity!$DI$3:$DI$25/(TRANSPOSE(Dists!$B3:$X3)*SUM(Capacity!$DI$3:$DI$25/TRANSPOSE(Dists!$B3:$X3))))</f>
        <v>0.0278491477981207</v>
      </c>
      <c r="BE4" s="4" t="n">
        <f aca="false" t="array" ref="BE4:BE4">SUM(Capacity!BY4*Demand!BE$3:BE$25*Capacity!$DI$3:$DI$25/(TRANSPOSE(Dists!$B3:$X3)*SUM(Capacity!$DI$3:$DI$25/TRANSPOSE(Dists!$B3:$X3))))</f>
        <v>0.0168581993322945</v>
      </c>
      <c r="BF4" s="4" t="n">
        <f aca="false" t="array" ref="BF4:BF4">SUM(Capacity!BZ4*Demand!BF$3:BF$25*Capacity!$DI$3:$DI$25/(TRANSPOSE(Dists!$B3:$X3)*SUM(Capacity!$DI$3:$DI$25/TRANSPOSE(Dists!$B3:$X3))))</f>
        <v>3.39408310657667</v>
      </c>
      <c r="BG4" s="4" t="n">
        <f aca="false" t="array" ref="BG4:BG4">SUM(Capacity!CA4*Demand!BG$3:BG$25*Capacity!$DI$3:$DI$25/(TRANSPOSE(Dists!$B3:$X3)*SUM(Capacity!$DI$3:$DI$25/TRANSPOSE(Dists!$B3:$X3))))</f>
        <v>9.55997419919662</v>
      </c>
      <c r="BH4" s="4" t="n">
        <f aca="false" t="array" ref="BH4:BH4">SUM(Capacity!CB4*Demand!BH$3:BH$25*Capacity!$DI$3:$DI$25/(TRANSPOSE(Dists!$B3:$X3)*SUM(Capacity!$DI$3:$DI$25/TRANSPOSE(Dists!$B3:$X3))))</f>
        <v>0.00461509640637144</v>
      </c>
      <c r="BI4" s="4" t="n">
        <f aca="false" t="array" ref="BI4:BI4">SUM(Capacity!CC4*Demand!BI4*Capacity!$DI$3:$DI$25/(TRANSPOSE(Dists!$B3:$X3)*SUM(Capacity!$DI$3:$DI$25/TRANSPOSE(Dists!$B3:$X3))))</f>
        <v>25.8367105357432</v>
      </c>
      <c r="BJ4" s="4" t="n">
        <f aca="false" t="array" ref="BJ4:BJ4">SUM(Capacity!CD4*Demand!BJ4*Capacity!$DI$3:$DI$25/(TRANSPOSE(Dists!$B3:$X3)*SUM(Capacity!$DI$3:$DI$25/TRANSPOSE(Dists!$B3:$X3))))</f>
        <v>496.256050400852</v>
      </c>
      <c r="BK4" s="4" t="n">
        <f aca="false" t="array" ref="BK4:BK4">SUM(Capacity!CE4*Demand!BK4*Capacity!$DI$3:$DI$25/(TRANSPOSE(Dists!$B3:$X3)*SUM(Capacity!$DI$3:$DI$25/TRANSPOSE(Dists!$B3:$X3))))</f>
        <v>12.9183552678716</v>
      </c>
      <c r="BL4" s="4" t="n">
        <f aca="false" t="array" ref="BL4:BL4">SUM(Capacity!CF4*Demand!BL4*Capacity!$DI$3:$DI$25/(TRANSPOSE(Dists!$B3:$X3)*SUM(Capacity!$DI$3:$DI$25/TRANSPOSE(Dists!$B3:$X3))))</f>
        <v>169.348790864122</v>
      </c>
      <c r="BM4" s="4" t="n">
        <f aca="false" t="array" ref="BM4:BM4">SUM(Capacity!CG4*Demand!BM4*Capacity!$DI$3:$DI$25/(TRANSPOSE(Dists!$B3:$X3)*SUM(Capacity!$DI$3:$DI$25/TRANSPOSE(Dists!$B3:$X3))))</f>
        <v>7.20764892704633</v>
      </c>
      <c r="BN4" s="4" t="n">
        <f aca="false">MAX($BO4/0.006,$BP4/0.7,$BR4/0.002,$BS4/0.001)</f>
        <v>824.289638704095</v>
      </c>
      <c r="BO4" s="4" t="n">
        <f aca="false" t="array" ref="BO4:BO4">SUM(Capacity!CI4*Demand!BO4*Capacity!$DI$3:$DI$25/(TRANSPOSE(Dists!$B3:$X3)*SUM(Capacity!$DI$3:$DI$25/TRANSPOSE(Dists!$B3:$X3))))</f>
        <v>4.94573783222457</v>
      </c>
      <c r="BP4" s="4" t="n">
        <f aca="false" t="array" ref="BP4:BP4">SUM(Capacity!CJ4*Demand!BP4*Capacity!$DI$3:$DI$25/(TRANSPOSE(Dists!$B3:$X3)*SUM(Capacity!$DI$3:$DI$25/TRANSPOSE(Dists!$B3:$X3))))</f>
        <v>5.43319610482001</v>
      </c>
      <c r="BQ4" s="4" t="n">
        <f aca="false" t="array" ref="BQ4:BQ4">SUM(Capacity!CK4*Demand!BQ4*Capacity!$DI$3:$DI$25/(TRANSPOSE(Dists!$B3:$X3)*SUM(Capacity!$DI$3:$DI$25/TRANSPOSE(Dists!$B3:$X3))))</f>
        <v>0</v>
      </c>
      <c r="BR4" s="4" t="n">
        <f aca="false" t="array" ref="BR4:BR4">SUM(Capacity!CL4*Demand!BR4*Capacity!$DI$3:$DI$25/(TRANSPOSE(Dists!$B3:$X3)*SUM(Capacity!$DI$3:$DI$25/TRANSPOSE(Dists!$B3:$X3))))</f>
        <v>0.164857927740819</v>
      </c>
      <c r="BS4" s="4" t="n">
        <f aca="false" t="array" ref="BS4:BS4">SUM(Capacity!CM4*Demand!BS4*Capacity!$DI$3:$DI$25/(TRANSPOSE(Dists!$B3:$X3)*SUM(Capacity!$DI$3:$DI$25/TRANSPOSE(Dists!$B3:$X3))))</f>
        <v>0.016485785513753</v>
      </c>
      <c r="BT4" s="4" t="n">
        <f aca="false" t="array" ref="BT4:BT4">SUM(Capacity!CN4*Demand!BT4*Capacity!$DI$3:$DI$25/(TRANSPOSE(Dists!$B3:$X3)*SUM(Capacity!$DI$3:$DI$25/TRANSPOSE(Dists!$B3:$X3))))</f>
        <v>1.32616590119391</v>
      </c>
      <c r="BU4" s="4" t="n">
        <f aca="false" t="array" ref="BU4:BU4">SUM(Capacity!CO4*Demand!BU4*Capacity!$DI$3:$DI$25/(TRANSPOSE(Dists!$B3:$X3)*SUM(Capacity!$DI$3:$DI$25/TRANSPOSE(Dists!$B3:$X3))))</f>
        <v>0.132616590119391</v>
      </c>
      <c r="BV4" s="4" t="n">
        <f aca="false" t="array" ref="BV4:BV4">SUM(Capacity!CP4*Demand!BV4*Capacity!$DI$3:$DI$25/(TRANSPOSE(Dists!$B3:$X3)*SUM(Capacity!$DI$3:$DI$25/TRANSPOSE(Dists!$B3:$X3))))</f>
        <v>0.0132616590119391</v>
      </c>
      <c r="BW4" s="4" t="n">
        <f aca="false">E32*DemClcs!$A$40*DemClcs!$A$41*8.34/(DemClcs!$A$38)</f>
        <v>641.834208171</v>
      </c>
      <c r="BX4" s="4" t="n">
        <f aca="false" t="array" ref="BX4:BX4">SUM(Capacity!CR4*Demand!BX4*Capacity!$DI$3:$DI$25/(TRANSPOSE(Dists!$B3:$X3)*SUM(Capacity!$DI$3:$DI$25/TRANSPOSE(Dists!$B3:$X3))))</f>
        <v>1.33898908349814</v>
      </c>
      <c r="BY4" s="4" t="n">
        <f aca="false" t="array" ref="BY4:BY4">SUM(Capacity!CS4*Demand!BY4*Capacity!$DI$3:$DI$25/(TRANSPOSE(Dists!$B3:$X3)*SUM(Capacity!$DI$3:$DI$25/TRANSPOSE(Dists!$B3:$X3))))</f>
        <v>20.0088152603477</v>
      </c>
      <c r="BZ4" s="4" t="n">
        <f aca="false" t="array" ref="BZ4:BZ4">SUM(Capacity!CT4*Demand!BZ4*Capacity!$DI$3:$DI$25/(TRANSPOSE(Dists!$B3:$X3)*SUM(Capacity!$DI$3:$DI$25/TRANSPOSE(Dists!$B3:$X3))))</f>
        <v>0.455557339079672</v>
      </c>
      <c r="CA4" s="4" t="n">
        <f aca="false" t="array" ref="CA4:CA4">SUM(Capacity!CU4*Demand!CA4*Capacity!$DI$3:$DI$25/(TRANSPOSE(Dists!$B3:$X3)*SUM(Capacity!$DI$3:$DI$25/TRANSPOSE(Dists!$B3:$X3))))</f>
        <v>0.110371087106831</v>
      </c>
      <c r="CB4" s="4" t="n">
        <f aca="false" t="array" ref="CB4:CB4">SUM(Capacity!CV4*Demand!CB4*Capacity!$DI$3:$DI$25/(TRANSPOSE(Dists!$B3:$X3)*SUM(Capacity!$DI$3:$DI$25/TRANSPOSE(Dists!$B3:$X3))))</f>
        <v>34.8029212281659</v>
      </c>
      <c r="CC4" s="4" t="n">
        <f aca="false" t="array" ref="CC4:CC4">SUM(Capacity!CW4*Demand!CC4*Capacity!$DI$3:$DI$25/(TRANSPOSE(Dists!$B3:$X3)*SUM(Capacity!$DI$3:$DI$25/TRANSPOSE(Dists!$B3:$X3))))</f>
        <v>2.02075912235695</v>
      </c>
      <c r="CD4" s="4" t="n">
        <f aca="false">SUM($BG32,$BI32,$BK32)*Capacity!CX4/SUM(Capacity!$AM4:$AN4,Capacity!$CX4)</f>
        <v>31.606986497655</v>
      </c>
      <c r="CE4" s="4" t="n">
        <f aca="false" t="array" ref="CE4:CE4">SUM(Capacity!CY4*Demand!CE4*Capacity!$DI$3:$DI$25/(TRANSPOSE(Dists!$B3:$X3)*SUM(Capacity!$DI$3:$DI$25/TRANSPOSE(Dists!$B3:$X3))))</f>
        <v>1.30286846654393</v>
      </c>
      <c r="CF4" s="4" t="n">
        <f aca="false" t="array" ref="CF4:CF4">SUM(Capacity!CZ4*Demand!CF4*Capacity!$DI$3:$DI$25/(TRANSPOSE(Dists!$B3:$X3)*SUM(Capacity!$DI$3:$DI$25/TRANSPOSE(Dists!$B3:$X3))))</f>
        <v>618.096770065998</v>
      </c>
      <c r="CG4" s="4" t="n">
        <f aca="false" t="array" ref="CG4:CG4">SUM(Capacity!DA4*Demand!CG4*Capacity!$DI$3:$DI$25/(TRANSPOSE(Dists!$B3:$X3)*SUM(Capacity!$DI$3:$DI$25/TRANSPOSE(Dists!$B3:$X3))))</f>
        <v>8.2973077460531</v>
      </c>
      <c r="CH4" s="4" t="n">
        <f aca="false" t="array" ref="CH4:CH4">SUM(Capacity!DB4*Demand!CH4*Capacity!$DI$3:$DI$25/(TRANSPOSE(Dists!$B3:$X3)*SUM(Capacity!$DI$3:$DI$25/TRANSPOSE(Dists!$B3:$X3))))</f>
        <v>3.54812965856777</v>
      </c>
      <c r="CI4" s="4" t="n">
        <f aca="false" t="array" ref="CI4:CI4">SUM(Capacity!DC4*Demand!CI4*Capacity!$DI$3:$DI$25/(TRANSPOSE(Dists!$B3:$X3)*SUM(Capacity!$DI$3:$DI$25/TRANSPOSE(Dists!$B3:$X3))))</f>
        <v>0.0285140049565493</v>
      </c>
      <c r="CJ4" s="4" t="n">
        <f aca="false" t="array" ref="CJ4:CJ4">SUM(Capacity!DD4*Demand!CJ4*Capacity!$DI$3:$DI$25/(TRANSPOSE(Dists!$B3:$X3)*SUM(Capacity!$DI$3:$DI$25/TRANSPOSE(Dists!$B3:$X3))))</f>
        <v>0.00722398938461207</v>
      </c>
      <c r="CK4" s="4" t="n">
        <f aca="false" t="array" ref="CK4:CK4">SUM(Capacity!DE4*Demand!CK4*Capacity!$DI$3:$DI$25/(TRANSPOSE(Dists!$B3:$X3)*SUM(Capacity!$DI$3:$DI$25/TRANSPOSE(Dists!$B3:$X3))))</f>
        <v>2.22182393840871</v>
      </c>
      <c r="CL4" s="7" t="s">
        <v>322</v>
      </c>
    </row>
    <row r="5" customFormat="false" ht="12.8" hidden="false" customHeight="false" outlineLevel="0" collapsed="false">
      <c r="A5" s="4" t="s">
        <v>135</v>
      </c>
      <c r="B5" s="7" t="s">
        <v>39</v>
      </c>
      <c r="C5" s="4" t="n">
        <f aca="false" t="array" ref="C5:C5">SUM(Capacity!S5*Demand!C5*Capacity!$DH$3:$DH$25/(TRANSPOSE(Dists!$B4:$X4)*SUM(Capacity!$DH$3:$DH$25/TRANSPOSE(Dists!$B4:$X4))))</f>
        <v>0.0322137448302371</v>
      </c>
      <c r="D5" s="4" t="n">
        <f aca="false" t="array" ref="D5:D5">SUM(Capacity!V5*Demand!D5*Capacity!$DH$3:$DH$25/(TRANSPOSE(Dists!$B4:$X4)*SUM(Capacity!$DH$3:$DH$25/TRANSPOSE(Dists!$B4:$X4))))</f>
        <v>2492.56085470316</v>
      </c>
      <c r="E5" s="4" t="n">
        <f aca="false" t="array" ref="E5:E5">SUM(Capacity!Y5*Demand!E5*Capacity!$DH$3:$DH$25/(TRANSPOSE(Dists!$B4:$X4)*SUM(Capacity!$DH$3:$DH$25/TRANSPOSE(Dists!$B4:$X4))))</f>
        <v>341.46897657647</v>
      </c>
      <c r="F5" s="4" t="n">
        <f aca="false">$E5*Capacity!$M5/(2*(1-Capacity!$H$28)*Capacity!$H5)</f>
        <v>122.460355547985</v>
      </c>
      <c r="G5" s="4" t="n">
        <f aca="false" t="array" ref="G5:G5">SUM(Capacity!AA5*Demand!G5*Capacity!$DH$3:$DH$25/(TRANSPOSE(Dists!$B4:$X4)*SUM(Capacity!$DH$3:$DH$25/TRANSPOSE(Dists!$B4:$X4))))</f>
        <v>508.67928253667</v>
      </c>
      <c r="H5" s="4" t="n">
        <f aca="false" t="array" ref="H5:H5">SUM(Capacity!AB5*Demand!H5*Capacity!$DH$3:$DH$25/(TRANSPOSE(Dists!$B4:$X4)*SUM(Capacity!$DH$3:$DH$25/TRANSPOSE(Dists!$B4:$X4))))</f>
        <v>0</v>
      </c>
      <c r="I5" s="4" t="n">
        <f aca="false" t="array" ref="I5:I5">SUM(Capacity!AC5*Demand!I$3:I$25*Capacity!$DG$3:$DG$25/(TRANSPOSE(Dists!$B4:$X4)*SUM(Capacity!$DG$3:$DG$25/TRANSPOSE(Dists!$B4:$X4))))</f>
        <v>3.37746673789756</v>
      </c>
      <c r="J5" s="4" t="n">
        <f aca="false" t="array" ref="J5:J5">SUM(Capacity!AD5*Demand!J$3:J$25*Capacity!$DG$3:$DG$25/(TRANSPOSE(Dists!$B4:$X4)*SUM(Capacity!$DG$3:$DG$25/TRANSPOSE(Dists!$B4:$X4))))</f>
        <v>2.09126000710245</v>
      </c>
      <c r="K5" s="4" t="n">
        <f aca="false">5479.45205479452*$R5</f>
        <v>1154507.48049128</v>
      </c>
      <c r="L5" s="4" t="n">
        <f aca="false">17142.8571428571*$S5</f>
        <v>334979.459250536</v>
      </c>
      <c r="M5" s="4" t="n">
        <f aca="false">IF(50420.1680672269*$T5&gt;($K5/20),50420.1680672269*$T5-($K5/20),0)</f>
        <v>492925.79186673</v>
      </c>
      <c r="N5" s="4" t="n">
        <f aca="false" t="array" ref="N5:N5">SUM(Capacity!AH5*Demand!N5*Capacity!$DH$3:$DH$25/(TRANSPOSE(Dists!$B4:$X4)*SUM(Capacity!$DH$3:$DH$25/TRANSPOSE(Dists!$B4:$X4))))</f>
        <v>562.585375819611</v>
      </c>
      <c r="O5" s="4" t="n">
        <f aca="false">D33*DemClcs!$A$31*DemClcs!$A$32</f>
        <v>1704.77905525474</v>
      </c>
      <c r="P5" s="4" t="n">
        <f aca="false">O5*DemClcs!$A$29*DemClcs!$A$30</f>
        <v>681.911622101896</v>
      </c>
      <c r="Q5" s="4" t="n">
        <f aca="false" t="array" ref="Q5:Q5">SUM(Capacity!AK5*Demand!Q5*Capacity!$DI$3:$DI$25/(TRANSPOSE(Dists!$B4:$X4)*SUM(Capacity!$DI$3:$DI$25/TRANSPOSE(Dists!$B4:$X4))))</f>
        <v>12.6910574797182</v>
      </c>
      <c r="R5" s="4" t="n">
        <f aca="false" t="array" ref="R5:R5">SUM(Capacity!AL5*Demand!R5*Capacity!$DH$3:$DH$25/(TRANSPOSE(Dists!$B4:$X4)*SUM(Capacity!$DH$3:$DH$25/TRANSPOSE(Dists!$B4:$X4))))</f>
        <v>210.697615189659</v>
      </c>
      <c r="S5" s="4" t="n">
        <f aca="false">SUM($BG33,$BI33,$BK33)*Capacity!AM5/SUM(Capacity!$AM5:$AN5,Capacity!$CX5)</f>
        <v>19.5404684562813</v>
      </c>
      <c r="T5" s="4" t="n">
        <f aca="false">SUM($BG33,$BI33,$BK33)*Capacity!AN5/SUM(Capacity!$AM5:$AN5,Capacity!$CX5)</f>
        <v>10.9212481235107</v>
      </c>
      <c r="U5" s="4" t="n">
        <f aca="false">$M5*120*2/(16*1000*2000)</f>
        <v>3.69694343900047</v>
      </c>
      <c r="V5" s="4" t="n">
        <f aca="false" t="array" ref="V5:V5">SUM(Capacity!AP5*Demand!V$3:V$25*Capacity!$DH$3:$DH$25/(TRANSPOSE(Dists!$B4:$X4)*SUM(Capacity!$DH$3:$DH$25/TRANSPOSE(Dists!$B4:$X4))))</f>
        <v>85.7640301077651</v>
      </c>
      <c r="W5" s="4" t="n">
        <f aca="false" t="array" ref="W5:W5">SUM(Capacity!AQ5*Demand!W$3:W$25*Capacity!$DH$3:$DH$25/(TRANSPOSE(Dists!$B4:$X4)*SUM(Capacity!$DH$3:$DH$25/TRANSPOSE(Dists!$B4:$X4))))</f>
        <v>493.75486296375</v>
      </c>
      <c r="X5" s="4" t="n">
        <f aca="false" t="array" ref="X5:X5">SUM(Capacity!AR5*Demand!X$3:X$25*Capacity!$DH$3:$DH$25/(TRANSPOSE(Dists!$B4:$X4)*SUM(Capacity!$DH$3:$DH$25/TRANSPOSE(Dists!$B4:$X4))))</f>
        <v>1702.57715903529</v>
      </c>
      <c r="Y5" s="4" t="n">
        <f aca="false">$L5*600*6/(90*1000*2000)</f>
        <v>6.69958918501072</v>
      </c>
      <c r="Z5" s="4" t="n">
        <f aca="false" t="array" ref="Z5:Z5">SUM(Capacity!AT5*Demand!Z$3:Z$25*Capacity!$DI$3:$DI$25/(TRANSPOSE(Dists!$B4:$X4)*SUM(Capacity!$DI$3:$DI$25/TRANSPOSE(Dists!$B4:$X4))))</f>
        <v>56.6912621160672</v>
      </c>
      <c r="AA5" s="4" t="n">
        <f aca="false" t="array" ref="AA5:AA5">SUM(Capacity!AU5*Demand!AA$3:AA$25*Capacity!$DI$3:$DI$25/(TRANSPOSE(Dists!$B4:$X4)*SUM(Capacity!$DI$3:$DI$25/TRANSPOSE(Dists!$B4:$X4))))</f>
        <v>27.3706518578751</v>
      </c>
      <c r="AB5" s="4" t="n">
        <f aca="false" t="array" ref="AB5:AB5">SUM(Capacity!AV5*Demand!AB$3:AB$25*Capacity!$DI$3:$DI$25/(TRANSPOSE(Dists!$B4:$X4)*SUM(Capacity!$DI$3:$DI$25/TRANSPOSE(Dists!$B4:$X4))))</f>
        <v>28.5299972097123</v>
      </c>
      <c r="AC5" s="4" t="n">
        <f aca="false" t="array" ref="AC5:AC5">SUM(Capacity!AW5*Demand!AC$3:AC$25*Capacity!$DI$3:$DI$25/(TRANSPOSE(Dists!$B4:$X4)*SUM(Capacity!$DI$3:$DI$25/TRANSPOSE(Dists!$B4:$X4))))</f>
        <v>5.56034297711615</v>
      </c>
      <c r="AD5" s="4" t="n">
        <f aca="false" t="array" ref="AD5:AD5">SUM(Capacity!AX5*Demand!AD$3:AD$25*Capacity!$DI$3:$DI$25/(TRANSPOSE(Dists!$B4:$X4)*SUM(Capacity!$DI$3:$DI$25/TRANSPOSE(Dists!$B4:$X4))))</f>
        <v>4.67066472951953</v>
      </c>
      <c r="AE5" s="4" t="n">
        <f aca="false" t="array" ref="AE5:AE5">SUM(Capacity!AY5*Demand!AE$3:AE$25*Capacity!$DI$3:$DI$25/(TRANSPOSE(Dists!$B4:$X4)*SUM(Capacity!$DI$3:$DI$25/TRANSPOSE(Dists!$B4:$X4))))</f>
        <v>2.89177112169252</v>
      </c>
      <c r="AF5" s="4" t="n">
        <f aca="false" t="array" ref="AF5:AF5">SUM(Capacity!AZ5*Demand!AF$3:AF$25*Capacity!$DI$3:$DI$25/(TRANSPOSE(Dists!$B4:$X4)*SUM(Capacity!$DI$3:$DI$25/TRANSPOSE(Dists!$B4:$X4))))</f>
        <v>0.469576485129482</v>
      </c>
      <c r="AG5" s="4" t="n">
        <f aca="false" t="array" ref="AG5:AG5">SUM(Capacity!BA5*Demand!AG$3:AG$25*Capacity!$DI$3:$DI$25/(TRANSPOSE(Dists!$B4:$X4)*SUM(Capacity!$DI$3:$DI$25/TRANSPOSE(Dists!$B4:$X4))))</f>
        <v>2.51665025664905</v>
      </c>
      <c r="AH5" s="4" t="n">
        <f aca="false" t="array" ref="AH5:AH5">SUM(Capacity!BB5*Demand!AH$3:AH$25*Capacity!$DI$3:$DI$25/(TRANSPOSE(Dists!$B4:$X4)*SUM(Capacity!$DI$3:$DI$25/TRANSPOSE(Dists!$B4:$X4))))</f>
        <v>2.51956959577014</v>
      </c>
      <c r="AI5" s="4" t="n">
        <f aca="false" t="array" ref="AI5:AI5">SUM(Capacity!BC5*Demand!AI$3:AI$25*Capacity!$DI$3:$DI$25/(TRANSPOSE(Dists!$B4:$X4)*SUM(Capacity!$DI$3:$DI$25/TRANSPOSE(Dists!$B4:$X4))))</f>
        <v>0.321480682300802</v>
      </c>
      <c r="AJ5" s="4" t="n">
        <f aca="false" t="array" ref="AJ5:AJ5">SUM(Capacity!BD5*Demand!AJ$3:AJ$25*Capacity!$DI$3:$DI$25/(TRANSPOSE(Dists!$B4:$X4)*SUM(Capacity!$DI$3:$DI$25/TRANSPOSE(Dists!$B4:$X4))))</f>
        <v>0.993132468728957</v>
      </c>
      <c r="AK5" s="4" t="n">
        <f aca="false" t="array" ref="AK5:AK5">SUM(Capacity!BE5*Demand!AK$3:AK$25*Capacity!$DI$3:$DI$25/(TRANSPOSE(Dists!$B4:$X4)*SUM(Capacity!$DI$3:$DI$25/TRANSPOSE(Dists!$B4:$X4))))</f>
        <v>0.564070234389374</v>
      </c>
      <c r="AL5" s="4" t="n">
        <f aca="false" t="array" ref="AL5:AL5">SUM(Capacity!BF5*Demand!AL$3:AL$25*Capacity!$DI$3:$DI$25/(TRANSPOSE(Dists!$B4:$X4)*SUM(Capacity!$DI$3:$DI$25/TRANSPOSE(Dists!$B4:$X4))))</f>
        <v>0.309733934561071</v>
      </c>
      <c r="AM5" s="4" t="n">
        <f aca="false" t="array" ref="AM5:AM5">SUM(Capacity!BG5*Demand!AM$3:AM$25*Capacity!$DI$3:$DI$25/(TRANSPOSE(Dists!$B4:$X4)*SUM(Capacity!$DI$3:$DI$25/TRANSPOSE(Dists!$B4:$X4))))</f>
        <v>0.831955866624607</v>
      </c>
      <c r="AN5" s="4" t="n">
        <f aca="false" t="array" ref="AN5:AN5">SUM(Capacity!BH5*Demand!AN$3:AN$25*Capacity!$DI$3:$DI$25/(TRANSPOSE(Dists!$B4:$X4)*SUM(Capacity!$DI$3:$DI$25/TRANSPOSE(Dists!$B4:$X4))))</f>
        <v>0.594036767912322</v>
      </c>
      <c r="AO5" s="4" t="n">
        <f aca="false" t="array" ref="AO5:AO5">SUM(Capacity!BI5*Demand!AO$3:AO$25*Capacity!$DI$3:$DI$25/(TRANSPOSE(Dists!$B4:$X4)*SUM(Capacity!$DI$3:$DI$25/TRANSPOSE(Dists!$B4:$X4))))</f>
        <v>1.17310773251004</v>
      </c>
      <c r="AP5" s="4" t="n">
        <f aca="false" t="array" ref="AP5:AP5">SUM(Capacity!BJ5*Demand!AP$3:AP$25*Capacity!$DI$3:$DI$25/(TRANSPOSE(Dists!$B4:$X4)*SUM(Capacity!$DI$3:$DI$25/TRANSPOSE(Dists!$B4:$X4))))</f>
        <v>0.975590131432616</v>
      </c>
      <c r="AQ5" s="4" t="n">
        <f aca="false" t="array" ref="AQ5:AQ5">SUM(Capacity!BK5*Demand!AQ$3:AQ$25*Capacity!$DI$3:$DI$25/(TRANSPOSE(Dists!$B4:$X4)*SUM(Capacity!$DI$3:$DI$25/TRANSPOSE(Dists!$B4:$X4))))</f>
        <v>0.079583122837052</v>
      </c>
      <c r="AR5" s="4" t="n">
        <f aca="false" t="array" ref="AR5:AR5">SUM(Capacity!BL5*Demand!AR$3:AR$25*Capacity!$DI$3:$DI$25/(TRANSPOSE(Dists!$B4:$X4)*SUM(Capacity!$DI$3:$DI$25/TRANSPOSE(Dists!$B4:$X4))))</f>
        <v>0.0993577504491711</v>
      </c>
      <c r="AS5" s="4" t="n">
        <f aca="false" t="array" ref="AS5:AS5">SUM(Capacity!BM5*Demand!AS$3:AS$25*Capacity!$DI$3:$DI$25/(TRANSPOSE(Dists!$B4:$X4)*SUM(Capacity!$DI$3:$DI$25/TRANSPOSE(Dists!$B4:$X4))))</f>
        <v>0.343104594874054</v>
      </c>
      <c r="AT5" s="4" t="n">
        <f aca="false" t="array" ref="AT5:AT5">SUM(Capacity!BN5*Demand!AT$3:AT$25*Capacity!$DI$3:$DI$25/(TRANSPOSE(Dists!$B4:$X4)*SUM(Capacity!$DI$3:$DI$25/TRANSPOSE(Dists!$B4:$X4))))</f>
        <v>2.62869716937109</v>
      </c>
      <c r="AU5" s="4" t="n">
        <f aca="false" t="array" ref="AU5:AU5">SUM(Capacity!BO5*Demand!AU$3:AU$25*Capacity!$DI$3:$DI$25/(TRANSPOSE(Dists!$B4:$X4)*SUM(Capacity!$DI$3:$DI$25/TRANSPOSE(Dists!$B4:$X4))))</f>
        <v>2.24945224034527</v>
      </c>
      <c r="AV5" s="4" t="n">
        <f aca="false" t="array" ref="AV5:AV5">SUM(Capacity!BP5*Demand!AV$3:AV$25*Capacity!$DI$3:$DI$25/(TRANSPOSE(Dists!$B4:$X4)*SUM(Capacity!$DI$3:$DI$25/TRANSPOSE(Dists!$B4:$X4))))</f>
        <v>0.108880924452531</v>
      </c>
      <c r="AW5" s="4" t="n">
        <f aca="false" t="array" ref="AW5:AW5">SUM(Capacity!BQ5*Demand!AW$3:AW$25*Capacity!$DI$3:$DI$25/(TRANSPOSE(Dists!$B4:$X4)*SUM(Capacity!$DI$3:$DI$25/TRANSPOSE(Dists!$B4:$X4))))</f>
        <v>3.07227169059381</v>
      </c>
      <c r="AX5" s="4" t="n">
        <f aca="false" t="array" ref="AX5:AX5">SUM(Capacity!BR5*Demand!AX$3:AX$25*Capacity!$DI$3:$DI$25/(TRANSPOSE(Dists!$B4:$X4)*SUM(Capacity!$DI$3:$DI$25/TRANSPOSE(Dists!$B4:$X4))))</f>
        <v>0.264591019028412</v>
      </c>
      <c r="AY5" s="4" t="n">
        <f aca="false" t="array" ref="AY5:AY5">SUM(Capacity!BS5*Demand!AY$3:AY$25*Capacity!$DI$3:$DI$25/(TRANSPOSE(Dists!$B4:$X4)*SUM(Capacity!$DI$3:$DI$25/TRANSPOSE(Dists!$B4:$X4))))</f>
        <v>0.354163135695982</v>
      </c>
      <c r="AZ5" s="4" t="n">
        <f aca="false" t="array" ref="AZ5:AZ5">SUM(Capacity!BT5*Demand!AZ$3:AZ$25*Capacity!$DI$3:$DI$25/(TRANSPOSE(Dists!$B4:$X4)*SUM(Capacity!$DI$3:$DI$25/TRANSPOSE(Dists!$B4:$X4))))</f>
        <v>2.31852745829862</v>
      </c>
      <c r="BA5" s="4" t="n">
        <f aca="false">L5*25/(2000*1000*51)</f>
        <v>0.0821028086398373</v>
      </c>
      <c r="BB5" s="4" t="n">
        <f aca="false" t="array" ref="BB5:BB5">SUM(Capacity!BV5*Demand!BB$3:BB$25*Capacity!$DI$3:$DI$25/(TRANSPOSE(Dists!$B4:$X4)*SUM(Capacity!$DI$3:$DI$25/TRANSPOSE(Dists!$B4:$X4))))</f>
        <v>0.349832341464874</v>
      </c>
      <c r="BC5" s="4" t="n">
        <f aca="false" t="array" ref="BC5:BC5">SUM(Capacity!BW5*Demand!BC$3:BC$25*Capacity!$DI$3:$DI$25/(TRANSPOSE(Dists!$B4:$X4)*SUM(Capacity!$DI$3:$DI$25/TRANSPOSE(Dists!$B4:$X4))))</f>
        <v>0.204295325240921</v>
      </c>
      <c r="BD5" s="4" t="n">
        <f aca="false" t="array" ref="BD5:BD5">SUM(Capacity!BX5*Demand!BD$3:BD$25*Capacity!$DI$3:$DI$25/(TRANSPOSE(Dists!$B4:$X4)*SUM(Capacity!$DI$3:$DI$25/TRANSPOSE(Dists!$B4:$X4))))</f>
        <v>0.134313476856117</v>
      </c>
      <c r="BE5" s="4" t="n">
        <f aca="false" t="array" ref="BE5:BE5">SUM(Capacity!BY5*Demand!BE$3:BE$25*Capacity!$DI$3:$DI$25/(TRANSPOSE(Dists!$B4:$X4)*SUM(Capacity!$DI$3:$DI$25/TRANSPOSE(Dists!$B4:$X4))))</f>
        <v>0.0859974020575785</v>
      </c>
      <c r="BF5" s="4" t="n">
        <f aca="false" t="array" ref="BF5:BF5">SUM(Capacity!BZ5*Demand!BF$3:BF$25*Capacity!$DI$3:$DI$25/(TRANSPOSE(Dists!$B4:$X4)*SUM(Capacity!$DI$3:$DI$25/TRANSPOSE(Dists!$B4:$X4))))</f>
        <v>8.01262362832814</v>
      </c>
      <c r="BG5" s="4" t="n">
        <f aca="false" t="array" ref="BG5:BG5">SUM(Capacity!CA5*Demand!BG$3:BG$25*Capacity!$DI$3:$DI$25/(TRANSPOSE(Dists!$B4:$X4)*SUM(Capacity!$DI$3:$DI$25/TRANSPOSE(Dists!$B4:$X4))))</f>
        <v>26.241593273211</v>
      </c>
      <c r="BH5" s="4" t="n">
        <f aca="false" t="array" ref="BH5:BH5">SUM(Capacity!CB5*Demand!BH$3:BH$25*Capacity!$DI$3:$DI$25/(TRANSPOSE(Dists!$B4:$X4)*SUM(Capacity!$DI$3:$DI$25/TRANSPOSE(Dists!$B4:$X4))))</f>
        <v>43.4057977699372</v>
      </c>
      <c r="BI5" s="4" t="n">
        <f aca="false" t="array" ref="BI5:BI5">SUM(Capacity!CC5*Demand!BI5*Capacity!$DI$3:$DI$25/(TRANSPOSE(Dists!$B4:$X4)*SUM(Capacity!$DI$3:$DI$25/TRANSPOSE(Dists!$B4:$X4))))</f>
        <v>48.9015453169478</v>
      </c>
      <c r="BJ5" s="4" t="n">
        <f aca="false" t="array" ref="BJ5:BJ5">SUM(Capacity!CD5*Demand!BJ5*Capacity!$DI$3:$DI$25/(TRANSPOSE(Dists!$B4:$X4)*SUM(Capacity!$DI$3:$DI$25/TRANSPOSE(Dists!$B4:$X4))))</f>
        <v>1010.70513872428</v>
      </c>
      <c r="BK5" s="4" t="n">
        <f aca="false" t="array" ref="BK5:BK5">SUM(Capacity!CE5*Demand!BK5*Capacity!$DI$3:$DI$25/(TRANSPOSE(Dists!$B4:$X4)*SUM(Capacity!$DI$3:$DI$25/TRANSPOSE(Dists!$B4:$X4))))</f>
        <v>24.4507726584739</v>
      </c>
      <c r="BL5" s="4" t="n">
        <f aca="false" t="array" ref="BL5:BL5">SUM(Capacity!CF5*Demand!BL5*Capacity!$DI$3:$DI$25/(TRANSPOSE(Dists!$B4:$X4)*SUM(Capacity!$DI$3:$DI$25/TRANSPOSE(Dists!$B4:$X4))))</f>
        <v>338.615271816253</v>
      </c>
      <c r="BM5" s="4" t="n">
        <f aca="false" t="array" ref="BM5:BM5">SUM(Capacity!CG5*Demand!BM5*Capacity!$DI$3:$DI$25/(TRANSPOSE(Dists!$B4:$X4)*SUM(Capacity!$DI$3:$DI$25/TRANSPOSE(Dists!$B4:$X4))))</f>
        <v>101.542993409698</v>
      </c>
      <c r="BN5" s="4" t="n">
        <f aca="false">MAX($BO5/0.006,$BP5/0.7,$BR5/0.002,$BS5/0.001)</f>
        <v>0.00111787759993521</v>
      </c>
      <c r="BO5" s="4" t="n">
        <f aca="false" t="array" ref="BO5:BO5">SUM(Capacity!CI5*Demand!BO5*Capacity!$DI$3:$DI$25/(TRANSPOSE(Dists!$B4:$X4)*SUM(Capacity!$DI$3:$DI$25/TRANSPOSE(Dists!$B4:$X4))))</f>
        <v>6.70726559961125E-006</v>
      </c>
      <c r="BP5" s="4" t="n">
        <f aca="false" t="array" ref="BP5:BP5">SUM(Capacity!CJ5*Demand!BP5*Capacity!$DI$3:$DI$25/(TRANSPOSE(Dists!$B4:$X4)*SUM(Capacity!$DI$3:$DI$25/TRANSPOSE(Dists!$B4:$X4))))</f>
        <v>7.22026567157368E-008</v>
      </c>
      <c r="BQ5" s="4" t="n">
        <f aca="false" t="array" ref="BQ5:BQ5">SUM(Capacity!CK5*Demand!BQ5*Capacity!$DI$3:$DI$25/(TRANSPOSE(Dists!$B4:$X4)*SUM(Capacity!$DI$3:$DI$25/TRANSPOSE(Dists!$B4:$X4))))</f>
        <v>0</v>
      </c>
      <c r="BR5" s="4" t="n">
        <f aca="false" t="array" ref="BR5:BR5">SUM(Capacity!CL5*Demand!BR5*Capacity!$DI$3:$DI$25/(TRANSPOSE(Dists!$B4:$X4)*SUM(Capacity!$DI$3:$DI$25/TRANSPOSE(Dists!$B4:$X4))))</f>
        <v>6.70726559961125E-007</v>
      </c>
      <c r="BS5" s="4" t="n">
        <f aca="false" t="array" ref="BS5:BS5">SUM(Capacity!CM5*Demand!BS5*Capacity!$DI$3:$DI$25/(TRANSPOSE(Dists!$B4:$X4)*SUM(Capacity!$DI$3:$DI$25/TRANSPOSE(Dists!$B4:$X4))))</f>
        <v>1.34145081457857E-007</v>
      </c>
      <c r="BT5" s="4" t="n">
        <f aca="false" t="array" ref="BT5:BT5">SUM(Capacity!CN5*Demand!BT5*Capacity!$DI$3:$DI$25/(TRANSPOSE(Dists!$B4:$X4)*SUM(Capacity!$DI$3:$DI$25/TRANSPOSE(Dists!$B4:$X4))))</f>
        <v>4.93498491440359</v>
      </c>
      <c r="BU5" s="4" t="n">
        <f aca="false" t="array" ref="BU5:BU5">SUM(Capacity!CO5*Demand!BU5*Capacity!$DI$3:$DI$25/(TRANSPOSE(Dists!$B4:$X4)*SUM(Capacity!$DI$3:$DI$25/TRANSPOSE(Dists!$B4:$X4))))</f>
        <v>0.493498491440359</v>
      </c>
      <c r="BV5" s="4" t="n">
        <f aca="false" t="array" ref="BV5:BV5">SUM(Capacity!CP5*Demand!BV5*Capacity!$DI$3:$DI$25/(TRANSPOSE(Dists!$B4:$X4)*SUM(Capacity!$DI$3:$DI$25/TRANSPOSE(Dists!$B4:$X4))))</f>
        <v>0.0493498491440359</v>
      </c>
      <c r="BW5" s="4" t="n">
        <f aca="false">E33*DemClcs!$A$40*DemClcs!$A$41*8.34/(DemClcs!$A$38)</f>
        <v>1750.94358577106</v>
      </c>
      <c r="BX5" s="4" t="n">
        <f aca="false" t="array" ref="BX5:BX5">SUM(Capacity!CR5*Demand!BX5*Capacity!$DI$3:$DI$25/(TRANSPOSE(Dists!$B4:$X4)*SUM(Capacity!$DI$3:$DI$25/TRANSPOSE(Dists!$B4:$X4))))</f>
        <v>5.68551875868529</v>
      </c>
      <c r="BY5" s="4" t="n">
        <f aca="false" t="array" ref="BY5:BY5">SUM(Capacity!CS5*Demand!BY5*Capacity!$DI$3:$DI$25/(TRANSPOSE(Dists!$B4:$X4)*SUM(Capacity!$DI$3:$DI$25/TRANSPOSE(Dists!$B4:$X4))))</f>
        <v>144.040547318771</v>
      </c>
      <c r="BZ5" s="4" t="n">
        <f aca="false" t="array" ref="BZ5:BZ5">SUM(Capacity!CT5*Demand!BZ5*Capacity!$DI$3:$DI$25/(TRANSPOSE(Dists!$B4:$X4)*SUM(Capacity!$DI$3:$DI$25/TRANSPOSE(Dists!$B4:$X4))))</f>
        <v>0.0879500706077651</v>
      </c>
      <c r="CA5" s="4" t="n">
        <f aca="false" t="array" ref="CA5:CA5">SUM(Capacity!CU5*Demand!CA5*Capacity!$DI$3:$DI$25/(TRANSPOSE(Dists!$B4:$X4)*SUM(Capacity!$DI$3:$DI$25/TRANSPOSE(Dists!$B4:$X4))))</f>
        <v>0.125934036626766</v>
      </c>
      <c r="CB5" s="4" t="n">
        <f aca="false" t="array" ref="CB5:CB5">SUM(Capacity!CV5*Demand!CB5*Capacity!$DI$3:$DI$25/(TRANSPOSE(Dists!$B4:$X4)*SUM(Capacity!$DI$3:$DI$25/TRANSPOSE(Dists!$B4:$X4))))</f>
        <v>166.565904781354</v>
      </c>
      <c r="CC5" s="4" t="n">
        <f aca="false" t="array" ref="CC5:CC5">SUM(Capacity!CW5*Demand!CC5*Capacity!$DI$3:$DI$25/(TRANSPOSE(Dists!$B4:$X4)*SUM(Capacity!$DI$3:$DI$25/TRANSPOSE(Dists!$B4:$X4))))</f>
        <v>190.564797884371</v>
      </c>
      <c r="CD5" s="4" t="n">
        <f aca="false">SUM($BG33,$BI33,$BK33)*Capacity!CX5/SUM(Capacity!$AM5:$AN5,Capacity!$CX5)</f>
        <v>74.9795483007557</v>
      </c>
      <c r="CE5" s="4" t="n">
        <f aca="false" t="array" ref="CE5:CE5">SUM(Capacity!CY5*Demand!CE5*Capacity!$DI$3:$DI$25/(TRANSPOSE(Dists!$B4:$X4)*SUM(Capacity!$DI$3:$DI$25/TRANSPOSE(Dists!$B4:$X4))))</f>
        <v>5.47029080183747</v>
      </c>
      <c r="CF5" s="4" t="n">
        <f aca="false" t="array" ref="CF5:CF5">SUM(Capacity!CZ5*Demand!CF5*Capacity!$DI$3:$DI$25/(TRANSPOSE(Dists!$B4:$X4)*SUM(Capacity!$DI$3:$DI$25/TRANSPOSE(Dists!$B4:$X4))))</f>
        <v>1080.82310411196</v>
      </c>
      <c r="CG5" s="4" t="n">
        <f aca="false" t="array" ref="CG5:CG5">SUM(Capacity!DA5*Demand!CG5*Capacity!$DI$3:$DI$25/(TRANSPOSE(Dists!$B4:$X4)*SUM(Capacity!$DI$3:$DI$25/TRANSPOSE(Dists!$B4:$X4))))</f>
        <v>0.000218355210460857</v>
      </c>
      <c r="CH5" s="4" t="n">
        <f aca="false" t="array" ref="CH5:CH5">SUM(Capacity!DB5*Demand!CH5*Capacity!$DI$3:$DI$25/(TRANSPOSE(Dists!$B4:$X4)*SUM(Capacity!$DI$3:$DI$25/TRANSPOSE(Dists!$B4:$X4))))</f>
        <v>3.28125839045816E-005</v>
      </c>
      <c r="CI5" s="4" t="n">
        <f aca="false" t="array" ref="CI5:CI5">SUM(Capacity!DC5*Demand!CI5*Capacity!$DI$3:$DI$25/(TRANSPOSE(Dists!$B4:$X4)*SUM(Capacity!$DI$3:$DI$25/TRANSPOSE(Dists!$B4:$X4))))</f>
        <v>0.147768334374889</v>
      </c>
      <c r="CJ5" s="4" t="n">
        <f aca="false" t="array" ref="CJ5:CJ5">SUM(Capacity!DD5*Demand!CJ5*Capacity!$DI$3:$DI$25/(TRANSPOSE(Dists!$B4:$X4)*SUM(Capacity!$DI$3:$DI$25/TRANSPOSE(Dists!$B4:$X4))))</f>
        <v>0.00732934022053285</v>
      </c>
      <c r="CK5" s="4" t="n">
        <f aca="false" t="array" ref="CK5:CK5">SUM(Capacity!DE5*Demand!CK5*Capacity!$DI$3:$DI$25/(TRANSPOSE(Dists!$B4:$X4)*SUM(Capacity!$DI$3:$DI$25/TRANSPOSE(Dists!$B4:$X4))))</f>
        <v>5.75163722076458</v>
      </c>
      <c r="CL5" s="7" t="s">
        <v>322</v>
      </c>
    </row>
    <row r="6" customFormat="false" ht="12.8" hidden="false" customHeight="false" outlineLevel="0" collapsed="false">
      <c r="A6" s="4" t="s">
        <v>137</v>
      </c>
      <c r="B6" s="7" t="s">
        <v>39</v>
      </c>
      <c r="C6" s="4" t="n">
        <f aca="false" t="array" ref="C6:C6">SUM(Capacity!S6*Demand!C6*Capacity!$DH$3:$DH$25/(TRANSPOSE(Dists!$B5:$X5)*SUM(Capacity!$DH$3:$DH$25/TRANSPOSE(Dists!$B5:$X5))))</f>
        <v>0.408786125729208</v>
      </c>
      <c r="D6" s="4" t="n">
        <f aca="false" t="array" ref="D6:D6">SUM(Capacity!V6*Demand!D6*Capacity!$DH$3:$DH$25/(TRANSPOSE(Dists!$B5:$X5)*SUM(Capacity!$DH$3:$DH$25/TRANSPOSE(Dists!$B5:$X5))))</f>
        <v>17348.138557139</v>
      </c>
      <c r="E6" s="4" t="n">
        <f aca="false" t="array" ref="E6:E6">SUM(Capacity!Y6*Demand!E6*Capacity!$DH$3:$DH$25/(TRANSPOSE(Dists!$B5:$X5)*SUM(Capacity!$DH$3:$DH$25/TRANSPOSE(Dists!$B5:$X5))))</f>
        <v>2916.13450317146</v>
      </c>
      <c r="F6" s="4" t="n">
        <f aca="false">$E6*Capacity!$M6/(2*(1-Capacity!$H$28)*Capacity!$H6)</f>
        <v>1011.14563604602</v>
      </c>
      <c r="G6" s="4" t="n">
        <f aca="false" t="array" ref="G6:G6">SUM(Capacity!AA6*Demand!G6*Capacity!$DH$3:$DH$25/(TRANSPOSE(Dists!$B5:$X5)*SUM(Capacity!$DH$3:$DH$25/TRANSPOSE(Dists!$B5:$X5))))</f>
        <v>3631.13813025892</v>
      </c>
      <c r="H6" s="4" t="n">
        <f aca="false" t="array" ref="H6:H6">SUM(Capacity!AB6*Demand!H6*Capacity!$DH$3:$DH$25/(TRANSPOSE(Dists!$B5:$X5)*SUM(Capacity!$DH$3:$DH$25/TRANSPOSE(Dists!$B5:$X5))))</f>
        <v>0</v>
      </c>
      <c r="I6" s="4" t="n">
        <f aca="false" t="array" ref="I6:I6">SUM(Capacity!AC6*Demand!I$3:I$25*Capacity!$DG$3:$DG$25/(TRANSPOSE(Dists!$B5:$X5)*SUM(Capacity!$DG$3:$DG$25/TRANSPOSE(Dists!$B5:$X5))))</f>
        <v>13.6668710757226</v>
      </c>
      <c r="J6" s="4" t="n">
        <f aca="false" t="array" ref="J6:J6">SUM(Capacity!AD6*Demand!J$3:J$25*Capacity!$DG$3:$DG$25/(TRANSPOSE(Dists!$B5:$X5)*SUM(Capacity!$DG$3:$DG$25/TRANSPOSE(Dists!$B5:$X5))))</f>
        <v>9.11112839427736</v>
      </c>
      <c r="K6" s="4" t="n">
        <f aca="false">5479.45205479452*$R6</f>
        <v>3396324.89812084</v>
      </c>
      <c r="L6" s="4" t="n">
        <f aca="false">17142.8571428571*$S6</f>
        <v>1122853.0585102</v>
      </c>
      <c r="M6" s="4" t="n">
        <f aca="false">IF(50420.1680672269*$T6&gt;($K6/20),50420.1680672269*$T6-($K6/20),0)</f>
        <v>1675969.60469976</v>
      </c>
      <c r="N6" s="4" t="n">
        <f aca="false" t="array" ref="N6:N6">SUM(Capacity!AH6*Demand!N6*Capacity!$DH$3:$DH$25/(TRANSPOSE(Dists!$B5:$X5)*SUM(Capacity!$DH$3:$DH$25/TRANSPOSE(Dists!$B5:$X5))))</f>
        <v>4094.55668986866</v>
      </c>
      <c r="O6" s="4" t="n">
        <f aca="false">D34*DemClcs!$A$31*DemClcs!$A$32</f>
        <v>4218.10161929162</v>
      </c>
      <c r="P6" s="4" t="n">
        <f aca="false">O6*DemClcs!$A$29*DemClcs!$A$30</f>
        <v>1687.24064771665</v>
      </c>
      <c r="Q6" s="4" t="n">
        <f aca="false" t="array" ref="Q6:Q6">SUM(Capacity!AK6*Demand!Q6*Capacity!$DI$3:$DI$25/(TRANSPOSE(Dists!$B5:$X5)*SUM(Capacity!$DI$3:$DI$25/TRANSPOSE(Dists!$B5:$X5))))</f>
        <v>34.2170852306972</v>
      </c>
      <c r="R6" s="4" t="n">
        <f aca="false" t="array" ref="R6:R6">SUM(Capacity!AL6*Demand!R6*Capacity!$DH$3:$DH$25/(TRANSPOSE(Dists!$B5:$X5)*SUM(Capacity!$DH$3:$DH$25/TRANSPOSE(Dists!$B5:$X5))))</f>
        <v>619.829293907054</v>
      </c>
      <c r="S6" s="4" t="n">
        <f aca="false">SUM($BG34,$BI34,$BK34)*Capacity!AM6/SUM(Capacity!$AM6:$AN6,Capacity!$CX6)</f>
        <v>65.4997617464282</v>
      </c>
      <c r="T6" s="4" t="n">
        <f aca="false">SUM($BG34,$BI34,$BK34)*Capacity!AN6/SUM(Capacity!$AM6:$AN6,Capacity!$CX6)</f>
        <v>36.6080860171818</v>
      </c>
      <c r="U6" s="4" t="n">
        <f aca="false">$M6*120*2/(16*1000*2000)</f>
        <v>12.5697720352482</v>
      </c>
      <c r="V6" s="4" t="n">
        <f aca="false" t="array" ref="V6:V6">SUM(Capacity!AP6*Demand!V$3:V$25*Capacity!$DH$3:$DH$25/(TRANSPOSE(Dists!$B5:$X5)*SUM(Capacity!$DH$3:$DH$25/TRANSPOSE(Dists!$B5:$X5))))</f>
        <v>211.678992692642</v>
      </c>
      <c r="W6" s="4" t="n">
        <f aca="false" t="array" ref="W6:W6">SUM(Capacity!AQ6*Demand!W$3:W$25*Capacity!$DH$3:$DH$25/(TRANSPOSE(Dists!$B5:$X5)*SUM(Capacity!$DH$3:$DH$25/TRANSPOSE(Dists!$B5:$X5))))</f>
        <v>1178.73126636139</v>
      </c>
      <c r="X6" s="4" t="n">
        <f aca="false" t="array" ref="X6:X6">SUM(Capacity!AR6*Demand!X$3:X$25*Capacity!$DH$3:$DH$25/(TRANSPOSE(Dists!$B5:$X5)*SUM(Capacity!$DH$3:$DH$25/TRANSPOSE(Dists!$B5:$X5))))</f>
        <v>5594.8025999868</v>
      </c>
      <c r="Y6" s="4" t="n">
        <f aca="false">$L6*600*6/(90*1000*2000)</f>
        <v>22.4570611702039</v>
      </c>
      <c r="Z6" s="4" t="n">
        <f aca="false" t="array" ref="Z6:Z6">SUM(Capacity!AT6*Demand!Z$3:Z$25*Capacity!$DI$3:$DI$25/(TRANSPOSE(Dists!$B5:$X5)*SUM(Capacity!$DI$3:$DI$25/TRANSPOSE(Dists!$B5:$X5))))</f>
        <v>10.2388894055171</v>
      </c>
      <c r="AA6" s="4" t="n">
        <f aca="false" t="array" ref="AA6:AA6">SUM(Capacity!AU6*Demand!AA$3:AA$25*Capacity!$DI$3:$DI$25/(TRANSPOSE(Dists!$B5:$X5)*SUM(Capacity!$DI$3:$DI$25/TRANSPOSE(Dists!$B5:$X5))))</f>
        <v>62.4549668532042</v>
      </c>
      <c r="AB6" s="4" t="n">
        <f aca="false" t="array" ref="AB6:AB6">SUM(Capacity!AV6*Demand!AB$3:AB$25*Capacity!$DI$3:$DI$25/(TRANSPOSE(Dists!$B5:$X5)*SUM(Capacity!$DI$3:$DI$25/TRANSPOSE(Dists!$B5:$X5))))</f>
        <v>63.6145045573134</v>
      </c>
      <c r="AC6" s="4" t="n">
        <f aca="false" t="array" ref="AC6:AC6">SUM(Capacity!AW6*Demand!AC$3:AC$25*Capacity!$DI$3:$DI$25/(TRANSPOSE(Dists!$B5:$X5)*SUM(Capacity!$DI$3:$DI$25/TRANSPOSE(Dists!$B5:$X5))))</f>
        <v>15.9681475813669</v>
      </c>
      <c r="AD6" s="4" t="n">
        <f aca="false" t="array" ref="AD6:AD6">SUM(Capacity!AX6*Demand!AD$3:AD$25*Capacity!$DI$3:$DI$25/(TRANSPOSE(Dists!$B5:$X5)*SUM(Capacity!$DI$3:$DI$25/TRANSPOSE(Dists!$B5:$X5))))</f>
        <v>10.4143726526743</v>
      </c>
      <c r="AE6" s="4" t="n">
        <f aca="false" t="array" ref="AE6:AE6">SUM(Capacity!AY6*Demand!AE$3:AE$25*Capacity!$DI$3:$DI$25/(TRANSPOSE(Dists!$B5:$X5)*SUM(Capacity!$DI$3:$DI$25/TRANSPOSE(Dists!$B5:$X5))))</f>
        <v>6.87852508627155</v>
      </c>
      <c r="AF6" s="4" t="n">
        <f aca="false" t="array" ref="AF6:AF6">SUM(Capacity!AZ6*Demand!AF$3:AF$25*Capacity!$DI$3:$DI$25/(TRANSPOSE(Dists!$B5:$X5)*SUM(Capacity!$DI$3:$DI$25/TRANSPOSE(Dists!$B5:$X5))))</f>
        <v>1.16433749360859</v>
      </c>
      <c r="AG6" s="4" t="n">
        <f aca="false" t="array" ref="AG6:AG6">SUM(Capacity!BA6*Demand!AG$3:AG$25*Capacity!$DI$3:$DI$25/(TRANSPOSE(Dists!$B5:$X5)*SUM(Capacity!$DI$3:$DI$25/TRANSPOSE(Dists!$B5:$X5))))</f>
        <v>5.97853496060314</v>
      </c>
      <c r="AH6" s="4" t="n">
        <f aca="false" t="array" ref="AH6:AH6">SUM(Capacity!BB6*Demand!AH$3:AH$25*Capacity!$DI$3:$DI$25/(TRANSPOSE(Dists!$B5:$X5)*SUM(Capacity!$DI$3:$DI$25/TRANSPOSE(Dists!$B5:$X5))))</f>
        <v>5.826176122125</v>
      </c>
      <c r="AI6" s="4" t="n">
        <f aca="false" t="array" ref="AI6:AI6">SUM(Capacity!BC6*Demand!AI$3:AI$25*Capacity!$DI$3:$DI$25/(TRANSPOSE(Dists!$B5:$X5)*SUM(Capacity!$DI$3:$DI$25/TRANSPOSE(Dists!$B5:$X5))))</f>
        <v>0.738998580935558</v>
      </c>
      <c r="AJ6" s="4" t="n">
        <f aca="false" t="array" ref="AJ6:AJ6">SUM(Capacity!BD6*Demand!AJ$3:AJ$25*Capacity!$DI$3:$DI$25/(TRANSPOSE(Dists!$B5:$X5)*SUM(Capacity!$DI$3:$DI$25/TRANSPOSE(Dists!$B5:$X5))))</f>
        <v>2.27581078814014</v>
      </c>
      <c r="AK6" s="4" t="n">
        <f aca="false" t="array" ref="AK6:AK6">SUM(Capacity!BE6*Demand!AK$3:AK$25*Capacity!$DI$3:$DI$25/(TRANSPOSE(Dists!$B5:$X5)*SUM(Capacity!$DI$3:$DI$25/TRANSPOSE(Dists!$B5:$X5))))</f>
        <v>1.3716614597718</v>
      </c>
      <c r="AL6" s="4" t="n">
        <f aca="false" t="array" ref="AL6:AL6">SUM(Capacity!BF6*Demand!AL$3:AL$25*Capacity!$DI$3:$DI$25/(TRANSPOSE(Dists!$B5:$X5)*SUM(Capacity!$DI$3:$DI$25/TRANSPOSE(Dists!$B5:$X5))))</f>
        <v>0.774104896333067</v>
      </c>
      <c r="AM6" s="4" t="n">
        <f aca="false" t="array" ref="AM6:AM6">SUM(Capacity!BG6*Demand!AM$3:AM$25*Capacity!$DI$3:$DI$25/(TRANSPOSE(Dists!$B5:$X5)*SUM(Capacity!$DI$3:$DI$25/TRANSPOSE(Dists!$B5:$X5))))</f>
        <v>1.80600646776101</v>
      </c>
      <c r="AN6" s="4" t="n">
        <f aca="false" t="array" ref="AN6:AN6">SUM(Capacity!BH6*Demand!AN$3:AN$25*Capacity!$DI$3:$DI$25/(TRANSPOSE(Dists!$B5:$X5)*SUM(Capacity!$DI$3:$DI$25/TRANSPOSE(Dists!$B5:$X5))))</f>
        <v>1.4149850599086</v>
      </c>
      <c r="AO6" s="4" t="n">
        <f aca="false" t="array" ref="AO6:AO6">SUM(Capacity!BI6*Demand!AO$3:AO$25*Capacity!$DI$3:$DI$25/(TRANSPOSE(Dists!$B5:$X5)*SUM(Capacity!$DI$3:$DI$25/TRANSPOSE(Dists!$B5:$X5))))</f>
        <v>3.22488979695369</v>
      </c>
      <c r="AP6" s="4" t="n">
        <f aca="false" t="array" ref="AP6:AP6">SUM(Capacity!BJ6*Demand!AP$3:AP$25*Capacity!$DI$3:$DI$25/(TRANSPOSE(Dists!$B5:$X5)*SUM(Capacity!$DI$3:$DI$25/TRANSPOSE(Dists!$B5:$X5))))</f>
        <v>2.16870784923268</v>
      </c>
      <c r="AQ6" s="4" t="n">
        <f aca="false" t="array" ref="AQ6:AQ6">SUM(Capacity!BK6*Demand!AQ$3:AQ$25*Capacity!$DI$3:$DI$25/(TRANSPOSE(Dists!$B5:$X5)*SUM(Capacity!$DI$3:$DI$25/TRANSPOSE(Dists!$B5:$X5))))</f>
        <v>0.20193735911163</v>
      </c>
      <c r="AR6" s="4" t="n">
        <f aca="false" t="array" ref="AR6:AR6">SUM(Capacity!BL6*Demand!AR$3:AR$25*Capacity!$DI$3:$DI$25/(TRANSPOSE(Dists!$B5:$X5)*SUM(Capacity!$DI$3:$DI$25/TRANSPOSE(Dists!$B5:$X5))))</f>
        <v>0.257751604152382</v>
      </c>
      <c r="AS6" s="4" t="n">
        <f aca="false" t="array" ref="AS6:AS6">SUM(Capacity!BM6*Demand!AS$3:AS$25*Capacity!$DI$3:$DI$25/(TRANSPOSE(Dists!$B5:$X5)*SUM(Capacity!$DI$3:$DI$25/TRANSPOSE(Dists!$B5:$X5))))</f>
        <v>0.736170014857915</v>
      </c>
      <c r="AT6" s="4" t="n">
        <f aca="false" t="array" ref="AT6:AT6">SUM(Capacity!BN6*Demand!AT$3:AT$25*Capacity!$DI$3:$DI$25/(TRANSPOSE(Dists!$B5:$X5)*SUM(Capacity!$DI$3:$DI$25/TRANSPOSE(Dists!$B5:$X5))))</f>
        <v>6.41180898954999</v>
      </c>
      <c r="AU6" s="4" t="n">
        <f aca="false" t="array" ref="AU6:AU6">SUM(Capacity!BO6*Demand!AU$3:AU$25*Capacity!$DI$3:$DI$25/(TRANSPOSE(Dists!$B5:$X5)*SUM(Capacity!$DI$3:$DI$25/TRANSPOSE(Dists!$B5:$X5))))</f>
        <v>4.82116446236876</v>
      </c>
      <c r="AV6" s="4" t="n">
        <f aca="false" t="array" ref="AV6:AV6">SUM(Capacity!BP6*Demand!AV$3:AV$25*Capacity!$DI$3:$DI$25/(TRANSPOSE(Dists!$B5:$X5)*SUM(Capacity!$DI$3:$DI$25/TRANSPOSE(Dists!$B5:$X5))))</f>
        <v>0.236351584769061</v>
      </c>
      <c r="AW6" s="4" t="n">
        <f aca="false" t="array" ref="AW6:AW6">SUM(Capacity!BQ6*Demand!AW$3:AW$25*Capacity!$DI$3:$DI$25/(TRANSPOSE(Dists!$B5:$X5)*SUM(Capacity!$DI$3:$DI$25/TRANSPOSE(Dists!$B5:$X5))))</f>
        <v>8.75328226338124</v>
      </c>
      <c r="AX6" s="4" t="n">
        <f aca="false" t="array" ref="AX6:AX6">SUM(Capacity!BR6*Demand!AX$3:AX$25*Capacity!$DI$3:$DI$25/(TRANSPOSE(Dists!$B5:$X5)*SUM(Capacity!$DI$3:$DI$25/TRANSPOSE(Dists!$B5:$X5))))</f>
        <v>0.716958394108058</v>
      </c>
      <c r="AY6" s="4" t="n">
        <f aca="false" t="array" ref="AY6:AY6">SUM(Capacity!BS6*Demand!AY$3:AY$25*Capacity!$DI$3:$DI$25/(TRANSPOSE(Dists!$B5:$X5)*SUM(Capacity!$DI$3:$DI$25/TRANSPOSE(Dists!$B5:$X5))))</f>
        <v>0.812306004883071</v>
      </c>
      <c r="AZ6" s="4" t="n">
        <f aca="false" t="array" ref="AZ6:AZ6">SUM(Capacity!BT6*Demand!AZ$3:AZ$25*Capacity!$DI$3:$DI$25/(TRANSPOSE(Dists!$B5:$X5)*SUM(Capacity!$DI$3:$DI$25/TRANSPOSE(Dists!$B5:$X5))))</f>
        <v>5.17367060888406</v>
      </c>
      <c r="BA6" s="4" t="n">
        <f aca="false">L6*25/(2000*1000*51)</f>
        <v>0.275209082968185</v>
      </c>
      <c r="BB6" s="4" t="n">
        <f aca="false" t="array" ref="BB6:BB6">SUM(Capacity!BV6*Demand!BB$3:BB$25*Capacity!$DI$3:$DI$25/(TRANSPOSE(Dists!$B5:$X5)*SUM(Capacity!$DI$3:$DI$25/TRANSPOSE(Dists!$B5:$X5))))</f>
        <v>0.792286868288281</v>
      </c>
      <c r="BC6" s="4" t="n">
        <f aca="false" t="array" ref="BC6:BC6">SUM(Capacity!BW6*Demand!BC$3:BC$25*Capacity!$DI$3:$DI$25/(TRANSPOSE(Dists!$B5:$X5)*SUM(Capacity!$DI$3:$DI$25/TRANSPOSE(Dists!$B5:$X5))))</f>
        <v>0.479883494590656</v>
      </c>
      <c r="BD6" s="4" t="n">
        <f aca="false" t="array" ref="BD6:BD6">SUM(Capacity!BX6*Demand!BD$3:BD$25*Capacity!$DI$3:$DI$25/(TRANSPOSE(Dists!$B5:$X5)*SUM(Capacity!$DI$3:$DI$25/TRANSPOSE(Dists!$B5:$X5))))</f>
        <v>0.31494935551292</v>
      </c>
      <c r="BE6" s="4" t="n">
        <f aca="false" t="array" ref="BE6:BE6">SUM(Capacity!BY6*Demand!BE$3:BE$25*Capacity!$DI$3:$DI$25/(TRANSPOSE(Dists!$B5:$X5)*SUM(Capacity!$DI$3:$DI$25/TRANSPOSE(Dists!$B5:$X5))))</f>
        <v>0.205175057263556</v>
      </c>
      <c r="BF6" s="4" t="n">
        <f aca="false" t="array" ref="BF6:BF6">SUM(Capacity!BZ6*Demand!BF$3:BF$25*Capacity!$DI$3:$DI$25/(TRANSPOSE(Dists!$B5:$X5)*SUM(Capacity!$DI$3:$DI$25/TRANSPOSE(Dists!$B5:$X5))))</f>
        <v>21.8727400988453</v>
      </c>
      <c r="BG6" s="4" t="n">
        <f aca="false" t="array" ref="BG6:BG6">SUM(Capacity!CA6*Demand!BG$3:BG$25*Capacity!$DI$3:$DI$25/(TRANSPOSE(Dists!$B5:$X5)*SUM(Capacity!$DI$3:$DI$25/TRANSPOSE(Dists!$B5:$X5))))</f>
        <v>71.5494033867785</v>
      </c>
      <c r="BH6" s="4" t="n">
        <f aca="false" t="array" ref="BH6:BH6">SUM(Capacity!CB6*Demand!BH$3:BH$25*Capacity!$DI$3:$DI$25/(TRANSPOSE(Dists!$B5:$X5)*SUM(Capacity!$DI$3:$DI$25/TRANSPOSE(Dists!$B5:$X5))))</f>
        <v>13.1026559681689</v>
      </c>
      <c r="BI6" s="4" t="n">
        <f aca="false" t="array" ref="BI6:BI6">SUM(Capacity!CC6*Demand!BI6*Capacity!$DI$3:$DI$25/(TRANSPOSE(Dists!$B5:$X5)*SUM(Capacity!$DI$3:$DI$25/TRANSPOSE(Dists!$B5:$X5))))</f>
        <v>440.56861529398</v>
      </c>
      <c r="BJ6" s="4" t="n">
        <f aca="false" t="array" ref="BJ6:BJ6">SUM(Capacity!CD6*Demand!BJ6*Capacity!$DI$3:$DI$25/(TRANSPOSE(Dists!$B5:$X5)*SUM(Capacity!$DI$3:$DI$25/TRANSPOSE(Dists!$B5:$X5))))</f>
        <v>2119.85009282216</v>
      </c>
      <c r="BK6" s="4" t="n">
        <f aca="false" t="array" ref="BK6:BK6">SUM(Capacity!CE6*Demand!BK6*Capacity!$DI$3:$DI$25/(TRANSPOSE(Dists!$B5:$X5)*SUM(Capacity!$DI$3:$DI$25/TRANSPOSE(Dists!$B5:$X5))))</f>
        <v>220.28430764699</v>
      </c>
      <c r="BL6" s="4" t="n">
        <f aca="false" t="array" ref="BL6:BL6">SUM(Capacity!CF6*Demand!BL6*Capacity!$DI$3:$DI$25/(TRANSPOSE(Dists!$B5:$X5)*SUM(Capacity!$DI$3:$DI$25/TRANSPOSE(Dists!$B5:$X5))))</f>
        <v>92.0765344611445</v>
      </c>
      <c r="BM6" s="4" t="n">
        <f aca="false" t="array" ref="BM6:BM6">SUM(Capacity!CG6*Demand!BM6*Capacity!$DI$3:$DI$25/(TRANSPOSE(Dists!$B5:$X5)*SUM(Capacity!$DI$3:$DI$25/TRANSPOSE(Dists!$B5:$X5))))</f>
        <v>92.1828272468501</v>
      </c>
      <c r="BN6" s="4" t="n">
        <f aca="false">MAX($BO6/0.006,$BP6/0.7,$BR6/0.002,$BS6/0.001)</f>
        <v>0.00374577256727415</v>
      </c>
      <c r="BO6" s="4" t="n">
        <f aca="false" t="array" ref="BO6:BO6">SUM(Capacity!CI6*Demand!BO6*Capacity!$DI$3:$DI$25/(TRANSPOSE(Dists!$B5:$X5)*SUM(Capacity!$DI$3:$DI$25/TRANSPOSE(Dists!$B5:$X5))))</f>
        <v>2.24746354036449E-005</v>
      </c>
      <c r="BP6" s="4" t="n">
        <f aca="false" t="array" ref="BP6:BP6">SUM(Capacity!CJ6*Demand!BP6*Capacity!$DI$3:$DI$25/(TRANSPOSE(Dists!$B5:$X5)*SUM(Capacity!$DI$3:$DI$25/TRANSPOSE(Dists!$B5:$X5))))</f>
        <v>1.09129231379013E-007</v>
      </c>
      <c r="BQ6" s="4" t="n">
        <f aca="false" t="array" ref="BQ6:BQ6">SUM(Capacity!CK6*Demand!BQ6*Capacity!$DI$3:$DI$25/(TRANSPOSE(Dists!$B5:$X5)*SUM(Capacity!$DI$3:$DI$25/TRANSPOSE(Dists!$B5:$X5))))</f>
        <v>0</v>
      </c>
      <c r="BR6" s="4" t="n">
        <f aca="false" t="array" ref="BR6:BR6">SUM(Capacity!CL6*Demand!BR6*Capacity!$DI$3:$DI$25/(TRANSPOSE(Dists!$B5:$X5)*SUM(Capacity!$DI$3:$DI$25/TRANSPOSE(Dists!$B5:$X5))))</f>
        <v>2.24746354036449E-006</v>
      </c>
      <c r="BS6" s="4" t="n">
        <f aca="false" t="array" ref="BS6:BS6">SUM(Capacity!CM6*Demand!BS6*Capacity!$DI$3:$DI$25/(TRANSPOSE(Dists!$B5:$X5)*SUM(Capacity!$DI$3:$DI$25/TRANSPOSE(Dists!$B5:$X5))))</f>
        <v>4.49492184078996E-007</v>
      </c>
      <c r="BT6" s="4" t="n">
        <f aca="false" t="array" ref="BT6:BT6">SUM(Capacity!CN6*Demand!BT6*Capacity!$DI$3:$DI$25/(TRANSPOSE(Dists!$B5:$X5)*SUM(Capacity!$DI$3:$DI$25/TRANSPOSE(Dists!$B5:$X5))))</f>
        <v>25.9053771673875</v>
      </c>
      <c r="BU6" s="4" t="n">
        <f aca="false" t="array" ref="BU6:BU6">SUM(Capacity!CO6*Demand!BU6*Capacity!$DI$3:$DI$25/(TRANSPOSE(Dists!$B5:$X5)*SUM(Capacity!$DI$3:$DI$25/TRANSPOSE(Dists!$B5:$X5))))</f>
        <v>2.59053771673875</v>
      </c>
      <c r="BV6" s="4" t="n">
        <f aca="false" t="array" ref="BV6:BV6">SUM(Capacity!CP6*Demand!BV6*Capacity!$DI$3:$DI$25/(TRANSPOSE(Dists!$B5:$X5)*SUM(Capacity!$DI$3:$DI$25/TRANSPOSE(Dists!$B5:$X5))))</f>
        <v>0.259053771673875</v>
      </c>
      <c r="BW6" s="4" t="n">
        <f aca="false">E34*DemClcs!$A$40*DemClcs!$A$41*8.34/(DemClcs!$A$38)</f>
        <v>4211.54321870634</v>
      </c>
      <c r="BX6" s="4" t="n">
        <f aca="false" t="array" ref="BX6:BX6">SUM(Capacity!CR6*Demand!BX6*Capacity!$DI$3:$DI$25/(TRANSPOSE(Dists!$B5:$X5)*SUM(Capacity!$DI$3:$DI$25/TRANSPOSE(Dists!$B5:$X5))))</f>
        <v>7.33156723117001</v>
      </c>
      <c r="BY6" s="4" t="n">
        <f aca="false" t="array" ref="BY6:BY6">SUM(Capacity!CS6*Demand!BY6*Capacity!$DI$3:$DI$25/(TRANSPOSE(Dists!$B5:$X5)*SUM(Capacity!$DI$3:$DI$25/TRANSPOSE(Dists!$B5:$X5))))</f>
        <v>30.7730271234102</v>
      </c>
      <c r="BZ6" s="4" t="n">
        <f aca="false" t="array" ref="BZ6:BZ6">SUM(Capacity!CT6*Demand!BZ6*Capacity!$DI$3:$DI$25/(TRANSPOSE(Dists!$B5:$X5)*SUM(Capacity!$DI$3:$DI$25/TRANSPOSE(Dists!$B5:$X5))))</f>
        <v>0.464842617421787</v>
      </c>
      <c r="CA6" s="4" t="n">
        <f aca="false" t="array" ref="CA6:CA6">SUM(Capacity!CU6*Demand!CA6*Capacity!$DI$3:$DI$25/(TRANSPOSE(Dists!$B5:$X5)*SUM(Capacity!$DI$3:$DI$25/TRANSPOSE(Dists!$B5:$X5))))</f>
        <v>0.0807678353696046</v>
      </c>
      <c r="CB6" s="4" t="n">
        <f aca="false" t="array" ref="CB6:CB6">SUM(Capacity!CV6*Demand!CB6*Capacity!$DI$3:$DI$25/(TRANSPOSE(Dists!$B5:$X5)*SUM(Capacity!$DI$3:$DI$25/TRANSPOSE(Dists!$B5:$X5))))</f>
        <v>1276.0461601235</v>
      </c>
      <c r="CC6" s="4" t="n">
        <f aca="false" t="array" ref="CC6:CC6">SUM(Capacity!CW6*Demand!CC6*Capacity!$DI$3:$DI$25/(TRANSPOSE(Dists!$B5:$X5)*SUM(Capacity!$DI$3:$DI$25/TRANSPOSE(Dists!$B5:$X5))))</f>
        <v>637.497450701494</v>
      </c>
      <c r="CD6" s="4" t="n">
        <f aca="false">SUM($BG34,$BI34,$BK34)*Capacity!CX6/SUM(Capacity!$AM6:$AN6,Capacity!$CX6)</f>
        <v>239.300716806222</v>
      </c>
      <c r="CE6" s="4" t="n">
        <f aca="false" t="array" ref="CE6:CE6">SUM(Capacity!CY6*Demand!CE6*Capacity!$DI$3:$DI$25/(TRANSPOSE(Dists!$B5:$X5)*SUM(Capacity!$DI$3:$DI$25/TRANSPOSE(Dists!$B5:$X5))))</f>
        <v>38.0902051964687</v>
      </c>
      <c r="CF6" s="4" t="n">
        <f aca="false" t="array" ref="CF6:CF6">SUM(Capacity!CZ6*Demand!CF6*Capacity!$DI$3:$DI$25/(TRANSPOSE(Dists!$B5:$X5)*SUM(Capacity!$DI$3:$DI$25/TRANSPOSE(Dists!$B5:$X5))))</f>
        <v>743.078706632541</v>
      </c>
      <c r="CG6" s="4" t="n">
        <f aca="false" t="array" ref="CG6:CG6">SUM(Capacity!DA6*Demand!CG6*Capacity!$DI$3:$DI$25/(TRANSPOSE(Dists!$B5:$X5)*SUM(Capacity!$DI$3:$DI$25/TRANSPOSE(Dists!$B5:$X5))))</f>
        <v>2.60299478842694E-006</v>
      </c>
      <c r="CH6" s="4" t="n">
        <f aca="false" t="array" ref="CH6:CH6">SUM(Capacity!DB6*Demand!CH6*Capacity!$DI$3:$DI$25/(TRANSPOSE(Dists!$B5:$X5)*SUM(Capacity!$DI$3:$DI$25/TRANSPOSE(Dists!$B5:$X5))))</f>
        <v>4.30022567782753E-006</v>
      </c>
      <c r="CI6" s="4" t="n">
        <f aca="false" t="array" ref="CI6:CI6">SUM(Capacity!DC6*Demand!CI6*Capacity!$DI$3:$DI$25/(TRANSPOSE(Dists!$B5:$X5)*SUM(Capacity!$DI$3:$DI$25/TRANSPOSE(Dists!$B5:$X5))))</f>
        <v>0.31036344633252</v>
      </c>
      <c r="CJ6" s="4" t="n">
        <f aca="false" t="array" ref="CJ6:CJ6">SUM(Capacity!DD6*Demand!CJ6*Capacity!$DI$3:$DI$25/(TRANSPOSE(Dists!$B5:$X5)*SUM(Capacity!$DI$3:$DI$25/TRANSPOSE(Dists!$B5:$X5))))</f>
        <v>0.110012611739371</v>
      </c>
      <c r="CK6" s="4" t="n">
        <f aca="false" t="array" ref="CK6:CK6">SUM(Capacity!DE6*Demand!CK6*Capacity!$DI$3:$DI$25/(TRANSPOSE(Dists!$B5:$X5)*SUM(Capacity!$DI$3:$DI$25/TRANSPOSE(Dists!$B5:$X5))))</f>
        <v>14.168295033326</v>
      </c>
      <c r="CL6" s="7" t="s">
        <v>322</v>
      </c>
    </row>
    <row r="7" customFormat="false" ht="12.8" hidden="false" customHeight="false" outlineLevel="0" collapsed="false">
      <c r="A7" s="4" t="s">
        <v>139</v>
      </c>
      <c r="B7" s="7" t="s">
        <v>39</v>
      </c>
      <c r="C7" s="4" t="n">
        <f aca="false" t="array" ref="C7:C7">SUM(Capacity!S7*Demand!C7*Capacity!$DH$3:$DH$25/(TRANSPOSE(Dists!$B6:$X6)*SUM(Capacity!$DH$3:$DH$25/TRANSPOSE(Dists!$B6:$X6))))</f>
        <v>0.00480177769289317</v>
      </c>
      <c r="D7" s="4" t="n">
        <f aca="false" t="array" ref="D7:D7">SUM(Capacity!V7*Demand!D7*Capacity!$DH$3:$DH$25/(TRANSPOSE(Dists!$B6:$X6)*SUM(Capacity!$DH$3:$DH$25/TRANSPOSE(Dists!$B6:$X6))))</f>
        <v>249.735342092432</v>
      </c>
      <c r="E7" s="4" t="n">
        <f aca="false" t="array" ref="E7:E7">SUM(Capacity!Y7*Demand!E7*Capacity!$DH$3:$DH$25/(TRANSPOSE(Dists!$B6:$X6)*SUM(Capacity!$DH$3:$DH$25/TRANSPOSE(Dists!$B6:$X6))))</f>
        <v>44.4854038864158</v>
      </c>
      <c r="F7" s="4" t="n">
        <f aca="false">$E7*Capacity!$M7/(2*(1-Capacity!$H$28)*Capacity!$H7)</f>
        <v>22.8858462357185</v>
      </c>
      <c r="G7" s="4" t="n">
        <f aca="false" t="array" ref="G7:G7">SUM(Capacity!AA7*Demand!G7*Capacity!$DH$3:$DH$25/(TRANSPOSE(Dists!$B6:$X6)*SUM(Capacity!$DH$3:$DH$25/TRANSPOSE(Dists!$B6:$X6))))</f>
        <v>13.5227535337011</v>
      </c>
      <c r="H7" s="4" t="n">
        <f aca="false" t="array" ref="H7:H7">SUM(Capacity!AB7*Demand!H7*Capacity!$DH$3:$DH$25/(TRANSPOSE(Dists!$B6:$X6)*SUM(Capacity!$DH$3:$DH$25/TRANSPOSE(Dists!$B6:$X6))))</f>
        <v>0</v>
      </c>
      <c r="I7" s="4" t="n">
        <f aca="false" t="array" ref="I7:I7">SUM(Capacity!AC7*Demand!I$3:I$25*Capacity!$DG$3:$DG$25/(TRANSPOSE(Dists!$B6:$X6)*SUM(Capacity!$DG$3:$DG$25/TRANSPOSE(Dists!$B6:$X6))))</f>
        <v>2.75533813134439</v>
      </c>
      <c r="J7" s="4" t="n">
        <f aca="false" t="array" ref="J7:J7">SUM(Capacity!AD7*Demand!J$3:J$25*Capacity!$DG$3:$DG$25/(TRANSPOSE(Dists!$B6:$X6)*SUM(Capacity!$DG$3:$DG$25/TRANSPOSE(Dists!$B6:$X6))))</f>
        <v>2.41235778365561</v>
      </c>
      <c r="K7" s="4" t="n">
        <f aca="false">5479.45205479452*$R7</f>
        <v>494209.407687297</v>
      </c>
      <c r="L7" s="4" t="n">
        <f aca="false">17142.8571428571*$S7</f>
        <v>123085.209574735</v>
      </c>
      <c r="M7" s="4" t="n">
        <f aca="false">IF(50420.1680672269*$T7&gt;($K7/20),50420.1680672269*$T7-($K7/20),0)</f>
        <v>177621.380971365</v>
      </c>
      <c r="N7" s="4" t="n">
        <f aca="false" t="array" ref="N7:N7">SUM(Capacity!AH7*Demand!N7*Capacity!$DH$3:$DH$25/(TRANSPOSE(Dists!$B6:$X6)*SUM(Capacity!$DH$3:$DH$25/TRANSPOSE(Dists!$B6:$X6))))</f>
        <v>25.3783117746828</v>
      </c>
      <c r="O7" s="4" t="n">
        <f aca="false">D35*DemClcs!$A$31*DemClcs!$A$32</f>
        <v>482.431697402514</v>
      </c>
      <c r="P7" s="4" t="n">
        <f aca="false">O7*DemClcs!$A$29*DemClcs!$A$30</f>
        <v>192.972678961006</v>
      </c>
      <c r="Q7" s="4" t="n">
        <f aca="false" t="array" ref="Q7:Q7">SUM(Capacity!AK7*Demand!Q7*Capacity!$DI$3:$DI$25/(TRANSPOSE(Dists!$B6:$X6)*SUM(Capacity!$DI$3:$DI$25/TRANSPOSE(Dists!$B6:$X6))))</f>
        <v>1.06352566610929</v>
      </c>
      <c r="R7" s="4" t="n">
        <f aca="false" t="array" ref="R7:R7">SUM(Capacity!AL7*Demand!R7*Capacity!$DH$3:$DH$25/(TRANSPOSE(Dists!$B6:$X6)*SUM(Capacity!$DH$3:$DH$25/TRANSPOSE(Dists!$B6:$X6))))</f>
        <v>90.1932169029317</v>
      </c>
      <c r="S7" s="4" t="n">
        <f aca="false">SUM($BG35,$BI35,$BK35)*Capacity!AM7/SUM(Capacity!$AM7:$AN7,Capacity!$CX7)</f>
        <v>7.17997055852624</v>
      </c>
      <c r="T7" s="4" t="n">
        <f aca="false">SUM($BG35,$BI35,$BK35)*Capacity!AN7/SUM(Capacity!$AM7:$AN7,Capacity!$CX7)</f>
        <v>4.01291505188864</v>
      </c>
      <c r="U7" s="4" t="n">
        <f aca="false">$M7*120*2/(16*1000*2000)</f>
        <v>1.33216035728524</v>
      </c>
      <c r="V7" s="4" t="n">
        <f aca="false" t="array" ref="V7:V7">SUM(Capacity!AP7*Demand!V$3:V$25*Capacity!$DH$3:$DH$25/(TRANSPOSE(Dists!$B6:$X6)*SUM(Capacity!$DH$3:$DH$25/TRANSPOSE(Dists!$B6:$X6))))</f>
        <v>11.4745060072825</v>
      </c>
      <c r="W7" s="4" t="n">
        <f aca="false" t="array" ref="W7:W7">SUM(Capacity!AQ7*Demand!W$3:W$25*Capacity!$DH$3:$DH$25/(TRANSPOSE(Dists!$B6:$X6)*SUM(Capacity!$DH$3:$DH$25/TRANSPOSE(Dists!$B6:$X6))))</f>
        <v>53.972396766953</v>
      </c>
      <c r="X7" s="4" t="n">
        <f aca="false" t="array" ref="X7:X7">SUM(Capacity!AR7*Demand!X$3:X$25*Capacity!$DH$3:$DH$25/(TRANSPOSE(Dists!$B6:$X6)*SUM(Capacity!$DH$3:$DH$25/TRANSPOSE(Dists!$B6:$X6))))</f>
        <v>448.922769516428</v>
      </c>
      <c r="Y7" s="4" t="n">
        <f aca="false">$L7*600*6/(90*1000*2000)</f>
        <v>2.46170419149471</v>
      </c>
      <c r="Z7" s="4" t="n">
        <f aca="false" t="array" ref="Z7:Z7">SUM(Capacity!AT7*Demand!Z$3:Z$25*Capacity!$DI$3:$DI$25/(TRANSPOSE(Dists!$B6:$X6)*SUM(Capacity!$DI$3:$DI$25/TRANSPOSE(Dists!$B6:$X6))))</f>
        <v>0.207520537536467</v>
      </c>
      <c r="AA7" s="4" t="n">
        <f aca="false" t="array" ref="AA7:AA7">SUM(Capacity!AU7*Demand!AA$3:AA$25*Capacity!$DI$3:$DI$25/(TRANSPOSE(Dists!$B6:$X6)*SUM(Capacity!$DI$3:$DI$25/TRANSPOSE(Dists!$B6:$X6))))</f>
        <v>2.43801118581264</v>
      </c>
      <c r="AB7" s="4" t="n">
        <f aca="false" t="array" ref="AB7:AB7">SUM(Capacity!AV7*Demand!AB$3:AB$25*Capacity!$DI$3:$DI$25/(TRANSPOSE(Dists!$B6:$X6)*SUM(Capacity!$DI$3:$DI$25/TRANSPOSE(Dists!$B6:$X6))))</f>
        <v>2.86816976949095</v>
      </c>
      <c r="AC7" s="4" t="n">
        <f aca="false" t="array" ref="AC7:AC7">SUM(Capacity!AW7*Demand!AC$3:AC$25*Capacity!$DI$3:$DI$25/(TRANSPOSE(Dists!$B6:$X6)*SUM(Capacity!$DI$3:$DI$25/TRANSPOSE(Dists!$B6:$X6))))</f>
        <v>0.867632572075449</v>
      </c>
      <c r="AD7" s="4" t="n">
        <f aca="false" t="array" ref="AD7:AD7">SUM(Capacity!AX7*Demand!AD$3:AD$25*Capacity!$DI$3:$DI$25/(TRANSPOSE(Dists!$B6:$X6)*SUM(Capacity!$DI$3:$DI$25/TRANSPOSE(Dists!$B6:$X6))))</f>
        <v>0.469549971637402</v>
      </c>
      <c r="AE7" s="4" t="n">
        <f aca="false" t="array" ref="AE7:AE7">SUM(Capacity!AY7*Demand!AE$3:AE$25*Capacity!$DI$3:$DI$25/(TRANSPOSE(Dists!$B6:$X6)*SUM(Capacity!$DI$3:$DI$25/TRANSPOSE(Dists!$B6:$X6))))</f>
        <v>0.34437327171003</v>
      </c>
      <c r="AF7" s="4" t="n">
        <f aca="false" t="array" ref="AF7:AF7">SUM(Capacity!AZ7*Demand!AF$3:AF$25*Capacity!$DI$3:$DI$25/(TRANSPOSE(Dists!$B6:$X6)*SUM(Capacity!$DI$3:$DI$25/TRANSPOSE(Dists!$B6:$X6))))</f>
        <v>0.0763988399335569</v>
      </c>
      <c r="AG7" s="4" t="n">
        <f aca="false" t="array" ref="AG7:AG7">SUM(Capacity!BA7*Demand!AG$3:AG$25*Capacity!$DI$3:$DI$25/(TRANSPOSE(Dists!$B6:$X6)*SUM(Capacity!$DI$3:$DI$25/TRANSPOSE(Dists!$B6:$X6))))</f>
        <v>0.323396471671244</v>
      </c>
      <c r="AH7" s="4" t="n">
        <f aca="false" t="array" ref="AH7:AH7">SUM(Capacity!BB7*Demand!AH$3:AH$25*Capacity!$DI$3:$DI$25/(TRANSPOSE(Dists!$B6:$X6)*SUM(Capacity!$DI$3:$DI$25/TRANSPOSE(Dists!$B6:$X6))))</f>
        <v>0.287616312143295</v>
      </c>
      <c r="AI7" s="4" t="n">
        <f aca="false" t="array" ref="AI7:AI7">SUM(Capacity!BC7*Demand!AI$3:AI$25*Capacity!$DI$3:$DI$25/(TRANSPOSE(Dists!$B6:$X6)*SUM(Capacity!$DI$3:$DI$25/TRANSPOSE(Dists!$B6:$X6))))</f>
        <v>0.0510472681381084</v>
      </c>
      <c r="AJ7" s="4" t="n">
        <f aca="false" t="array" ref="AJ7:AJ7">SUM(Capacity!BD7*Demand!AJ$3:AJ$25*Capacity!$DI$3:$DI$25/(TRANSPOSE(Dists!$B6:$X6)*SUM(Capacity!$DI$3:$DI$25/TRANSPOSE(Dists!$B6:$X6))))</f>
        <v>0.128870540670894</v>
      </c>
      <c r="AK7" s="4" t="n">
        <f aca="false" t="array" ref="AK7:AK7">SUM(Capacity!BE7*Demand!AK$3:AK$25*Capacity!$DI$3:$DI$25/(TRANSPOSE(Dists!$B6:$X6)*SUM(Capacity!$DI$3:$DI$25/TRANSPOSE(Dists!$B6:$X6))))</f>
        <v>0.0564267756681647</v>
      </c>
      <c r="AL7" s="4" t="n">
        <f aca="false" t="array" ref="AL7:AL7">SUM(Capacity!BF7*Demand!AL$3:AL$25*Capacity!$DI$3:$DI$25/(TRANSPOSE(Dists!$B6:$X6)*SUM(Capacity!$DI$3:$DI$25/TRANSPOSE(Dists!$B6:$X6))))</f>
        <v>0.0540190098194344</v>
      </c>
      <c r="AM7" s="4" t="n">
        <f aca="false" t="array" ref="AM7:AM7">SUM(Capacity!BG7*Demand!AM$3:AM$25*Capacity!$DI$3:$DI$25/(TRANSPOSE(Dists!$B6:$X6)*SUM(Capacity!$DI$3:$DI$25/TRANSPOSE(Dists!$B6:$X6))))</f>
        <v>0.136859911652031</v>
      </c>
      <c r="AN7" s="4" t="n">
        <f aca="false" t="array" ref="AN7:AN7">SUM(Capacity!BH7*Demand!AN$3:AN$25*Capacity!$DI$3:$DI$25/(TRANSPOSE(Dists!$B6:$X6)*SUM(Capacity!$DI$3:$DI$25/TRANSPOSE(Dists!$B6:$X6))))</f>
        <v>0.0611125097926184</v>
      </c>
      <c r="AO7" s="4" t="n">
        <f aca="false" t="array" ref="AO7:AO7">SUM(Capacity!BI7*Demand!AO$3:AO$25*Capacity!$DI$3:$DI$25/(TRANSPOSE(Dists!$B6:$X6)*SUM(Capacity!$DI$3:$DI$25/TRANSPOSE(Dists!$B6:$X6))))</f>
        <v>0.204504116791372</v>
      </c>
      <c r="AP7" s="4" t="n">
        <f aca="false" t="array" ref="AP7:AP7">SUM(Capacity!BJ7*Demand!AP$3:AP$25*Capacity!$DI$3:$DI$25/(TRANSPOSE(Dists!$B6:$X6)*SUM(Capacity!$DI$3:$DI$25/TRANSPOSE(Dists!$B6:$X6))))</f>
        <v>0.122654526560093</v>
      </c>
      <c r="AQ7" s="4" t="n">
        <f aca="false" t="array" ref="AQ7:AQ7">SUM(Capacity!BK7*Demand!AQ$3:AQ$25*Capacity!$DI$3:$DI$25/(TRANSPOSE(Dists!$B6:$X6)*SUM(Capacity!$DI$3:$DI$25/TRANSPOSE(Dists!$B6:$X6))))</f>
        <v>0.00851163809565061</v>
      </c>
      <c r="AR7" s="4" t="n">
        <f aca="false" t="array" ref="AR7:AR7">SUM(Capacity!BL7*Demand!AR$3:AR$25*Capacity!$DI$3:$DI$25/(TRANSPOSE(Dists!$B6:$X6)*SUM(Capacity!$DI$3:$DI$25/TRANSPOSE(Dists!$B6:$X6))))</f>
        <v>0.0186239537416655</v>
      </c>
      <c r="AS7" s="4" t="n">
        <f aca="false" t="array" ref="AS7:AS7">SUM(Capacity!BM7*Demand!AS$3:AS$25*Capacity!$DI$3:$DI$25/(TRANSPOSE(Dists!$B6:$X6)*SUM(Capacity!$DI$3:$DI$25/TRANSPOSE(Dists!$B6:$X6))))</f>
        <v>0.0429375378096561</v>
      </c>
      <c r="AT7" s="4" t="n">
        <f aca="false" t="array" ref="AT7:AT7">SUM(Capacity!BN7*Demand!AT$3:AT$25*Capacity!$DI$3:$DI$25/(TRANSPOSE(Dists!$B6:$X6)*SUM(Capacity!$DI$3:$DI$25/TRANSPOSE(Dists!$B6:$X6))))</f>
        <v>0.381263425764821</v>
      </c>
      <c r="AU7" s="4" t="n">
        <f aca="false" t="array" ref="AU7:AU7">SUM(Capacity!BO7*Demand!AU$3:AU$25*Capacity!$DI$3:$DI$25/(TRANSPOSE(Dists!$B6:$X6)*SUM(Capacity!$DI$3:$DI$25/TRANSPOSE(Dists!$B6:$X6))))</f>
        <v>0.304613917136009</v>
      </c>
      <c r="AV7" s="4" t="n">
        <f aca="false" t="array" ref="AV7:AV7">SUM(Capacity!BP7*Demand!AV$3:AV$25*Capacity!$DI$3:$DI$25/(TRANSPOSE(Dists!$B6:$X6)*SUM(Capacity!$DI$3:$DI$25/TRANSPOSE(Dists!$B6:$X6))))</f>
        <v>0.0165593645601521</v>
      </c>
      <c r="AW7" s="4" t="n">
        <f aca="false" t="array" ref="AW7:AW7">SUM(Capacity!BQ7*Demand!AW$3:AW$25*Capacity!$DI$3:$DI$25/(TRANSPOSE(Dists!$B6:$X6)*SUM(Capacity!$DI$3:$DI$25/TRANSPOSE(Dists!$B6:$X6))))</f>
        <v>0.47806422569796</v>
      </c>
      <c r="AX7" s="4" t="n">
        <f aca="false" t="array" ref="AX7:AX7">SUM(Capacity!BR7*Demand!AX$3:AX$25*Capacity!$DI$3:$DI$25/(TRANSPOSE(Dists!$B6:$X6)*SUM(Capacity!$DI$3:$DI$25/TRANSPOSE(Dists!$B6:$X6))))</f>
        <v>0.0496705583884026</v>
      </c>
      <c r="AY7" s="4" t="n">
        <f aca="false" t="array" ref="AY7:AY7">SUM(Capacity!BS7*Demand!AY$3:AY$25*Capacity!$DI$3:$DI$25/(TRANSPOSE(Dists!$B6:$X6)*SUM(Capacity!$DI$3:$DI$25/TRANSPOSE(Dists!$B6:$X6))))</f>
        <v>0.0324088627127941</v>
      </c>
      <c r="AZ7" s="4" t="n">
        <f aca="false" t="array" ref="AZ7:AZ7">SUM(Capacity!BT7*Demand!AZ$3:AZ$25*Capacity!$DI$3:$DI$25/(TRANSPOSE(Dists!$B6:$X6)*SUM(Capacity!$DI$3:$DI$25/TRANSPOSE(Dists!$B6:$X6))))</f>
        <v>0.225338255024564</v>
      </c>
      <c r="BA7" s="4" t="n">
        <f aca="false">L7*25/(2000*1000*51)</f>
        <v>0.0301679435232194</v>
      </c>
      <c r="BB7" s="4" t="n">
        <f aca="false" t="array" ref="BB7:BB7">SUM(Capacity!BV7*Demand!BB$3:BB$25*Capacity!$DI$3:$DI$25/(TRANSPOSE(Dists!$B6:$X6)*SUM(Capacity!$DI$3:$DI$25/TRANSPOSE(Dists!$B6:$X6))))</f>
        <v>0.037861175574798</v>
      </c>
      <c r="BC7" s="4" t="n">
        <f aca="false" t="array" ref="BC7:BC7">SUM(Capacity!BW7*Demand!BC$3:BC$25*Capacity!$DI$3:$DI$25/(TRANSPOSE(Dists!$B6:$X6)*SUM(Capacity!$DI$3:$DI$25/TRANSPOSE(Dists!$B6:$X6))))</f>
        <v>0.0291048763574007</v>
      </c>
      <c r="BD7" s="4" t="n">
        <f aca="false" t="array" ref="BD7:BD7">SUM(Capacity!BX7*Demand!BD$3:BD$25*Capacity!$DI$3:$DI$25/(TRANSPOSE(Dists!$B6:$X6)*SUM(Capacity!$DI$3:$DI$25/TRANSPOSE(Dists!$B6:$X6))))</f>
        <v>0.0172654700228029</v>
      </c>
      <c r="BE7" s="4" t="n">
        <f aca="false" t="array" ref="BE7:BE7">SUM(Capacity!BY7*Demand!BE$3:BE$25*Capacity!$DI$3:$DI$25/(TRANSPOSE(Dists!$B6:$X6)*SUM(Capacity!$DI$3:$DI$25/TRANSPOSE(Dists!$B6:$X6))))</f>
        <v>0.00964286214395085</v>
      </c>
      <c r="BF7" s="4" t="n">
        <f aca="false" t="array" ref="BF7:BF7">SUM(Capacity!BZ7*Demand!BF$3:BF$25*Capacity!$DI$3:$DI$25/(TRANSPOSE(Dists!$B6:$X6)*SUM(Capacity!$DI$3:$DI$25/TRANSPOSE(Dists!$B6:$X6))))</f>
        <v>1.54590879859786</v>
      </c>
      <c r="BG7" s="4" t="n">
        <f aca="false" t="array" ref="BG7:BG7">SUM(Capacity!CA7*Demand!BG$3:BG$25*Capacity!$DI$3:$DI$25/(TRANSPOSE(Dists!$B6:$X6)*SUM(Capacity!$DI$3:$DI$25/TRANSPOSE(Dists!$B6:$X6))))</f>
        <v>4.48463503004664</v>
      </c>
      <c r="BH7" s="4" t="n">
        <f aca="false" t="array" ref="BH7:BH7">SUM(Capacity!CB7*Demand!BH$3:BH$25*Capacity!$DI$3:$DI$25/(TRANSPOSE(Dists!$B6:$X6)*SUM(Capacity!$DI$3:$DI$25/TRANSPOSE(Dists!$B6:$X6))))</f>
        <v>0.00439479043373367</v>
      </c>
      <c r="BI7" s="4" t="n">
        <f aca="false" t="array" ref="BI7:BI7">SUM(Capacity!CC7*Demand!BI7*Capacity!$DI$3:$DI$25/(TRANSPOSE(Dists!$B6:$X6)*SUM(Capacity!$DI$3:$DI$25/TRANSPOSE(Dists!$B6:$X6))))</f>
        <v>7.13666749583433</v>
      </c>
      <c r="BJ7" s="4" t="n">
        <f aca="false" t="array" ref="BJ7:BJ7">SUM(Capacity!CD7*Demand!BJ7*Capacity!$DI$3:$DI$25/(TRANSPOSE(Dists!$B6:$X6)*SUM(Capacity!$DI$3:$DI$25/TRANSPOSE(Dists!$B6:$X6))))</f>
        <v>142.460252032167</v>
      </c>
      <c r="BK7" s="4" t="n">
        <f aca="false" t="array" ref="BK7:BK7">SUM(Capacity!CE7*Demand!BK7*Capacity!$DI$3:$DI$25/(TRANSPOSE(Dists!$B6:$X6)*SUM(Capacity!$DI$3:$DI$25/TRANSPOSE(Dists!$B6:$X6))))</f>
        <v>3.56833374791717</v>
      </c>
      <c r="BL7" s="4" t="n">
        <f aca="false" t="array" ref="BL7:BL7">SUM(Capacity!CF7*Demand!BL7*Capacity!$DI$3:$DI$25/(TRANSPOSE(Dists!$B6:$X6)*SUM(Capacity!$DI$3:$DI$25/TRANSPOSE(Dists!$B6:$X6))))</f>
        <v>114.578522926663</v>
      </c>
      <c r="BM7" s="4" t="n">
        <f aca="false" t="array" ref="BM7:BM7">SUM(Capacity!CG7*Demand!BM7*Capacity!$DI$3:$DI$25/(TRANSPOSE(Dists!$B6:$X6)*SUM(Capacity!$DI$3:$DI$25/TRANSPOSE(Dists!$B6:$X6))))</f>
        <v>10.6652591422577</v>
      </c>
      <c r="BN7" s="4" t="n">
        <f aca="false">MAX($BO7/0.006,$BP7/0.7,$BR7/0.002,$BS7/0.001)</f>
        <v>178.295450021778</v>
      </c>
      <c r="BO7" s="4" t="n">
        <f aca="false" t="array" ref="BO7:BO7">SUM(Capacity!CI7*Demand!BO7*Capacity!$DI$3:$DI$25/(TRANSPOSE(Dists!$B6:$X6)*SUM(Capacity!$DI$3:$DI$25/TRANSPOSE(Dists!$B6:$X6))))</f>
        <v>1.06977270013067</v>
      </c>
      <c r="BP7" s="4" t="n">
        <f aca="false" t="array" ref="BP7:BP7">SUM(Capacity!CJ7*Demand!BP7*Capacity!$DI$3:$DI$25/(TRANSPOSE(Dists!$B6:$X6)*SUM(Capacity!$DI$3:$DI$25/TRANSPOSE(Dists!$B6:$X6))))</f>
        <v>1.92726877745001</v>
      </c>
      <c r="BQ7" s="4" t="n">
        <f aca="false" t="array" ref="BQ7:BQ7">SUM(Capacity!CK7*Demand!BQ7*Capacity!$DI$3:$DI$25/(TRANSPOSE(Dists!$B6:$X6)*SUM(Capacity!$DI$3:$DI$25/TRANSPOSE(Dists!$B6:$X6))))</f>
        <v>0</v>
      </c>
      <c r="BR7" s="4" t="n">
        <f aca="false" t="array" ref="BR7:BR7">SUM(Capacity!CL7*Demand!BR7*Capacity!$DI$3:$DI$25/(TRANSPOSE(Dists!$B6:$X6)*SUM(Capacity!$DI$3:$DI$25/TRANSPOSE(Dists!$B6:$X6))))</f>
        <v>0.0356590900043556</v>
      </c>
      <c r="BS7" s="4" t="n">
        <f aca="false" t="array" ref="BS7:BS7">SUM(Capacity!CM7*Demand!BS7*Capacity!$DI$3:$DI$25/(TRANSPOSE(Dists!$B6:$X6)*SUM(Capacity!$DI$3:$DI$25/TRANSPOSE(Dists!$B6:$X6))))</f>
        <v>0.00356590720521586</v>
      </c>
      <c r="BT7" s="4" t="n">
        <f aca="false" t="array" ref="BT7:BT7">SUM(Capacity!CN7*Demand!BT7*Capacity!$DI$3:$DI$25/(TRANSPOSE(Dists!$B6:$X6)*SUM(Capacity!$DI$3:$DI$25/TRANSPOSE(Dists!$B6:$X6))))</f>
        <v>0.459535790310966</v>
      </c>
      <c r="BU7" s="4" t="n">
        <f aca="false" t="array" ref="BU7:BU7">SUM(Capacity!CO7*Demand!BU7*Capacity!$DI$3:$DI$25/(TRANSPOSE(Dists!$B6:$X6)*SUM(Capacity!$DI$3:$DI$25/TRANSPOSE(Dists!$B6:$X6))))</f>
        <v>0.0459535790310966</v>
      </c>
      <c r="BV7" s="4" t="n">
        <f aca="false" t="array" ref="BV7:BV7">SUM(Capacity!CP7*Demand!BV7*Capacity!$DI$3:$DI$25/(TRANSPOSE(Dists!$B6:$X6)*SUM(Capacity!$DI$3:$DI$25/TRANSPOSE(Dists!$B6:$X6))))</f>
        <v>0.00459535790310966</v>
      </c>
      <c r="BW7" s="4" t="n">
        <f aca="false">E35*DemClcs!$A$40*DemClcs!$A$41*8.34/(DemClcs!$A$38)</f>
        <v>317.799929297412</v>
      </c>
      <c r="BX7" s="4" t="n">
        <f aca="false" t="array" ref="BX7:BX7">SUM(Capacity!CR7*Demand!BX7*Capacity!$DI$3:$DI$25/(TRANSPOSE(Dists!$B6:$X6)*SUM(Capacity!$DI$3:$DI$25/TRANSPOSE(Dists!$B6:$X6))))</f>
        <v>0.638959396479714</v>
      </c>
      <c r="BY7" s="4" t="n">
        <f aca="false" t="array" ref="BY7:BY7">SUM(Capacity!CS7*Demand!BY7*Capacity!$DI$3:$DI$25/(TRANSPOSE(Dists!$B6:$X6)*SUM(Capacity!$DI$3:$DI$25/TRANSPOSE(Dists!$B6:$X6))))</f>
        <v>16.2863873436059</v>
      </c>
      <c r="BZ7" s="4" t="n">
        <f aca="false" t="array" ref="BZ7:BZ7">SUM(Capacity!CT7*Demand!BZ7*Capacity!$DI$3:$DI$25/(TRANSPOSE(Dists!$B6:$X6)*SUM(Capacity!$DI$3:$DI$25/TRANSPOSE(Dists!$B6:$X6))))</f>
        <v>0.151095717040833</v>
      </c>
      <c r="CA7" s="4" t="n">
        <f aca="false" t="array" ref="CA7:CA7">SUM(Capacity!CU7*Demand!CA7*Capacity!$DI$3:$DI$25/(TRANSPOSE(Dists!$B6:$X6)*SUM(Capacity!$DI$3:$DI$25/TRANSPOSE(Dists!$B6:$X6))))</f>
        <v>0.0624393330186398</v>
      </c>
      <c r="CB7" s="4" t="n">
        <f aca="false" t="array" ref="CB7:CB7">SUM(Capacity!CV7*Demand!CB7*Capacity!$DI$3:$DI$25/(TRANSPOSE(Dists!$B6:$X6)*SUM(Capacity!$DI$3:$DI$25/TRANSPOSE(Dists!$B6:$X6))))</f>
        <v>24.6789831762389</v>
      </c>
      <c r="CC7" s="4" t="n">
        <f aca="false" t="array" ref="CC7:CC7">SUM(Capacity!CW7*Demand!CC7*Capacity!$DI$3:$DI$25/(TRANSPOSE(Dists!$B6:$X6)*SUM(Capacity!$DI$3:$DI$25/TRANSPOSE(Dists!$B6:$X6))))</f>
        <v>332.220861151072</v>
      </c>
      <c r="CD7" s="4" t="n">
        <f aca="false">SUM($BG35,$BI35,$BK35)*Capacity!CX7/SUM(Capacity!$AM7:$AN7,Capacity!$CX7)</f>
        <v>15.5939334686827</v>
      </c>
      <c r="CE7" s="4" t="n">
        <f aca="false" t="array" ref="CE7:CE7">SUM(Capacity!CY7*Demand!CE7*Capacity!$DI$3:$DI$25/(TRANSPOSE(Dists!$B6:$X6)*SUM(Capacity!$DI$3:$DI$25/TRANSPOSE(Dists!$B6:$X6))))</f>
        <v>0.0670677143557535</v>
      </c>
      <c r="CF7" s="4" t="n">
        <f aca="false" t="array" ref="CF7:CF7">SUM(Capacity!CZ7*Demand!CF7*Capacity!$DI$3:$DI$25/(TRANSPOSE(Dists!$B6:$X6)*SUM(Capacity!$DI$3:$DI$25/TRANSPOSE(Dists!$B6:$X6))))</f>
        <v>382.626146720293</v>
      </c>
      <c r="CG7" s="4" t="n">
        <f aca="false" t="array" ref="CG7:CG7">SUM(Capacity!DA7*Demand!CG7*Capacity!$DI$3:$DI$25/(TRANSPOSE(Dists!$B6:$X6)*SUM(Capacity!$DI$3:$DI$25/TRANSPOSE(Dists!$B6:$X6))))</f>
        <v>2.20474531538409</v>
      </c>
      <c r="CH7" s="4" t="n">
        <f aca="false" t="array" ref="CH7:CH7">SUM(Capacity!DB7*Demand!CH7*Capacity!$DI$3:$DI$25/(TRANSPOSE(Dists!$B6:$X6)*SUM(Capacity!$DI$3:$DI$25/TRANSPOSE(Dists!$B6:$X6))))</f>
        <v>3.63001703941683</v>
      </c>
      <c r="CI7" s="4" t="n">
        <f aca="false" t="array" ref="CI7:CI7">SUM(Capacity!DC7*Demand!CI7*Capacity!$DI$3:$DI$25/(TRANSPOSE(Dists!$B6:$X6)*SUM(Capacity!$DI$3:$DI$25/TRANSPOSE(Dists!$B6:$X6))))</f>
        <v>0.0165584246594739</v>
      </c>
      <c r="CJ7" s="4" t="n">
        <f aca="false" t="array" ref="CJ7:CJ7">SUM(Capacity!DD7*Demand!CJ7*Capacity!$DI$3:$DI$25/(TRANSPOSE(Dists!$B6:$X6)*SUM(Capacity!$DI$3:$DI$25/TRANSPOSE(Dists!$B6:$X6))))</f>
        <v>0.000844946501966068</v>
      </c>
      <c r="CK7" s="4" t="n">
        <f aca="false" t="array" ref="CK7:CK7">SUM(Capacity!DE7*Demand!CK7*Capacity!$DI$3:$DI$25/(TRANSPOSE(Dists!$B6:$X6)*SUM(Capacity!$DI$3:$DI$25/TRANSPOSE(Dists!$B6:$X6))))</f>
        <v>0.233959069978604</v>
      </c>
      <c r="CL7" s="7" t="s">
        <v>322</v>
      </c>
    </row>
    <row r="8" customFormat="false" ht="12.8" hidden="false" customHeight="false" outlineLevel="0" collapsed="false">
      <c r="A8" s="4" t="s">
        <v>140</v>
      </c>
      <c r="B8" s="7" t="s">
        <v>39</v>
      </c>
      <c r="C8" s="4" t="n">
        <f aca="false" t="array" ref="C8:C8">SUM(Capacity!S8*Demand!C8*Capacity!$DH$3:$DH$25/(TRANSPOSE(Dists!$B7:$X7)*SUM(Capacity!$DH$3:$DH$25/TRANSPOSE(Dists!$B7:$X7))))</f>
        <v>0.0191467503451793</v>
      </c>
      <c r="D8" s="4" t="n">
        <f aca="false" t="array" ref="D8:D8">SUM(Capacity!V8*Demand!D8*Capacity!$DH$3:$DH$25/(TRANSPOSE(Dists!$B7:$X7)*SUM(Capacity!$DH$3:$DH$25/TRANSPOSE(Dists!$B7:$X7))))</f>
        <v>1937.97137037904</v>
      </c>
      <c r="E8" s="4" t="n">
        <f aca="false" t="array" ref="E8:E8">SUM(Capacity!Y8*Demand!E8*Capacity!$DH$3:$DH$25/(TRANSPOSE(Dists!$B7:$X7)*SUM(Capacity!$DH$3:$DH$25/TRANSPOSE(Dists!$B7:$X7))))</f>
        <v>234.682105002966</v>
      </c>
      <c r="F8" s="4" t="n">
        <f aca="false">$E8*Capacity!$M8/(2*(1-Capacity!$H$28)*Capacity!$H8)</f>
        <v>84.1635872972985</v>
      </c>
      <c r="G8" s="4" t="n">
        <f aca="false" t="array" ref="G8:G8">SUM(Capacity!AA8*Demand!G8*Capacity!$DH$3:$DH$25/(TRANSPOSE(Dists!$B7:$X7)*SUM(Capacity!$DH$3:$DH$25/TRANSPOSE(Dists!$B7:$X7))))</f>
        <v>268.541008458183</v>
      </c>
      <c r="H8" s="4" t="n">
        <f aca="false" t="array" ref="H8:H8">SUM(Capacity!AB8*Demand!H8*Capacity!$DH$3:$DH$25/(TRANSPOSE(Dists!$B7:$X7)*SUM(Capacity!$DH$3:$DH$25/TRANSPOSE(Dists!$B7:$X7))))</f>
        <v>0</v>
      </c>
      <c r="I8" s="4" t="n">
        <f aca="false" t="array" ref="I8:I8">SUM(Capacity!AC8*Demand!I$3:I$25*Capacity!$DG$3:$DG$25/(TRANSPOSE(Dists!$B7:$X7)*SUM(Capacity!$DG$3:$DG$25/TRANSPOSE(Dists!$B7:$X7))))</f>
        <v>1.74867307932606</v>
      </c>
      <c r="J8" s="4" t="n">
        <f aca="false" t="array" ref="J8:J8">SUM(Capacity!AD8*Demand!J$3:J$25*Capacity!$DG$3:$DG$25/(TRANSPOSE(Dists!$B7:$X7)*SUM(Capacity!$DG$3:$DG$25/TRANSPOSE(Dists!$B7:$X7))))</f>
        <v>1.61283785567394</v>
      </c>
      <c r="K8" s="4" t="n">
        <f aca="false">5479.45205479452*$R8</f>
        <v>650260.540687554</v>
      </c>
      <c r="L8" s="4" t="n">
        <f aca="false">17142.8571428571*$S8</f>
        <v>205299.602034576</v>
      </c>
      <c r="M8" s="4" t="n">
        <f aca="false">IF(50420.1680672269*$T8&gt;($K8/20),50420.1680672269*$T8-($K8/20),0)</f>
        <v>304965.770830679</v>
      </c>
      <c r="N8" s="4" t="n">
        <f aca="false" t="array" ref="N8:N8">SUM(Capacity!AH8*Demand!N8*Capacity!$DH$3:$DH$25/(TRANSPOSE(Dists!$B7:$X7)*SUM(Capacity!$DH$3:$DH$25/TRANSPOSE(Dists!$B7:$X7))))</f>
        <v>397.898446521269</v>
      </c>
      <c r="O8" s="4" t="n">
        <f aca="false">D36*DemClcs!$A$31*DemClcs!$A$32</f>
        <v>1019.4332068599</v>
      </c>
      <c r="P8" s="4" t="n">
        <f aca="false">O8*DemClcs!$A$29*DemClcs!$A$30</f>
        <v>407.773282743961</v>
      </c>
      <c r="Q8" s="4" t="n">
        <f aca="false" t="array" ref="Q8:Q8">SUM(Capacity!AK8*Demand!Q8*Capacity!$DI$3:$DI$25/(TRANSPOSE(Dists!$B7:$X7)*SUM(Capacity!$DI$3:$DI$25/TRANSPOSE(Dists!$B7:$X7))))</f>
        <v>5.12711783389746</v>
      </c>
      <c r="R8" s="4" t="n">
        <f aca="false" t="array" ref="R8:R8">SUM(Capacity!AL8*Demand!R8*Capacity!$DH$3:$DH$25/(TRANSPOSE(Dists!$B7:$X7)*SUM(Capacity!$DH$3:$DH$25/TRANSPOSE(Dists!$B7:$X7))))</f>
        <v>118.672548675479</v>
      </c>
      <c r="S8" s="4" t="n">
        <f aca="false">SUM($BG36,$BI36,$BK36)*Capacity!AM8/SUM(Capacity!$AM8:$AN8,Capacity!$CX8)</f>
        <v>11.9758101186836</v>
      </c>
      <c r="T8" s="4" t="n">
        <f aca="false">SUM($BG36,$BI36,$BK36)*Capacity!AN8/SUM(Capacity!$AM8:$AN8,Capacity!$CX8)</f>
        <v>6.69332949099029</v>
      </c>
      <c r="U8" s="4" t="n">
        <f aca="false">$M8*120*2/(16*1000*2000)</f>
        <v>2.28724328123009</v>
      </c>
      <c r="V8" s="4" t="n">
        <f aca="false" t="array" ref="V8:V8">SUM(Capacity!AP8*Demand!V$3:V$25*Capacity!$DH$3:$DH$25/(TRANSPOSE(Dists!$B7:$X7)*SUM(Capacity!$DH$3:$DH$25/TRANSPOSE(Dists!$B7:$X7))))</f>
        <v>62.3442728326409</v>
      </c>
      <c r="W8" s="4" t="n">
        <f aca="false" t="array" ref="W8:W8">SUM(Capacity!AQ8*Demand!W$3:W$25*Capacity!$DH$3:$DH$25/(TRANSPOSE(Dists!$B7:$X7)*SUM(Capacity!$DH$3:$DH$25/TRANSPOSE(Dists!$B7:$X7))))</f>
        <v>249.653859967435</v>
      </c>
      <c r="X8" s="4" t="n">
        <f aca="false" t="array" ref="X8:X8">SUM(Capacity!AR8*Demand!X$3:X$25*Capacity!$DH$3:$DH$25/(TRANSPOSE(Dists!$B7:$X7)*SUM(Capacity!$DH$3:$DH$25/TRANSPOSE(Dists!$B7:$X7))))</f>
        <v>1124.112657142</v>
      </c>
      <c r="Y8" s="4" t="n">
        <f aca="false">$L8*600*6/(90*1000*2000)</f>
        <v>4.10599204069152</v>
      </c>
      <c r="Z8" s="4" t="n">
        <f aca="false" t="array" ref="Z8:Z8">SUM(Capacity!AT8*Demand!Z$3:Z$25*Capacity!$DI$3:$DI$25/(TRANSPOSE(Dists!$B7:$X7)*SUM(Capacity!$DI$3:$DI$25/TRANSPOSE(Dists!$B7:$X7))))</f>
        <v>22.6578617178674</v>
      </c>
      <c r="AA8" s="4" t="n">
        <f aca="false" t="array" ref="AA8:AA8">SUM(Capacity!AU8*Demand!AA$3:AA$25*Capacity!$DI$3:$DI$25/(TRANSPOSE(Dists!$B7:$X7)*SUM(Capacity!$DI$3:$DI$25/TRANSPOSE(Dists!$B7:$X7))))</f>
        <v>11.3672162514091</v>
      </c>
      <c r="AB8" s="4" t="n">
        <f aca="false" t="array" ref="AB8:AB8">SUM(Capacity!AV8*Demand!AB$3:AB$25*Capacity!$DI$3:$DI$25/(TRANSPOSE(Dists!$B7:$X7)*SUM(Capacity!$DI$3:$DI$25/TRANSPOSE(Dists!$B7:$X7))))</f>
        <v>13.6101827781009</v>
      </c>
      <c r="AC8" s="4" t="n">
        <f aca="false" t="array" ref="AC8:AC8">SUM(Capacity!AW8*Demand!AC$3:AC$25*Capacity!$DI$3:$DI$25/(TRANSPOSE(Dists!$B7:$X7)*SUM(Capacity!$DI$3:$DI$25/TRANSPOSE(Dists!$B7:$X7))))</f>
        <v>2.41926506304449</v>
      </c>
      <c r="AD8" s="4" t="n">
        <f aca="false" t="array" ref="AD8:AD8">SUM(Capacity!AX8*Demand!AD$3:AD$25*Capacity!$DI$3:$DI$25/(TRANSPOSE(Dists!$B7:$X7)*SUM(Capacity!$DI$3:$DI$25/TRANSPOSE(Dists!$B7:$X7))))</f>
        <v>2.228132032286</v>
      </c>
      <c r="AE8" s="4" t="n">
        <f aca="false" t="array" ref="AE8:AE8">SUM(Capacity!AY8*Demand!AE$3:AE$25*Capacity!$DI$3:$DI$25/(TRANSPOSE(Dists!$B7:$X7)*SUM(Capacity!$DI$3:$DI$25/TRANSPOSE(Dists!$B7:$X7))))</f>
        <v>1.51288323605414</v>
      </c>
      <c r="AF8" s="4" t="n">
        <f aca="false" t="array" ref="AF8:AF8">SUM(Capacity!AZ8*Demand!AF$3:AF$25*Capacity!$DI$3:$DI$25/(TRANSPOSE(Dists!$B7:$X7)*SUM(Capacity!$DI$3:$DI$25/TRANSPOSE(Dists!$B7:$X7))))</f>
        <v>0.378740084158831</v>
      </c>
      <c r="AG8" s="4" t="n">
        <f aca="false" t="array" ref="AG8:AG8">SUM(Capacity!BA8*Demand!AG$3:AG$25*Capacity!$DI$3:$DI$25/(TRANSPOSE(Dists!$B7:$X7)*SUM(Capacity!$DI$3:$DI$25/TRANSPOSE(Dists!$B7:$X7))))</f>
        <v>1.36907502909382</v>
      </c>
      <c r="AH8" s="4" t="n">
        <f aca="false" t="array" ref="AH8:AH8">SUM(Capacity!BB8*Demand!AH$3:AH$25*Capacity!$DI$3:$DI$25/(TRANSPOSE(Dists!$B7:$X7)*SUM(Capacity!$DI$3:$DI$25/TRANSPOSE(Dists!$B7:$X7))))</f>
        <v>1.32487643827641</v>
      </c>
      <c r="AI8" s="4" t="n">
        <f aca="false" t="array" ref="AI8:AI8">SUM(Capacity!BC8*Demand!AI$3:AI$25*Capacity!$DI$3:$DI$25/(TRANSPOSE(Dists!$B7:$X7)*SUM(Capacity!$DI$3:$DI$25/TRANSPOSE(Dists!$B7:$X7))))</f>
        <v>0.219397298825924</v>
      </c>
      <c r="AJ8" s="4" t="n">
        <f aca="false" t="array" ref="AJ8:AJ8">SUM(Capacity!BD8*Demand!AJ$3:AJ$25*Capacity!$DI$3:$DI$25/(TRANSPOSE(Dists!$B7:$X7)*SUM(Capacity!$DI$3:$DI$25/TRANSPOSE(Dists!$B7:$X7))))</f>
        <v>0.559023825369031</v>
      </c>
      <c r="AK8" s="4" t="n">
        <f aca="false" t="array" ref="AK8:AK8">SUM(Capacity!BE8*Demand!AK$3:AK$25*Capacity!$DI$3:$DI$25/(TRANSPOSE(Dists!$B7:$X7)*SUM(Capacity!$DI$3:$DI$25/TRANSPOSE(Dists!$B7:$X7))))</f>
        <v>0.262189672804399</v>
      </c>
      <c r="AL8" s="4" t="n">
        <f aca="false" t="array" ref="AL8:AL8">SUM(Capacity!BF8*Demand!AL$3:AL$25*Capacity!$DI$3:$DI$25/(TRANSPOSE(Dists!$B7:$X7)*SUM(Capacity!$DI$3:$DI$25/TRANSPOSE(Dists!$B7:$X7))))</f>
        <v>0.250710447348976</v>
      </c>
      <c r="AM8" s="4" t="n">
        <f aca="false" t="array" ref="AM8:AM8">SUM(Capacity!BG8*Demand!AM$3:AM$25*Capacity!$DI$3:$DI$25/(TRANSPOSE(Dists!$B7:$X7)*SUM(Capacity!$DI$3:$DI$25/TRANSPOSE(Dists!$B7:$X7))))</f>
        <v>0.569606975342981</v>
      </c>
      <c r="AN8" s="4" t="n">
        <f aca="false" t="array" ref="AN8:AN8">SUM(Capacity!BH8*Demand!AN$3:AN$25*Capacity!$DI$3:$DI$25/(TRANSPOSE(Dists!$B7:$X7)*SUM(Capacity!$DI$3:$DI$25/TRANSPOSE(Dists!$B7:$X7))))</f>
        <v>0.284283531663596</v>
      </c>
      <c r="AO8" s="4" t="n">
        <f aca="false" t="array" ref="AO8:AO8">SUM(Capacity!BI8*Demand!AO$3:AO$25*Capacity!$DI$3:$DI$25/(TRANSPOSE(Dists!$B7:$X7)*SUM(Capacity!$DI$3:$DI$25/TRANSPOSE(Dists!$B7:$X7))))</f>
        <v>0.968338406632247</v>
      </c>
      <c r="AP8" s="4" t="n">
        <f aca="false" t="array" ref="AP8:AP8">SUM(Capacity!BJ8*Demand!AP$3:AP$25*Capacity!$DI$3:$DI$25/(TRANSPOSE(Dists!$B7:$X7)*SUM(Capacity!$DI$3:$DI$25/TRANSPOSE(Dists!$B7:$X7))))</f>
        <v>0.531403359813308</v>
      </c>
      <c r="AQ8" s="4" t="n">
        <f aca="false" t="array" ref="AQ8:AQ8">SUM(Capacity!BK8*Demand!AQ$3:AQ$25*Capacity!$DI$3:$DI$25/(TRANSPOSE(Dists!$B7:$X7)*SUM(Capacity!$DI$3:$DI$25/TRANSPOSE(Dists!$B7:$X7))))</f>
        <v>0.0383115521340135</v>
      </c>
      <c r="AR8" s="4" t="n">
        <f aca="false" t="array" ref="AR8:AR8">SUM(Capacity!BL8*Demand!AR$3:AR$25*Capacity!$DI$3:$DI$25/(TRANSPOSE(Dists!$B7:$X7)*SUM(Capacity!$DI$3:$DI$25/TRANSPOSE(Dists!$B7:$X7))))</f>
        <v>0.091587987900611</v>
      </c>
      <c r="AS8" s="4" t="n">
        <f aca="false" t="array" ref="AS8:AS8">SUM(Capacity!BM8*Demand!AS$3:AS$25*Capacity!$DI$3:$DI$25/(TRANSPOSE(Dists!$B7:$X7)*SUM(Capacity!$DI$3:$DI$25/TRANSPOSE(Dists!$B7:$X7))))</f>
        <v>0.178168870040436</v>
      </c>
      <c r="AT8" s="4" t="n">
        <f aca="false" t="array" ref="AT8:AT8">SUM(Capacity!BN8*Demand!AT$3:AT$25*Capacity!$DI$3:$DI$25/(TRANSPOSE(Dists!$B7:$X7)*SUM(Capacity!$DI$3:$DI$25/TRANSPOSE(Dists!$B7:$X7))))</f>
        <v>1.91872508341817</v>
      </c>
      <c r="AU8" s="4" t="n">
        <f aca="false" t="array" ref="AU8:AU8">SUM(Capacity!BO8*Demand!AU$3:AU$25*Capacity!$DI$3:$DI$25/(TRANSPOSE(Dists!$B7:$X7)*SUM(Capacity!$DI$3:$DI$25/TRANSPOSE(Dists!$B7:$X7))))</f>
        <v>1.04379554679551</v>
      </c>
      <c r="AV8" s="4" t="n">
        <f aca="false" t="array" ref="AV8:AV8">SUM(Capacity!BP8*Demand!AV$3:AV$25*Capacity!$DI$3:$DI$25/(TRANSPOSE(Dists!$B7:$X7)*SUM(Capacity!$DI$3:$DI$25/TRANSPOSE(Dists!$B7:$X7))))</f>
        <v>0.0639546031347208</v>
      </c>
      <c r="AW8" s="4" t="n">
        <f aca="false" t="array" ref="AW8:AW8">SUM(Capacity!BQ8*Demand!AW$3:AW$25*Capacity!$DI$3:$DI$25/(TRANSPOSE(Dists!$B7:$X7)*SUM(Capacity!$DI$3:$DI$25/TRANSPOSE(Dists!$B7:$X7))))</f>
        <v>1.33467895252468</v>
      </c>
      <c r="AX8" s="4" t="n">
        <f aca="false" t="array" ref="AX8:AX8">SUM(Capacity!BR8*Demand!AX$3:AX$25*Capacity!$DI$3:$DI$25/(TRANSPOSE(Dists!$B7:$X7)*SUM(Capacity!$DI$3:$DI$25/TRANSPOSE(Dists!$B7:$X7))))</f>
        <v>0.143250952518204</v>
      </c>
      <c r="AY8" s="4" t="n">
        <f aca="false" t="array" ref="AY8:AY8">SUM(Capacity!BS8*Demand!AY$3:AY$25*Capacity!$DI$3:$DI$25/(TRANSPOSE(Dists!$B7:$X7)*SUM(Capacity!$DI$3:$DI$25/TRANSPOSE(Dists!$B7:$X7))))</f>
        <v>0.15503890112546</v>
      </c>
      <c r="AZ8" s="4" t="n">
        <f aca="false" t="array" ref="AZ8:AZ8">SUM(Capacity!BT8*Demand!AZ$3:AZ$25*Capacity!$DI$3:$DI$25/(TRANSPOSE(Dists!$B7:$X7)*SUM(Capacity!$DI$3:$DI$25/TRANSPOSE(Dists!$B7:$X7))))</f>
        <v>1.09726134055424</v>
      </c>
      <c r="BA8" s="4" t="n">
        <f aca="false">L8*25/(2000*1000*51)</f>
        <v>0.0503185299104352</v>
      </c>
      <c r="BB8" s="4" t="n">
        <f aca="false" t="array" ref="BB8:BB8">SUM(Capacity!BV8*Demand!BB$3:BB$25*Capacity!$DI$3:$DI$25/(TRANSPOSE(Dists!$B7:$X7)*SUM(Capacity!$DI$3:$DI$25/TRANSPOSE(Dists!$B7:$X7))))</f>
        <v>0.156492487389926</v>
      </c>
      <c r="BC8" s="4" t="n">
        <f aca="false" t="array" ref="BC8:BC8">SUM(Capacity!BW8*Demand!BC$3:BC$25*Capacity!$DI$3:$DI$25/(TRANSPOSE(Dists!$B7:$X7)*SUM(Capacity!$DI$3:$DI$25/TRANSPOSE(Dists!$B7:$X7))))</f>
        <v>0.111144314115362</v>
      </c>
      <c r="BD8" s="4" t="n">
        <f aca="false" t="array" ref="BD8:BD8">SUM(Capacity!BX8*Demand!BD$3:BD$25*Capacity!$DI$3:$DI$25/(TRANSPOSE(Dists!$B7:$X7)*SUM(Capacity!$DI$3:$DI$25/TRANSPOSE(Dists!$B7:$X7))))</f>
        <v>0.0781022490744189</v>
      </c>
      <c r="BE8" s="4" t="n">
        <f aca="false" t="array" ref="BE8:BE8">SUM(Capacity!BY8*Demand!BE$3:BE$25*Capacity!$DI$3:$DI$25/(TRANSPOSE(Dists!$B7:$X7)*SUM(Capacity!$DI$3:$DI$25/TRANSPOSE(Dists!$B7:$X7))))</f>
        <v>0.0393524705741795</v>
      </c>
      <c r="BF8" s="4" t="n">
        <f aca="false" t="array" ref="BF8:BF8">SUM(Capacity!BZ8*Demand!BF$3:BF$25*Capacity!$DI$3:$DI$25/(TRANSPOSE(Dists!$B7:$X7)*SUM(Capacity!$DI$3:$DI$25/TRANSPOSE(Dists!$B7:$X7))))</f>
        <v>4.46948773154563</v>
      </c>
      <c r="BG8" s="4" t="n">
        <f aca="false" t="array" ref="BG8:BG8">SUM(Capacity!CA8*Demand!BG$3:BG$25*Capacity!$DI$3:$DI$25/(TRANSPOSE(Dists!$B7:$X7)*SUM(Capacity!$DI$3:$DI$25/TRANSPOSE(Dists!$B7:$X7))))</f>
        <v>12.2808426400406</v>
      </c>
      <c r="BH8" s="4" t="n">
        <f aca="false" t="array" ref="BH8:BH8">SUM(Capacity!CB8*Demand!BH$3:BH$25*Capacity!$DI$3:$DI$25/(TRANSPOSE(Dists!$B7:$X7)*SUM(Capacity!$DI$3:$DI$25/TRANSPOSE(Dists!$B7:$X7))))</f>
        <v>22.7276862379978</v>
      </c>
      <c r="BI8" s="4" t="n">
        <f aca="false" t="array" ref="BI8:BI8">SUM(Capacity!CC8*Demand!BI8*Capacity!$DI$3:$DI$25/(TRANSPOSE(Dists!$B7:$X7)*SUM(Capacity!$DI$3:$DI$25/TRANSPOSE(Dists!$B7:$X7))))</f>
        <v>32.065703641071</v>
      </c>
      <c r="BJ8" s="4" t="n">
        <f aca="false" t="array" ref="BJ8:BJ8">SUM(Capacity!CD8*Demand!BJ8*Capacity!$DI$3:$DI$25/(TRANSPOSE(Dists!$B7:$X7)*SUM(Capacity!$DI$3:$DI$25/TRANSPOSE(Dists!$B7:$X7))))</f>
        <v>384.483825211209</v>
      </c>
      <c r="BK8" s="4" t="n">
        <f aca="false" t="array" ref="BK8:BK8">SUM(Capacity!CE8*Demand!BK8*Capacity!$DI$3:$DI$25/(TRANSPOSE(Dists!$B7:$X7)*SUM(Capacity!$DI$3:$DI$25/TRANSPOSE(Dists!$B7:$X7))))</f>
        <v>16.0328518205355</v>
      </c>
      <c r="BL8" s="4" t="n">
        <f aca="false" t="array" ref="BL8:BL8">SUM(Capacity!CF8*Demand!BL8*Capacity!$DI$3:$DI$25/(TRANSPOSE(Dists!$B7:$X7)*SUM(Capacity!$DI$3:$DI$25/TRANSPOSE(Dists!$B7:$X7))))</f>
        <v>436.781122003071</v>
      </c>
      <c r="BM8" s="4" t="n">
        <f aca="false" t="array" ref="BM8:BM8">SUM(Capacity!CG8*Demand!BM8*Capacity!$DI$3:$DI$25/(TRANSPOSE(Dists!$B7:$X7)*SUM(Capacity!$DI$3:$DI$25/TRANSPOSE(Dists!$B7:$X7))))</f>
        <v>21.0299552557845</v>
      </c>
      <c r="BN8" s="4" t="n">
        <f aca="false">MAX($BO8/0.006,$BP8/0.7,$BR8/0.002,$BS8/0.001)</f>
        <v>0.000398059448510501</v>
      </c>
      <c r="BO8" s="4" t="n">
        <f aca="false" t="array" ref="BO8:BO8">SUM(Capacity!CI8*Demand!BO8*Capacity!$DI$3:$DI$25/(TRANSPOSE(Dists!$B7:$X7)*SUM(Capacity!$DI$3:$DI$25/TRANSPOSE(Dists!$B7:$X7))))</f>
        <v>2.38835669106301E-006</v>
      </c>
      <c r="BP8" s="4" t="n">
        <f aca="false" t="array" ref="BP8:BP8">SUM(Capacity!CJ8*Demand!BP8*Capacity!$DI$3:$DI$25/(TRANSPOSE(Dists!$B7:$X7)*SUM(Capacity!$DI$3:$DI$25/TRANSPOSE(Dists!$B7:$X7))))</f>
        <v>2.46163956920525E-008</v>
      </c>
      <c r="BQ8" s="4" t="n">
        <f aca="false" t="array" ref="BQ8:BQ8">SUM(Capacity!CK8*Demand!BQ8*Capacity!$DI$3:$DI$25/(TRANSPOSE(Dists!$B7:$X7)*SUM(Capacity!$DI$3:$DI$25/TRANSPOSE(Dists!$B7:$X7))))</f>
        <v>0</v>
      </c>
      <c r="BR8" s="4" t="n">
        <f aca="false" t="array" ref="BR8:BR8">SUM(Capacity!CL8*Demand!BR8*Capacity!$DI$3:$DI$25/(TRANSPOSE(Dists!$B7:$X7)*SUM(Capacity!$DI$3:$DI$25/TRANSPOSE(Dists!$B7:$X7))))</f>
        <v>2.38835669106301E-007</v>
      </c>
      <c r="BS8" s="4" t="n">
        <f aca="false" t="array" ref="BS8:BS8">SUM(Capacity!CM8*Demand!BS8*Capacity!$DI$3:$DI$25/(TRANSPOSE(Dists!$B7:$X7)*SUM(Capacity!$DI$3:$DI$25/TRANSPOSE(Dists!$B7:$X7))))</f>
        <v>4.77671059453971E-008</v>
      </c>
      <c r="BT8" s="4" t="n">
        <f aca="false" t="array" ref="BT8:BT8">SUM(Capacity!CN8*Demand!BT8*Capacity!$DI$3:$DI$25/(TRANSPOSE(Dists!$B7:$X7)*SUM(Capacity!$DI$3:$DI$25/TRANSPOSE(Dists!$B7:$X7))))</f>
        <v>3.07080939560334</v>
      </c>
      <c r="BU8" s="4" t="n">
        <f aca="false" t="array" ref="BU8:BU8">SUM(Capacity!CO8*Demand!BU8*Capacity!$DI$3:$DI$25/(TRANSPOSE(Dists!$B7:$X7)*SUM(Capacity!$DI$3:$DI$25/TRANSPOSE(Dists!$B7:$X7))))</f>
        <v>0.307080939560334</v>
      </c>
      <c r="BV8" s="4" t="n">
        <f aca="false" t="array" ref="BV8:BV8">SUM(Capacity!CP8*Demand!BV8*Capacity!$DI$3:$DI$25/(TRANSPOSE(Dists!$B7:$X7)*SUM(Capacity!$DI$3:$DI$25/TRANSPOSE(Dists!$B7:$X7))))</f>
        <v>0.0307080939560334</v>
      </c>
      <c r="BW8" s="4" t="n">
        <f aca="false">E36*DemClcs!$A$40*DemClcs!$A$41*8.34/(DemClcs!$A$38)</f>
        <v>1074.11175820513</v>
      </c>
      <c r="BX8" s="4" t="n">
        <f aca="false" t="array" ref="BX8:BX8">SUM(Capacity!CR8*Demand!BX8*Capacity!$DI$3:$DI$25/(TRANSPOSE(Dists!$B7:$X7)*SUM(Capacity!$DI$3:$DI$25/TRANSPOSE(Dists!$B7:$X7))))</f>
        <v>3.87262060918596</v>
      </c>
      <c r="BY8" s="4" t="n">
        <f aca="false" t="array" ref="BY8:BY8">SUM(Capacity!CS8*Demand!BY8*Capacity!$DI$3:$DI$25/(TRANSPOSE(Dists!$B7:$X7)*SUM(Capacity!$DI$3:$DI$25/TRANSPOSE(Dists!$B7:$X7))))</f>
        <v>56.5762500049719</v>
      </c>
      <c r="BZ8" s="4" t="n">
        <f aca="false" t="array" ref="BZ8:BZ8">SUM(Capacity!CT8*Demand!BZ8*Capacity!$DI$3:$DI$25/(TRANSPOSE(Dists!$B7:$X7)*SUM(Capacity!$DI$3:$DI$25/TRANSPOSE(Dists!$B7:$X7))))</f>
        <v>0.498622996206739</v>
      </c>
      <c r="CA8" s="4" t="n">
        <f aca="false" t="array" ref="CA8:CA8">SUM(Capacity!CU8*Demand!CA8*Capacity!$DI$3:$DI$25/(TRANSPOSE(Dists!$B7:$X7)*SUM(Capacity!$DI$3:$DI$25/TRANSPOSE(Dists!$B7:$X7))))</f>
        <v>0.0229913698747428</v>
      </c>
      <c r="CB8" s="4" t="n">
        <f aca="false" t="array" ref="CB8:CB8">SUM(Capacity!CV8*Demand!CB8*Capacity!$DI$3:$DI$25/(TRANSPOSE(Dists!$B7:$X7)*SUM(Capacity!$DI$3:$DI$25/TRANSPOSE(Dists!$B7:$X7))))</f>
        <v>287.833996872701</v>
      </c>
      <c r="CC8" s="4" t="n">
        <f aca="false" t="array" ref="CC8:CC8">SUM(Capacity!CW8*Demand!CC8*Capacity!$DI$3:$DI$25/(TRANSPOSE(Dists!$B7:$X7)*SUM(Capacity!$DI$3:$DI$25/TRANSPOSE(Dists!$B7:$X7))))</f>
        <v>218.369407429585</v>
      </c>
      <c r="CD8" s="4" t="n">
        <f aca="false">SUM($BG36,$BI36,$BK36)*Capacity!CX8/SUM(Capacity!$AM8:$AN8,Capacity!$CX8)</f>
        <v>46.013528255004</v>
      </c>
      <c r="CE8" s="4" t="n">
        <f aca="false" t="array" ref="CE8:CE8">SUM(Capacity!CY8*Demand!CE8*Capacity!$DI$3:$DI$25/(TRANSPOSE(Dists!$B7:$X7)*SUM(Capacity!$DI$3:$DI$25/TRANSPOSE(Dists!$B7:$X7))))</f>
        <v>5.95216451599679</v>
      </c>
      <c r="CF8" s="4" t="n">
        <f aca="false" t="array" ref="CF8:CF8">SUM(Capacity!CZ8*Demand!CF8*Capacity!$DI$3:$DI$25/(TRANSPOSE(Dists!$B7:$X7)*SUM(Capacity!$DI$3:$DI$25/TRANSPOSE(Dists!$B7:$X7))))</f>
        <v>585.402232604495</v>
      </c>
      <c r="CG8" s="4" t="n">
        <f aca="false" t="array" ref="CG8:CG8">SUM(Capacity!DA8*Demand!CG8*Capacity!$DI$3:$DI$25/(TRANSPOSE(Dists!$B7:$X7)*SUM(Capacity!$DI$3:$DI$25/TRANSPOSE(Dists!$B7:$X7))))</f>
        <v>8.27243237788796E-005</v>
      </c>
      <c r="CH8" s="4" t="n">
        <f aca="false" t="array" ref="CH8:CH8">SUM(Capacity!DB8*Demand!CH8*Capacity!$DI$3:$DI$25/(TRANSPOSE(Dists!$B7:$X7)*SUM(Capacity!$DI$3:$DI$25/TRANSPOSE(Dists!$B7:$X7))))</f>
        <v>6.39716852728831E-006</v>
      </c>
      <c r="CI8" s="4" t="n">
        <f aca="false" t="array" ref="CI8:CI8">SUM(Capacity!DC8*Demand!CI8*Capacity!$DI$3:$DI$25/(TRANSPOSE(Dists!$B7:$X7)*SUM(Capacity!$DI$3:$DI$25/TRANSPOSE(Dists!$B7:$X7))))</f>
        <v>0.136728343178572</v>
      </c>
      <c r="CJ8" s="4" t="n">
        <f aca="false" t="array" ref="CJ8:CJ8">SUM(Capacity!DD8*Demand!CJ8*Capacity!$DI$3:$DI$25/(TRANSPOSE(Dists!$B7:$X7)*SUM(Capacity!$DI$3:$DI$25/TRANSPOSE(Dists!$B7:$X7))))</f>
        <v>0.00750869846509819</v>
      </c>
      <c r="CK8" s="4" t="n">
        <f aca="false" t="array" ref="CK8:CK8">SUM(Capacity!DE8*Demand!CK8*Capacity!$DI$3:$DI$25/(TRANSPOSE(Dists!$B7:$X7)*SUM(Capacity!$DI$3:$DI$25/TRANSPOSE(Dists!$B7:$X7))))</f>
        <v>4.77851811080415</v>
      </c>
      <c r="CL8" s="7" t="s">
        <v>322</v>
      </c>
    </row>
    <row r="9" customFormat="false" ht="12.8" hidden="false" customHeight="false" outlineLevel="0" collapsed="false">
      <c r="A9" s="4" t="s">
        <v>141</v>
      </c>
      <c r="B9" s="7" t="s">
        <v>39</v>
      </c>
      <c r="C9" s="4" t="n">
        <f aca="false" t="array" ref="C9:C9">SUM(Capacity!S9*Demand!C9*Capacity!$DH$3:$DH$25/(TRANSPOSE(Dists!$B8:$X8)*SUM(Capacity!$DH$3:$DH$25/TRANSPOSE(Dists!$B8:$X8))))</f>
        <v>0.0198830152082075</v>
      </c>
      <c r="D9" s="4" t="n">
        <f aca="false" t="array" ref="D9:D9">SUM(Capacity!V9*Demand!D9*Capacity!$DH$3:$DH$25/(TRANSPOSE(Dists!$B8:$X8)*SUM(Capacity!$DH$3:$DH$25/TRANSPOSE(Dists!$B8:$X8))))</f>
        <v>1688.07126812555</v>
      </c>
      <c r="E9" s="4" t="n">
        <f aca="false" t="array" ref="E9:E9">SUM(Capacity!Y9*Demand!E9*Capacity!$DH$3:$DH$25/(TRANSPOSE(Dists!$B8:$X8)*SUM(Capacity!$DH$3:$DH$25/TRANSPOSE(Dists!$B8:$X8))))</f>
        <v>241.64856601715</v>
      </c>
      <c r="F9" s="4" t="n">
        <f aca="false">$E9*Capacity!$M9/(2*(1-Capacity!$H$28)*Capacity!$H9)</f>
        <v>86.6619556740144</v>
      </c>
      <c r="G9" s="4" t="n">
        <f aca="false" t="array" ref="G9:G9">SUM(Capacity!AA9*Demand!G9*Capacity!$DH$3:$DH$25/(TRANSPOSE(Dists!$B8:$X8)*SUM(Capacity!$DH$3:$DH$25/TRANSPOSE(Dists!$B8:$X8))))</f>
        <v>135.330120674128</v>
      </c>
      <c r="H9" s="4" t="n">
        <f aca="false" t="array" ref="H9:H9">SUM(Capacity!AB9*Demand!H9*Capacity!$DH$3:$DH$25/(TRANSPOSE(Dists!$B8:$X8)*SUM(Capacity!$DH$3:$DH$25/TRANSPOSE(Dists!$B8:$X8))))</f>
        <v>0</v>
      </c>
      <c r="I9" s="4" t="n">
        <f aca="false" t="array" ref="I9:I9">SUM(Capacity!AC9*Demand!I$3:I$25*Capacity!$DG$3:$DG$25/(TRANSPOSE(Dists!$B8:$X8)*SUM(Capacity!$DG$3:$DG$25/TRANSPOSE(Dists!$B8:$X8))))</f>
        <v>2.41205422684693</v>
      </c>
      <c r="J9" s="4" t="n">
        <f aca="false" t="array" ref="J9:J9">SUM(Capacity!AD9*Demand!J$3:J$25*Capacity!$DG$3:$DG$25/(TRANSPOSE(Dists!$B8:$X8)*SUM(Capacity!$DG$3:$DG$25/TRANSPOSE(Dists!$B8:$X8))))</f>
        <v>1.65186197815307</v>
      </c>
      <c r="K9" s="4" t="n">
        <f aca="false">5479.45205479452*$R9</f>
        <v>762187.312162602</v>
      </c>
      <c r="L9" s="4" t="n">
        <f aca="false">17142.8571428571*$S9</f>
        <v>243409.58354359</v>
      </c>
      <c r="M9" s="4" t="n">
        <f aca="false">IF(50420.1680672269*$T9&gt;($K9/20),50420.1680672269*$T9-($K9/20),0)</f>
        <v>362015.977203251</v>
      </c>
      <c r="N9" s="4" t="n">
        <f aca="false" t="array" ref="N9:N9">SUM(Capacity!AH9*Demand!N9*Capacity!$DH$3:$DH$25/(TRANSPOSE(Dists!$B8:$X8)*SUM(Capacity!$DH$3:$DH$25/TRANSPOSE(Dists!$B8:$X8))))</f>
        <v>383.72671590516</v>
      </c>
      <c r="O9" s="4" t="n">
        <f aca="false">D37*DemClcs!$A$31*DemClcs!$A$32</f>
        <v>1218.7997443209</v>
      </c>
      <c r="P9" s="4" t="n">
        <f aca="false">O9*DemClcs!$A$29*DemClcs!$A$30</f>
        <v>487.519897728359</v>
      </c>
      <c r="Q9" s="4" t="n">
        <f aca="false" t="array" ref="Q9:Q9">SUM(Capacity!AK9*Demand!Q9*Capacity!$DI$3:$DI$25/(TRANSPOSE(Dists!$B8:$X8)*SUM(Capacity!$DI$3:$DI$25/TRANSPOSE(Dists!$B8:$X8))))</f>
        <v>3.59049514925867</v>
      </c>
      <c r="R9" s="4" t="n">
        <f aca="false" t="array" ref="R9:R9">SUM(Capacity!AL9*Demand!R9*Capacity!$DH$3:$DH$25/(TRANSPOSE(Dists!$B8:$X8)*SUM(Capacity!$DH$3:$DH$25/TRANSPOSE(Dists!$B8:$X8))))</f>
        <v>139.099184469675</v>
      </c>
      <c r="S9" s="4" t="n">
        <f aca="false">SUM($BG37,$BI37,$BK37)*Capacity!AM9/SUM(Capacity!$AM9:$AN9,Capacity!$CX9)</f>
        <v>14.1988923733761</v>
      </c>
      <c r="T9" s="4" t="n">
        <f aca="false">SUM($BG37,$BI37,$BK37)*Capacity!AN9/SUM(Capacity!$AM9:$AN9,Capacity!$CX9)</f>
        <v>7.9358192990924</v>
      </c>
      <c r="U9" s="4" t="n">
        <f aca="false">$M9*120*2/(16*1000*2000)</f>
        <v>2.71511982902438</v>
      </c>
      <c r="V9" s="4" t="n">
        <f aca="false" t="array" ref="V9:V9">SUM(Capacity!AP9*Demand!V$3:V$25*Capacity!$DH$3:$DH$25/(TRANSPOSE(Dists!$B8:$X8)*SUM(Capacity!$DH$3:$DH$25/TRANSPOSE(Dists!$B8:$X8))))</f>
        <v>75.6612771355913</v>
      </c>
      <c r="W9" s="4" t="n">
        <f aca="false" t="array" ref="W9:W9">SUM(Capacity!AQ9*Demand!W$3:W$25*Capacity!$DH$3:$DH$25/(TRANSPOSE(Dists!$B8:$X8)*SUM(Capacity!$DH$3:$DH$25/TRANSPOSE(Dists!$B8:$X8))))</f>
        <v>334.708311493757</v>
      </c>
      <c r="X9" s="4" t="n">
        <f aca="false" t="array" ref="X9:X9">SUM(Capacity!AR9*Demand!X$3:X$25*Capacity!$DH$3:$DH$25/(TRANSPOSE(Dists!$B8:$X8)*SUM(Capacity!$DH$3:$DH$25/TRANSPOSE(Dists!$B8:$X8))))</f>
        <v>1201.04190418956</v>
      </c>
      <c r="Y9" s="4" t="n">
        <f aca="false">$L9*600*6/(90*1000*2000)</f>
        <v>4.86819167087179</v>
      </c>
      <c r="Z9" s="4" t="n">
        <f aca="false" t="array" ref="Z9:Z9">SUM(Capacity!AT9*Demand!Z$3:Z$25*Capacity!$DI$3:$DI$25/(TRANSPOSE(Dists!$B8:$X8)*SUM(Capacity!$DI$3:$DI$25/TRANSPOSE(Dists!$B8:$X8))))</f>
        <v>34.442951850077</v>
      </c>
      <c r="AA9" s="4" t="n">
        <f aca="false" t="array" ref="AA9:AA9">SUM(Capacity!AU9*Demand!AA$3:AA$25*Capacity!$DI$3:$DI$25/(TRANSPOSE(Dists!$B8:$X8)*SUM(Capacity!$DI$3:$DI$25/TRANSPOSE(Dists!$B8:$X8))))</f>
        <v>15.6631208237319</v>
      </c>
      <c r="AB9" s="4" t="n">
        <f aca="false" t="array" ref="AB9:AB9">SUM(Capacity!AV9*Demand!AB$3:AB$25*Capacity!$DI$3:$DI$25/(TRANSPOSE(Dists!$B8:$X8)*SUM(Capacity!$DI$3:$DI$25/TRANSPOSE(Dists!$B8:$X8))))</f>
        <v>17.1237994941517</v>
      </c>
      <c r="AC9" s="4" t="n">
        <f aca="false" t="array" ref="AC9:AC9">SUM(Capacity!AW9*Demand!AC$3:AC$25*Capacity!$DI$3:$DI$25/(TRANSPOSE(Dists!$B8:$X8)*SUM(Capacity!$DI$3:$DI$25/TRANSPOSE(Dists!$B8:$X8))))</f>
        <v>3.52772481035386</v>
      </c>
      <c r="AD9" s="4" t="n">
        <f aca="false" t="array" ref="AD9:AD9">SUM(Capacity!AX9*Demand!AD$3:AD$25*Capacity!$DI$3:$DI$25/(TRANSPOSE(Dists!$B8:$X8)*SUM(Capacity!$DI$3:$DI$25/TRANSPOSE(Dists!$B8:$X8))))</f>
        <v>2.80334855081835</v>
      </c>
      <c r="AE9" s="4" t="n">
        <f aca="false" t="array" ref="AE9:AE9">SUM(Capacity!AY9*Demand!AE$3:AE$25*Capacity!$DI$3:$DI$25/(TRANSPOSE(Dists!$B8:$X8)*SUM(Capacity!$DI$3:$DI$25/TRANSPOSE(Dists!$B8:$X8))))</f>
        <v>2.2032481713197</v>
      </c>
      <c r="AF9" s="4" t="n">
        <f aca="false" t="array" ref="AF9:AF9">SUM(Capacity!AZ9*Demand!AF$3:AF$25*Capacity!$DI$3:$DI$25/(TRANSPOSE(Dists!$B8:$X8)*SUM(Capacity!$DI$3:$DI$25/TRANSPOSE(Dists!$B8:$X8))))</f>
        <v>0.312062240772364</v>
      </c>
      <c r="AG9" s="4" t="n">
        <f aca="false" t="array" ref="AG9:AG9">SUM(Capacity!BA9*Demand!AG$3:AG$25*Capacity!$DI$3:$DI$25/(TRANSPOSE(Dists!$B8:$X8)*SUM(Capacity!$DI$3:$DI$25/TRANSPOSE(Dists!$B8:$X8))))</f>
        <v>1.86080107212367</v>
      </c>
      <c r="AH9" s="4" t="n">
        <f aca="false" t="array" ref="AH9:AH9">SUM(Capacity!BB9*Demand!AH$3:AH$25*Capacity!$DI$3:$DI$25/(TRANSPOSE(Dists!$B8:$X8)*SUM(Capacity!$DI$3:$DI$25/TRANSPOSE(Dists!$B8:$X8))))</f>
        <v>1.7562121346823</v>
      </c>
      <c r="AI9" s="4" t="n">
        <f aca="false" t="array" ref="AI9:AI9">SUM(Capacity!BC9*Demand!AI$3:AI$25*Capacity!$DI$3:$DI$25/(TRANSPOSE(Dists!$B8:$X8)*SUM(Capacity!$DI$3:$DI$25/TRANSPOSE(Dists!$B8:$X8))))</f>
        <v>0.187301294395841</v>
      </c>
      <c r="AJ9" s="4" t="n">
        <f aca="false" t="array" ref="AJ9:AJ9">SUM(Capacity!BD9*Demand!AJ$3:AJ$25*Capacity!$DI$3:$DI$25/(TRANSPOSE(Dists!$B8:$X8)*SUM(Capacity!$DI$3:$DI$25/TRANSPOSE(Dists!$B8:$X8))))</f>
        <v>0.562628717472414</v>
      </c>
      <c r="AK9" s="4" t="n">
        <f aca="false" t="array" ref="AK9:AK9">SUM(Capacity!BE9*Demand!AK$3:AK$25*Capacity!$DI$3:$DI$25/(TRANSPOSE(Dists!$B8:$X8)*SUM(Capacity!$DI$3:$DI$25/TRANSPOSE(Dists!$B8:$X8))))</f>
        <v>0.346071668074244</v>
      </c>
      <c r="AL9" s="4" t="n">
        <f aca="false" t="array" ref="AL9:AL9">SUM(Capacity!BF9*Demand!AL$3:AL$25*Capacity!$DI$3:$DI$25/(TRANSPOSE(Dists!$B8:$X8)*SUM(Capacity!$DI$3:$DI$25/TRANSPOSE(Dists!$B8:$X8))))</f>
        <v>0.193207659777883</v>
      </c>
      <c r="AM9" s="4" t="n">
        <f aca="false" t="array" ref="AM9:AM9">SUM(Capacity!BG9*Demand!AM$3:AM$25*Capacity!$DI$3:$DI$25/(TRANSPOSE(Dists!$B8:$X8)*SUM(Capacity!$DI$3:$DI$25/TRANSPOSE(Dists!$B8:$X8))))</f>
        <v>0.676347334389303</v>
      </c>
      <c r="AN9" s="4" t="n">
        <f aca="false" t="array" ref="AN9:AN9">SUM(Capacity!BH9*Demand!AN$3:AN$25*Capacity!$DI$3:$DI$25/(TRANSPOSE(Dists!$B8:$X8)*SUM(Capacity!$DI$3:$DI$25/TRANSPOSE(Dists!$B8:$X8))))</f>
        <v>0.374545018441989</v>
      </c>
      <c r="AO9" s="4" t="n">
        <f aca="false" t="array" ref="AO9:AO9">SUM(Capacity!BI9*Demand!AO$3:AO$25*Capacity!$DI$3:$DI$25/(TRANSPOSE(Dists!$B8:$X8)*SUM(Capacity!$DI$3:$DI$25/TRANSPOSE(Dists!$B8:$X8))))</f>
        <v>0.679410585679033</v>
      </c>
      <c r="AP9" s="4" t="n">
        <f aca="false" t="array" ref="AP9:AP9">SUM(Capacity!BJ9*Demand!AP$3:AP$25*Capacity!$DI$3:$DI$25/(TRANSPOSE(Dists!$B8:$X8)*SUM(Capacity!$DI$3:$DI$25/TRANSPOSE(Dists!$B8:$X8))))</f>
        <v>0.651540017302535</v>
      </c>
      <c r="AQ9" s="4" t="n">
        <f aca="false" t="array" ref="AQ9:AQ9">SUM(Capacity!BK9*Demand!AQ$3:AQ$25*Capacity!$DI$3:$DI$25/(TRANSPOSE(Dists!$B8:$X8)*SUM(Capacity!$DI$3:$DI$25/TRANSPOSE(Dists!$B8:$X8))))</f>
        <v>0.0569977384000185</v>
      </c>
      <c r="AR9" s="4" t="n">
        <f aca="false" t="array" ref="AR9:AR9">SUM(Capacity!BL9*Demand!AR$3:AR$25*Capacity!$DI$3:$DI$25/(TRANSPOSE(Dists!$B8:$X8)*SUM(Capacity!$DI$3:$DI$25/TRANSPOSE(Dists!$B8:$X8))))</f>
        <v>0.0820755592979546</v>
      </c>
      <c r="AS9" s="4" t="n">
        <f aca="false" t="array" ref="AS9:AS9">SUM(Capacity!BM9*Demand!AS$3:AS$25*Capacity!$DI$3:$DI$25/(TRANSPOSE(Dists!$B8:$X8)*SUM(Capacity!$DI$3:$DI$25/TRANSPOSE(Dists!$B8:$X8))))</f>
        <v>0.195550185873072</v>
      </c>
      <c r="AT9" s="4" t="n">
        <f aca="false" t="array" ref="AT9:AT9">SUM(Capacity!BN9*Demand!AT$3:AT$25*Capacity!$DI$3:$DI$25/(TRANSPOSE(Dists!$B8:$X8)*SUM(Capacity!$DI$3:$DI$25/TRANSPOSE(Dists!$B8:$X8))))</f>
        <v>1.60718215262538</v>
      </c>
      <c r="AU9" s="4" t="n">
        <f aca="false" t="array" ref="AU9:AU9">SUM(Capacity!BO9*Demand!AU$3:AU$25*Capacity!$DI$3:$DI$25/(TRANSPOSE(Dists!$B8:$X8)*SUM(Capacity!$DI$3:$DI$25/TRANSPOSE(Dists!$B8:$X8))))</f>
        <v>1.79086721635097</v>
      </c>
      <c r="AV9" s="4" t="n">
        <f aca="false" t="array" ref="AV9:AV9">SUM(Capacity!BP9*Demand!AV$3:AV$25*Capacity!$DI$3:$DI$25/(TRANSPOSE(Dists!$B8:$X8)*SUM(Capacity!$DI$3:$DI$25/TRANSPOSE(Dists!$B8:$X8))))</f>
        <v>0.0692945361796752</v>
      </c>
      <c r="AW9" s="4" t="n">
        <f aca="false" t="array" ref="AW9:AW9">SUM(Capacity!BQ9*Demand!AW$3:AW$25*Capacity!$DI$3:$DI$25/(TRANSPOSE(Dists!$B8:$X8)*SUM(Capacity!$DI$3:$DI$25/TRANSPOSE(Dists!$B8:$X8))))</f>
        <v>1.95262120917312</v>
      </c>
      <c r="AX9" s="4" t="n">
        <f aca="false" t="array" ref="AX9:AX9">SUM(Capacity!BR9*Demand!AX$3:AX$25*Capacity!$DI$3:$DI$25/(TRANSPOSE(Dists!$B8:$X8)*SUM(Capacity!$DI$3:$DI$25/TRANSPOSE(Dists!$B8:$X8))))</f>
        <v>0.225139439586299</v>
      </c>
      <c r="AY9" s="4" t="n">
        <f aca="false" t="array" ref="AY9:AY9">SUM(Capacity!BS9*Demand!AY$3:AY$25*Capacity!$DI$3:$DI$25/(TRANSPOSE(Dists!$B8:$X8)*SUM(Capacity!$DI$3:$DI$25/TRANSPOSE(Dists!$B8:$X8))))</f>
        <v>0.19965486139701</v>
      </c>
      <c r="AZ9" s="4" t="n">
        <f aca="false" t="array" ref="AZ9:AZ9">SUM(Capacity!BT9*Demand!AZ$3:AZ$25*Capacity!$DI$3:$DI$25/(TRANSPOSE(Dists!$B8:$X8)*SUM(Capacity!$DI$3:$DI$25/TRANSPOSE(Dists!$B8:$X8))))</f>
        <v>1.36911357436382</v>
      </c>
      <c r="BA9" s="4" t="n">
        <f aca="false">L9*25/(2000*1000*51)</f>
        <v>0.0596592116528406</v>
      </c>
      <c r="BB9" s="4" t="n">
        <f aca="false" t="array" ref="BB9:BB9">SUM(Capacity!BV9*Demand!BB$3:BB$25*Capacity!$DI$3:$DI$25/(TRANSPOSE(Dists!$B8:$X8)*SUM(Capacity!$DI$3:$DI$25/TRANSPOSE(Dists!$B8:$X8))))</f>
        <v>0.216119705008704</v>
      </c>
      <c r="BC9" s="4" t="n">
        <f aca="false" t="array" ref="BC9:BC9">SUM(Capacity!BW9*Demand!BC$3:BC$25*Capacity!$DI$3:$DI$25/(TRANSPOSE(Dists!$B8:$X8)*SUM(Capacity!$DI$3:$DI$25/TRANSPOSE(Dists!$B8:$X8))))</f>
        <v>0.108316907461863</v>
      </c>
      <c r="BD9" s="4" t="n">
        <f aca="false" t="array" ref="BD9:BD9">SUM(Capacity!BX9*Demand!BD$3:BD$25*Capacity!$DI$3:$DI$25/(TRANSPOSE(Dists!$B8:$X8)*SUM(Capacity!$DI$3:$DI$25/TRANSPOSE(Dists!$B8:$X8))))</f>
        <v>0.0769609059449591</v>
      </c>
      <c r="BE9" s="4" t="n">
        <f aca="false" t="array" ref="BE9:BE9">SUM(Capacity!BY9*Demand!BE$3:BE$25*Capacity!$DI$3:$DI$25/(TRANSPOSE(Dists!$B8:$X8)*SUM(Capacity!$DI$3:$DI$25/TRANSPOSE(Dists!$B8:$X8))))</f>
        <v>0.0463952277505685</v>
      </c>
      <c r="BF9" s="4" t="n">
        <f aca="false" t="array" ref="BF9:BF9">SUM(Capacity!BZ9*Demand!BF$3:BF$25*Capacity!$DI$3:$DI$25/(TRANSPOSE(Dists!$B8:$X8)*SUM(Capacity!$DI$3:$DI$25/TRANSPOSE(Dists!$B8:$X8))))</f>
        <v>5.16095754299763</v>
      </c>
      <c r="BG9" s="4" t="n">
        <f aca="false" t="array" ref="BG9:BG9">SUM(Capacity!CA9*Demand!BG$3:BG$25*Capacity!$DI$3:$DI$25/(TRANSPOSE(Dists!$B8:$X8)*SUM(Capacity!$DI$3:$DI$25/TRANSPOSE(Dists!$B8:$X8))))</f>
        <v>16.6901582958205</v>
      </c>
      <c r="BH9" s="4" t="n">
        <f aca="false" t="array" ref="BH9:BH9">SUM(Capacity!CB9*Demand!BH$3:BH$25*Capacity!$DI$3:$DI$25/(TRANSPOSE(Dists!$B8:$X8)*SUM(Capacity!$DI$3:$DI$25/TRANSPOSE(Dists!$B8:$X8))))</f>
        <v>33.0408182985368</v>
      </c>
      <c r="BI9" s="4" t="n">
        <f aca="false" t="array" ref="BI9:BI9">SUM(Capacity!CC9*Demand!BI9*Capacity!$DI$3:$DI$25/(TRANSPOSE(Dists!$B8:$X8)*SUM(Capacity!$DI$3:$DI$25/TRANSPOSE(Dists!$B8:$X8))))</f>
        <v>34.5885414772607</v>
      </c>
      <c r="BJ9" s="4" t="n">
        <f aca="false" t="array" ref="BJ9:BJ9">SUM(Capacity!CD9*Demand!BJ9*Capacity!$DI$3:$DI$25/(TRANSPOSE(Dists!$B8:$X8)*SUM(Capacity!$DI$3:$DI$25/TRANSPOSE(Dists!$B8:$X8))))</f>
        <v>786.090888748592</v>
      </c>
      <c r="BK9" s="4" t="n">
        <f aca="false" t="array" ref="BK9:BK9">SUM(Capacity!CE9*Demand!BK9*Capacity!$DI$3:$DI$25/(TRANSPOSE(Dists!$B8:$X8)*SUM(Capacity!$DI$3:$DI$25/TRANSPOSE(Dists!$B8:$X8))))</f>
        <v>17.2942707386304</v>
      </c>
      <c r="BL9" s="4" t="n">
        <f aca="false" t="array" ref="BL9:BL9">SUM(Capacity!CF9*Demand!BL9*Capacity!$DI$3:$DI$25/(TRANSPOSE(Dists!$B8:$X8)*SUM(Capacity!$DI$3:$DI$25/TRANSPOSE(Dists!$B8:$X8))))</f>
        <v>434.792042880857</v>
      </c>
      <c r="BM9" s="4" t="n">
        <f aca="false" t="array" ref="BM9:BM9">SUM(Capacity!CG9*Demand!BM9*Capacity!$DI$3:$DI$25/(TRANSPOSE(Dists!$B8:$X8)*SUM(Capacity!$DI$3:$DI$25/TRANSPOSE(Dists!$B8:$X8))))</f>
        <v>13.4874664813467</v>
      </c>
      <c r="BN9" s="4" t="n">
        <f aca="false">MAX($BO9/0.006,$BP9/0.7,$BR9/0.002,$BS9/0.001)</f>
        <v>0.000854286670912121</v>
      </c>
      <c r="BO9" s="4" t="n">
        <f aca="false" t="array" ref="BO9:BO9">SUM(Capacity!CI9*Demand!BO9*Capacity!$DI$3:$DI$25/(TRANSPOSE(Dists!$B8:$X8)*SUM(Capacity!$DI$3:$DI$25/TRANSPOSE(Dists!$B8:$X8))))</f>
        <v>5.12572002547273E-006</v>
      </c>
      <c r="BP9" s="4" t="n">
        <f aca="false" t="array" ref="BP9:BP9">SUM(Capacity!CJ9*Demand!BP9*Capacity!$DI$3:$DI$25/(TRANSPOSE(Dists!$B8:$X8)*SUM(Capacity!$DI$3:$DI$25/TRANSPOSE(Dists!$B8:$X8))))</f>
        <v>6.0353982755001E-008</v>
      </c>
      <c r="BQ9" s="4" t="n">
        <f aca="false" t="array" ref="BQ9:BQ9">SUM(Capacity!CK9*Demand!BQ9*Capacity!$DI$3:$DI$25/(TRANSPOSE(Dists!$B8:$X8)*SUM(Capacity!$DI$3:$DI$25/TRANSPOSE(Dists!$B8:$X8))))</f>
        <v>0</v>
      </c>
      <c r="BR9" s="4" t="n">
        <f aca="false" t="array" ref="BR9:BR9">SUM(Capacity!CL9*Demand!BR9*Capacity!$DI$3:$DI$25/(TRANSPOSE(Dists!$B8:$X8)*SUM(Capacity!$DI$3:$DI$25/TRANSPOSE(Dists!$B8:$X8))))</f>
        <v>5.12572002547273E-007</v>
      </c>
      <c r="BS9" s="4" t="n">
        <f aca="false" t="array" ref="BS9:BS9">SUM(Capacity!CM9*Demand!BS9*Capacity!$DI$3:$DI$25/(TRANSPOSE(Dists!$B8:$X8)*SUM(Capacity!$DI$3:$DI$25/TRANSPOSE(Dists!$B8:$X8))))</f>
        <v>1.02514182195328E-007</v>
      </c>
      <c r="BT9" s="4" t="n">
        <f aca="false" t="array" ref="BT9:BT9">SUM(Capacity!CN9*Demand!BT9*Capacity!$DI$3:$DI$25/(TRANSPOSE(Dists!$B8:$X8)*SUM(Capacity!$DI$3:$DI$25/TRANSPOSE(Dists!$B8:$X8))))</f>
        <v>3.0346695933444</v>
      </c>
      <c r="BU9" s="4" t="n">
        <f aca="false" t="array" ref="BU9:BU9">SUM(Capacity!CO9*Demand!BU9*Capacity!$DI$3:$DI$25/(TRANSPOSE(Dists!$B8:$X8)*SUM(Capacity!$DI$3:$DI$25/TRANSPOSE(Dists!$B8:$X8))))</f>
        <v>0.30346695933444</v>
      </c>
      <c r="BV9" s="4" t="n">
        <f aca="false" t="array" ref="BV9:BV9">SUM(Capacity!CP9*Demand!BV9*Capacity!$DI$3:$DI$25/(TRANSPOSE(Dists!$B8:$X8)*SUM(Capacity!$DI$3:$DI$25/TRANSPOSE(Dists!$B8:$X8))))</f>
        <v>0.030346695933444</v>
      </c>
      <c r="BW9" s="4" t="n">
        <f aca="false">E37*DemClcs!$A$40*DemClcs!$A$41*8.34/(DemClcs!$A$38)</f>
        <v>1281.36993095575</v>
      </c>
      <c r="BX9" s="4" t="n">
        <f aca="false" t="array" ref="BX9:BX9">SUM(Capacity!CR9*Demand!BX9*Capacity!$DI$3:$DI$25/(TRANSPOSE(Dists!$B8:$X8)*SUM(Capacity!$DI$3:$DI$25/TRANSPOSE(Dists!$B8:$X8))))</f>
        <v>4.69984876202185</v>
      </c>
      <c r="BY9" s="4" t="n">
        <f aca="false" t="array" ref="BY9:BY9">SUM(Capacity!CS9*Demand!BY9*Capacity!$DI$3:$DI$25/(TRANSPOSE(Dists!$B8:$X8)*SUM(Capacity!$DI$3:$DI$25/TRANSPOSE(Dists!$B8:$X8))))</f>
        <v>71.7350283891832</v>
      </c>
      <c r="BZ9" s="4" t="n">
        <f aca="false" t="array" ref="BZ9:BZ9">SUM(Capacity!CT9*Demand!BZ9*Capacity!$DI$3:$DI$25/(TRANSPOSE(Dists!$B8:$X8)*SUM(Capacity!$DI$3:$DI$25/TRANSPOSE(Dists!$B8:$X8))))</f>
        <v>0.811862593020578</v>
      </c>
      <c r="CA9" s="4" t="n">
        <f aca="false" t="array" ref="CA9:CA9">SUM(Capacity!CU9*Demand!CA9*Capacity!$DI$3:$DI$25/(TRANSPOSE(Dists!$B8:$X8)*SUM(Capacity!$DI$3:$DI$25/TRANSPOSE(Dists!$B8:$X8))))</f>
        <v>0.0737611917630988</v>
      </c>
      <c r="CB9" s="4" t="n">
        <f aca="false" t="array" ref="CB9:CB9">SUM(Capacity!CV9*Demand!CB9*Capacity!$DI$3:$DI$25/(TRANSPOSE(Dists!$B8:$X8)*SUM(Capacity!$DI$3:$DI$25/TRANSPOSE(Dists!$B8:$X8))))</f>
        <v>179.290437974681</v>
      </c>
      <c r="CC9" s="4" t="n">
        <f aca="false" t="array" ref="CC9:CC9">SUM(Capacity!CW9*Demand!CC9*Capacity!$DI$3:$DI$25/(TRANSPOSE(Dists!$B8:$X8)*SUM(Capacity!$DI$3:$DI$25/TRANSPOSE(Dists!$B8:$X8))))</f>
        <v>1254.9813573552</v>
      </c>
      <c r="CD9" s="4" t="n">
        <f aca="false">SUM($BG37,$BI37,$BK37)*Capacity!CX9/SUM(Capacity!$AM9:$AN9,Capacity!$CX9)</f>
        <v>55.0289773223294</v>
      </c>
      <c r="CE9" s="4" t="n">
        <f aca="false" t="array" ref="CE9:CE9">SUM(Capacity!CY9*Demand!CE9*Capacity!$DI$3:$DI$25/(TRANSPOSE(Dists!$B8:$X8)*SUM(Capacity!$DI$3:$DI$25/TRANSPOSE(Dists!$B8:$X8))))</f>
        <v>5.96020760669377</v>
      </c>
      <c r="CF9" s="4" t="n">
        <f aca="false" t="array" ref="CF9:CF9">SUM(Capacity!CZ9*Demand!CF9*Capacity!$DI$3:$DI$25/(TRANSPOSE(Dists!$B8:$X8)*SUM(Capacity!$DI$3:$DI$25/TRANSPOSE(Dists!$B8:$X8))))</f>
        <v>798.779551750068</v>
      </c>
      <c r="CG9" s="4" t="n">
        <f aca="false" t="array" ref="CG9:CG9">SUM(Capacity!DA9*Demand!CG9*Capacity!$DI$3:$DI$25/(TRANSPOSE(Dists!$B8:$X8)*SUM(Capacity!$DI$3:$DI$25/TRANSPOSE(Dists!$B8:$X8))))</f>
        <v>1.85046462450805E-006</v>
      </c>
      <c r="CH9" s="4" t="n">
        <f aca="false" t="array" ref="CH9:CH9">SUM(Capacity!DB9*Demand!CH9*Capacity!$DI$3:$DI$25/(TRANSPOSE(Dists!$B8:$X8)*SUM(Capacity!$DI$3:$DI$25/TRANSPOSE(Dists!$B8:$X8))))</f>
        <v>9.16912859751224E-005</v>
      </c>
      <c r="CI9" s="4" t="n">
        <f aca="false" t="array" ref="CI9:CI9">SUM(Capacity!DC9*Demand!CI9*Capacity!$DI$3:$DI$25/(TRANSPOSE(Dists!$B8:$X8)*SUM(Capacity!$DI$3:$DI$25/TRANSPOSE(Dists!$B8:$X8))))</f>
        <v>0.0271868919841306</v>
      </c>
      <c r="CJ9" s="4" t="n">
        <f aca="false" t="array" ref="CJ9:CJ9">SUM(Capacity!DD9*Demand!CJ9*Capacity!$DI$3:$DI$25/(TRANSPOSE(Dists!$B8:$X8)*SUM(Capacity!$DI$3:$DI$25/TRANSPOSE(Dists!$B8:$X8))))</f>
        <v>0.00598980889516204</v>
      </c>
      <c r="CK9" s="4" t="n">
        <f aca="false" t="array" ref="CK9:CK9">SUM(Capacity!DE9*Demand!CK9*Capacity!$DI$3:$DI$25/(TRANSPOSE(Dists!$B8:$X8)*SUM(Capacity!$DI$3:$DI$25/TRANSPOSE(Dists!$B8:$X8))))</f>
        <v>6.56761279334651</v>
      </c>
      <c r="CL9" s="7" t="s">
        <v>322</v>
      </c>
    </row>
    <row r="10" customFormat="false" ht="12.8" hidden="false" customHeight="false" outlineLevel="0" collapsed="false">
      <c r="A10" s="4" t="s">
        <v>142</v>
      </c>
      <c r="B10" s="7" t="s">
        <v>39</v>
      </c>
      <c r="C10" s="4" t="n">
        <f aca="false" t="array" ref="C10:C10">SUM(Capacity!S10*Demand!C10*Capacity!$DH$3:$DH$25/(TRANSPOSE(Dists!$B9:$X9)*SUM(Capacity!$DH$3:$DH$25/TRANSPOSE(Dists!$B9:$X9))))</f>
        <v>0.00826778033164528</v>
      </c>
      <c r="D10" s="4" t="n">
        <f aca="false" t="array" ref="D10:D10">SUM(Capacity!V10*Demand!D10*Capacity!$DH$3:$DH$25/(TRANSPOSE(Dists!$B9:$X9)*SUM(Capacity!$DH$3:$DH$25/TRANSPOSE(Dists!$B9:$X9))))</f>
        <v>359.855747448406</v>
      </c>
      <c r="E10" s="4" t="n">
        <f aca="false" t="array" ref="E10:E10">SUM(Capacity!Y10*Demand!E10*Capacity!$DH$3:$DH$25/(TRANSPOSE(Dists!$B9:$X9)*SUM(Capacity!$DH$3:$DH$25/TRANSPOSE(Dists!$B9:$X9))))</f>
        <v>73.9985831931441</v>
      </c>
      <c r="F10" s="4" t="n">
        <f aca="false">$E10*Capacity!$M10/(2*(1-Capacity!$H$28)*Capacity!$H10)</f>
        <v>38.0691204005559</v>
      </c>
      <c r="G10" s="4" t="n">
        <f aca="false" t="array" ref="G10:G10">SUM(Capacity!AA10*Demand!G10*Capacity!$DH$3:$DH$25/(TRANSPOSE(Dists!$B9:$X9)*SUM(Capacity!$DH$3:$DH$25/TRANSPOSE(Dists!$B9:$X9))))</f>
        <v>1.26651587724504</v>
      </c>
      <c r="H10" s="4" t="n">
        <f aca="false" t="array" ref="H10:H10">SUM(Capacity!AB10*Demand!H10*Capacity!$DH$3:$DH$25/(TRANSPOSE(Dists!$B9:$X9)*SUM(Capacity!$DH$3:$DH$25/TRANSPOSE(Dists!$B9:$X9))))</f>
        <v>0</v>
      </c>
      <c r="I10" s="4" t="n">
        <f aca="false" t="array" ref="I10:I10">SUM(Capacity!AC10*Demand!I$3:I$25*Capacity!$DG$3:$DG$25/(TRANSPOSE(Dists!$B9:$X9)*SUM(Capacity!$DG$3:$DG$25/TRANSPOSE(Dists!$B9:$X9))))</f>
        <v>4.39046448966464</v>
      </c>
      <c r="J10" s="4" t="n">
        <f aca="false" t="array" ref="J10:J10">SUM(Capacity!AD10*Demand!J$3:J$25*Capacity!$DG$3:$DG$25/(TRANSPOSE(Dists!$B9:$X9)*SUM(Capacity!$DG$3:$DG$25/TRANSPOSE(Dists!$B9:$X9))))</f>
        <v>2.83427543033537</v>
      </c>
      <c r="K10" s="4" t="n">
        <f aca="false">5479.45205479452*$R10</f>
        <v>605472.555635031</v>
      </c>
      <c r="L10" s="4" t="n">
        <f aca="false">17142.8571428571*$S10</f>
        <v>179124.747858211</v>
      </c>
      <c r="M10" s="4" t="n">
        <f aca="false">IF(50420.1680672269*$T10&gt;($K10/20),50420.1680672269*$T10-($K10/20),0)</f>
        <v>264178.012533117</v>
      </c>
      <c r="N10" s="4" t="n">
        <f aca="false" t="array" ref="N10:N10">SUM(Capacity!AH10*Demand!N10*Capacity!$DH$3:$DH$25/(TRANSPOSE(Dists!$B9:$X9)*SUM(Capacity!$DH$3:$DH$25/TRANSPOSE(Dists!$B9:$X9))))</f>
        <v>61.431681273416</v>
      </c>
      <c r="O10" s="4" t="n">
        <f aca="false">D38*DemClcs!$A$31*DemClcs!$A$32</f>
        <v>656.749780697913</v>
      </c>
      <c r="P10" s="4" t="n">
        <f aca="false">O10*DemClcs!$A$29*DemClcs!$A$30</f>
        <v>262.699912279165</v>
      </c>
      <c r="Q10" s="4" t="n">
        <f aca="false" t="array" ref="Q10:Q10">SUM(Capacity!AK10*Demand!Q10*Capacity!$DI$3:$DI$25/(TRANSPOSE(Dists!$B9:$X9)*SUM(Capacity!$DI$3:$DI$25/TRANSPOSE(Dists!$B9:$X9))))</f>
        <v>0.094907862013735</v>
      </c>
      <c r="R10" s="4" t="n">
        <f aca="false" t="array" ref="R10:R10">SUM(Capacity!AL10*Demand!R10*Capacity!$DH$3:$DH$25/(TRANSPOSE(Dists!$B9:$X9)*SUM(Capacity!$DH$3:$DH$25/TRANSPOSE(Dists!$B9:$X9))))</f>
        <v>110.498741403393</v>
      </c>
      <c r="S10" s="4" t="n">
        <f aca="false">SUM($BG38,$BI38,$BK38)*Capacity!AM10/SUM(Capacity!$AM10:$AN10,Capacity!$CX10)</f>
        <v>10.4489436250624</v>
      </c>
      <c r="T10" s="4" t="n">
        <f aca="false">SUM($BG38,$BI38,$BK38)*Capacity!AN10/SUM(Capacity!$AM10:$AN10,Capacity!$CX10)</f>
        <v>5.83995753291156</v>
      </c>
      <c r="U10" s="4" t="n">
        <f aca="false">$M10*120*2/(16*1000*2000)</f>
        <v>1.98133509399838</v>
      </c>
      <c r="V10" s="4" t="n">
        <f aca="false" t="array" ref="V10:V10">SUM(Capacity!AP10*Demand!V$3:V$25*Capacity!$DH$3:$DH$25/(TRANSPOSE(Dists!$B9:$X9)*SUM(Capacity!$DH$3:$DH$25/TRANSPOSE(Dists!$B9:$X9))))</f>
        <v>25.3102646094232</v>
      </c>
      <c r="W10" s="4" t="n">
        <f aca="false" t="array" ref="W10:W10">SUM(Capacity!AQ10*Demand!W$3:W$25*Capacity!$DH$3:$DH$25/(TRANSPOSE(Dists!$B9:$X9)*SUM(Capacity!$DH$3:$DH$25/TRANSPOSE(Dists!$B9:$X9))))</f>
        <v>120.731900900633</v>
      </c>
      <c r="X10" s="4" t="n">
        <f aca="false" t="array" ref="X10:X10">SUM(Capacity!AR10*Demand!X$3:X$25*Capacity!$DH$3:$DH$25/(TRANSPOSE(Dists!$B9:$X9)*SUM(Capacity!$DH$3:$DH$25/TRANSPOSE(Dists!$B9:$X9))))</f>
        <v>683.892671437547</v>
      </c>
      <c r="Y10" s="4" t="n">
        <f aca="false">$L10*600*6/(90*1000*2000)</f>
        <v>3.58249495716423</v>
      </c>
      <c r="Z10" s="4" t="n">
        <f aca="false" t="array" ref="Z10:Z10">SUM(Capacity!AT10*Demand!Z$3:Z$25*Capacity!$DI$3:$DI$25/(TRANSPOSE(Dists!$B9:$X9)*SUM(Capacity!$DI$3:$DI$25/TRANSPOSE(Dists!$B9:$X9))))</f>
        <v>0.38101473135776</v>
      </c>
      <c r="AA10" s="4" t="n">
        <f aca="false" t="array" ref="AA10:AA10">SUM(Capacity!AU10*Demand!AA$3:AA$25*Capacity!$DI$3:$DI$25/(TRANSPOSE(Dists!$B9:$X9)*SUM(Capacity!$DI$3:$DI$25/TRANSPOSE(Dists!$B9:$X9))))</f>
        <v>5.47257662848336</v>
      </c>
      <c r="AB10" s="4" t="n">
        <f aca="false" t="array" ref="AB10:AB10">SUM(Capacity!AV10*Demand!AB$3:AB$25*Capacity!$DI$3:$DI$25/(TRANSPOSE(Dists!$B9:$X9)*SUM(Capacity!$DI$3:$DI$25/TRANSPOSE(Dists!$B9:$X9))))</f>
        <v>5.58181893406563</v>
      </c>
      <c r="AC10" s="4" t="n">
        <f aca="false" t="array" ref="AC10:AC10">SUM(Capacity!AW10*Demand!AC$3:AC$25*Capacity!$DI$3:$DI$25/(TRANSPOSE(Dists!$B9:$X9)*SUM(Capacity!$DI$3:$DI$25/TRANSPOSE(Dists!$B9:$X9))))</f>
        <v>1.5116236416433</v>
      </c>
      <c r="AD10" s="4" t="n">
        <f aca="false" t="array" ref="AD10:AD10">SUM(Capacity!AX10*Demand!AD$3:AD$25*Capacity!$DI$3:$DI$25/(TRANSPOSE(Dists!$B9:$X9)*SUM(Capacity!$DI$3:$DI$25/TRANSPOSE(Dists!$B9:$X9))))</f>
        <v>0.913803272754247</v>
      </c>
      <c r="AE10" s="4" t="n">
        <f aca="false" t="array" ref="AE10:AE10">SUM(Capacity!AY10*Demand!AE$3:AE$25*Capacity!$DI$3:$DI$25/(TRANSPOSE(Dists!$B9:$X9)*SUM(Capacity!$DI$3:$DI$25/TRANSPOSE(Dists!$B9:$X9))))</f>
        <v>0.625404455789996</v>
      </c>
      <c r="AF10" s="4" t="n">
        <f aca="false" t="array" ref="AF10:AF10">SUM(Capacity!AZ10*Demand!AF$3:AF$25*Capacity!$DI$3:$DI$25/(TRANSPOSE(Dists!$B9:$X9)*SUM(Capacity!$DI$3:$DI$25/TRANSPOSE(Dists!$B9:$X9))))</f>
        <v>0.135587688425677</v>
      </c>
      <c r="AG10" s="4" t="n">
        <f aca="false" t="array" ref="AG10:AG10">SUM(Capacity!BA10*Demand!AG$3:AG$25*Capacity!$DI$3:$DI$25/(TRANSPOSE(Dists!$B9:$X9)*SUM(Capacity!$DI$3:$DI$25/TRANSPOSE(Dists!$B9:$X9))))</f>
        <v>0.603169720111751</v>
      </c>
      <c r="AH10" s="4" t="n">
        <f aca="false" t="array" ref="AH10:AH10">SUM(Capacity!BB10*Demand!AH$3:AH$25*Capacity!$DI$3:$DI$25/(TRANSPOSE(Dists!$B9:$X9)*SUM(Capacity!$DI$3:$DI$25/TRANSPOSE(Dists!$B9:$X9))))</f>
        <v>0.517727596059241</v>
      </c>
      <c r="AI10" s="4" t="n">
        <f aca="false" t="array" ref="AI10:AI10">SUM(Capacity!BC10*Demand!AI$3:AI$25*Capacity!$DI$3:$DI$25/(TRANSPOSE(Dists!$B9:$X9)*SUM(Capacity!$DI$3:$DI$25/TRANSPOSE(Dists!$B9:$X9))))</f>
        <v>0.0726605075763179</v>
      </c>
      <c r="AJ10" s="4" t="n">
        <f aca="false" t="array" ref="AJ10:AJ10">SUM(Capacity!BD10*Demand!AJ$3:AJ$25*Capacity!$DI$3:$DI$25/(TRANSPOSE(Dists!$B9:$X9)*SUM(Capacity!$DI$3:$DI$25/TRANSPOSE(Dists!$B9:$X9))))</f>
        <v>0.229067910433351</v>
      </c>
      <c r="AK10" s="4" t="n">
        <f aca="false" t="array" ref="AK10:AK10">SUM(Capacity!BE10*Demand!AK$3:AK$25*Capacity!$DI$3:$DI$25/(TRANSPOSE(Dists!$B9:$X9)*SUM(Capacity!$DI$3:$DI$25/TRANSPOSE(Dists!$B9:$X9))))</f>
        <v>0.151882075700127</v>
      </c>
      <c r="AL10" s="4" t="n">
        <f aca="false" t="array" ref="AL10:AL10">SUM(Capacity!BF10*Demand!AL$3:AL$25*Capacity!$DI$3:$DI$25/(TRANSPOSE(Dists!$B9:$X9)*SUM(Capacity!$DI$3:$DI$25/TRANSPOSE(Dists!$B9:$X9))))</f>
        <v>0.0896328182974159</v>
      </c>
      <c r="AM10" s="4" t="n">
        <f aca="false" t="array" ref="AM10:AM10">SUM(Capacity!BG10*Demand!AM$3:AM$25*Capacity!$DI$3:$DI$25/(TRANSPOSE(Dists!$B9:$X9)*SUM(Capacity!$DI$3:$DI$25/TRANSPOSE(Dists!$B9:$X9))))</f>
        <v>0.204767700485436</v>
      </c>
      <c r="AN10" s="4" t="n">
        <f aca="false" t="array" ref="AN10:AN10">SUM(Capacity!BH10*Demand!AN$3:AN$25*Capacity!$DI$3:$DI$25/(TRANSPOSE(Dists!$B9:$X9)*SUM(Capacity!$DI$3:$DI$25/TRANSPOSE(Dists!$B9:$X9))))</f>
        <v>0.121761596462114</v>
      </c>
      <c r="AO10" s="4" t="n">
        <f aca="false" t="array" ref="AO10:AO10">SUM(Capacity!BI10*Demand!AO$3:AO$25*Capacity!$DI$3:$DI$25/(TRANSPOSE(Dists!$B9:$X9)*SUM(Capacity!$DI$3:$DI$25/TRANSPOSE(Dists!$B9:$X9))))</f>
        <v>0.409510217373229</v>
      </c>
      <c r="AP10" s="4" t="n">
        <f aca="false" t="array" ref="AP10:AP10">SUM(Capacity!BJ10*Demand!AP$3:AP$25*Capacity!$DI$3:$DI$25/(TRANSPOSE(Dists!$B9:$X9)*SUM(Capacity!$DI$3:$DI$25/TRANSPOSE(Dists!$B9:$X9))))</f>
        <v>0.207409401874497</v>
      </c>
      <c r="AQ10" s="4" t="n">
        <f aca="false" t="array" ref="AQ10:AQ10">SUM(Capacity!BK10*Demand!AQ$3:AQ$25*Capacity!$DI$3:$DI$25/(TRANSPOSE(Dists!$B9:$X9)*SUM(Capacity!$DI$3:$DI$25/TRANSPOSE(Dists!$B9:$X9))))</f>
        <v>0.0245243601184911</v>
      </c>
      <c r="AR10" s="4" t="n">
        <f aca="false" t="array" ref="AR10:AR10">SUM(Capacity!BL10*Demand!AR$3:AR$25*Capacity!$DI$3:$DI$25/(TRANSPOSE(Dists!$B9:$X9)*SUM(Capacity!$DI$3:$DI$25/TRANSPOSE(Dists!$B9:$X9))))</f>
        <v>0.0319171091291454</v>
      </c>
      <c r="AS10" s="4" t="n">
        <f aca="false" t="array" ref="AS10:AS10">SUM(Capacity!BM10*Demand!AS$3:AS$25*Capacity!$DI$3:$DI$25/(TRANSPOSE(Dists!$B9:$X9)*SUM(Capacity!$DI$3:$DI$25/TRANSPOSE(Dists!$B9:$X9))))</f>
        <v>0.0556520505353715</v>
      </c>
      <c r="AT10" s="4" t="n">
        <f aca="false" t="array" ref="AT10:AT10">SUM(Capacity!BN10*Demand!AT$3:AT$25*Capacity!$DI$3:$DI$25/(TRANSPOSE(Dists!$B9:$X9)*SUM(Capacity!$DI$3:$DI$25/TRANSPOSE(Dists!$B9:$X9))))</f>
        <v>0.721564180245549</v>
      </c>
      <c r="AU10" s="4" t="n">
        <f aca="false" t="array" ref="AU10:AU10">SUM(Capacity!BO10*Demand!AU$3:AU$25*Capacity!$DI$3:$DI$25/(TRANSPOSE(Dists!$B9:$X9)*SUM(Capacity!$DI$3:$DI$25/TRANSPOSE(Dists!$B9:$X9))))</f>
        <v>0.480528628711728</v>
      </c>
      <c r="AV10" s="4" t="n">
        <f aca="false" t="array" ref="AV10:AV10">SUM(Capacity!BP10*Demand!AV$3:AV$25*Capacity!$DI$3:$DI$25/(TRANSPOSE(Dists!$B9:$X9)*SUM(Capacity!$DI$3:$DI$25/TRANSPOSE(Dists!$B9:$X9))))</f>
        <v>0.0305458597012118</v>
      </c>
      <c r="AW10" s="4" t="n">
        <f aca="false" t="array" ref="AW10:AW10">SUM(Capacity!BQ10*Demand!AW$3:AW$25*Capacity!$DI$3:$DI$25/(TRANSPOSE(Dists!$B9:$X9)*SUM(Capacity!$DI$3:$DI$25/TRANSPOSE(Dists!$B9:$X9))))</f>
        <v>0.817933661864887</v>
      </c>
      <c r="AX10" s="4" t="n">
        <f aca="false" t="array" ref="AX10:AX10">SUM(Capacity!BR10*Demand!AX$3:AX$25*Capacity!$DI$3:$DI$25/(TRANSPOSE(Dists!$B9:$X9)*SUM(Capacity!$DI$3:$DI$25/TRANSPOSE(Dists!$B9:$X9))))</f>
        <v>0.064537560230481</v>
      </c>
      <c r="AY10" s="4" t="n">
        <f aca="false" t="array" ref="AY10:AY10">SUM(Capacity!BS10*Demand!AY$3:AY$25*Capacity!$DI$3:$DI$25/(TRANSPOSE(Dists!$B9:$X9)*SUM(Capacity!$DI$3:$DI$25/TRANSPOSE(Dists!$B9:$X9))))</f>
        <v>0.0694661892965869</v>
      </c>
      <c r="AZ10" s="4" t="n">
        <f aca="false" t="array" ref="AZ10:AZ10">SUM(Capacity!BT10*Demand!AZ$3:AZ$25*Capacity!$DI$3:$DI$25/(TRANSPOSE(Dists!$B9:$X9)*SUM(Capacity!$DI$3:$DI$25/TRANSPOSE(Dists!$B9:$X9))))</f>
        <v>0.436023279645644</v>
      </c>
      <c r="BA10" s="4" t="n">
        <f aca="false">L10*25/(2000*1000*51)</f>
        <v>0.0439031244750518</v>
      </c>
      <c r="BB10" s="4" t="n">
        <f aca="false" t="array" ref="BB10:BB10">SUM(Capacity!BV10*Demand!BB$3:BB$25*Capacity!$DI$3:$DI$25/(TRANSPOSE(Dists!$B9:$X9)*SUM(Capacity!$DI$3:$DI$25/TRANSPOSE(Dists!$B9:$X9))))</f>
        <v>0.0761021030913426</v>
      </c>
      <c r="BC10" s="4" t="n">
        <f aca="false" t="array" ref="BC10:BC10">SUM(Capacity!BW10*Demand!BC$3:BC$25*Capacity!$DI$3:$DI$25/(TRANSPOSE(Dists!$B9:$X9)*SUM(Capacity!$DI$3:$DI$25/TRANSPOSE(Dists!$B9:$X9))))</f>
        <v>0.0502208147606699</v>
      </c>
      <c r="BD10" s="4" t="n">
        <f aca="false" t="array" ref="BD10:BD10">SUM(Capacity!BX10*Demand!BD$3:BD$25*Capacity!$DI$3:$DI$25/(TRANSPOSE(Dists!$B9:$X9)*SUM(Capacity!$DI$3:$DI$25/TRANSPOSE(Dists!$B9:$X9))))</f>
        <v>0.0299939932585509</v>
      </c>
      <c r="BE10" s="4" t="n">
        <f aca="false" t="array" ref="BE10:BE10">SUM(Capacity!BY10*Demand!BE$3:BE$25*Capacity!$DI$3:$DI$25/(TRANSPOSE(Dists!$B9:$X9)*SUM(Capacity!$DI$3:$DI$25/TRANSPOSE(Dists!$B9:$X9))))</f>
        <v>0.0218276816119339</v>
      </c>
      <c r="BF10" s="4" t="n">
        <f aca="false" t="array" ref="BF10:BF10">SUM(Capacity!BZ10*Demand!BF$3:BF$25*Capacity!$DI$3:$DI$25/(TRANSPOSE(Dists!$B9:$X9)*SUM(Capacity!$DI$3:$DI$25/TRANSPOSE(Dists!$B9:$X9))))</f>
        <v>2.10013839564706</v>
      </c>
      <c r="BG10" s="4" t="n">
        <f aca="false" t="array" ref="BG10:BG10">SUM(Capacity!CA10*Demand!BG$3:BG$25*Capacity!$DI$3:$DI$25/(TRANSPOSE(Dists!$B9:$X9)*SUM(Capacity!$DI$3:$DI$25/TRANSPOSE(Dists!$B9:$X9))))</f>
        <v>6.91291634995285</v>
      </c>
      <c r="BH10" s="4" t="n">
        <f aca="false" t="array" ref="BH10:BH10">SUM(Capacity!CB10*Demand!BH$3:BH$25*Capacity!$DI$3:$DI$25/(TRANSPOSE(Dists!$B9:$X9)*SUM(Capacity!$DI$3:$DI$25/TRANSPOSE(Dists!$B9:$X9))))</f>
        <v>0.00521292450582257</v>
      </c>
      <c r="BI10" s="4" t="n">
        <f aca="false" t="array" ref="BI10:BI10">SUM(Capacity!CC10*Demand!BI10*Capacity!$DI$3:$DI$25/(TRANSPOSE(Dists!$B9:$X9)*SUM(Capacity!$DI$3:$DI$25/TRANSPOSE(Dists!$B9:$X9))))</f>
        <v>10.4184795399662</v>
      </c>
      <c r="BJ10" s="4" t="n">
        <f aca="false" t="array" ref="BJ10:BJ10">SUM(Capacity!CD10*Demand!BJ10*Capacity!$DI$3:$DI$25/(TRANSPOSE(Dists!$B9:$X9)*SUM(Capacity!$DI$3:$DI$25/TRANSPOSE(Dists!$B9:$X9))))</f>
        <v>420.872369552289</v>
      </c>
      <c r="BK10" s="4" t="n">
        <f aca="false" t="array" ref="BK10:BK10">SUM(Capacity!CE10*Demand!BK10*Capacity!$DI$3:$DI$25/(TRANSPOSE(Dists!$B9:$X9)*SUM(Capacity!$DI$3:$DI$25/TRANSPOSE(Dists!$B9:$X9))))</f>
        <v>5.2092397699831</v>
      </c>
      <c r="BL10" s="4" t="n">
        <f aca="false" t="array" ref="BL10:BL10">SUM(Capacity!CF10*Demand!BL10*Capacity!$DI$3:$DI$25/(TRANSPOSE(Dists!$B9:$X9)*SUM(Capacity!$DI$3:$DI$25/TRANSPOSE(Dists!$B9:$X9))))</f>
        <v>182.090241233638</v>
      </c>
      <c r="BM10" s="4" t="n">
        <f aca="false" t="array" ref="BM10:BM10">SUM(Capacity!CG10*Demand!BM10*Capacity!$DI$3:$DI$25/(TRANSPOSE(Dists!$B9:$X9)*SUM(Capacity!$DI$3:$DI$25/TRANSPOSE(Dists!$B9:$X9))))</f>
        <v>18.5543253454892</v>
      </c>
      <c r="BN10" s="4" t="n">
        <f aca="false">MAX($BO10/0.006,$BP10/0.7,$BR10/0.002,$BS10/0.001)</f>
        <v>287.399959024028</v>
      </c>
      <c r="BO10" s="4" t="n">
        <f aca="false" t="array" ref="BO10:BO10">SUM(Capacity!CI10*Demand!BO10*Capacity!$DI$3:$DI$25/(TRANSPOSE(Dists!$B9:$X9)*SUM(Capacity!$DI$3:$DI$25/TRANSPOSE(Dists!$B9:$X9))))</f>
        <v>1.72439975414417</v>
      </c>
      <c r="BP10" s="4" t="n">
        <f aca="false" t="array" ref="BP10:BP10">SUM(Capacity!CJ10*Demand!BP10*Capacity!$DI$3:$DI$25/(TRANSPOSE(Dists!$B9:$X9)*SUM(Capacity!$DI$3:$DI$25/TRANSPOSE(Dists!$B9:$X9))))</f>
        <v>3.5675399892094</v>
      </c>
      <c r="BQ10" s="4" t="n">
        <f aca="false" t="array" ref="BQ10:BQ10">SUM(Capacity!CK10*Demand!BQ10*Capacity!$DI$3:$DI$25/(TRANSPOSE(Dists!$B9:$X9)*SUM(Capacity!$DI$3:$DI$25/TRANSPOSE(Dists!$B9:$X9))))</f>
        <v>0</v>
      </c>
      <c r="BR10" s="4" t="n">
        <f aca="false" t="array" ref="BR10:BR10">SUM(Capacity!CL10*Demand!BR10*Capacity!$DI$3:$DI$25/(TRANSPOSE(Dists!$B9:$X9)*SUM(Capacity!$DI$3:$DI$25/TRANSPOSE(Dists!$B9:$X9))))</f>
        <v>0.0574799918048056</v>
      </c>
      <c r="BS10" s="4" t="n">
        <f aca="false" t="array" ref="BS10:BS10">SUM(Capacity!CM10*Demand!BS10*Capacity!$DI$3:$DI$25/(TRANSPOSE(Dists!$B9:$X9)*SUM(Capacity!$DI$3:$DI$25/TRANSPOSE(Dists!$B9:$X9))))</f>
        <v>0.00574799663409776</v>
      </c>
      <c r="BT10" s="4" t="n">
        <f aca="false" t="array" ref="BT10:BT10">SUM(Capacity!CN10*Demand!BT10*Capacity!$DI$3:$DI$25/(TRANSPOSE(Dists!$B9:$X9)*SUM(Capacity!$DI$3:$DI$25/TRANSPOSE(Dists!$B9:$X9))))</f>
        <v>0.726501967216861</v>
      </c>
      <c r="BU10" s="4" t="n">
        <f aca="false" t="array" ref="BU10:BU10">SUM(Capacity!CO10*Demand!BU10*Capacity!$DI$3:$DI$25/(TRANSPOSE(Dists!$B9:$X9)*SUM(Capacity!$DI$3:$DI$25/TRANSPOSE(Dists!$B9:$X9))))</f>
        <v>0.0726501967216862</v>
      </c>
      <c r="BV10" s="4" t="n">
        <f aca="false" t="array" ref="BV10:BV10">SUM(Capacity!CP10*Demand!BV10*Capacity!$DI$3:$DI$25/(TRANSPOSE(Dists!$B9:$X9)*SUM(Capacity!$DI$3:$DI$25/TRANSPOSE(Dists!$B9:$X9))))</f>
        <v>0.00726501967216861</v>
      </c>
      <c r="BW10" s="4" t="n">
        <f aca="false">E38*DemClcs!$A$40*DemClcs!$A$41*8.34/(DemClcs!$A$38)</f>
        <v>457.666975387956</v>
      </c>
      <c r="BX10" s="4" t="n">
        <f aca="false" t="array" ref="BX10:BX10">SUM(Capacity!CR10*Demand!BX10*Capacity!$DI$3:$DI$25/(TRANSPOSE(Dists!$B9:$X9)*SUM(Capacity!$DI$3:$DI$25/TRANSPOSE(Dists!$B9:$X9))))</f>
        <v>0.0835502799109215</v>
      </c>
      <c r="BY10" s="4" t="n">
        <f aca="false" t="array" ref="BY10:BY10">SUM(Capacity!CS10*Demand!BY10*Capacity!$DI$3:$DI$25/(TRANSPOSE(Dists!$B9:$X9)*SUM(Capacity!$DI$3:$DI$25/TRANSPOSE(Dists!$B9:$X9))))</f>
        <v>22.7382972773053</v>
      </c>
      <c r="BZ10" s="4" t="n">
        <f aca="false" t="array" ref="BZ10:BZ10">SUM(Capacity!CT10*Demand!BZ10*Capacity!$DI$3:$DI$25/(TRANSPOSE(Dists!$B9:$X9)*SUM(Capacity!$DI$3:$DI$25/TRANSPOSE(Dists!$B9:$X9))))</f>
        <v>0.0320857751163465</v>
      </c>
      <c r="CA10" s="4" t="n">
        <f aca="false" t="array" ref="CA10:CA10">SUM(Capacity!CU10*Demand!CA10*Capacity!$DI$3:$DI$25/(TRANSPOSE(Dists!$B9:$X9)*SUM(Capacity!$DI$3:$DI$25/TRANSPOSE(Dists!$B9:$X9))))</f>
        <v>0.0530986779891478</v>
      </c>
      <c r="CB10" s="4" t="n">
        <f aca="false" t="array" ref="CB10:CB10">SUM(Capacity!CV10*Demand!CB10*Capacity!$DI$3:$DI$25/(TRANSPOSE(Dists!$B9:$X9)*SUM(Capacity!$DI$3:$DI$25/TRANSPOSE(Dists!$B9:$X9))))</f>
        <v>100.295208534618</v>
      </c>
      <c r="CC10" s="4" t="n">
        <f aca="false" t="array" ref="CC10:CC10">SUM(Capacity!CW10*Demand!CC10*Capacity!$DI$3:$DI$25/(TRANSPOSE(Dists!$B9:$X9)*SUM(Capacity!$DI$3:$DI$25/TRANSPOSE(Dists!$B9:$X9))))</f>
        <v>63.5077337589194</v>
      </c>
      <c r="CD10" s="4" t="n">
        <f aca="false">SUM($BG38,$BI38,$BK38)*Capacity!CX10/SUM(Capacity!$AM10:$AN10,Capacity!$CX10)</f>
        <v>22.2894678598738</v>
      </c>
      <c r="CE10" s="4" t="n">
        <f aca="false" t="array" ref="CE10:CE10">SUM(Capacity!CY10*Demand!CE10*Capacity!$DI$3:$DI$25/(TRANSPOSE(Dists!$B9:$X9)*SUM(Capacity!$DI$3:$DI$25/TRANSPOSE(Dists!$B9:$X9))))</f>
        <v>0.309632644072089</v>
      </c>
      <c r="CF10" s="4" t="n">
        <f aca="false" t="array" ref="CF10:CF10">SUM(Capacity!CZ10*Demand!CF10*Capacity!$DI$3:$DI$25/(TRANSPOSE(Dists!$B9:$X9)*SUM(Capacity!$DI$3:$DI$25/TRANSPOSE(Dists!$B9:$X9))))</f>
        <v>697.567817986797</v>
      </c>
      <c r="CG10" s="4" t="n">
        <f aca="false" t="array" ref="CG10:CG10">SUM(Capacity!DA10*Demand!CG10*Capacity!$DI$3:$DI$25/(TRANSPOSE(Dists!$B9:$X9)*SUM(Capacity!$DI$3:$DI$25/TRANSPOSE(Dists!$B9:$X9))))</f>
        <v>6.13614735437486</v>
      </c>
      <c r="CH10" s="4" t="n">
        <f aca="false" t="array" ref="CH10:CH10">SUM(Capacity!DB10*Demand!CH10*Capacity!$DI$3:$DI$25/(TRANSPOSE(Dists!$B9:$X9)*SUM(Capacity!$DI$3:$DI$25/TRANSPOSE(Dists!$B9:$X9))))</f>
        <v>7.68929619803097</v>
      </c>
      <c r="CI10" s="4" t="n">
        <f aca="false" t="array" ref="CI10:CI10">SUM(Capacity!DC10*Demand!CI10*Capacity!$DI$3:$DI$25/(TRANSPOSE(Dists!$B9:$X9)*SUM(Capacity!$DI$3:$DI$25/TRANSPOSE(Dists!$B9:$X9))))</f>
        <v>0.0643609564392485</v>
      </c>
      <c r="CJ10" s="4" t="n">
        <f aca="false" t="array" ref="CJ10:CJ10">SUM(Capacity!DD10*Demand!CJ10*Capacity!$DI$3:$DI$25/(TRANSPOSE(Dists!$B9:$X9)*SUM(Capacity!$DI$3:$DI$25/TRANSPOSE(Dists!$B9:$X9))))</f>
        <v>0.0126019387579287</v>
      </c>
      <c r="CK10" s="4" t="n">
        <f aca="false" t="array" ref="CK10:CK10">SUM(Capacity!DE10*Demand!CK10*Capacity!$DI$3:$DI$25/(TRANSPOSE(Dists!$B9:$X9)*SUM(Capacity!$DI$3:$DI$25/TRANSPOSE(Dists!$B9:$X9))))</f>
        <v>0.970855323661707</v>
      </c>
      <c r="CL10" s="7" t="s">
        <v>322</v>
      </c>
    </row>
    <row r="11" customFormat="false" ht="12.8" hidden="false" customHeight="false" outlineLevel="0" collapsed="false">
      <c r="A11" s="4" t="s">
        <v>143</v>
      </c>
      <c r="B11" s="7" t="s">
        <v>39</v>
      </c>
      <c r="C11" s="4" t="n">
        <f aca="false" t="array" ref="C11:C11">SUM(Capacity!S11*Demand!C11*Capacity!$DH$3:$DH$25/(TRANSPOSE(Dists!$B10:$X10)*SUM(Capacity!$DH$3:$DH$25/TRANSPOSE(Dists!$B10:$X10))))</f>
        <v>0.0639367108960286</v>
      </c>
      <c r="D11" s="4" t="n">
        <f aca="false" t="array" ref="D11:D11">SUM(Capacity!V11*Demand!D11*Capacity!$DH$3:$DH$25/(TRANSPOSE(Dists!$B10:$X10)*SUM(Capacity!$DH$3:$DH$25/TRANSPOSE(Dists!$B10:$X10))))</f>
        <v>5183.80664053442</v>
      </c>
      <c r="E11" s="4" t="n">
        <f aca="false" t="array" ref="E11:E11">SUM(Capacity!Y11*Demand!E11*Capacity!$DH$3:$DH$25/(TRANSPOSE(Dists!$B10:$X10)*SUM(Capacity!$DH$3:$DH$25/TRANSPOSE(Dists!$B10:$X10))))</f>
        <v>749.401070596452</v>
      </c>
      <c r="F11" s="4" t="n">
        <f aca="false">$E11*Capacity!$M11/(2*(1-Capacity!$H$28)*Capacity!$H11)</f>
        <v>268.756249757672</v>
      </c>
      <c r="G11" s="4" t="n">
        <f aca="false" t="array" ref="G11:G11">SUM(Capacity!AA11*Demand!G11*Capacity!$DH$3:$DH$25/(TRANSPOSE(Dists!$B10:$X10)*SUM(Capacity!$DH$3:$DH$25/TRANSPOSE(Dists!$B10:$X10))))</f>
        <v>889.839227250742</v>
      </c>
      <c r="H11" s="4" t="n">
        <f aca="false" t="array" ref="H11:H11">SUM(Capacity!AB11*Demand!H11*Capacity!$DH$3:$DH$25/(TRANSPOSE(Dists!$B10:$X10)*SUM(Capacity!$DH$3:$DH$25/TRANSPOSE(Dists!$B10:$X10))))</f>
        <v>0</v>
      </c>
      <c r="I11" s="4" t="n">
        <f aca="false" t="array" ref="I11:I11">SUM(Capacity!AC11*Demand!I$3:I$25*Capacity!$DG$3:$DG$25/(TRANSPOSE(Dists!$B10:$X10)*SUM(Capacity!$DG$3:$DG$25/TRANSPOSE(Dists!$B10:$X10))))</f>
        <v>4.14001282963503</v>
      </c>
      <c r="J11" s="4" t="n">
        <f aca="false" t="array" ref="J11:J11">SUM(Capacity!AD11*Demand!J$3:J$25*Capacity!$DG$3:$DG$25/(TRANSPOSE(Dists!$B10:$X10)*SUM(Capacity!$DG$3:$DG$25/TRANSPOSE(Dists!$B10:$X10))))</f>
        <v>3.03455528536498</v>
      </c>
      <c r="K11" s="4" t="n">
        <f aca="false">5479.45205479452*$R11</f>
        <v>1382948.85308113</v>
      </c>
      <c r="L11" s="4" t="n">
        <f aca="false">17142.8571428571*$S11</f>
        <v>473768.34734685</v>
      </c>
      <c r="M11" s="4" t="n">
        <f aca="false">IF(50420.1680672269*$T11&gt;($K11/20),50420.1680672269*$T11-($K11/20),0)</f>
        <v>709649.840655836</v>
      </c>
      <c r="N11" s="4" t="n">
        <f aca="false" t="array" ref="N11:N11">SUM(Capacity!AH11*Demand!N11*Capacity!$DH$3:$DH$25/(TRANSPOSE(Dists!$B10:$X10)*SUM(Capacity!$DH$3:$DH$25/TRANSPOSE(Dists!$B10:$X10))))</f>
        <v>1645.0328699138</v>
      </c>
      <c r="O11" s="4" t="n">
        <f aca="false">D39*DemClcs!$A$31*DemClcs!$A$32</f>
        <v>2226.93954150577</v>
      </c>
      <c r="P11" s="4" t="n">
        <f aca="false">O11*DemClcs!$A$29*DemClcs!$A$30</f>
        <v>890.775816602308</v>
      </c>
      <c r="Q11" s="4" t="n">
        <f aca="false" t="array" ref="Q11:Q11">SUM(Capacity!AK11*Demand!Q11*Capacity!$DI$3:$DI$25/(TRANSPOSE(Dists!$B10:$X10)*SUM(Capacity!$DI$3:$DI$25/TRANSPOSE(Dists!$B10:$X10))))</f>
        <v>14.0349983801989</v>
      </c>
      <c r="R11" s="4" t="n">
        <f aca="false" t="array" ref="R11:R11">SUM(Capacity!AL11*Demand!R11*Capacity!$DH$3:$DH$25/(TRANSPOSE(Dists!$B10:$X10)*SUM(Capacity!$DH$3:$DH$25/TRANSPOSE(Dists!$B10:$X10))))</f>
        <v>252.388165687306</v>
      </c>
      <c r="S11" s="4" t="n">
        <f aca="false">SUM($BG39,$BI39,$BK39)*Capacity!AM11/SUM(Capacity!$AM11:$AN11,Capacity!$CX11)</f>
        <v>27.6364869285663</v>
      </c>
      <c r="T11" s="4" t="n">
        <f aca="false">SUM($BG39,$BI39,$BK39)*Capacity!AN11/SUM(Capacity!$AM11:$AN11,Capacity!$CX11)</f>
        <v>15.4461461189795</v>
      </c>
      <c r="U11" s="4" t="n">
        <f aca="false">$M11*120*2/(16*1000*2000)</f>
        <v>5.32237380491877</v>
      </c>
      <c r="V11" s="4" t="n">
        <f aca="false" t="array" ref="V11:V11">SUM(Capacity!AP11*Demand!V$3:V$25*Capacity!$DH$3:$DH$25/(TRANSPOSE(Dists!$B10:$X10)*SUM(Capacity!$DH$3:$DH$25/TRANSPOSE(Dists!$B10:$X10))))</f>
        <v>177.338232148545</v>
      </c>
      <c r="W11" s="4" t="n">
        <f aca="false" t="array" ref="W11:W11">SUM(Capacity!AQ11*Demand!W$3:W$25*Capacity!$DH$3:$DH$25/(TRANSPOSE(Dists!$B10:$X10)*SUM(Capacity!$DH$3:$DH$25/TRANSPOSE(Dists!$B10:$X10))))</f>
        <v>850.64423690755</v>
      </c>
      <c r="X11" s="4" t="n">
        <f aca="false" t="array" ref="X11:X11">SUM(Capacity!AR11*Demand!X$3:X$25*Capacity!$DH$3:$DH$25/(TRANSPOSE(Dists!$B10:$X10)*SUM(Capacity!$DH$3:$DH$25/TRANSPOSE(Dists!$B10:$X10))))</f>
        <v>2502.13708768226</v>
      </c>
      <c r="Y11" s="4" t="n">
        <f aca="false">$L11*600*6/(90*1000*2000)</f>
        <v>9.475366946937</v>
      </c>
      <c r="Z11" s="4" t="n">
        <f aca="false" t="array" ref="Z11:Z11">SUM(Capacity!AT11*Demand!Z$3:Z$25*Capacity!$DI$3:$DI$25/(TRANSPOSE(Dists!$B10:$X10)*SUM(Capacity!$DI$3:$DI$25/TRANSPOSE(Dists!$B10:$X10))))</f>
        <v>74.5869261737891</v>
      </c>
      <c r="AA11" s="4" t="n">
        <f aca="false" t="array" ref="AA11:AA11">SUM(Capacity!AU11*Demand!AA$3:AA$25*Capacity!$DI$3:$DI$25/(TRANSPOSE(Dists!$B10:$X10)*SUM(Capacity!$DI$3:$DI$25/TRANSPOSE(Dists!$B10:$X10))))</f>
        <v>45.8432722817697</v>
      </c>
      <c r="AB11" s="4" t="n">
        <f aca="false" t="array" ref="AB11:AB11">SUM(Capacity!AV11*Demand!AB$3:AB$25*Capacity!$DI$3:$DI$25/(TRANSPOSE(Dists!$B10:$X10)*SUM(Capacity!$DI$3:$DI$25/TRANSPOSE(Dists!$B10:$X10))))</f>
        <v>45.0814226310732</v>
      </c>
      <c r="AC11" s="4" t="n">
        <f aca="false" t="array" ref="AC11:AC11">SUM(Capacity!AW11*Demand!AC$3:AC$25*Capacity!$DI$3:$DI$25/(TRANSPOSE(Dists!$B10:$X10)*SUM(Capacity!$DI$3:$DI$25/TRANSPOSE(Dists!$B10:$X10))))</f>
        <v>7.28107657830582</v>
      </c>
      <c r="AD11" s="4" t="n">
        <f aca="false" t="array" ref="AD11:AD11">SUM(Capacity!AX11*Demand!AD$3:AD$25*Capacity!$DI$3:$DI$25/(TRANSPOSE(Dists!$B10:$X10)*SUM(Capacity!$DI$3:$DI$25/TRANSPOSE(Dists!$B10:$X10))))</f>
        <v>7.38030954198052</v>
      </c>
      <c r="AE11" s="4" t="n">
        <f aca="false" t="array" ref="AE11:AE11">SUM(Capacity!AY11*Demand!AE$3:AE$25*Capacity!$DI$3:$DI$25/(TRANSPOSE(Dists!$B10:$X10)*SUM(Capacity!$DI$3:$DI$25/TRANSPOSE(Dists!$B10:$X10))))</f>
        <v>5.01595427118137</v>
      </c>
      <c r="AF11" s="4" t="n">
        <f aca="false" t="array" ref="AF11:AF11">SUM(Capacity!AZ11*Demand!AF$3:AF$25*Capacity!$DI$3:$DI$25/(TRANSPOSE(Dists!$B10:$X10)*SUM(Capacity!$DI$3:$DI$25/TRANSPOSE(Dists!$B10:$X10))))</f>
        <v>0.935293417255726</v>
      </c>
      <c r="AG11" s="4" t="n">
        <f aca="false" t="array" ref="AG11:AG11">SUM(Capacity!BA11*Demand!AG$3:AG$25*Capacity!$DI$3:$DI$25/(TRANSPOSE(Dists!$B10:$X10)*SUM(Capacity!$DI$3:$DI$25/TRANSPOSE(Dists!$B10:$X10))))</f>
        <v>4.24213546621151</v>
      </c>
      <c r="AH11" s="4" t="n">
        <f aca="false" t="array" ref="AH11:AH11">SUM(Capacity!BB11*Demand!AH$3:AH$25*Capacity!$DI$3:$DI$25/(TRANSPOSE(Dists!$B10:$X10)*SUM(Capacity!$DI$3:$DI$25/TRANSPOSE(Dists!$B10:$X10))))</f>
        <v>4.00756816369148</v>
      </c>
      <c r="AI11" s="4" t="n">
        <f aca="false" t="array" ref="AI11:AI11">SUM(Capacity!BC11*Demand!AI$3:AI$25*Capacity!$DI$3:$DI$25/(TRANSPOSE(Dists!$B10:$X10)*SUM(Capacity!$DI$3:$DI$25/TRANSPOSE(Dists!$B10:$X10))))</f>
        <v>0.563695945912817</v>
      </c>
      <c r="AJ11" s="4" t="n">
        <f aca="false" t="array" ref="AJ11:AJ11">SUM(Capacity!BD11*Demand!AJ$3:AJ$25*Capacity!$DI$3:$DI$25/(TRANSPOSE(Dists!$B10:$X10)*SUM(Capacity!$DI$3:$DI$25/TRANSPOSE(Dists!$B10:$X10))))</f>
        <v>1.60572860309414</v>
      </c>
      <c r="AK11" s="4" t="n">
        <f aca="false" t="array" ref="AK11:AK11">SUM(Capacity!BE11*Demand!AK$3:AK$25*Capacity!$DI$3:$DI$25/(TRANSPOSE(Dists!$B10:$X10)*SUM(Capacity!$DI$3:$DI$25/TRANSPOSE(Dists!$B10:$X10))))</f>
        <v>1.12471063629087</v>
      </c>
      <c r="AL11" s="4" t="n">
        <f aca="false" t="array" ref="AL11:AL11">SUM(Capacity!BF11*Demand!AL$3:AL$25*Capacity!$DI$3:$DI$25/(TRANSPOSE(Dists!$B10:$X10)*SUM(Capacity!$DI$3:$DI$25/TRANSPOSE(Dists!$B10:$X10))))</f>
        <v>0.644454359659443</v>
      </c>
      <c r="AM11" s="4" t="n">
        <f aca="false" t="array" ref="AM11:AM11">SUM(Capacity!BG11*Demand!AM$3:AM$25*Capacity!$DI$3:$DI$25/(TRANSPOSE(Dists!$B10:$X10)*SUM(Capacity!$DI$3:$DI$25/TRANSPOSE(Dists!$B10:$X10))))</f>
        <v>1.37347216415506</v>
      </c>
      <c r="AN11" s="4" t="n">
        <f aca="false" t="array" ref="AN11:AN11">SUM(Capacity!BH11*Demand!AN$3:AN$25*Capacity!$DI$3:$DI$25/(TRANSPOSE(Dists!$B10:$X10)*SUM(Capacity!$DI$3:$DI$25/TRANSPOSE(Dists!$B10:$X10))))</f>
        <v>1.0280387850442</v>
      </c>
      <c r="AO11" s="4" t="n">
        <f aca="false" t="array" ref="AO11:AO11">SUM(Capacity!BI11*Demand!AO$3:AO$25*Capacity!$DI$3:$DI$25/(TRANSPOSE(Dists!$B10:$X10)*SUM(Capacity!$DI$3:$DI$25/TRANSPOSE(Dists!$B10:$X10))))</f>
        <v>3.04294735509115</v>
      </c>
      <c r="AP11" s="4" t="n">
        <f aca="false" t="array" ref="AP11:AP11">SUM(Capacity!BJ11*Demand!AP$3:AP$25*Capacity!$DI$3:$DI$25/(TRANSPOSE(Dists!$B10:$X10)*SUM(Capacity!$DI$3:$DI$25/TRANSPOSE(Dists!$B10:$X10))))</f>
        <v>1.38984548531019</v>
      </c>
      <c r="AQ11" s="4" t="n">
        <f aca="false" t="array" ref="AQ11:AQ11">SUM(Capacity!BK11*Demand!AQ$3:AQ$25*Capacity!$DI$3:$DI$25/(TRANSPOSE(Dists!$B10:$X10)*SUM(Capacity!$DI$3:$DI$25/TRANSPOSE(Dists!$B10:$X10))))</f>
        <v>0.16331199236965</v>
      </c>
      <c r="AR11" s="4" t="n">
        <f aca="false" t="array" ref="AR11:AR11">SUM(Capacity!BL11*Demand!AR$3:AR$25*Capacity!$DI$3:$DI$25/(TRANSPOSE(Dists!$B10:$X10)*SUM(Capacity!$DI$3:$DI$25/TRANSPOSE(Dists!$B10:$X10))))</f>
        <v>0.208438367453372</v>
      </c>
      <c r="AS11" s="4" t="n">
        <f aca="false" t="array" ref="AS11:AS11">SUM(Capacity!BM11*Demand!AS$3:AS$25*Capacity!$DI$3:$DI$25/(TRANSPOSE(Dists!$B10:$X10)*SUM(Capacity!$DI$3:$DI$25/TRANSPOSE(Dists!$B10:$X10))))</f>
        <v>0.424116078487343</v>
      </c>
      <c r="AT11" s="4" t="n">
        <f aca="false" t="array" ref="AT11:AT11">SUM(Capacity!BN11*Demand!AT$3:AT$25*Capacity!$DI$3:$DI$25/(TRANSPOSE(Dists!$B10:$X10)*SUM(Capacity!$DI$3:$DI$25/TRANSPOSE(Dists!$B10:$X10))))</f>
        <v>5.48772237757054</v>
      </c>
      <c r="AU11" s="4" t="n">
        <f aca="false" t="array" ref="AU11:AU11">SUM(Capacity!BO11*Demand!AU$3:AU$25*Capacity!$DI$3:$DI$25/(TRANSPOSE(Dists!$B10:$X10)*SUM(Capacity!$DI$3:$DI$25/TRANSPOSE(Dists!$B10:$X10))))</f>
        <v>3.01304921856253</v>
      </c>
      <c r="AV11" s="4" t="n">
        <f aca="false" t="array" ref="AV11:AV11">SUM(Capacity!BP11*Demand!AV$3:AV$25*Capacity!$DI$3:$DI$25/(TRANSPOSE(Dists!$B10:$X10)*SUM(Capacity!$DI$3:$DI$25/TRANSPOSE(Dists!$B10:$X10))))</f>
        <v>0.180120626455642</v>
      </c>
      <c r="AW11" s="4" t="n">
        <f aca="false" t="array" ref="AW11:AW11">SUM(Capacity!BQ11*Demand!AW$3:AW$25*Capacity!$DI$3:$DI$25/(TRANSPOSE(Dists!$B10:$X10)*SUM(Capacity!$DI$3:$DI$25/TRANSPOSE(Dists!$B10:$X10))))</f>
        <v>3.94389975740339</v>
      </c>
      <c r="AX11" s="4" t="n">
        <f aca="false" t="array" ref="AX11:AX11">SUM(Capacity!BR11*Demand!AX$3:AX$25*Capacity!$DI$3:$DI$25/(TRANSPOSE(Dists!$B10:$X10)*SUM(Capacity!$DI$3:$DI$25/TRANSPOSE(Dists!$B10:$X10))))</f>
        <v>0.26286791986422</v>
      </c>
      <c r="AY11" s="4" t="n">
        <f aca="false" t="array" ref="AY11:AY11">SUM(Capacity!BS11*Demand!AY$3:AY$25*Capacity!$DI$3:$DI$25/(TRANSPOSE(Dists!$B10:$X10)*SUM(Capacity!$DI$3:$DI$25/TRANSPOSE(Dists!$B10:$X10))))</f>
        <v>0.601786786321158</v>
      </c>
      <c r="AZ11" s="4" t="n">
        <f aca="false" t="array" ref="AZ11:AZ11">SUM(Capacity!BT11*Demand!AZ$3:AZ$25*Capacity!$DI$3:$DI$25/(TRANSPOSE(Dists!$B10:$X10)*SUM(Capacity!$DI$3:$DI$25/TRANSPOSE(Dists!$B10:$X10))))</f>
        <v>3.67637965681768</v>
      </c>
      <c r="BA11" s="4" t="n">
        <f aca="false">L11*25/(2000*1000*51)</f>
        <v>0.116119692977169</v>
      </c>
      <c r="BB11" s="4" t="n">
        <f aca="false" t="array" ref="BB11:BB11">SUM(Capacity!BV11*Demand!BB$3:BB$25*Capacity!$DI$3:$DI$25/(TRANSPOSE(Dists!$B10:$X10)*SUM(Capacity!$DI$3:$DI$25/TRANSPOSE(Dists!$B10:$X10))))</f>
        <v>0.525264970527831</v>
      </c>
      <c r="BC11" s="4" t="n">
        <f aca="false" t="array" ref="BC11:BC11">SUM(Capacity!BW11*Demand!BC$3:BC$25*Capacity!$DI$3:$DI$25/(TRANSPOSE(Dists!$B10:$X10)*SUM(Capacity!$DI$3:$DI$25/TRANSPOSE(Dists!$B10:$X10))))</f>
        <v>0.35949650634395</v>
      </c>
      <c r="BD11" s="4" t="n">
        <f aca="false" t="array" ref="BD11:BD11">SUM(Capacity!BX11*Demand!BD$3:BD$25*Capacity!$DI$3:$DI$25/(TRANSPOSE(Dists!$B10:$X10)*SUM(Capacity!$DI$3:$DI$25/TRANSPOSE(Dists!$B10:$X10))))</f>
        <v>0.235651904828515</v>
      </c>
      <c r="BE11" s="4" t="n">
        <f aca="false" t="array" ref="BE11:BE11">SUM(Capacity!BY11*Demand!BE$3:BE$25*Capacity!$DI$3:$DI$25/(TRANSPOSE(Dists!$B10:$X10)*SUM(Capacity!$DI$3:$DI$25/TRANSPOSE(Dists!$B10:$X10))))</f>
        <v>0.15293784091136</v>
      </c>
      <c r="BF11" s="4" t="n">
        <f aca="false" t="array" ref="BF11:BF11">SUM(Capacity!BZ11*Demand!BF$3:BF$25*Capacity!$DI$3:$DI$25/(TRANSPOSE(Dists!$B10:$X10)*SUM(Capacity!$DI$3:$DI$25/TRANSPOSE(Dists!$B10:$X10))))</f>
        <v>7.74113629430853</v>
      </c>
      <c r="BG11" s="4" t="n">
        <f aca="false" t="array" ref="BG11:BG11">SUM(Capacity!CA11*Demand!BG$3:BG$25*Capacity!$DI$3:$DI$25/(TRANSPOSE(Dists!$B10:$X10)*SUM(Capacity!$DI$3:$DI$25/TRANSPOSE(Dists!$B10:$X10))))</f>
        <v>30.7356569523711</v>
      </c>
      <c r="BH11" s="4" t="n">
        <f aca="false" t="array" ref="BH11:BH11">SUM(Capacity!CB11*Demand!BH$3:BH$25*Capacity!$DI$3:$DI$25/(TRANSPOSE(Dists!$B10:$X10)*SUM(Capacity!$DI$3:$DI$25/TRANSPOSE(Dists!$B10:$X10))))</f>
        <v>58.9698472597319</v>
      </c>
      <c r="BI11" s="4" t="n">
        <f aca="false" t="array" ref="BI11:BI11">SUM(Capacity!CC11*Demand!BI11*Capacity!$DI$3:$DI$25/(TRANSPOSE(Dists!$B10:$X10)*SUM(Capacity!$DI$3:$DI$25/TRANSPOSE(Dists!$B10:$X10))))</f>
        <v>92.2437321816271</v>
      </c>
      <c r="BJ11" s="4" t="n">
        <f aca="false" t="array" ref="BJ11:BJ11">SUM(Capacity!CD11*Demand!BJ11*Capacity!$DI$3:$DI$25/(TRANSPOSE(Dists!$B10:$X10)*SUM(Capacity!$DI$3:$DI$25/TRANSPOSE(Dists!$B10:$X10))))</f>
        <v>67.2067199544894</v>
      </c>
      <c r="BK11" s="4" t="n">
        <f aca="false" t="array" ref="BK11:BK11">SUM(Capacity!CE11*Demand!BK11*Capacity!$DI$3:$DI$25/(TRANSPOSE(Dists!$B10:$X10)*SUM(Capacity!$DI$3:$DI$25/TRANSPOSE(Dists!$B10:$X10))))</f>
        <v>46.1218660908136</v>
      </c>
      <c r="BL11" s="4" t="n">
        <f aca="false" t="array" ref="BL11:BL11">SUM(Capacity!CF11*Demand!BL11*Capacity!$DI$3:$DI$25/(TRANSPOSE(Dists!$B10:$X10)*SUM(Capacity!$DI$3:$DI$25/TRANSPOSE(Dists!$B10:$X10))))</f>
        <v>567.255757531159</v>
      </c>
      <c r="BM11" s="4" t="n">
        <f aca="false" t="array" ref="BM11:BM11">SUM(Capacity!CG11*Demand!BM11*Capacity!$DI$3:$DI$25/(TRANSPOSE(Dists!$B10:$X10)*SUM(Capacity!$DI$3:$DI$25/TRANSPOSE(Dists!$B10:$X10))))</f>
        <v>84.6781983497125</v>
      </c>
      <c r="BN11" s="4" t="n">
        <f aca="false">MAX($BO11/0.006,$BP11/0.7,$BR11/0.002,$BS11/0.001)</f>
        <v>0.00112013464958184</v>
      </c>
      <c r="BO11" s="4" t="n">
        <f aca="false" t="array" ref="BO11:BO11">SUM(Capacity!CI11*Demand!BO11*Capacity!$DI$3:$DI$25/(TRANSPOSE(Dists!$B10:$X10)*SUM(Capacity!$DI$3:$DI$25/TRANSPOSE(Dists!$B10:$X10))))</f>
        <v>6.72080789749107E-006</v>
      </c>
      <c r="BP11" s="4" t="n">
        <f aca="false" t="array" ref="BP11:BP11">SUM(Capacity!CJ11*Demand!BP11*Capacity!$DI$3:$DI$25/(TRANSPOSE(Dists!$B10:$X10)*SUM(Capacity!$DI$3:$DI$25/TRANSPOSE(Dists!$B10:$X10))))</f>
        <v>6.13601007819967E-008</v>
      </c>
      <c r="BQ11" s="4" t="n">
        <f aca="false" t="array" ref="BQ11:BQ11">SUM(Capacity!CK11*Demand!BQ11*Capacity!$DI$3:$DI$25/(TRANSPOSE(Dists!$B10:$X10)*SUM(Capacity!$DI$3:$DI$25/TRANSPOSE(Dists!$B10:$X10))))</f>
        <v>0</v>
      </c>
      <c r="BR11" s="4" t="n">
        <f aca="false" t="array" ref="BR11:BR11">SUM(Capacity!CL11*Demand!BR11*Capacity!$DI$3:$DI$25/(TRANSPOSE(Dists!$B10:$X10)*SUM(Capacity!$DI$3:$DI$25/TRANSPOSE(Dists!$B10:$X10))))</f>
        <v>6.72080789749107E-007</v>
      </c>
      <c r="BS11" s="4" t="n">
        <f aca="false" t="array" ref="BS11:BS11">SUM(Capacity!CM11*Demand!BS11*Capacity!$DI$3:$DI$25/(TRANSPOSE(Dists!$B10:$X10)*SUM(Capacity!$DI$3:$DI$25/TRANSPOSE(Dists!$B10:$X10))))</f>
        <v>1.34416061662812E-007</v>
      </c>
      <c r="BT11" s="4" t="n">
        <f aca="false" t="array" ref="BT11:BT11">SUM(Capacity!CN11*Demand!BT11*Capacity!$DI$3:$DI$25/(TRANSPOSE(Dists!$B10:$X10)*SUM(Capacity!$DI$3:$DI$25/TRANSPOSE(Dists!$B10:$X10))))</f>
        <v>10.236167573647</v>
      </c>
      <c r="BU11" s="4" t="n">
        <f aca="false" t="array" ref="BU11:BU11">SUM(Capacity!CO11*Demand!BU11*Capacity!$DI$3:$DI$25/(TRANSPOSE(Dists!$B10:$X10)*SUM(Capacity!$DI$3:$DI$25/TRANSPOSE(Dists!$B10:$X10))))</f>
        <v>1.0236167573647</v>
      </c>
      <c r="BV11" s="4" t="n">
        <f aca="false" t="array" ref="BV11:BV11">SUM(Capacity!CP11*Demand!BV11*Capacity!$DI$3:$DI$25/(TRANSPOSE(Dists!$B10:$X10)*SUM(Capacity!$DI$3:$DI$25/TRANSPOSE(Dists!$B10:$X10))))</f>
        <v>0.10236167573647</v>
      </c>
      <c r="BW11" s="4" t="n">
        <f aca="false">E39*DemClcs!$A$40*DemClcs!$A$41*8.34/(DemClcs!$A$38)</f>
        <v>2416.24405971663</v>
      </c>
      <c r="BX11" s="4" t="n">
        <f aca="false" t="array" ref="BX11:BX11">SUM(Capacity!CR11*Demand!BX11*Capacity!$DI$3:$DI$25/(TRANSPOSE(Dists!$B10:$X10)*SUM(Capacity!$DI$3:$DI$25/TRANSPOSE(Dists!$B10:$X10))))</f>
        <v>11.2154193382356</v>
      </c>
      <c r="BY11" s="4" t="n">
        <f aca="false" t="array" ref="BY11:BY11">SUM(Capacity!CS11*Demand!BY11*Capacity!$DI$3:$DI$25/(TRANSPOSE(Dists!$B10:$X10)*SUM(Capacity!$DI$3:$DI$25/TRANSPOSE(Dists!$B10:$X10))))</f>
        <v>291.794195185433</v>
      </c>
      <c r="BZ11" s="4" t="n">
        <f aca="false" t="array" ref="BZ11:BZ11">SUM(Capacity!CT11*Demand!BZ11*Capacity!$DI$3:$DI$25/(TRANSPOSE(Dists!$B10:$X10)*SUM(Capacity!$DI$3:$DI$25/TRANSPOSE(Dists!$B10:$X10))))</f>
        <v>0.29222248272131</v>
      </c>
      <c r="CA11" s="4" t="n">
        <f aca="false" t="array" ref="CA11:CA11">SUM(Capacity!CU11*Demand!CA11*Capacity!$DI$3:$DI$25/(TRANSPOSE(Dists!$B10:$X10)*SUM(Capacity!$DI$3:$DI$25/TRANSPOSE(Dists!$B10:$X10))))</f>
        <v>0.0774172193523544</v>
      </c>
      <c r="CB11" s="4" t="n">
        <f aca="false" t="array" ref="CB11:CB11">SUM(Capacity!CV11*Demand!CB11*Capacity!$DI$3:$DI$25/(TRANSPOSE(Dists!$B10:$X10)*SUM(Capacity!$DI$3:$DI$25/TRANSPOSE(Dists!$B10:$X10))))</f>
        <v>994.269800169368</v>
      </c>
      <c r="CC11" s="4" t="n">
        <f aca="false" t="array" ref="CC11:CC11">SUM(Capacity!CW11*Demand!CC11*Capacity!$DI$3:$DI$25/(TRANSPOSE(Dists!$B10:$X10)*SUM(Capacity!$DI$3:$DI$25/TRANSPOSE(Dists!$B10:$X10))))</f>
        <v>405.331396707001</v>
      </c>
      <c r="CD11" s="4" t="n">
        <f aca="false">SUM($BG39,$BI39,$BK39)*Capacity!CX11/SUM(Capacity!$AM11:$AN11,Capacity!$CX11)</f>
        <v>102.422814407769</v>
      </c>
      <c r="CE11" s="4" t="n">
        <f aca="false" t="array" ref="CE11:CE11">SUM(Capacity!CY11*Demand!CE11*Capacity!$DI$3:$DI$25/(TRANSPOSE(Dists!$B10:$X10)*SUM(Capacity!$DI$3:$DI$25/TRANSPOSE(Dists!$B10:$X10))))</f>
        <v>2.39016163696653</v>
      </c>
      <c r="CF11" s="4" t="n">
        <f aca="false" t="array" ref="CF11:CF11">SUM(Capacity!CZ11*Demand!CF11*Capacity!$DI$3:$DI$25/(TRANSPOSE(Dists!$B10:$X10)*SUM(Capacity!$DI$3:$DI$25/TRANSPOSE(Dists!$B10:$X10))))</f>
        <v>572.29813860833</v>
      </c>
      <c r="CG11" s="4" t="n">
        <f aca="false" t="array" ref="CG11:CG11">SUM(Capacity!DA11*Demand!CG11*Capacity!$DI$3:$DI$25/(TRANSPOSE(Dists!$B10:$X10)*SUM(Capacity!$DI$3:$DI$25/TRANSPOSE(Dists!$B10:$X10))))</f>
        <v>0.000129908862202528</v>
      </c>
      <c r="CH11" s="4" t="n">
        <f aca="false" t="array" ref="CH11:CH11">SUM(Capacity!DB11*Demand!CH11*Capacity!$DI$3:$DI$25/(TRANSPOSE(Dists!$B10:$X10)*SUM(Capacity!$DI$3:$DI$25/TRANSPOSE(Dists!$B10:$X10))))</f>
        <v>1.87005513975956E-005</v>
      </c>
      <c r="CI11" s="4" t="n">
        <f aca="false" t="array" ref="CI11:CI11">SUM(Capacity!DC11*Demand!CI11*Capacity!$DI$3:$DI$25/(TRANSPOSE(Dists!$B10:$X10)*SUM(Capacity!$DI$3:$DI$25/TRANSPOSE(Dists!$B10:$X10))))</f>
        <v>0.150718407365789</v>
      </c>
      <c r="CJ11" s="4" t="n">
        <f aca="false" t="array" ref="CJ11:CJ11">SUM(Capacity!DD11*Demand!CJ11*Capacity!$DI$3:$DI$25/(TRANSPOSE(Dists!$B10:$X10)*SUM(Capacity!$DI$3:$DI$25/TRANSPOSE(Dists!$B10:$X10))))</f>
        <v>0.0790807436229442</v>
      </c>
      <c r="CK11" s="4" t="n">
        <f aca="false" t="array" ref="CK11:CK11">SUM(Capacity!DE11*Demand!CK11*Capacity!$DI$3:$DI$25/(TRANSPOSE(Dists!$B10:$X10)*SUM(Capacity!$DI$3:$DI$25/TRANSPOSE(Dists!$B10:$X10))))</f>
        <v>1.6913235250368</v>
      </c>
      <c r="CL11" s="7" t="s">
        <v>322</v>
      </c>
    </row>
    <row r="12" customFormat="false" ht="12.8" hidden="false" customHeight="false" outlineLevel="0" collapsed="false">
      <c r="A12" s="4" t="s">
        <v>144</v>
      </c>
      <c r="B12" s="7" t="s">
        <v>39</v>
      </c>
      <c r="C12" s="4" t="n">
        <f aca="false" t="array" ref="C12:C12">SUM(Capacity!S12*Demand!C12*Capacity!$DH$3:$DH$25/(TRANSPOSE(Dists!$B11:$X11)*SUM(Capacity!$DH$3:$DH$25/TRANSPOSE(Dists!$B11:$X11))))</f>
        <v>0.00944780554468461</v>
      </c>
      <c r="D12" s="4" t="n">
        <f aca="false" t="array" ref="D12:D12">SUM(Capacity!V12*Demand!D12*Capacity!$DH$3:$DH$25/(TRANSPOSE(Dists!$B11:$X11)*SUM(Capacity!$DH$3:$DH$25/TRANSPOSE(Dists!$B11:$X11))))</f>
        <v>417.251474278204</v>
      </c>
      <c r="E12" s="4" t="n">
        <f aca="false" t="array" ref="E12:E12">SUM(Capacity!Y12*Demand!E12*Capacity!$DH$3:$DH$25/(TRANSPOSE(Dists!$B11:$X11)*SUM(Capacity!$DH$3:$DH$25/TRANSPOSE(Dists!$B11:$X11))))</f>
        <v>86.6408414321468</v>
      </c>
      <c r="F12" s="4" t="n">
        <f aca="false">$E12*Capacity!$M12/(2*(1-Capacity!$H$28)*Capacity!$H12)</f>
        <v>44.5730239925925</v>
      </c>
      <c r="G12" s="4" t="n">
        <f aca="false" t="array" ref="G12:G12">SUM(Capacity!AA12*Demand!G12*Capacity!$DH$3:$DH$25/(TRANSPOSE(Dists!$B11:$X11)*SUM(Capacity!$DH$3:$DH$25/TRANSPOSE(Dists!$B11:$X11))))</f>
        <v>49.1865653319114</v>
      </c>
      <c r="H12" s="4" t="n">
        <f aca="false" t="array" ref="H12:H12">SUM(Capacity!AB12*Demand!H12*Capacity!$DH$3:$DH$25/(TRANSPOSE(Dists!$B11:$X11)*SUM(Capacity!$DH$3:$DH$25/TRANSPOSE(Dists!$B11:$X11))))</f>
        <v>0</v>
      </c>
      <c r="I12" s="4" t="n">
        <f aca="false" t="array" ref="I12:I12">SUM(Capacity!AC12*Demand!I$3:I$25*Capacity!$DG$3:$DG$25/(TRANSPOSE(Dists!$B11:$X11)*SUM(Capacity!$DG$3:$DG$25/TRANSPOSE(Dists!$B11:$X11))))</f>
        <v>4.05376360851594</v>
      </c>
      <c r="J12" s="4" t="n">
        <f aca="false" t="array" ref="J12:J12">SUM(Capacity!AD12*Demand!J$3:J$25*Capacity!$DG$3:$DG$25/(TRANSPOSE(Dists!$B11:$X11)*SUM(Capacity!$DG$3:$DG$25/TRANSPOSE(Dists!$B11:$X11))))</f>
        <v>3.72286616648406</v>
      </c>
      <c r="K12" s="4" t="n">
        <f aca="false">5479.45205479452*$R12</f>
        <v>652933.319059042</v>
      </c>
      <c r="L12" s="4" t="n">
        <f aca="false">17142.8571428571*$S12</f>
        <v>197588.77478456</v>
      </c>
      <c r="M12" s="4" t="n">
        <f aca="false">IF(50420.1680672269*$T12&gt;($K12/20),50420.1680672269*$T12-($K12/20),0)</f>
        <v>292156.799446326</v>
      </c>
      <c r="N12" s="4" t="n">
        <f aca="false" t="array" ref="N12:N12">SUM(Capacity!AH12*Demand!N12*Capacity!$DH$3:$DH$25/(TRANSPOSE(Dists!$B11:$X11)*SUM(Capacity!$DH$3:$DH$25/TRANSPOSE(Dists!$B11:$X11))))</f>
        <v>83.5219592377054</v>
      </c>
      <c r="O12" s="4" t="n">
        <f aca="false">D40*DemClcs!$A$31*DemClcs!$A$32</f>
        <v>715.694977085134</v>
      </c>
      <c r="P12" s="4" t="n">
        <f aca="false">O12*DemClcs!$A$29*DemClcs!$A$30</f>
        <v>286.277990834053</v>
      </c>
      <c r="Q12" s="4" t="n">
        <f aca="false" t="array" ref="Q12:Q12">SUM(Capacity!AK12*Demand!Q12*Capacity!$DI$3:$DI$25/(TRANSPOSE(Dists!$B11:$X11)*SUM(Capacity!$DI$3:$DI$25/TRANSPOSE(Dists!$B11:$X11))))</f>
        <v>3.46924344076944</v>
      </c>
      <c r="R12" s="4" t="n">
        <f aca="false" t="array" ref="R12:R12">SUM(Capacity!AL12*Demand!R12*Capacity!$DH$3:$DH$25/(TRANSPOSE(Dists!$B11:$X11)*SUM(Capacity!$DH$3:$DH$25/TRANSPOSE(Dists!$B11:$X11))))</f>
        <v>119.160330728275</v>
      </c>
      <c r="S12" s="4" t="n">
        <f aca="false">SUM($BG40,$BI40,$BK40)*Capacity!AM12/SUM(Capacity!$AM12:$AN12,Capacity!$CX12)</f>
        <v>11.5260118624327</v>
      </c>
      <c r="T12" s="4" t="n">
        <f aca="false">SUM($BG40,$BI40,$BK40)*Capacity!AN12/SUM(Capacity!$AM12:$AN12,Capacity!$CX12)</f>
        <v>6.44193539708569</v>
      </c>
      <c r="U12" s="4" t="n">
        <f aca="false">$M12*120*2/(16*1000*2000)</f>
        <v>2.19117599584745</v>
      </c>
      <c r="V12" s="4" t="n">
        <f aca="false" t="array" ref="V12:V12">SUM(Capacity!AP12*Demand!V$3:V$25*Capacity!$DH$3:$DH$25/(TRANSPOSE(Dists!$B11:$X11)*SUM(Capacity!$DH$3:$DH$25/TRANSPOSE(Dists!$B11:$X11))))</f>
        <v>32.4663705747848</v>
      </c>
      <c r="W12" s="4" t="n">
        <f aca="false" t="array" ref="W12:W12">SUM(Capacity!AQ12*Demand!W$3:W$25*Capacity!$DH$3:$DH$25/(TRANSPOSE(Dists!$B11:$X11)*SUM(Capacity!$DH$3:$DH$25/TRANSPOSE(Dists!$B11:$X11))))</f>
        <v>151.056124571483</v>
      </c>
      <c r="X12" s="4" t="n">
        <f aca="false" t="array" ref="X12:X12">SUM(Capacity!AR12*Demand!X$3:X$25*Capacity!$DH$3:$DH$25/(TRANSPOSE(Dists!$B11:$X11)*SUM(Capacity!$DH$3:$DH$25/TRANSPOSE(Dists!$B11:$X11))))</f>
        <v>705.298325107026</v>
      </c>
      <c r="Y12" s="4" t="n">
        <f aca="false">$L12*600*6/(90*1000*2000)</f>
        <v>3.95177549569121</v>
      </c>
      <c r="Z12" s="4" t="n">
        <f aca="false" t="array" ref="Z12:Z12">SUM(Capacity!AT12*Demand!Z$3:Z$25*Capacity!$DI$3:$DI$25/(TRANSPOSE(Dists!$B11:$X11)*SUM(Capacity!$DI$3:$DI$25/TRANSPOSE(Dists!$B11:$X11))))</f>
        <v>0.425047316955183</v>
      </c>
      <c r="AA12" s="4" t="n">
        <f aca="false" t="array" ref="AA12:AA12">SUM(Capacity!AU12*Demand!AA$3:AA$25*Capacity!$DI$3:$DI$25/(TRANSPOSE(Dists!$B11:$X11)*SUM(Capacity!$DI$3:$DI$25/TRANSPOSE(Dists!$B11:$X11))))</f>
        <v>6.70030785097586</v>
      </c>
      <c r="AB12" s="4" t="n">
        <f aca="false" t="array" ref="AB12:AB12">SUM(Capacity!AV12*Demand!AB$3:AB$25*Capacity!$DI$3:$DI$25/(TRANSPOSE(Dists!$B11:$X11)*SUM(Capacity!$DI$3:$DI$25/TRANSPOSE(Dists!$B11:$X11))))</f>
        <v>6.88670972898289</v>
      </c>
      <c r="AC12" s="4" t="n">
        <f aca="false" t="array" ref="AC12:AC12">SUM(Capacity!AW12*Demand!AC$3:AC$25*Capacity!$DI$3:$DI$25/(TRANSPOSE(Dists!$B11:$X11)*SUM(Capacity!$DI$3:$DI$25/TRANSPOSE(Dists!$B11:$X11))))</f>
        <v>1.66538406565092</v>
      </c>
      <c r="AD12" s="4" t="n">
        <f aca="false" t="array" ref="AD12:AD12">SUM(Capacity!AX12*Demand!AD$3:AD$25*Capacity!$DI$3:$DI$25/(TRANSPOSE(Dists!$B11:$X11)*SUM(Capacity!$DI$3:$DI$25/TRANSPOSE(Dists!$B11:$X11))))</f>
        <v>1.12742780860313</v>
      </c>
      <c r="AE12" s="4" t="n">
        <f aca="false" t="array" ref="AE12:AE12">SUM(Capacity!AY12*Demand!AE$3:AE$25*Capacity!$DI$3:$DI$25/(TRANSPOSE(Dists!$B11:$X11)*SUM(Capacity!$DI$3:$DI$25/TRANSPOSE(Dists!$B11:$X11))))</f>
        <v>0.864355545749333</v>
      </c>
      <c r="AF12" s="4" t="n">
        <f aca="false" t="array" ref="AF12:AF12">SUM(Capacity!AZ12*Demand!AF$3:AF$25*Capacity!$DI$3:$DI$25/(TRANSPOSE(Dists!$B11:$X11)*SUM(Capacity!$DI$3:$DI$25/TRANSPOSE(Dists!$B11:$X11))))</f>
        <v>0.190660035875016</v>
      </c>
      <c r="AG12" s="4" t="n">
        <f aca="false" t="array" ref="AG12:AG12">SUM(Capacity!BA12*Demand!AG$3:AG$25*Capacity!$DI$3:$DI$25/(TRANSPOSE(Dists!$B11:$X11)*SUM(Capacity!$DI$3:$DI$25/TRANSPOSE(Dists!$B11:$X11))))</f>
        <v>0.684511140231832</v>
      </c>
      <c r="AH12" s="4" t="n">
        <f aca="false" t="array" ref="AH12:AH12">SUM(Capacity!BB12*Demand!AH$3:AH$25*Capacity!$DI$3:$DI$25/(TRANSPOSE(Dists!$B11:$X11)*SUM(Capacity!$DI$3:$DI$25/TRANSPOSE(Dists!$B11:$X11))))</f>
        <v>0.649131299836448</v>
      </c>
      <c r="AI12" s="4" t="n">
        <f aca="false" t="array" ref="AI12:AI12">SUM(Capacity!BC12*Demand!AI$3:AI$25*Capacity!$DI$3:$DI$25/(TRANSPOSE(Dists!$B11:$X11)*SUM(Capacity!$DI$3:$DI$25/TRANSPOSE(Dists!$B11:$X11))))</f>
        <v>0.0963475634364388</v>
      </c>
      <c r="AJ12" s="4" t="n">
        <f aca="false" t="array" ref="AJ12:AJ12">SUM(Capacity!BD12*Demand!AJ$3:AJ$25*Capacity!$DI$3:$DI$25/(TRANSPOSE(Dists!$B11:$X11)*SUM(Capacity!$DI$3:$DI$25/TRANSPOSE(Dists!$B11:$X11))))</f>
        <v>0.271002045098887</v>
      </c>
      <c r="AK12" s="4" t="n">
        <f aca="false" t="array" ref="AK12:AK12">SUM(Capacity!BE12*Demand!AK$3:AK$25*Capacity!$DI$3:$DI$25/(TRANSPOSE(Dists!$B11:$X11)*SUM(Capacity!$DI$3:$DI$25/TRANSPOSE(Dists!$B11:$X11))))</f>
        <v>0.192555397362487</v>
      </c>
      <c r="AL12" s="4" t="n">
        <f aca="false" t="array" ref="AL12:AL12">SUM(Capacity!BF12*Demand!AL$3:AL$25*Capacity!$DI$3:$DI$25/(TRANSPOSE(Dists!$B11:$X11)*SUM(Capacity!$DI$3:$DI$25/TRANSPOSE(Dists!$B11:$X11))))</f>
        <v>0.119575952126861</v>
      </c>
      <c r="AM12" s="4" t="n">
        <f aca="false" t="array" ref="AM12:AM12">SUM(Capacity!BG12*Demand!AM$3:AM$25*Capacity!$DI$3:$DI$25/(TRANSPOSE(Dists!$B11:$X11)*SUM(Capacity!$DI$3:$DI$25/TRANSPOSE(Dists!$B11:$X11))))</f>
        <v>0.265271501991512</v>
      </c>
      <c r="AN12" s="4" t="n">
        <f aca="false" t="array" ref="AN12:AN12">SUM(Capacity!BH12*Demand!AN$3:AN$25*Capacity!$DI$3:$DI$25/(TRANSPOSE(Dists!$B11:$X11)*SUM(Capacity!$DI$3:$DI$25/TRANSPOSE(Dists!$B11:$X11))))</f>
        <v>0.186785330258997</v>
      </c>
      <c r="AO12" s="4" t="n">
        <f aca="false" t="array" ref="AO12:AO12">SUM(Capacity!BI12*Demand!AO$3:AO$25*Capacity!$DI$3:$DI$25/(TRANSPOSE(Dists!$B11:$X11)*SUM(Capacity!$DI$3:$DI$25/TRANSPOSE(Dists!$B11:$X11))))</f>
        <v>0.55086512466797</v>
      </c>
      <c r="AP12" s="4" t="n">
        <f aca="false" t="array" ref="AP12:AP12">SUM(Capacity!BJ12*Demand!AP$3:AP$25*Capacity!$DI$3:$DI$25/(TRANSPOSE(Dists!$B11:$X11)*SUM(Capacity!$DI$3:$DI$25/TRANSPOSE(Dists!$B11:$X11))))</f>
        <v>0.255587554990686</v>
      </c>
      <c r="AQ12" s="4" t="n">
        <f aca="false" t="array" ref="AQ12:AQ12">SUM(Capacity!BK12*Demand!AQ$3:AQ$25*Capacity!$DI$3:$DI$25/(TRANSPOSE(Dists!$B11:$X11)*SUM(Capacity!$DI$3:$DI$25/TRANSPOSE(Dists!$B11:$X11))))</f>
        <v>0.0239800928643224</v>
      </c>
      <c r="AR12" s="4" t="n">
        <f aca="false" t="array" ref="AR12:AR12">SUM(Capacity!BL12*Demand!AR$3:AR$25*Capacity!$DI$3:$DI$25/(TRANSPOSE(Dists!$B11:$X11)*SUM(Capacity!$DI$3:$DI$25/TRANSPOSE(Dists!$B11:$X11))))</f>
        <v>0.0343567494212982</v>
      </c>
      <c r="AS12" s="4" t="n">
        <f aca="false" t="array" ref="AS12:AS12">SUM(Capacity!BM12*Demand!AS$3:AS$25*Capacity!$DI$3:$DI$25/(TRANSPOSE(Dists!$B11:$X11)*SUM(Capacity!$DI$3:$DI$25/TRANSPOSE(Dists!$B11:$X11))))</f>
        <v>0.0729194391727289</v>
      </c>
      <c r="AT12" s="4" t="n">
        <f aca="false" t="array" ref="AT12:AT12">SUM(Capacity!BN12*Demand!AT$3:AT$25*Capacity!$DI$3:$DI$25/(TRANSPOSE(Dists!$B11:$X11)*SUM(Capacity!$DI$3:$DI$25/TRANSPOSE(Dists!$B11:$X11))))</f>
        <v>0.936942134972258</v>
      </c>
      <c r="AU12" s="4" t="n">
        <f aca="false" t="array" ref="AU12:AU12">SUM(Capacity!BO12*Demand!AU$3:AU$25*Capacity!$DI$3:$DI$25/(TRANSPOSE(Dists!$B11:$X11)*SUM(Capacity!$DI$3:$DI$25/TRANSPOSE(Dists!$B11:$X11))))</f>
        <v>0.542135957867057</v>
      </c>
      <c r="AV12" s="4" t="n">
        <f aca="false" t="array" ref="AV12:AV12">SUM(Capacity!BP12*Demand!AV$3:AV$25*Capacity!$DI$3:$DI$25/(TRANSPOSE(Dists!$B11:$X11)*SUM(Capacity!$DI$3:$DI$25/TRANSPOSE(Dists!$B11:$X11))))</f>
        <v>0.0294615889175986</v>
      </c>
      <c r="AW12" s="4" t="n">
        <f aca="false" t="array" ref="AW12:AW12">SUM(Capacity!BQ12*Demand!AW$3:AW$25*Capacity!$DI$3:$DI$25/(TRANSPOSE(Dists!$B11:$X11)*SUM(Capacity!$DI$3:$DI$25/TRANSPOSE(Dists!$B11:$X11))))</f>
        <v>0.906811559712141</v>
      </c>
      <c r="AX12" s="4" t="n">
        <f aca="false" t="array" ref="AX12:AX12">SUM(Capacity!BR12*Demand!AX$3:AX$25*Capacity!$DI$3:$DI$25/(TRANSPOSE(Dists!$B11:$X11)*SUM(Capacity!$DI$3:$DI$25/TRANSPOSE(Dists!$B11:$X11))))</f>
        <v>0.0795429701116001</v>
      </c>
      <c r="AY12" s="4" t="n">
        <f aca="false" t="array" ref="AY12:AY12">SUM(Capacity!BS12*Demand!AY$3:AY$25*Capacity!$DI$3:$DI$25/(TRANSPOSE(Dists!$B11:$X11)*SUM(Capacity!$DI$3:$DI$25/TRANSPOSE(Dists!$B11:$X11))))</f>
        <v>0.0886007764092181</v>
      </c>
      <c r="AZ12" s="4" t="n">
        <f aca="false" t="array" ref="AZ12:AZ12">SUM(Capacity!BT12*Demand!AZ$3:AZ$25*Capacity!$DI$3:$DI$25/(TRANSPOSE(Dists!$B11:$X11)*SUM(Capacity!$DI$3:$DI$25/TRANSPOSE(Dists!$B11:$X11))))</f>
        <v>0.557219515959641</v>
      </c>
      <c r="BA12" s="4" t="n">
        <f aca="false">L12*25/(2000*1000*51)</f>
        <v>0.0484286212707256</v>
      </c>
      <c r="BB12" s="4" t="n">
        <f aca="false" t="array" ref="BB12:BB12">SUM(Capacity!BV12*Demand!BB$3:BB$25*Capacity!$DI$3:$DI$25/(TRANSPOSE(Dists!$B11:$X11)*SUM(Capacity!$DI$3:$DI$25/TRANSPOSE(Dists!$B11:$X11))))</f>
        <v>0.0789914264162131</v>
      </c>
      <c r="BC12" s="4" t="n">
        <f aca="false" t="array" ref="BC12:BC12">SUM(Capacity!BW12*Demand!BC$3:BC$25*Capacity!$DI$3:$DI$25/(TRANSPOSE(Dists!$B11:$X11)*SUM(Capacity!$DI$3:$DI$25/TRANSPOSE(Dists!$B11:$X11))))</f>
        <v>0.0620650715197248</v>
      </c>
      <c r="BD12" s="4" t="n">
        <f aca="false" t="array" ref="BD12:BD12">SUM(Capacity!BX12*Demand!BD$3:BD$25*Capacity!$DI$3:$DI$25/(TRANSPOSE(Dists!$B11:$X11)*SUM(Capacity!$DI$3:$DI$25/TRANSPOSE(Dists!$B11:$X11))))</f>
        <v>0.0386086425845357</v>
      </c>
      <c r="BE12" s="4" t="n">
        <f aca="false" t="array" ref="BE12:BE12">SUM(Capacity!BY12*Demand!BE$3:BE$25*Capacity!$DI$3:$DI$25/(TRANSPOSE(Dists!$B11:$X11)*SUM(Capacity!$DI$3:$DI$25/TRANSPOSE(Dists!$B11:$X11))))</f>
        <v>0.0234365606684684</v>
      </c>
      <c r="BF12" s="4" t="n">
        <f aca="false" t="array" ref="BF12:BF12">SUM(Capacity!BZ12*Demand!BF$3:BF$25*Capacity!$DI$3:$DI$25/(TRANSPOSE(Dists!$B11:$X11)*SUM(Capacity!$DI$3:$DI$25/TRANSPOSE(Dists!$B11:$X11))))</f>
        <v>1.8246435828333</v>
      </c>
      <c r="BG12" s="4" t="n">
        <f aca="false" t="array" ref="BG12:BG12">SUM(Capacity!CA12*Demand!BG$3:BG$25*Capacity!$DI$3:$DI$25/(TRANSPOSE(Dists!$B11:$X11)*SUM(Capacity!$DI$3:$DI$25/TRANSPOSE(Dists!$B11:$X11))))</f>
        <v>7.29959603136838</v>
      </c>
      <c r="BH12" s="4" t="n">
        <f aca="false" t="array" ref="BH12:BH12">SUM(Capacity!CB12*Demand!BH$3:BH$25*Capacity!$DI$3:$DI$25/(TRANSPOSE(Dists!$B11:$X11)*SUM(Capacity!$DI$3:$DI$25/TRANSPOSE(Dists!$B11:$X11))))</f>
        <v>0.00538570655601107</v>
      </c>
      <c r="BI12" s="4" t="n">
        <f aca="false" t="array" ref="BI12:BI12">SUM(Capacity!CC12*Demand!BI12*Capacity!$DI$3:$DI$25/(TRANSPOSE(Dists!$B11:$X11)*SUM(Capacity!$DI$3:$DI$25/TRANSPOSE(Dists!$B11:$X11))))</f>
        <v>11.8873625588154</v>
      </c>
      <c r="BJ12" s="4" t="n">
        <f aca="false" t="array" ref="BJ12:BJ12">SUM(Capacity!CD12*Demand!BJ12*Capacity!$DI$3:$DI$25/(TRANSPOSE(Dists!$B11:$X11)*SUM(Capacity!$DI$3:$DI$25/TRANSPOSE(Dists!$B11:$X11))))</f>
        <v>197.182582034711</v>
      </c>
      <c r="BK12" s="4" t="n">
        <f aca="false" t="array" ref="BK12:BK12">SUM(Capacity!CE12*Demand!BK12*Capacity!$DI$3:$DI$25/(TRANSPOSE(Dists!$B11:$X11)*SUM(Capacity!$DI$3:$DI$25/TRANSPOSE(Dists!$B11:$X11))))</f>
        <v>5.94368127940771</v>
      </c>
      <c r="BL12" s="4" t="n">
        <f aca="false" t="array" ref="BL12:BL12">SUM(Capacity!CF12*Demand!BL12*Capacity!$DI$3:$DI$25/(TRANSPOSE(Dists!$B11:$X11)*SUM(Capacity!$DI$3:$DI$25/TRANSPOSE(Dists!$B11:$X11))))</f>
        <v>165.095781893255</v>
      </c>
      <c r="BM12" s="4" t="n">
        <f aca="false" t="array" ref="BM12:BM12">SUM(Capacity!CG12*Demand!BM12*Capacity!$DI$3:$DI$25/(TRANSPOSE(Dists!$B11:$X11)*SUM(Capacity!$DI$3:$DI$25/TRANSPOSE(Dists!$B11:$X11))))</f>
        <v>14.643823710329</v>
      </c>
      <c r="BN12" s="4" t="n">
        <f aca="false">MAX($BO12/0.006,$BP12/0.7,$BR12/0.002,$BS12/0.001)</f>
        <v>485.971462296731</v>
      </c>
      <c r="BO12" s="4" t="n">
        <f aca="false" t="array" ref="BO12:BO12">SUM(Capacity!CI12*Demand!BO12*Capacity!$DI$3:$DI$25/(TRANSPOSE(Dists!$B11:$X11)*SUM(Capacity!$DI$3:$DI$25/TRANSPOSE(Dists!$B11:$X11))))</f>
        <v>2.91582877378038</v>
      </c>
      <c r="BP12" s="4" t="n">
        <f aca="false" t="array" ref="BP12:BP12">SUM(Capacity!CJ12*Demand!BP12*Capacity!$DI$3:$DI$25/(TRANSPOSE(Dists!$B11:$X11)*SUM(Capacity!$DI$3:$DI$25/TRANSPOSE(Dists!$B11:$X11))))</f>
        <v>5.81954661477023</v>
      </c>
      <c r="BQ12" s="4" t="n">
        <f aca="false" t="array" ref="BQ12:BQ12">SUM(Capacity!CK12*Demand!BQ12*Capacity!$DI$3:$DI$25/(TRANSPOSE(Dists!$B11:$X11)*SUM(Capacity!$DI$3:$DI$25/TRANSPOSE(Dists!$B11:$X11))))</f>
        <v>0</v>
      </c>
      <c r="BR12" s="4" t="n">
        <f aca="false" t="array" ref="BR12:BR12">SUM(Capacity!CL12*Demand!BR12*Capacity!$DI$3:$DI$25/(TRANSPOSE(Dists!$B11:$X11)*SUM(Capacity!$DI$3:$DI$25/TRANSPOSE(Dists!$B11:$X11))))</f>
        <v>0.0971942924593462</v>
      </c>
      <c r="BS12" s="4" t="n">
        <f aca="false" t="array" ref="BS12:BS12">SUM(Capacity!CM12*Demand!BS12*Capacity!$DI$3:$DI$25/(TRANSPOSE(Dists!$B11:$X11)*SUM(Capacity!$DI$3:$DI$25/TRANSPOSE(Dists!$B11:$X11))))</f>
        <v>0.00971942337558847</v>
      </c>
      <c r="BT12" s="4" t="n">
        <f aca="false" t="array" ref="BT12:BT12">SUM(Capacity!CN12*Demand!BT12*Capacity!$DI$3:$DI$25/(TRANSPOSE(Dists!$B11:$X11)*SUM(Capacity!$DI$3:$DI$25/TRANSPOSE(Dists!$B11:$X11))))</f>
        <v>0.945456451131667</v>
      </c>
      <c r="BU12" s="4" t="n">
        <f aca="false" t="array" ref="BU12:BU12">SUM(Capacity!CO12*Demand!BU12*Capacity!$DI$3:$DI$25/(TRANSPOSE(Dists!$B11:$X11)*SUM(Capacity!$DI$3:$DI$25/TRANSPOSE(Dists!$B11:$X11))))</f>
        <v>0.0945456451131667</v>
      </c>
      <c r="BV12" s="4" t="n">
        <f aca="false" t="array" ref="BV12:BV12">SUM(Capacity!CP12*Demand!BV12*Capacity!$DI$3:$DI$25/(TRANSPOSE(Dists!$B11:$X11)*SUM(Capacity!$DI$3:$DI$25/TRANSPOSE(Dists!$B11:$X11))))</f>
        <v>0.00945456451131667</v>
      </c>
      <c r="BW12" s="4" t="n">
        <f aca="false">E40*DemClcs!$A$40*DemClcs!$A$41*8.34/(DemClcs!$A$38)</f>
        <v>501.555000108516</v>
      </c>
      <c r="BX12" s="4" t="n">
        <f aca="false" t="array" ref="BX12:BX12">SUM(Capacity!CR12*Demand!BX12*Capacity!$DI$3:$DI$25/(TRANSPOSE(Dists!$B11:$X11)*SUM(Capacity!$DI$3:$DI$25/TRANSPOSE(Dists!$B11:$X11))))</f>
        <v>1.35873567768844</v>
      </c>
      <c r="BY12" s="4" t="n">
        <f aca="false" t="array" ref="BY12:BY12">SUM(Capacity!CS12*Demand!BY12*Capacity!$DI$3:$DI$25/(TRANSPOSE(Dists!$B11:$X11)*SUM(Capacity!$DI$3:$DI$25/TRANSPOSE(Dists!$B11:$X11))))</f>
        <v>41.2825041199733</v>
      </c>
      <c r="BZ12" s="4" t="n">
        <f aca="false" t="array" ref="BZ12:BZ12">SUM(Capacity!CT12*Demand!BZ12*Capacity!$DI$3:$DI$25/(TRANSPOSE(Dists!$B11:$X11)*SUM(Capacity!$DI$3:$DI$25/TRANSPOSE(Dists!$B11:$X11))))</f>
        <v>0.251396953343417</v>
      </c>
      <c r="CA12" s="4" t="n">
        <f aca="false" t="array" ref="CA12:CA12">SUM(Capacity!CU12*Demand!CA12*Capacity!$DI$3:$DI$25/(TRANSPOSE(Dists!$B11:$X11)*SUM(Capacity!$DI$3:$DI$25/TRANSPOSE(Dists!$B11:$X11))))</f>
        <v>0.0137285705737293</v>
      </c>
      <c r="CB12" s="4" t="n">
        <f aca="false" t="array" ref="CB12:CB12">SUM(Capacity!CV12*Demand!CB12*Capacity!$DI$3:$DI$25/(TRANSPOSE(Dists!$B11:$X11)*SUM(Capacity!$DI$3:$DI$25/TRANSPOSE(Dists!$B11:$X11))))</f>
        <v>174.058100716713</v>
      </c>
      <c r="CC12" s="4" t="n">
        <f aca="false" t="array" ref="CC12:CC12">SUM(Capacity!CW12*Demand!CC12*Capacity!$DI$3:$DI$25/(TRANSPOSE(Dists!$B11:$X11)*SUM(Capacity!$DI$3:$DI$25/TRANSPOSE(Dists!$B11:$X11))))</f>
        <v>96.5047864686539</v>
      </c>
      <c r="CD12" s="4" t="n">
        <f aca="false">SUM($BG40,$BI40,$BK40)*Capacity!CX12/SUM(Capacity!$AM12:$AN12,Capacity!$CX12)</f>
        <v>24.3103231306457</v>
      </c>
      <c r="CE12" s="4" t="n">
        <f aca="false" t="array" ref="CE12:CE12">SUM(Capacity!CY12*Demand!CE12*Capacity!$DI$3:$DI$25/(TRANSPOSE(Dists!$B11:$X11)*SUM(Capacity!$DI$3:$DI$25/TRANSPOSE(Dists!$B11:$X11))))</f>
        <v>1.09891575642296</v>
      </c>
      <c r="CF12" s="4" t="n">
        <f aca="false" t="array" ref="CF12:CF12">SUM(Capacity!CZ12*Demand!CF12*Capacity!$DI$3:$DI$25/(TRANSPOSE(Dists!$B11:$X11)*SUM(Capacity!$DI$3:$DI$25/TRANSPOSE(Dists!$B11:$X11))))</f>
        <v>802.865240934951</v>
      </c>
      <c r="CG12" s="4" t="n">
        <f aca="false" t="array" ref="CG12:CG12">SUM(Capacity!DA12*Demand!CG12*Capacity!$DI$3:$DI$25/(TRANSPOSE(Dists!$B11:$X11)*SUM(Capacity!$DI$3:$DI$25/TRANSPOSE(Dists!$B11:$X11))))</f>
        <v>4.86287155625414</v>
      </c>
      <c r="CH12" s="4" t="n">
        <f aca="false" t="array" ref="CH12:CH12">SUM(Capacity!DB12*Demand!CH12*Capacity!$DI$3:$DI$25/(TRANSPOSE(Dists!$B11:$X11)*SUM(Capacity!$DI$3:$DI$25/TRANSPOSE(Dists!$B11:$X11))))</f>
        <v>6.34400067939837</v>
      </c>
      <c r="CI12" s="4" t="n">
        <f aca="false" t="array" ref="CI12:CI12">SUM(Capacity!DC12*Demand!CI12*Capacity!$DI$3:$DI$25/(TRANSPOSE(Dists!$B11:$X11)*SUM(Capacity!$DI$3:$DI$25/TRANSPOSE(Dists!$B11:$X11))))</f>
        <v>0.0585628237353182</v>
      </c>
      <c r="CJ12" s="4" t="n">
        <f aca="false" t="array" ref="CJ12:CJ12">SUM(Capacity!DD12*Demand!CJ12*Capacity!$DI$3:$DI$25/(TRANSPOSE(Dists!$B11:$X11)*SUM(Capacity!$DI$3:$DI$25/TRANSPOSE(Dists!$B11:$X11))))</f>
        <v>0.0198965055974991</v>
      </c>
      <c r="CK12" s="4" t="n">
        <f aca="false" t="array" ref="CK12:CK12">SUM(Capacity!DE12*Demand!CK12*Capacity!$DI$3:$DI$25/(TRANSPOSE(Dists!$B11:$X11)*SUM(Capacity!$DI$3:$DI$25/TRANSPOSE(Dists!$B11:$X11))))</f>
        <v>3.22827876064184</v>
      </c>
      <c r="CL12" s="7" t="s">
        <v>322</v>
      </c>
    </row>
    <row r="13" customFormat="false" ht="12.8" hidden="false" customHeight="false" outlineLevel="0" collapsed="false">
      <c r="A13" s="4" t="s">
        <v>145</v>
      </c>
      <c r="B13" s="7" t="s">
        <v>39</v>
      </c>
      <c r="C13" s="4" t="n">
        <f aca="false" t="array" ref="C13:C13">SUM(Capacity!S13*Demand!C13*Capacity!$DH$3:$DH$25/(TRANSPOSE(Dists!$B12:$X12)*SUM(Capacity!$DH$3:$DH$25/TRANSPOSE(Dists!$B12:$X12))))</f>
        <v>0.0141914912589172</v>
      </c>
      <c r="D13" s="4" t="n">
        <f aca="false" t="array" ref="D13:D13">SUM(Capacity!V13*Demand!D13*Capacity!$DH$3:$DH$25/(TRANSPOSE(Dists!$B12:$X12)*SUM(Capacity!$DH$3:$DH$25/TRANSPOSE(Dists!$B12:$X12))))</f>
        <v>1545.25129598202</v>
      </c>
      <c r="E13" s="4" t="n">
        <f aca="false" t="array" ref="E13:E13">SUM(Capacity!Y13*Demand!E13*Capacity!$DH$3:$DH$25/(TRANSPOSE(Dists!$B12:$X12)*SUM(Capacity!$DH$3:$DH$25/TRANSPOSE(Dists!$B12:$X12))))</f>
        <v>263.517990002039</v>
      </c>
      <c r="F13" s="4" t="n">
        <f aca="false">$E13*Capacity!$M13/(2*(1-Capacity!$H$28)*Capacity!$H13)</f>
        <v>96.5054182346341</v>
      </c>
      <c r="G13" s="4" t="n">
        <f aca="false" t="array" ref="G13:G13">SUM(Capacity!AA13*Demand!G13*Capacity!$DH$3:$DH$25/(TRANSPOSE(Dists!$B12:$X12)*SUM(Capacity!$DH$3:$DH$25/TRANSPOSE(Dists!$B12:$X12))))</f>
        <v>356.764780671036</v>
      </c>
      <c r="H13" s="4" t="n">
        <f aca="false" t="array" ref="H13:H13">SUM(Capacity!AB13*Demand!H13*Capacity!$DH$3:$DH$25/(TRANSPOSE(Dists!$B12:$X12)*SUM(Capacity!$DH$3:$DH$25/TRANSPOSE(Dists!$B12:$X12))))</f>
        <v>0</v>
      </c>
      <c r="I13" s="4" t="n">
        <f aca="false" t="array" ref="I13:I13">SUM(Capacity!AC13*Demand!I$3:I$25*Capacity!$DG$3:$DG$25/(TRANSPOSE(Dists!$B12:$X12)*SUM(Capacity!$DG$3:$DG$25/TRANSPOSE(Dists!$B12:$X12))))</f>
        <v>3.14083169423528</v>
      </c>
      <c r="J13" s="4" t="n">
        <f aca="false" t="array" ref="J13:J13">SUM(Capacity!AD13*Demand!J$3:J$25*Capacity!$DG$3:$DG$25/(TRANSPOSE(Dists!$B12:$X12)*SUM(Capacity!$DG$3:$DG$25/TRANSPOSE(Dists!$B12:$X12))))</f>
        <v>3.23098754076472</v>
      </c>
      <c r="K13" s="4" t="n">
        <f aca="false">5479.45205479452*$R13</f>
        <v>517527.971157345</v>
      </c>
      <c r="L13" s="4" t="n">
        <f aca="false">17142.8571428571*$S13</f>
        <v>220954.366432873</v>
      </c>
      <c r="M13" s="4" t="n">
        <f aca="false">IF(50420.1680672269*$T13&gt;($K13/20),50420.1680672269*$T13-($K13/20),0)</f>
        <v>337336.258592062</v>
      </c>
      <c r="N13" s="4" t="n">
        <f aca="false" t="array" ref="N13:N13">SUM(Capacity!AH13*Demand!N13*Capacity!$DH$3:$DH$25/(TRANSPOSE(Dists!$B12:$X12)*SUM(Capacity!$DH$3:$DH$25/TRANSPOSE(Dists!$B12:$X12))))</f>
        <v>281.303157564389</v>
      </c>
      <c r="O13" s="4" t="n">
        <f aca="false">D41*DemClcs!$A$31*DemClcs!$A$32</f>
        <v>1163.54429082269</v>
      </c>
      <c r="P13" s="4" t="n">
        <f aca="false">O13*DemClcs!$A$29*DemClcs!$A$30</f>
        <v>465.417716329077</v>
      </c>
      <c r="Q13" s="4" t="n">
        <f aca="false" t="array" ref="Q13:Q13">SUM(Capacity!AK13*Demand!Q13*Capacity!$DI$3:$DI$25/(TRANSPOSE(Dists!$B12:$X12)*SUM(Capacity!$DI$3:$DI$25/TRANSPOSE(Dists!$B12:$X12))))</f>
        <v>10.1011835473429</v>
      </c>
      <c r="R13" s="4" t="n">
        <f aca="false" t="array" ref="R13:R13">SUM(Capacity!AL13*Demand!R13*Capacity!$DH$3:$DH$25/(TRANSPOSE(Dists!$B12:$X12)*SUM(Capacity!$DH$3:$DH$25/TRANSPOSE(Dists!$B12:$X12))))</f>
        <v>94.4488547362154</v>
      </c>
      <c r="S13" s="4" t="n">
        <f aca="false">SUM($BG41,$BI41,$BK41)*Capacity!AM13/SUM(Capacity!$AM13:$AN13,Capacity!$CX13)</f>
        <v>12.8890047085843</v>
      </c>
      <c r="T13" s="4" t="n">
        <f aca="false">SUM($BG41,$BI41,$BK41)*Capacity!AN13/SUM(Capacity!$AM13:$AN13,Capacity!$CX13)</f>
        <v>7.20371770014027</v>
      </c>
      <c r="U13" s="4" t="n">
        <f aca="false">$M13*120*2/(16*1000*2000)</f>
        <v>2.53002193944047</v>
      </c>
      <c r="V13" s="4" t="n">
        <f aca="false" t="array" ref="V13:V13">SUM(Capacity!AP13*Demand!V$3:V$25*Capacity!$DH$3:$DH$25/(TRANSPOSE(Dists!$B12:$X12)*SUM(Capacity!$DH$3:$DH$25/TRANSPOSE(Dists!$B12:$X12))))</f>
        <v>69.1304681686826</v>
      </c>
      <c r="W13" s="4" t="n">
        <f aca="false" t="array" ref="W13:W13">SUM(Capacity!AQ13*Demand!W$3:W$25*Capacity!$DH$3:$DH$25/(TRANSPOSE(Dists!$B12:$X12)*SUM(Capacity!$DH$3:$DH$25/TRANSPOSE(Dists!$B12:$X12))))</f>
        <v>296.647627937783</v>
      </c>
      <c r="X13" s="4" t="n">
        <f aca="false" t="array" ref="X13:X13">SUM(Capacity!AR13*Demand!X$3:X$25*Capacity!$DH$3:$DH$25/(TRANSPOSE(Dists!$B12:$X12)*SUM(Capacity!$DH$3:$DH$25/TRANSPOSE(Dists!$B12:$X12))))</f>
        <v>658.001857977309</v>
      </c>
      <c r="Y13" s="4" t="n">
        <f aca="false">$L13*600*6/(90*1000*2000)</f>
        <v>4.41908732865747</v>
      </c>
      <c r="Z13" s="4" t="n">
        <f aca="false" t="array" ref="Z13:Z13">SUM(Capacity!AT13*Demand!Z$3:Z$25*Capacity!$DI$3:$DI$25/(TRANSPOSE(Dists!$B12:$X12)*SUM(Capacity!$DI$3:$DI$25/TRANSPOSE(Dists!$B12:$X12))))</f>
        <v>25.8111254813674</v>
      </c>
      <c r="AA13" s="4" t="n">
        <f aca="false" t="array" ref="AA13:AA13">SUM(Capacity!AU13*Demand!AA$3:AA$25*Capacity!$DI$3:$DI$25/(TRANSPOSE(Dists!$B12:$X12)*SUM(Capacity!$DI$3:$DI$25/TRANSPOSE(Dists!$B12:$X12))))</f>
        <v>13.1303721109355</v>
      </c>
      <c r="AB13" s="4" t="n">
        <f aca="false" t="array" ref="AB13:AB13">SUM(Capacity!AV13*Demand!AB$3:AB$25*Capacity!$DI$3:$DI$25/(TRANSPOSE(Dists!$B12:$X12)*SUM(Capacity!$DI$3:$DI$25/TRANSPOSE(Dists!$B12:$X12))))</f>
        <v>14.8828610735209</v>
      </c>
      <c r="AC13" s="4" t="n">
        <f aca="false" t="array" ref="AC13:AC13">SUM(Capacity!AW13*Demand!AC$3:AC$25*Capacity!$DI$3:$DI$25/(TRANSPOSE(Dists!$B12:$X12)*SUM(Capacity!$DI$3:$DI$25/TRANSPOSE(Dists!$B12:$X12))))</f>
        <v>2.66217724887754</v>
      </c>
      <c r="AD13" s="4" t="n">
        <f aca="false" t="array" ref="AD13:AD13">SUM(Capacity!AX13*Demand!AD$3:AD$25*Capacity!$DI$3:$DI$25/(TRANSPOSE(Dists!$B12:$X12)*SUM(Capacity!$DI$3:$DI$25/TRANSPOSE(Dists!$B12:$X12))))</f>
        <v>2.43648303851812</v>
      </c>
      <c r="AE13" s="4" t="n">
        <f aca="false" t="array" ref="AE13:AE13">SUM(Capacity!AY13*Demand!AE$3:AE$25*Capacity!$DI$3:$DI$25/(TRANSPOSE(Dists!$B12:$X12)*SUM(Capacity!$DI$3:$DI$25/TRANSPOSE(Dists!$B12:$X12))))</f>
        <v>1.80308816986267</v>
      </c>
      <c r="AF13" s="4" t="n">
        <f aca="false" t="array" ref="AF13:AF13">SUM(Capacity!AZ13*Demand!AF$3:AF$25*Capacity!$DI$3:$DI$25/(TRANSPOSE(Dists!$B12:$X12)*SUM(Capacity!$DI$3:$DI$25/TRANSPOSE(Dists!$B12:$X12))))</f>
        <v>0.413475304537984</v>
      </c>
      <c r="AG13" s="4" t="n">
        <f aca="false" t="array" ref="AG13:AG13">SUM(Capacity!BA13*Demand!AG$3:AG$25*Capacity!$DI$3:$DI$25/(TRANSPOSE(Dists!$B12:$X12)*SUM(Capacity!$DI$3:$DI$25/TRANSPOSE(Dists!$B12:$X12))))</f>
        <v>1.41659705492067</v>
      </c>
      <c r="AH13" s="4" t="n">
        <f aca="false" t="array" ref="AH13:AH13">SUM(Capacity!BB13*Demand!AH$3:AH$25*Capacity!$DI$3:$DI$25/(TRANSPOSE(Dists!$B12:$X12)*SUM(Capacity!$DI$3:$DI$25/TRANSPOSE(Dists!$B12:$X12))))</f>
        <v>1.39493053998687</v>
      </c>
      <c r="AI13" s="4" t="n">
        <f aca="false" t="array" ref="AI13:AI13">SUM(Capacity!BC13*Demand!AI$3:AI$25*Capacity!$DI$3:$DI$25/(TRANSPOSE(Dists!$B12:$X12)*SUM(Capacity!$DI$3:$DI$25/TRANSPOSE(Dists!$B12:$X12))))</f>
        <v>0.185875409560665</v>
      </c>
      <c r="AJ13" s="4" t="n">
        <f aca="false" t="array" ref="AJ13:AJ13">SUM(Capacity!BD13*Demand!AJ$3:AJ$25*Capacity!$DI$3:$DI$25/(TRANSPOSE(Dists!$B12:$X12)*SUM(Capacity!$DI$3:$DI$25/TRANSPOSE(Dists!$B12:$X12))))</f>
        <v>0.606509986684635</v>
      </c>
      <c r="AK13" s="4" t="n">
        <f aca="false" t="array" ref="AK13:AK13">SUM(Capacity!BE13*Demand!AK$3:AK$25*Capacity!$DI$3:$DI$25/(TRANSPOSE(Dists!$B12:$X12)*SUM(Capacity!$DI$3:$DI$25/TRANSPOSE(Dists!$B12:$X12))))</f>
        <v>0.392765691255099</v>
      </c>
      <c r="AL13" s="4" t="n">
        <f aca="false" t="array" ref="AL13:AL13">SUM(Capacity!BF13*Demand!AL$3:AL$25*Capacity!$DI$3:$DI$25/(TRANSPOSE(Dists!$B12:$X12)*SUM(Capacity!$DI$3:$DI$25/TRANSPOSE(Dists!$B12:$X12))))</f>
        <v>0.246350181106489</v>
      </c>
      <c r="AM13" s="4" t="n">
        <f aca="false" t="array" ref="AM13:AM13">SUM(Capacity!BG13*Demand!AM$3:AM$25*Capacity!$DI$3:$DI$25/(TRANSPOSE(Dists!$B12:$X12)*SUM(Capacity!$DI$3:$DI$25/TRANSPOSE(Dists!$B12:$X12))))</f>
        <v>0.657046315313508</v>
      </c>
      <c r="AN13" s="4" t="n">
        <f aca="false" t="array" ref="AN13:AN13">SUM(Capacity!BH13*Demand!AN$3:AN$25*Capacity!$DI$3:$DI$25/(TRANSPOSE(Dists!$B12:$X12)*SUM(Capacity!$DI$3:$DI$25/TRANSPOSE(Dists!$B12:$X12))))</f>
        <v>0.386543776362556</v>
      </c>
      <c r="AO13" s="4" t="n">
        <f aca="false" t="array" ref="AO13:AO13">SUM(Capacity!BI13*Demand!AO$3:AO$25*Capacity!$DI$3:$DI$25/(TRANSPOSE(Dists!$B12:$X12)*SUM(Capacity!$DI$3:$DI$25/TRANSPOSE(Dists!$B12:$X12))))</f>
        <v>1.09926848235215</v>
      </c>
      <c r="AP13" s="4" t="n">
        <f aca="false" t="array" ref="AP13:AP13">SUM(Capacity!BJ13*Demand!AP$3:AP$25*Capacity!$DI$3:$DI$25/(TRANSPOSE(Dists!$B12:$X12)*SUM(Capacity!$DI$3:$DI$25/TRANSPOSE(Dists!$B12:$X12))))</f>
        <v>0.558179696017811</v>
      </c>
      <c r="AQ13" s="4" t="n">
        <f aca="false" t="array" ref="AQ13:AQ13">SUM(Capacity!BK13*Demand!AQ$3:AQ$25*Capacity!$DI$3:$DI$25/(TRANSPOSE(Dists!$B12:$X12)*SUM(Capacity!$DI$3:$DI$25/TRANSPOSE(Dists!$B12:$X12))))</f>
        <v>0.0464710459106156</v>
      </c>
      <c r="AR13" s="4" t="n">
        <f aca="false" t="array" ref="AR13:AR13">SUM(Capacity!BL13*Demand!AR$3:AR$25*Capacity!$DI$3:$DI$25/(TRANSPOSE(Dists!$B12:$X12)*SUM(Capacity!$DI$3:$DI$25/TRANSPOSE(Dists!$B12:$X12))))</f>
        <v>0.0817990626112309</v>
      </c>
      <c r="AS13" s="4" t="n">
        <f aca="false" t="array" ref="AS13:AS13">SUM(Capacity!BM13*Demand!AS$3:AS$25*Capacity!$DI$3:$DI$25/(TRANSPOSE(Dists!$B12:$X12)*SUM(Capacity!$DI$3:$DI$25/TRANSPOSE(Dists!$B12:$X12))))</f>
        <v>0.188050884142576</v>
      </c>
      <c r="AT13" s="4" t="n">
        <f aca="false" t="array" ref="AT13:AT13">SUM(Capacity!BN13*Demand!AT$3:AT$25*Capacity!$DI$3:$DI$25/(TRANSPOSE(Dists!$B12:$X12)*SUM(Capacity!$DI$3:$DI$25/TRANSPOSE(Dists!$B12:$X12))))</f>
        <v>2.02090265857605</v>
      </c>
      <c r="AU13" s="4" t="n">
        <f aca="false" t="array" ref="AU13:AU13">SUM(Capacity!BO13*Demand!AU$3:AU$25*Capacity!$DI$3:$DI$25/(TRANSPOSE(Dists!$B12:$X12)*SUM(Capacity!$DI$3:$DI$25/TRANSPOSE(Dists!$B12:$X12))))</f>
        <v>1.1358360344451</v>
      </c>
      <c r="AV13" s="4" t="n">
        <f aca="false" t="array" ref="AV13:AV13">SUM(Capacity!BP13*Demand!AV$3:AV$25*Capacity!$DI$3:$DI$25/(TRANSPOSE(Dists!$B12:$X12)*SUM(Capacity!$DI$3:$DI$25/TRANSPOSE(Dists!$B12:$X12))))</f>
        <v>0.0722529597891966</v>
      </c>
      <c r="AW13" s="4" t="n">
        <f aca="false" t="array" ref="AW13:AW13">SUM(Capacity!BQ13*Demand!AW$3:AW$25*Capacity!$DI$3:$DI$25/(TRANSPOSE(Dists!$B12:$X12)*SUM(Capacity!$DI$3:$DI$25/TRANSPOSE(Dists!$B12:$X12))))</f>
        <v>1.45905788033851</v>
      </c>
      <c r="AX13" s="4" t="n">
        <f aca="false" t="array" ref="AX13:AX13">SUM(Capacity!BR13*Demand!AX$3:AX$25*Capacity!$DI$3:$DI$25/(TRANSPOSE(Dists!$B12:$X12)*SUM(Capacity!$DI$3:$DI$25/TRANSPOSE(Dists!$B12:$X12))))</f>
        <v>0.142260890314767</v>
      </c>
      <c r="AY13" s="4" t="n">
        <f aca="false" t="array" ref="AY13:AY13">SUM(Capacity!BS13*Demand!AY$3:AY$25*Capacity!$DI$3:$DI$25/(TRANSPOSE(Dists!$B12:$X12)*SUM(Capacity!$DI$3:$DI$25/TRANSPOSE(Dists!$B12:$X12))))</f>
        <v>0.178801599542618</v>
      </c>
      <c r="AZ13" s="4" t="n">
        <f aca="false" t="array" ref="AZ13:AZ13">SUM(Capacity!BT13*Demand!AZ$3:AZ$25*Capacity!$DI$3:$DI$25/(TRANSPOSE(Dists!$B12:$X12)*SUM(Capacity!$DI$3:$DI$25/TRANSPOSE(Dists!$B12:$X12))))</f>
        <v>1.20980531107139</v>
      </c>
      <c r="BA13" s="4" t="n">
        <f aca="false">L13*25/(2000*1000*51)</f>
        <v>0.0541554819688415</v>
      </c>
      <c r="BB13" s="4" t="n">
        <f aca="false" t="array" ref="BB13:BB13">SUM(Capacity!BV13*Demand!BB$3:BB$25*Capacity!$DI$3:$DI$25/(TRANSPOSE(Dists!$B12:$X12)*SUM(Capacity!$DI$3:$DI$25/TRANSPOSE(Dists!$B12:$X12))))</f>
        <v>0.198658089155938</v>
      </c>
      <c r="BC13" s="4" t="n">
        <f aca="false" t="array" ref="BC13:BC13">SUM(Capacity!BW13*Demand!BC$3:BC$25*Capacity!$DI$3:$DI$25/(TRANSPOSE(Dists!$B12:$X12)*SUM(Capacity!$DI$3:$DI$25/TRANSPOSE(Dists!$B12:$X12))))</f>
        <v>0.128659058881758</v>
      </c>
      <c r="BD13" s="4" t="n">
        <f aca="false" t="array" ref="BD13:BD13">SUM(Capacity!BX13*Demand!BD$3:BD$25*Capacity!$DI$3:$DI$25/(TRANSPOSE(Dists!$B12:$X12)*SUM(Capacity!$DI$3:$DI$25/TRANSPOSE(Dists!$B12:$X12))))</f>
        <v>0.0856109436354019</v>
      </c>
      <c r="BE13" s="4" t="n">
        <f aca="false" t="array" ref="BE13:BE13">SUM(Capacity!BY13*Demand!BE$3:BE$25*Capacity!$DI$3:$DI$25/(TRANSPOSE(Dists!$B12:$X12)*SUM(Capacity!$DI$3:$DI$25/TRANSPOSE(Dists!$B12:$X12))))</f>
        <v>0.0476192217999939</v>
      </c>
      <c r="BF13" s="4" t="n">
        <f aca="false" t="array" ref="BF13:BF13">SUM(Capacity!BZ13*Demand!BF$3:BF$25*Capacity!$DI$3:$DI$25/(TRANSPOSE(Dists!$B12:$X12)*SUM(Capacity!$DI$3:$DI$25/TRANSPOSE(Dists!$B12:$X12))))</f>
        <v>3.90764427527012</v>
      </c>
      <c r="BG13" s="4" t="n">
        <f aca="false" t="array" ref="BG13:BG13">SUM(Capacity!CA13*Demand!BG$3:BG$25*Capacity!$DI$3:$DI$25/(TRANSPOSE(Dists!$B12:$X12)*SUM(Capacity!$DI$3:$DI$25/TRANSPOSE(Dists!$B12:$X12))))</f>
        <v>12.7356221217102</v>
      </c>
      <c r="BH13" s="4" t="n">
        <f aca="false" t="array" ref="BH13:BH13">SUM(Capacity!CB13*Demand!BH$3:BH$25*Capacity!$DI$3:$DI$25/(TRANSPOSE(Dists!$B12:$X12)*SUM(Capacity!$DI$3:$DI$25/TRANSPOSE(Dists!$B12:$X12))))</f>
        <v>24.456622638109</v>
      </c>
      <c r="BI13" s="4" t="n">
        <f aca="false" t="array" ref="BI13:BI13">SUM(Capacity!CC13*Demand!BI13*Capacity!$DI$3:$DI$25/(TRANSPOSE(Dists!$B12:$X12)*SUM(Capacity!$DI$3:$DI$25/TRANSPOSE(Dists!$B12:$X12))))</f>
        <v>39.0613225600682</v>
      </c>
      <c r="BJ13" s="4" t="n">
        <f aca="false" t="array" ref="BJ13:BJ13">SUM(Capacity!CD13*Demand!BJ13*Capacity!$DI$3:$DI$25/(TRANSPOSE(Dists!$B12:$X12)*SUM(Capacity!$DI$3:$DI$25/TRANSPOSE(Dists!$B12:$X12))))</f>
        <v>298.180137357609</v>
      </c>
      <c r="BK13" s="4" t="n">
        <f aca="false" t="array" ref="BK13:BK13">SUM(Capacity!CE13*Demand!BK13*Capacity!$DI$3:$DI$25/(TRANSPOSE(Dists!$B12:$X12)*SUM(Capacity!$DI$3:$DI$25/TRANSPOSE(Dists!$B12:$X12))))</f>
        <v>19.5306612800341</v>
      </c>
      <c r="BL13" s="4" t="n">
        <f aca="false" t="array" ref="BL13:BL13">SUM(Capacity!CF13*Demand!BL13*Capacity!$DI$3:$DI$25/(TRANSPOSE(Dists!$B12:$X12)*SUM(Capacity!$DI$3:$DI$25/TRANSPOSE(Dists!$B12:$X12))))</f>
        <v>426.838668680974</v>
      </c>
      <c r="BM13" s="4" t="n">
        <f aca="false" t="array" ref="BM13:BM13">SUM(Capacity!CG13*Demand!BM13*Capacity!$DI$3:$DI$25/(TRANSPOSE(Dists!$B12:$X12)*SUM(Capacity!$DI$3:$DI$25/TRANSPOSE(Dists!$B12:$X12))))</f>
        <v>41.1780352967776</v>
      </c>
      <c r="BN13" s="4" t="n">
        <f aca="false">MAX($BO13/0.006,$BP13/0.7,$BR13/0.002,$BS13/0.001)</f>
        <v>0.000460071780721392</v>
      </c>
      <c r="BO13" s="4" t="n">
        <f aca="false" t="array" ref="BO13:BO13">SUM(Capacity!CI13*Demand!BO13*Capacity!$DI$3:$DI$25/(TRANSPOSE(Dists!$B12:$X12)*SUM(Capacity!$DI$3:$DI$25/TRANSPOSE(Dists!$B12:$X12))))</f>
        <v>2.76043068432835E-006</v>
      </c>
      <c r="BP13" s="4" t="n">
        <f aca="false" t="array" ref="BP13:BP13">SUM(Capacity!CJ13*Demand!BP13*Capacity!$DI$3:$DI$25/(TRANSPOSE(Dists!$B12:$X12)*SUM(Capacity!$DI$3:$DI$25/TRANSPOSE(Dists!$B12:$X12))))</f>
        <v>2.91622423301174E-008</v>
      </c>
      <c r="BQ13" s="4" t="n">
        <f aca="false" t="array" ref="BQ13:BQ13">SUM(Capacity!CK13*Demand!BQ13*Capacity!$DI$3:$DI$25/(TRANSPOSE(Dists!$B12:$X12)*SUM(Capacity!$DI$3:$DI$25/TRANSPOSE(Dists!$B12:$X12))))</f>
        <v>0</v>
      </c>
      <c r="BR13" s="4" t="n">
        <f aca="false" t="array" ref="BR13:BR13">SUM(Capacity!CL13*Demand!BR13*Capacity!$DI$3:$DI$25/(TRANSPOSE(Dists!$B12:$X12)*SUM(Capacity!$DI$3:$DI$25/TRANSPOSE(Dists!$B12:$X12))))</f>
        <v>2.76043068432835E-007</v>
      </c>
      <c r="BS13" s="4" t="n">
        <f aca="false" t="array" ref="BS13:BS13">SUM(Capacity!CM13*Demand!BS13*Capacity!$DI$3:$DI$25/(TRANSPOSE(Dists!$B12:$X12)*SUM(Capacity!$DI$3:$DI$25/TRANSPOSE(Dists!$B12:$X12))))</f>
        <v>5.52085766352841E-008</v>
      </c>
      <c r="BT13" s="4" t="n">
        <f aca="false" t="array" ref="BT13:BT13">SUM(Capacity!CN13*Demand!BT13*Capacity!$DI$3:$DI$25/(TRANSPOSE(Dists!$B12:$X12)*SUM(Capacity!$DI$3:$DI$25/TRANSPOSE(Dists!$B12:$X12))))</f>
        <v>3.27334832670219</v>
      </c>
      <c r="BU13" s="4" t="n">
        <f aca="false" t="array" ref="BU13:BU13">SUM(Capacity!CO13*Demand!BU13*Capacity!$DI$3:$DI$25/(TRANSPOSE(Dists!$B12:$X12)*SUM(Capacity!$DI$3:$DI$25/TRANSPOSE(Dists!$B12:$X12))))</f>
        <v>0.327334832670219</v>
      </c>
      <c r="BV13" s="4" t="n">
        <f aca="false" t="array" ref="BV13:BV13">SUM(Capacity!CP13*Demand!BV13*Capacity!$DI$3:$DI$25/(TRANSPOSE(Dists!$B12:$X12)*SUM(Capacity!$DI$3:$DI$25/TRANSPOSE(Dists!$B12:$X12))))</f>
        <v>0.0327334832670218</v>
      </c>
      <c r="BW13" s="4" t="n">
        <f aca="false">E41*DemClcs!$A$40*DemClcs!$A$41*8.34/(DemClcs!$A$38)</f>
        <v>1393.6174205755</v>
      </c>
      <c r="BX13" s="4" t="n">
        <f aca="false" t="array" ref="BX13:BX13">SUM(Capacity!CR13*Demand!BX13*Capacity!$DI$3:$DI$25/(TRANSPOSE(Dists!$B12:$X12)*SUM(Capacity!$DI$3:$DI$25/TRANSPOSE(Dists!$B12:$X12))))</f>
        <v>0.617733431304691</v>
      </c>
      <c r="BY13" s="4" t="n">
        <f aca="false" t="array" ref="BY13:BY13">SUM(Capacity!CS13*Demand!BY13*Capacity!$DI$3:$DI$25/(TRANSPOSE(Dists!$B12:$X12)*SUM(Capacity!$DI$3:$DI$25/TRANSPOSE(Dists!$B12:$X12))))</f>
        <v>39.0481522239764</v>
      </c>
      <c r="BZ13" s="4" t="n">
        <f aca="false" t="array" ref="BZ13:BZ13">SUM(Capacity!CT13*Demand!BZ13*Capacity!$DI$3:$DI$25/(TRANSPOSE(Dists!$B12:$X12)*SUM(Capacity!$DI$3:$DI$25/TRANSPOSE(Dists!$B12:$X12))))</f>
        <v>0.215581092348028</v>
      </c>
      <c r="CA13" s="4" t="n">
        <f aca="false" t="array" ref="CA13:CA13">SUM(Capacity!CU13*Demand!CA13*Capacity!$DI$3:$DI$25/(TRANSPOSE(Dists!$B12:$X12)*SUM(Capacity!$DI$3:$DI$25/TRANSPOSE(Dists!$B12:$X12))))</f>
        <v>0.0909872235357906</v>
      </c>
      <c r="CB13" s="4" t="n">
        <f aca="false" t="array" ref="CB13:CB13">SUM(Capacity!CV13*Demand!CB13*Capacity!$DI$3:$DI$25/(TRANSPOSE(Dists!$B12:$X12)*SUM(Capacity!$DI$3:$DI$25/TRANSPOSE(Dists!$B12:$X12))))</f>
        <v>397.589782484357</v>
      </c>
      <c r="CC13" s="4" t="n">
        <f aca="false" t="array" ref="CC13:CC13">SUM(Capacity!CW13*Demand!CC13*Capacity!$DI$3:$DI$25/(TRANSPOSE(Dists!$B12:$X12)*SUM(Capacity!$DI$3:$DI$25/TRANSPOSE(Dists!$B12:$X12))))</f>
        <v>633.550078384143</v>
      </c>
      <c r="CD13" s="4" t="n">
        <f aca="false">SUM($BG41,$BI41,$BK41)*Capacity!CX13/SUM(Capacity!$AM13:$AN13,Capacity!$CX13)</f>
        <v>63.8304746486709</v>
      </c>
      <c r="CE13" s="4" t="n">
        <f aca="false" t="array" ref="CE13:CE13">SUM(Capacity!CY13*Demand!CE13*Capacity!$DI$3:$DI$25/(TRANSPOSE(Dists!$B12:$X12)*SUM(Capacity!$DI$3:$DI$25/TRANSPOSE(Dists!$B12:$X12))))</f>
        <v>4.48194992961226</v>
      </c>
      <c r="CF13" s="4" t="n">
        <f aca="false" t="array" ref="CF13:CF13">SUM(Capacity!CZ13*Demand!CF13*Capacity!$DI$3:$DI$25/(TRANSPOSE(Dists!$B12:$X12)*SUM(Capacity!$DI$3:$DI$25/TRANSPOSE(Dists!$B12:$X12))))</f>
        <v>529.969412809629</v>
      </c>
      <c r="CG13" s="4" t="n">
        <f aca="false" t="array" ref="CG13:CG13">SUM(Capacity!DA13*Demand!CG13*Capacity!$DI$3:$DI$25/(TRANSPOSE(Dists!$B12:$X12)*SUM(Capacity!$DI$3:$DI$25/TRANSPOSE(Dists!$B12:$X12))))</f>
        <v>5.94622056067702E-005</v>
      </c>
      <c r="CH13" s="4" t="n">
        <f aca="false" t="array" ref="CH13:CH13">SUM(Capacity!DB13*Demand!CH13*Capacity!$DI$3:$DI$25/(TRANSPOSE(Dists!$B12:$X12)*SUM(Capacity!$DI$3:$DI$25/TRANSPOSE(Dists!$B12:$X12))))</f>
        <v>6.43229143698459E-005</v>
      </c>
      <c r="CI13" s="4" t="n">
        <f aca="false" t="array" ref="CI13:CI13">SUM(Capacity!DC13*Demand!CI13*Capacity!$DI$3:$DI$25/(TRANSPOSE(Dists!$B12:$X12)*SUM(Capacity!$DI$3:$DI$25/TRANSPOSE(Dists!$B12:$X12))))</f>
        <v>0.142937575904344</v>
      </c>
      <c r="CJ13" s="4" t="n">
        <f aca="false" t="array" ref="CJ13:CJ13">SUM(Capacity!DD13*Demand!CJ13*Capacity!$DI$3:$DI$25/(TRANSPOSE(Dists!$B12:$X12)*SUM(Capacity!$DI$3:$DI$25/TRANSPOSE(Dists!$B12:$X12))))</f>
        <v>0.0577588915733893</v>
      </c>
      <c r="CK13" s="4" t="n">
        <f aca="false" t="array" ref="CK13:CK13">SUM(Capacity!DE13*Demand!CK13*Capacity!$DI$3:$DI$25/(TRANSPOSE(Dists!$B12:$X12)*SUM(Capacity!$DI$3:$DI$25/TRANSPOSE(Dists!$B12:$X12))))</f>
        <v>3.81956376752494</v>
      </c>
      <c r="CL13" s="7" t="s">
        <v>322</v>
      </c>
    </row>
    <row r="14" customFormat="false" ht="12.8" hidden="false" customHeight="false" outlineLevel="0" collapsed="false">
      <c r="A14" s="4" t="s">
        <v>147</v>
      </c>
      <c r="B14" s="7" t="s">
        <v>39</v>
      </c>
      <c r="C14" s="4" t="n">
        <f aca="false" t="array" ref="C14:C14">SUM(Capacity!S14*Demand!C14*Capacity!$DH$3:$DH$25/(TRANSPOSE(Dists!$B13:$X13)*SUM(Capacity!$DH$3:$DH$25/TRANSPOSE(Dists!$B13:$X13))))</f>
        <v>0.00749506678505625</v>
      </c>
      <c r="D14" s="4" t="n">
        <f aca="false" t="array" ref="D14:D14">SUM(Capacity!V14*Demand!D14*Capacity!$DH$3:$DH$25/(TRANSPOSE(Dists!$B13:$X13)*SUM(Capacity!$DH$3:$DH$25/TRANSPOSE(Dists!$B13:$X13))))</f>
        <v>735.551204523209</v>
      </c>
      <c r="E14" s="4" t="n">
        <f aca="false" t="array" ref="E14:E14">SUM(Capacity!Y14*Demand!E14*Capacity!$DH$3:$DH$25/(TRANSPOSE(Dists!$B13:$X13)*SUM(Capacity!$DH$3:$DH$25/TRANSPOSE(Dists!$B13:$X13))))</f>
        <v>138.150369376432</v>
      </c>
      <c r="F14" s="4" t="n">
        <f aca="false">$E14*Capacity!$M14/(2*(1-Capacity!$H$28)*Capacity!$H14)</f>
        <v>50.5933548439656</v>
      </c>
      <c r="G14" s="4" t="n">
        <f aca="false" t="array" ref="G14:G14">SUM(Capacity!AA14*Demand!G14*Capacity!$DH$3:$DH$25/(TRANSPOSE(Dists!$B13:$X13)*SUM(Capacity!$DH$3:$DH$25/TRANSPOSE(Dists!$B13:$X13))))</f>
        <v>120.635717393221</v>
      </c>
      <c r="H14" s="4" t="n">
        <f aca="false" t="array" ref="H14:H14">SUM(Capacity!AB14*Demand!H14*Capacity!$DH$3:$DH$25/(TRANSPOSE(Dists!$B13:$X13)*SUM(Capacity!$DH$3:$DH$25/TRANSPOSE(Dists!$B13:$X13))))</f>
        <v>0</v>
      </c>
      <c r="I14" s="4" t="n">
        <f aca="false" t="array" ref="I14:I14">SUM(Capacity!AC14*Demand!I$3:I$25*Capacity!$DG$3:$DG$25/(TRANSPOSE(Dists!$B13:$X13)*SUM(Capacity!$DG$3:$DG$25/TRANSPOSE(Dists!$B13:$X13))))</f>
        <v>2.82294395862029</v>
      </c>
      <c r="J14" s="4" t="n">
        <f aca="false" t="array" ref="J14:J14">SUM(Capacity!AD14*Demand!J$3:J$25*Capacity!$DG$3:$DG$25/(TRANSPOSE(Dists!$B13:$X13)*SUM(Capacity!$DG$3:$DG$25/TRANSPOSE(Dists!$B13:$X13))))</f>
        <v>2.14406473637971</v>
      </c>
      <c r="K14" s="4" t="n">
        <f aca="false">5479.45205479452*$R14</f>
        <v>409519.917269902</v>
      </c>
      <c r="L14" s="4" t="n">
        <f aca="false">17142.8571428571*$S14</f>
        <v>165088.833929986</v>
      </c>
      <c r="M14" s="4" t="n">
        <f aca="false">IF(50420.1680672269*$T14&gt;($K14/20),50420.1680672269*$T14-($K14/20),0)</f>
        <v>250902.909226893</v>
      </c>
      <c r="N14" s="4" t="n">
        <f aca="false" t="array" ref="N14:N14">SUM(Capacity!AH14*Demand!N14*Capacity!$DH$3:$DH$25/(TRANSPOSE(Dists!$B13:$X13)*SUM(Capacity!$DH$3:$DH$25/TRANSPOSE(Dists!$B13:$X13))))</f>
        <v>100.359471325095</v>
      </c>
      <c r="O14" s="4" t="n">
        <f aca="false">D42*DemClcs!$A$31*DemClcs!$A$32</f>
        <v>899.923682710354</v>
      </c>
      <c r="P14" s="4" t="n">
        <f aca="false">O14*DemClcs!$A$29*DemClcs!$A$30</f>
        <v>359.969473084142</v>
      </c>
      <c r="Q14" s="4" t="n">
        <f aca="false" t="array" ref="Q14:Q14">SUM(Capacity!AK14*Demand!Q14*Capacity!$DI$3:$DI$25/(TRANSPOSE(Dists!$B13:$X13)*SUM(Capacity!$DI$3:$DI$25/TRANSPOSE(Dists!$B13:$X13))))</f>
        <v>5.60418436126107</v>
      </c>
      <c r="R14" s="4" t="n">
        <f aca="false" t="array" ref="R14:R14">SUM(Capacity!AL14*Demand!R14*Capacity!$DH$3:$DH$25/(TRANSPOSE(Dists!$B13:$X13)*SUM(Capacity!$DH$3:$DH$25/TRANSPOSE(Dists!$B13:$X13))))</f>
        <v>74.7373849017571</v>
      </c>
      <c r="S14" s="4" t="n">
        <f aca="false">SUM($BG42,$BI42,$BK42)*Capacity!AM14/SUM(Capacity!$AM14:$AN14,Capacity!$CX14)</f>
        <v>9.63018197924918</v>
      </c>
      <c r="T14" s="4" t="n">
        <f aca="false">SUM($BG42,$BI42,$BK42)*Capacity!AN14/SUM(Capacity!$AM14:$AN14,Capacity!$CX14)</f>
        <v>5.38234828429269</v>
      </c>
      <c r="U14" s="4" t="n">
        <f aca="false">$M14*120*2/(16*1000*2000)</f>
        <v>1.8817718192017</v>
      </c>
      <c r="V14" s="4" t="n">
        <f aca="false" t="array" ref="V14:V14">SUM(Capacity!AP14*Demand!V$3:V$25*Capacity!$DH$3:$DH$25/(TRANSPOSE(Dists!$B13:$X13)*SUM(Capacity!$DH$3:$DH$25/TRANSPOSE(Dists!$B13:$X13))))</f>
        <v>50.2896670812125</v>
      </c>
      <c r="W14" s="4" t="n">
        <f aca="false" t="array" ref="W14:W14">SUM(Capacity!AQ14*Demand!W$3:W$25*Capacity!$DH$3:$DH$25/(TRANSPOSE(Dists!$B13:$X13)*SUM(Capacity!$DH$3:$DH$25/TRANSPOSE(Dists!$B13:$X13))))</f>
        <v>160.455796446246</v>
      </c>
      <c r="X14" s="4" t="n">
        <f aca="false" t="array" ref="X14:X14">SUM(Capacity!AR14*Demand!X$3:X$25*Capacity!$DH$3:$DH$25/(TRANSPOSE(Dists!$B13:$X13)*SUM(Capacity!$DH$3:$DH$25/TRANSPOSE(Dists!$B13:$X13))))</f>
        <v>501.978466908227</v>
      </c>
      <c r="Y14" s="4" t="n">
        <f aca="false">$L14*600*6/(90*1000*2000)</f>
        <v>3.30177667859971</v>
      </c>
      <c r="Z14" s="4" t="n">
        <f aca="false" t="array" ref="Z14:Z14">SUM(Capacity!AT14*Demand!Z$3:Z$25*Capacity!$DI$3:$DI$25/(TRANSPOSE(Dists!$B13:$X13)*SUM(Capacity!$DI$3:$DI$25/TRANSPOSE(Dists!$B13:$X13))))</f>
        <v>21.6075278374182</v>
      </c>
      <c r="AA14" s="4" t="n">
        <f aca="false" t="array" ref="AA14:AA14">SUM(Capacity!AU14*Demand!AA$3:AA$25*Capacity!$DI$3:$DI$25/(TRANSPOSE(Dists!$B13:$X13)*SUM(Capacity!$DI$3:$DI$25/TRANSPOSE(Dists!$B13:$X13))))</f>
        <v>9.38341035584799</v>
      </c>
      <c r="AB14" s="4" t="n">
        <f aca="false" t="array" ref="AB14:AB14">SUM(Capacity!AV14*Demand!AB$3:AB$25*Capacity!$DI$3:$DI$25/(TRANSPOSE(Dists!$B13:$X13)*SUM(Capacity!$DI$3:$DI$25/TRANSPOSE(Dists!$B13:$X13))))</f>
        <v>10.5164901793664</v>
      </c>
      <c r="AC14" s="4" t="n">
        <f aca="false" t="array" ref="AC14:AC14">SUM(Capacity!AW14*Demand!AC$3:AC$25*Capacity!$DI$3:$DI$25/(TRANSPOSE(Dists!$B13:$X13)*SUM(Capacity!$DI$3:$DI$25/TRANSPOSE(Dists!$B13:$X13))))</f>
        <v>2.23310838908912</v>
      </c>
      <c r="AD14" s="4" t="n">
        <f aca="false" t="array" ref="AD14:AD14">SUM(Capacity!AX14*Demand!AD$3:AD$25*Capacity!$DI$3:$DI$25/(TRANSPOSE(Dists!$B13:$X13)*SUM(Capacity!$DI$3:$DI$25/TRANSPOSE(Dists!$B13:$X13))))</f>
        <v>1.72166156898128</v>
      </c>
      <c r="AE14" s="4" t="n">
        <f aca="false" t="array" ref="AE14:AE14">SUM(Capacity!AY14*Demand!AE$3:AE$25*Capacity!$DI$3:$DI$25/(TRANSPOSE(Dists!$B13:$X13)*SUM(Capacity!$DI$3:$DI$25/TRANSPOSE(Dists!$B13:$X13))))</f>
        <v>1.47335080819956</v>
      </c>
      <c r="AF14" s="4" t="n">
        <f aca="false" t="array" ref="AF14:AF14">SUM(Capacity!AZ14*Demand!AF$3:AF$25*Capacity!$DI$3:$DI$25/(TRANSPOSE(Dists!$B13:$X13)*SUM(Capacity!$DI$3:$DI$25/TRANSPOSE(Dists!$B13:$X13))))</f>
        <v>0.227786729273977</v>
      </c>
      <c r="AG14" s="4" t="n">
        <f aca="false" t="array" ref="AG14:AG14">SUM(Capacity!BA14*Demand!AG$3:AG$25*Capacity!$DI$3:$DI$25/(TRANSPOSE(Dists!$B13:$X13)*SUM(Capacity!$DI$3:$DI$25/TRANSPOSE(Dists!$B13:$X13))))</f>
        <v>1.249528540031</v>
      </c>
      <c r="AH14" s="4" t="n">
        <f aca="false" t="array" ref="AH14:AH14">SUM(Capacity!BB14*Demand!AH$3:AH$25*Capacity!$DI$3:$DI$25/(TRANSPOSE(Dists!$B13:$X13)*SUM(Capacity!$DI$3:$DI$25/TRANSPOSE(Dists!$B13:$X13))))</f>
        <v>0.971197947592397</v>
      </c>
      <c r="AI14" s="4" t="n">
        <f aca="false" t="array" ref="AI14:AI14">SUM(Capacity!BC14*Demand!AI$3:AI$25*Capacity!$DI$3:$DI$25/(TRANSPOSE(Dists!$B13:$X13)*SUM(Capacity!$DI$3:$DI$25/TRANSPOSE(Dists!$B13:$X13))))</f>
        <v>0.122830639487303</v>
      </c>
      <c r="AJ14" s="4" t="n">
        <f aca="false" t="array" ref="AJ14:AJ14">SUM(Capacity!BD14*Demand!AJ$3:AJ$25*Capacity!$DI$3:$DI$25/(TRANSPOSE(Dists!$B13:$X13)*SUM(Capacity!$DI$3:$DI$25/TRANSPOSE(Dists!$B13:$X13))))</f>
        <v>0.34315791935806</v>
      </c>
      <c r="AK14" s="4" t="n">
        <f aca="false" t="array" ref="AK14:AK14">SUM(Capacity!BE14*Demand!AK$3:AK$25*Capacity!$DI$3:$DI$25/(TRANSPOSE(Dists!$B13:$X13)*SUM(Capacity!$DI$3:$DI$25/TRANSPOSE(Dists!$B13:$X13))))</f>
        <v>0.23771628075755</v>
      </c>
      <c r="AL14" s="4" t="n">
        <f aca="false" t="array" ref="AL14:AL14">SUM(Capacity!BF14*Demand!AL$3:AL$25*Capacity!$DI$3:$DI$25/(TRANSPOSE(Dists!$B13:$X13)*SUM(Capacity!$DI$3:$DI$25/TRANSPOSE(Dists!$B13:$X13))))</f>
        <v>0.136955316444129</v>
      </c>
      <c r="AM14" s="4" t="n">
        <f aca="false" t="array" ref="AM14:AM14">SUM(Capacity!BG14*Demand!AM$3:AM$25*Capacity!$DI$3:$DI$25/(TRANSPOSE(Dists!$B13:$X13)*SUM(Capacity!$DI$3:$DI$25/TRANSPOSE(Dists!$B13:$X13))))</f>
        <v>0.389596915544076</v>
      </c>
      <c r="AN14" s="4" t="n">
        <f aca="false" t="array" ref="AN14:AN14">SUM(Capacity!BH14*Demand!AN$3:AN$25*Capacity!$DI$3:$DI$25/(TRANSPOSE(Dists!$B13:$X13)*SUM(Capacity!$DI$3:$DI$25/TRANSPOSE(Dists!$B13:$X13))))</f>
        <v>0.257625823801182</v>
      </c>
      <c r="AO14" s="4" t="n">
        <f aca="false" t="array" ref="AO14:AO14">SUM(Capacity!BI14*Demand!AO$3:AO$25*Capacity!$DI$3:$DI$25/(TRANSPOSE(Dists!$B13:$X13)*SUM(Capacity!$DI$3:$DI$25/TRANSPOSE(Dists!$B13:$X13))))</f>
        <v>0.49277484760308</v>
      </c>
      <c r="AP14" s="4" t="n">
        <f aca="false" t="array" ref="AP14:AP14">SUM(Capacity!BJ14*Demand!AP$3:AP$25*Capacity!$DI$3:$DI$25/(TRANSPOSE(Dists!$B13:$X13)*SUM(Capacity!$DI$3:$DI$25/TRANSPOSE(Dists!$B13:$X13))))</f>
        <v>0.339663556813852</v>
      </c>
      <c r="AQ14" s="4" t="n">
        <f aca="false" t="array" ref="AQ14:AQ14">SUM(Capacity!BK14*Demand!AQ$3:AQ$25*Capacity!$DI$3:$DI$25/(TRANSPOSE(Dists!$B13:$X13)*SUM(Capacity!$DI$3:$DI$25/TRANSPOSE(Dists!$B13:$X13))))</f>
        <v>0.0337109504649749</v>
      </c>
      <c r="AR14" s="4" t="n">
        <f aca="false" t="array" ref="AR14:AR14">SUM(Capacity!BL14*Demand!AR$3:AR$25*Capacity!$DI$3:$DI$25/(TRANSPOSE(Dists!$B13:$X13)*SUM(Capacity!$DI$3:$DI$25/TRANSPOSE(Dists!$B13:$X13))))</f>
        <v>0.0583860841500662</v>
      </c>
      <c r="AS14" s="4" t="n">
        <f aca="false" t="array" ref="AS14:AS14">SUM(Capacity!BM14*Demand!AS$3:AS$25*Capacity!$DI$3:$DI$25/(TRANSPOSE(Dists!$B13:$X13)*SUM(Capacity!$DI$3:$DI$25/TRANSPOSE(Dists!$B13:$X13))))</f>
        <v>0.140218647090865</v>
      </c>
      <c r="AT14" s="4" t="n">
        <f aca="false" t="array" ref="AT14:AT14">SUM(Capacity!BN14*Demand!AT$3:AT$25*Capacity!$DI$3:$DI$25/(TRANSPOSE(Dists!$B13:$X13)*SUM(Capacity!$DI$3:$DI$25/TRANSPOSE(Dists!$B13:$X13))))</f>
        <v>1.07971265338199</v>
      </c>
      <c r="AU14" s="4" t="n">
        <f aca="false" t="array" ref="AU14:AU14">SUM(Capacity!BO14*Demand!AU$3:AU$25*Capacity!$DI$3:$DI$25/(TRANSPOSE(Dists!$B13:$X13)*SUM(Capacity!$DI$3:$DI$25/TRANSPOSE(Dists!$B13:$X13))))</f>
        <v>1.22010294543688</v>
      </c>
      <c r="AV14" s="4" t="n">
        <f aca="false" t="array" ref="AV14:AV14">SUM(Capacity!BP14*Demand!AV$3:AV$25*Capacity!$DI$3:$DI$25/(TRANSPOSE(Dists!$B13:$X13)*SUM(Capacity!$DI$3:$DI$25/TRANSPOSE(Dists!$B13:$X13))))</f>
        <v>0.042042196849181</v>
      </c>
      <c r="AW14" s="4" t="n">
        <f aca="false" t="array" ref="AW14:AW14">SUM(Capacity!BQ14*Demand!AW$3:AW$25*Capacity!$DI$3:$DI$25/(TRANSPOSE(Dists!$B13:$X13)*SUM(Capacity!$DI$3:$DI$25/TRANSPOSE(Dists!$B13:$X13))))</f>
        <v>1.23166181657312</v>
      </c>
      <c r="AX14" s="4" t="n">
        <f aca="false" t="array" ref="AX14:AX14">SUM(Capacity!BR14*Demand!AX$3:AX$25*Capacity!$DI$3:$DI$25/(TRANSPOSE(Dists!$B13:$X13)*SUM(Capacity!$DI$3:$DI$25/TRANSPOSE(Dists!$B13:$X13))))</f>
        <v>0.126932442697628</v>
      </c>
      <c r="AY14" s="4" t="n">
        <f aca="false" t="array" ref="AY14:AY14">SUM(Capacity!BS14*Demand!AY$3:AY$25*Capacity!$DI$3:$DI$25/(TRANSPOSE(Dists!$B13:$X13)*SUM(Capacity!$DI$3:$DI$25/TRANSPOSE(Dists!$B13:$X13))))</f>
        <v>0.120155503667138</v>
      </c>
      <c r="AZ14" s="4" t="n">
        <f aca="false" t="array" ref="AZ14:AZ14">SUM(Capacity!BT14*Demand!AZ$3:AZ$25*Capacity!$DI$3:$DI$25/(TRANSPOSE(Dists!$B13:$X13)*SUM(Capacity!$DI$3:$DI$25/TRANSPOSE(Dists!$B13:$X13))))</f>
        <v>0.838761498147226</v>
      </c>
      <c r="BA14" s="4" t="n">
        <f aca="false">L14*25/(2000*1000*51)</f>
        <v>0.0404629494926435</v>
      </c>
      <c r="BB14" s="4" t="n">
        <f aca="false" t="array" ref="BB14:BB14">SUM(Capacity!BV14*Demand!BB$3:BB$25*Capacity!$DI$3:$DI$25/(TRANSPOSE(Dists!$B13:$X13)*SUM(Capacity!$DI$3:$DI$25/TRANSPOSE(Dists!$B13:$X13))))</f>
        <v>0.134745323877865</v>
      </c>
      <c r="BC14" s="4" t="n">
        <f aca="false" t="array" ref="BC14:BC14">SUM(Capacity!BW14*Demand!BC$3:BC$25*Capacity!$DI$3:$DI$25/(TRANSPOSE(Dists!$B13:$X13)*SUM(Capacity!$DI$3:$DI$25/TRANSPOSE(Dists!$B13:$X13))))</f>
        <v>0.0724163761407548</v>
      </c>
      <c r="BD14" s="4" t="n">
        <f aca="false" t="array" ref="BD14:BD14">SUM(Capacity!BX14*Demand!BD$3:BD$25*Capacity!$DI$3:$DI$25/(TRANSPOSE(Dists!$B13:$X13)*SUM(Capacity!$DI$3:$DI$25/TRANSPOSE(Dists!$B13:$X13))))</f>
        <v>0.049121219108519</v>
      </c>
      <c r="BE14" s="4" t="n">
        <f aca="false" t="array" ref="BE14:BE14">SUM(Capacity!BY14*Demand!BE$3:BE$25*Capacity!$DI$3:$DI$25/(TRANSPOSE(Dists!$B13:$X13)*SUM(Capacity!$DI$3:$DI$25/TRANSPOSE(Dists!$B13:$X13))))</f>
        <v>0.0309210091877131</v>
      </c>
      <c r="BF14" s="4" t="n">
        <f aca="false" t="array" ref="BF14:BF14">SUM(Capacity!BZ14*Demand!BF$3:BF$25*Capacity!$DI$3:$DI$25/(TRANSPOSE(Dists!$B13:$X13)*SUM(Capacity!$DI$3:$DI$25/TRANSPOSE(Dists!$B13:$X13))))</f>
        <v>3.46839246233695</v>
      </c>
      <c r="BG14" s="4" t="n">
        <f aca="false" t="array" ref="BG14:BG14">SUM(Capacity!CA14*Demand!BG$3:BG$25*Capacity!$DI$3:$DI$25/(TRANSPOSE(Dists!$B13:$X13)*SUM(Capacity!$DI$3:$DI$25/TRANSPOSE(Dists!$B13:$X13))))</f>
        <v>10.6422593650902</v>
      </c>
      <c r="BH14" s="4" t="n">
        <f aca="false" t="array" ref="BH14:BH14">SUM(Capacity!CB14*Demand!BH$3:BH$25*Capacity!$DI$3:$DI$25/(TRANSPOSE(Dists!$B13:$X13)*SUM(Capacity!$DI$3:$DI$25/TRANSPOSE(Dists!$B13:$X13))))</f>
        <v>21.0518364799295</v>
      </c>
      <c r="BI14" s="4" t="n">
        <f aca="false" t="array" ref="BI14:BI14">SUM(Capacity!CC14*Demand!BI14*Capacity!$DI$3:$DI$25/(TRANSPOSE(Dists!$B13:$X13)*SUM(Capacity!$DI$3:$DI$25/TRANSPOSE(Dists!$B13:$X13))))</f>
        <v>21.7147231148968</v>
      </c>
      <c r="BJ14" s="4" t="n">
        <f aca="false" t="array" ref="BJ14:BJ14">SUM(Capacity!CD14*Demand!BJ14*Capacity!$DI$3:$DI$25/(TRANSPOSE(Dists!$B13:$X13)*SUM(Capacity!$DI$3:$DI$25/TRANSPOSE(Dists!$B13:$X13))))</f>
        <v>468.966901538666</v>
      </c>
      <c r="BK14" s="4" t="n">
        <f aca="false" t="array" ref="BK14:BK14">SUM(Capacity!CE14*Demand!BK14*Capacity!$DI$3:$DI$25/(TRANSPOSE(Dists!$B13:$X13)*SUM(Capacity!$DI$3:$DI$25/TRANSPOSE(Dists!$B13:$X13))))</f>
        <v>10.8573615574484</v>
      </c>
      <c r="BL14" s="4" t="n">
        <f aca="false" t="array" ref="BL14:BL14">SUM(Capacity!CF14*Demand!BL14*Capacity!$DI$3:$DI$25/(TRANSPOSE(Dists!$B13:$X13)*SUM(Capacity!$DI$3:$DI$25/TRANSPOSE(Dists!$B13:$X13))))</f>
        <v>18.5724659319746</v>
      </c>
      <c r="BM14" s="4" t="n">
        <f aca="false" t="array" ref="BM14:BM14">SUM(Capacity!CG14*Demand!BM14*Capacity!$DI$3:$DI$25/(TRANSPOSE(Dists!$B13:$X13)*SUM(Capacity!$DI$3:$DI$25/TRANSPOSE(Dists!$B13:$X13))))</f>
        <v>52.003652422479</v>
      </c>
      <c r="BN14" s="4" t="n">
        <f aca="false">MAX($BO14/0.006,$BP14/0.7,$BR14/0.002,$BS14/0.001)</f>
        <v>0.00040845654082719</v>
      </c>
      <c r="BO14" s="4" t="n">
        <f aca="false" t="array" ref="BO14:BO14">SUM(Capacity!CI14*Demand!BO14*Capacity!$DI$3:$DI$25/(TRANSPOSE(Dists!$B13:$X13)*SUM(Capacity!$DI$3:$DI$25/TRANSPOSE(Dists!$B13:$X13))))</f>
        <v>2.45073924496314E-006</v>
      </c>
      <c r="BP14" s="4" t="n">
        <f aca="false" t="array" ref="BP14:BP14">SUM(Capacity!CJ14*Demand!BP14*Capacity!$DI$3:$DI$25/(TRANSPOSE(Dists!$B13:$X13)*SUM(Capacity!$DI$3:$DI$25/TRANSPOSE(Dists!$B13:$X13))))</f>
        <v>3.43739870215412E-008</v>
      </c>
      <c r="BQ14" s="4" t="n">
        <f aca="false" t="array" ref="BQ14:BQ14">SUM(Capacity!CK14*Demand!BQ14*Capacity!$DI$3:$DI$25/(TRANSPOSE(Dists!$B13:$X13)*SUM(Capacity!$DI$3:$DI$25/TRANSPOSE(Dists!$B13:$X13))))</f>
        <v>0</v>
      </c>
      <c r="BR14" s="4" t="n">
        <f aca="false" t="array" ref="BR14:BR14">SUM(Capacity!CL14*Demand!BR14*Capacity!$DI$3:$DI$25/(TRANSPOSE(Dists!$B13:$X13)*SUM(Capacity!$DI$3:$DI$25/TRANSPOSE(Dists!$B13:$X13))))</f>
        <v>2.45073924496314E-007</v>
      </c>
      <c r="BS14" s="4" t="n">
        <f aca="false" t="array" ref="BS14:BS14">SUM(Capacity!CM14*Demand!BS14*Capacity!$DI$3:$DI$25/(TRANSPOSE(Dists!$B13:$X13)*SUM(Capacity!$DI$3:$DI$25/TRANSPOSE(Dists!$B13:$X13))))</f>
        <v>4.90147022120605E-008</v>
      </c>
      <c r="BT14" s="4" t="n">
        <f aca="false" t="array" ref="BT14:BT14">SUM(Capacity!CN14*Demand!BT14*Capacity!$DI$3:$DI$25/(TRANSPOSE(Dists!$B13:$X13)*SUM(Capacity!$DI$3:$DI$25/TRANSPOSE(Dists!$B13:$X13))))</f>
        <v>1.60518630417244</v>
      </c>
      <c r="BU14" s="4" t="n">
        <f aca="false" t="array" ref="BU14:BU14">SUM(Capacity!CO14*Demand!BU14*Capacity!$DI$3:$DI$25/(TRANSPOSE(Dists!$B13:$X13)*SUM(Capacity!$DI$3:$DI$25/TRANSPOSE(Dists!$B13:$X13))))</f>
        <v>0.160518630417244</v>
      </c>
      <c r="BV14" s="4" t="n">
        <f aca="false" t="array" ref="BV14:BV14">SUM(Capacity!CP14*Demand!BV14*Capacity!$DI$3:$DI$25/(TRANSPOSE(Dists!$B13:$X13)*SUM(Capacity!$DI$3:$DI$25/TRANSPOSE(Dists!$B13:$X13))))</f>
        <v>0.0160518630417244</v>
      </c>
      <c r="BW14" s="4" t="n">
        <f aca="false">E42*DemClcs!$A$40*DemClcs!$A$41*8.34/(DemClcs!$A$38)</f>
        <v>1056.03518191747</v>
      </c>
      <c r="BX14" s="4" t="n">
        <f aca="false" t="array" ref="BX14:BX14">SUM(Capacity!CR14*Demand!BX14*Capacity!$DI$3:$DI$25/(TRANSPOSE(Dists!$B13:$X13)*SUM(Capacity!$DI$3:$DI$25/TRANSPOSE(Dists!$B13:$X13))))</f>
        <v>0.173041491692936</v>
      </c>
      <c r="BY14" s="4" t="n">
        <f aca="false" t="array" ref="BY14:BY14">SUM(Capacity!CS14*Demand!BY14*Capacity!$DI$3:$DI$25/(TRANSPOSE(Dists!$B13:$X13)*SUM(Capacity!$DI$3:$DI$25/TRANSPOSE(Dists!$B13:$X13))))</f>
        <v>84.1565350903521</v>
      </c>
      <c r="BZ14" s="4" t="n">
        <f aca="false" t="array" ref="BZ14:BZ14">SUM(Capacity!CT14*Demand!BZ14*Capacity!$DI$3:$DI$25/(TRANSPOSE(Dists!$B13:$X13)*SUM(Capacity!$DI$3:$DI$25/TRANSPOSE(Dists!$B13:$X13))))</f>
        <v>0.657201131193638</v>
      </c>
      <c r="CA14" s="4" t="n">
        <f aca="false" t="array" ref="CA14:CA14">SUM(Capacity!CU14*Demand!CA14*Capacity!$DI$3:$DI$25/(TRANSPOSE(Dists!$B13:$X13)*SUM(Capacity!$DI$3:$DI$25/TRANSPOSE(Dists!$B13:$X13))))</f>
        <v>0.0025837248723996</v>
      </c>
      <c r="CB14" s="4" t="n">
        <f aca="false" t="array" ref="CB14:CB14">SUM(Capacity!CV14*Demand!CB14*Capacity!$DI$3:$DI$25/(TRANSPOSE(Dists!$B13:$X13)*SUM(Capacity!$DI$3:$DI$25/TRANSPOSE(Dists!$B13:$X13))))</f>
        <v>134.025254231487</v>
      </c>
      <c r="CC14" s="4" t="n">
        <f aca="false" t="array" ref="CC14:CC14">SUM(Capacity!CW14*Demand!CC14*Capacity!$DI$3:$DI$25/(TRANSPOSE(Dists!$B13:$X13)*SUM(Capacity!$DI$3:$DI$25/TRANSPOSE(Dists!$B13:$X13))))</f>
        <v>733.049692028654</v>
      </c>
      <c r="CD14" s="4" t="n">
        <f aca="false">SUM($BG42,$BI42,$BK42)*Capacity!CX14/SUM(Capacity!$AM14:$AN14,Capacity!$CX14)</f>
        <v>48.5815719363315</v>
      </c>
      <c r="CE14" s="4" t="n">
        <f aca="false" t="array" ref="CE14:CE14">SUM(Capacity!CY14*Demand!CE14*Capacity!$DI$3:$DI$25/(TRANSPOSE(Dists!$B13:$X13)*SUM(Capacity!$DI$3:$DI$25/TRANSPOSE(Dists!$B13:$X13))))</f>
        <v>0.353913304002305</v>
      </c>
      <c r="CF14" s="4" t="n">
        <f aca="false" t="array" ref="CF14:CF14">SUM(Capacity!CZ14*Demand!CF14*Capacity!$DI$3:$DI$25/(TRANSPOSE(Dists!$B13:$X13)*SUM(Capacity!$DI$3:$DI$25/TRANSPOSE(Dists!$B13:$X13))))</f>
        <v>508.168711238436</v>
      </c>
      <c r="CG14" s="4" t="n">
        <f aca="false" t="array" ref="CG14:CG14">SUM(Capacity!DA14*Demand!CG14*Capacity!$DI$3:$DI$25/(TRANSPOSE(Dists!$B13:$X13)*SUM(Capacity!$DI$3:$DI$25/TRANSPOSE(Dists!$B13:$X13))))</f>
        <v>1.29369520663405E-005</v>
      </c>
      <c r="CH14" s="4" t="n">
        <f aca="false" t="array" ref="CH14:CH14">SUM(Capacity!DB14*Demand!CH14*Capacity!$DI$3:$DI$25/(TRANSPOSE(Dists!$B13:$X13)*SUM(Capacity!$DI$3:$DI$25/TRANSPOSE(Dists!$B13:$X13))))</f>
        <v>0.000150719444163664</v>
      </c>
      <c r="CI14" s="4" t="n">
        <f aca="false" t="array" ref="CI14:CI14">SUM(Capacity!DC14*Demand!CI14*Capacity!$DI$3:$DI$25/(TRANSPOSE(Dists!$B13:$X13)*SUM(Capacity!$DI$3:$DI$25/TRANSPOSE(Dists!$B13:$X13))))</f>
        <v>0.0123424524123411</v>
      </c>
      <c r="CJ14" s="4" t="n">
        <f aca="false" t="array" ref="CJ14:CJ14">SUM(Capacity!DD14*Demand!CJ14*Capacity!$DI$3:$DI$25/(TRANSPOSE(Dists!$B13:$X13)*SUM(Capacity!$DI$3:$DI$25/TRANSPOSE(Dists!$B13:$X13))))</f>
        <v>0.0276201870483866</v>
      </c>
      <c r="CK14" s="4" t="n">
        <f aca="false" t="array" ref="CK14:CK14">SUM(Capacity!DE14*Demand!CK14*Capacity!$DI$3:$DI$25/(TRANSPOSE(Dists!$B13:$X13)*SUM(Capacity!$DI$3:$DI$25/TRANSPOSE(Dists!$B13:$X13))))</f>
        <v>0.500280106141925</v>
      </c>
      <c r="CL14" s="7" t="s">
        <v>322</v>
      </c>
    </row>
    <row r="15" customFormat="false" ht="12.8" hidden="false" customHeight="false" outlineLevel="0" collapsed="false">
      <c r="A15" s="4" t="s">
        <v>148</v>
      </c>
      <c r="B15" s="7" t="s">
        <v>39</v>
      </c>
      <c r="C15" s="4" t="n">
        <f aca="false" t="array" ref="C15:C15">SUM(Capacity!S15*Demand!C15*Capacity!$DH$3:$DH$25/(TRANSPOSE(Dists!$B14:$X14)*SUM(Capacity!$DH$3:$DH$25/TRANSPOSE(Dists!$B14:$X14))))</f>
        <v>0.0298909811899207</v>
      </c>
      <c r="D15" s="4" t="n">
        <f aca="false" t="array" ref="D15:D15">SUM(Capacity!V15*Demand!D15*Capacity!$DH$3:$DH$25/(TRANSPOSE(Dists!$B14:$X14)*SUM(Capacity!$DH$3:$DH$25/TRANSPOSE(Dists!$B14:$X14))))</f>
        <v>2275.12613492593</v>
      </c>
      <c r="E15" s="4" t="n">
        <f aca="false" t="array" ref="E15:E15">SUM(Capacity!Y15*Demand!E15*Capacity!$DH$3:$DH$25/(TRANSPOSE(Dists!$B14:$X14)*SUM(Capacity!$DH$3:$DH$25/TRANSPOSE(Dists!$B14:$X14))))</f>
        <v>335.655054186466</v>
      </c>
      <c r="F15" s="4" t="n">
        <f aca="false">$E15*Capacity!$M15/(2*(1-Capacity!$H$28)*Capacity!$H15)</f>
        <v>128.941645370582</v>
      </c>
      <c r="G15" s="4" t="n">
        <f aca="false" t="array" ref="G15:G15">SUM(Capacity!AA15*Demand!G15*Capacity!$DH$3:$DH$25/(TRANSPOSE(Dists!$B14:$X14)*SUM(Capacity!$DH$3:$DH$25/TRANSPOSE(Dists!$B14:$X14))))</f>
        <v>407.31766887897</v>
      </c>
      <c r="H15" s="4" t="n">
        <f aca="false" t="array" ref="H15:H15">SUM(Capacity!AB15*Demand!H15*Capacity!$DH$3:$DH$25/(TRANSPOSE(Dists!$B14:$X14)*SUM(Capacity!$DH$3:$DH$25/TRANSPOSE(Dists!$B14:$X14))))</f>
        <v>0</v>
      </c>
      <c r="I15" s="4" t="n">
        <f aca="false" t="array" ref="I15:I15">SUM(Capacity!AC15*Demand!I$3:I$25*Capacity!$DG$3:$DG$25/(TRANSPOSE(Dists!$B14:$X14)*SUM(Capacity!$DG$3:$DG$25/TRANSPOSE(Dists!$B14:$X14))))</f>
        <v>2.23258027839439</v>
      </c>
      <c r="J15" s="4" t="n">
        <f aca="false" t="array" ref="J15:J15">SUM(Capacity!AD15*Demand!J$3:J$25*Capacity!$DG$3:$DG$25/(TRANSPOSE(Dists!$B14:$X14)*SUM(Capacity!$DG$3:$DG$25/TRANSPOSE(Dists!$B14:$X14))))</f>
        <v>1.78116412160562</v>
      </c>
      <c r="K15" s="4" t="n">
        <f aca="false">5479.45205479452*$R15</f>
        <v>935258.300861097</v>
      </c>
      <c r="L15" s="4" t="n">
        <f aca="false">17142.8571428571*$S15</f>
        <v>344350.050987527</v>
      </c>
      <c r="M15" s="4" t="n">
        <f aca="false">IF(50420.1680672269*$T15&gt;($K15/20),50420.1680672269*$T15-($K15/20),0)</f>
        <v>519291.963292608</v>
      </c>
      <c r="N15" s="4" t="n">
        <f aca="false" t="array" ref="N15:N15">SUM(Capacity!AH15*Demand!N15*Capacity!$DH$3:$DH$25/(TRANSPOSE(Dists!$B14:$X14)*SUM(Capacity!$DH$3:$DH$25/TRANSPOSE(Dists!$B14:$X14))))</f>
        <v>307.835304422253</v>
      </c>
      <c r="O15" s="4" t="n">
        <f aca="false">D43*DemClcs!$A$31*DemClcs!$A$32</f>
        <v>1425.60778515097</v>
      </c>
      <c r="P15" s="4" t="n">
        <f aca="false">O15*DemClcs!$A$29*DemClcs!$A$30</f>
        <v>570.243114060387</v>
      </c>
      <c r="Q15" s="4" t="n">
        <f aca="false" t="array" ref="Q15:Q15">SUM(Capacity!AK15*Demand!Q15*Capacity!$DI$3:$DI$25/(TRANSPOSE(Dists!$B14:$X14)*SUM(Capacity!$DI$3:$DI$25/TRANSPOSE(Dists!$B14:$X14))))</f>
        <v>9.55746603563678</v>
      </c>
      <c r="R15" s="4" t="n">
        <f aca="false" t="array" ref="R15:R15">SUM(Capacity!AL15*Demand!R15*Capacity!$DH$3:$DH$25/(TRANSPOSE(Dists!$B14:$X14)*SUM(Capacity!$DH$3:$DH$25/TRANSPOSE(Dists!$B14:$X14))))</f>
        <v>170.68463990715</v>
      </c>
      <c r="S15" s="4" t="n">
        <f aca="false">SUM($BG43,$BI43,$BK43)*Capacity!AM15/SUM(Capacity!$AM15:$AN15,Capacity!$CX15)</f>
        <v>20.0870863076058</v>
      </c>
      <c r="T15" s="4" t="n">
        <f aca="false">SUM($BG43,$BI43,$BK43)*Capacity!AN15/SUM(Capacity!$AM15:$AN15,Capacity!$CX15)</f>
        <v>11.2267550869906</v>
      </c>
      <c r="U15" s="4" t="n">
        <f aca="false">$M15*120*2/(16*1000*2000)</f>
        <v>3.89468972469456</v>
      </c>
      <c r="V15" s="4" t="n">
        <f aca="false" t="array" ref="V15:V15">SUM(Capacity!AP15*Demand!V$3:V$25*Capacity!$DH$3:$DH$25/(TRANSPOSE(Dists!$B14:$X14)*SUM(Capacity!$DH$3:$DH$25/TRANSPOSE(Dists!$B14:$X14))))</f>
        <v>79.8706568318433</v>
      </c>
      <c r="W15" s="4" t="n">
        <f aca="false" t="array" ref="W15:W15">SUM(Capacity!AQ15*Demand!W$3:W$25*Capacity!$DH$3:$DH$25/(TRANSPOSE(Dists!$B14:$X14)*SUM(Capacity!$DH$3:$DH$25/TRANSPOSE(Dists!$B14:$X14))))</f>
        <v>235.486987803339</v>
      </c>
      <c r="X15" s="4" t="n">
        <f aca="false" t="array" ref="X15:X15">SUM(Capacity!AR15*Demand!X$3:X$25*Capacity!$DH$3:$DH$25/(TRANSPOSE(Dists!$B14:$X14)*SUM(Capacity!$DH$3:$DH$25/TRANSPOSE(Dists!$B14:$X14))))</f>
        <v>806.658363436098</v>
      </c>
      <c r="Y15" s="4" t="n">
        <f aca="false">$L15*600*6/(90*1000*2000)</f>
        <v>6.88700101975054</v>
      </c>
      <c r="Z15" s="4" t="n">
        <f aca="false" t="array" ref="Z15:Z15">SUM(Capacity!AT15*Demand!Z$3:Z$25*Capacity!$DI$3:$DI$25/(TRANSPOSE(Dists!$B14:$X14)*SUM(Capacity!$DI$3:$DI$25/TRANSPOSE(Dists!$B14:$X14))))</f>
        <v>10.3887214849983</v>
      </c>
      <c r="AA15" s="4" t="n">
        <f aca="false" t="array" ref="AA15:AA15">SUM(Capacity!AU15*Demand!AA$3:AA$25*Capacity!$DI$3:$DI$25/(TRANSPOSE(Dists!$B14:$X14)*SUM(Capacity!$DI$3:$DI$25/TRANSPOSE(Dists!$B14:$X14))))</f>
        <v>14.4961731362438</v>
      </c>
      <c r="AB15" s="4" t="n">
        <f aca="false" t="array" ref="AB15:AB15">SUM(Capacity!AV15*Demand!AB$3:AB$25*Capacity!$DI$3:$DI$25/(TRANSPOSE(Dists!$B14:$X14)*SUM(Capacity!$DI$3:$DI$25/TRANSPOSE(Dists!$B14:$X14))))</f>
        <v>16.3886077905473</v>
      </c>
      <c r="AC15" s="4" t="n">
        <f aca="false" t="array" ref="AC15:AC15">SUM(Capacity!AW15*Demand!AC$3:AC$25*Capacity!$DI$3:$DI$25/(TRANSPOSE(Dists!$B14:$X14)*SUM(Capacity!$DI$3:$DI$25/TRANSPOSE(Dists!$B14:$X14))))</f>
        <v>3.97784455534422</v>
      </c>
      <c r="AD15" s="4" t="n">
        <f aca="false" t="array" ref="AD15:AD15">SUM(Capacity!AX15*Demand!AD$3:AD$25*Capacity!$DI$3:$DI$25/(TRANSPOSE(Dists!$B14:$X14)*SUM(Capacity!$DI$3:$DI$25/TRANSPOSE(Dists!$B14:$X14))))</f>
        <v>2.6829898303383</v>
      </c>
      <c r="AE15" s="4" t="n">
        <f aca="false" t="array" ref="AE15:AE15">SUM(Capacity!AY15*Demand!AE$3:AE$25*Capacity!$DI$3:$DI$25/(TRANSPOSE(Dists!$B14:$X14)*SUM(Capacity!$DI$3:$DI$25/TRANSPOSE(Dists!$B14:$X14))))</f>
        <v>1.92812506920315</v>
      </c>
      <c r="AF15" s="4" t="n">
        <f aca="false" t="array" ref="AF15:AF15">SUM(Capacity!AZ15*Demand!AF$3:AF$25*Capacity!$DI$3:$DI$25/(TRANSPOSE(Dists!$B14:$X14)*SUM(Capacity!$DI$3:$DI$25/TRANSPOSE(Dists!$B14:$X14))))</f>
        <v>0.361100241454421</v>
      </c>
      <c r="AG15" s="4" t="n">
        <f aca="false" t="array" ref="AG15:AG15">SUM(Capacity!BA15*Demand!AG$3:AG$25*Capacity!$DI$3:$DI$25/(TRANSPOSE(Dists!$B14:$X14)*SUM(Capacity!$DI$3:$DI$25/TRANSPOSE(Dists!$B14:$X14))))</f>
        <v>2.12556720730504</v>
      </c>
      <c r="AH15" s="4" t="n">
        <f aca="false" t="array" ref="AH15:AH15">SUM(Capacity!BB15*Demand!AH$3:AH$25*Capacity!$DI$3:$DI$25/(TRANSPOSE(Dists!$B14:$X14)*SUM(Capacity!$DI$3:$DI$25/TRANSPOSE(Dists!$B14:$X14))))</f>
        <v>1.56380663153278</v>
      </c>
      <c r="AI15" s="4" t="n">
        <f aca="false" t="array" ref="AI15:AI15">SUM(Capacity!BC15*Demand!AI$3:AI$25*Capacity!$DI$3:$DI$25/(TRANSPOSE(Dists!$B14:$X14)*SUM(Capacity!$DI$3:$DI$25/TRANSPOSE(Dists!$B14:$X14))))</f>
        <v>0.238526805087901</v>
      </c>
      <c r="AJ15" s="4" t="n">
        <f aca="false" t="array" ref="AJ15:AJ15">SUM(Capacity!BD15*Demand!AJ$3:AJ$25*Capacity!$DI$3:$DI$25/(TRANSPOSE(Dists!$B14:$X14)*SUM(Capacity!$DI$3:$DI$25/TRANSPOSE(Dists!$B14:$X14))))</f>
        <v>0.524463704267979</v>
      </c>
      <c r="AK15" s="4" t="n">
        <f aca="false" t="array" ref="AK15:AK15">SUM(Capacity!BE15*Demand!AK$3:AK$25*Capacity!$DI$3:$DI$25/(TRANSPOSE(Dists!$B14:$X14)*SUM(Capacity!$DI$3:$DI$25/TRANSPOSE(Dists!$B14:$X14))))</f>
        <v>0.271400932418561</v>
      </c>
      <c r="AL15" s="4" t="n">
        <f aca="false" t="array" ref="AL15:AL15">SUM(Capacity!BF15*Demand!AL$3:AL$25*Capacity!$DI$3:$DI$25/(TRANSPOSE(Dists!$B14:$X14)*SUM(Capacity!$DI$3:$DI$25/TRANSPOSE(Dists!$B14:$X14))))</f>
        <v>0.209162586117517</v>
      </c>
      <c r="AM15" s="4" t="n">
        <f aca="false" t="array" ref="AM15:AM15">SUM(Capacity!BG15*Demand!AM$3:AM$25*Capacity!$DI$3:$DI$25/(TRANSPOSE(Dists!$B14:$X14)*SUM(Capacity!$DI$3:$DI$25/TRANSPOSE(Dists!$B14:$X14))))</f>
        <v>0.542476387972563</v>
      </c>
      <c r="AN15" s="4" t="n">
        <f aca="false" t="array" ref="AN15:AN15">SUM(Capacity!BH15*Demand!AN$3:AN$25*Capacity!$DI$3:$DI$25/(TRANSPOSE(Dists!$B14:$X14)*SUM(Capacity!$DI$3:$DI$25/TRANSPOSE(Dists!$B14:$X14))))</f>
        <v>0.385751859327854</v>
      </c>
      <c r="AO15" s="4" t="n">
        <f aca="false" t="array" ref="AO15:AO15">SUM(Capacity!BI15*Demand!AO$3:AO$25*Capacity!$DI$3:$DI$25/(TRANSPOSE(Dists!$B14:$X14)*SUM(Capacity!$DI$3:$DI$25/TRANSPOSE(Dists!$B14:$X14))))</f>
        <v>0.870864799969755</v>
      </c>
      <c r="AP15" s="4" t="n">
        <f aca="false" t="array" ref="AP15:AP15">SUM(Capacity!BJ15*Demand!AP$3:AP$25*Capacity!$DI$3:$DI$25/(TRANSPOSE(Dists!$B14:$X14)*SUM(Capacity!$DI$3:$DI$25/TRANSPOSE(Dists!$B14:$X14))))</f>
        <v>0.60136522164176</v>
      </c>
      <c r="AQ15" s="4" t="n">
        <f aca="false" t="array" ref="AQ15:AQ15">SUM(Capacity!BK15*Demand!AQ$3:AQ$25*Capacity!$DI$3:$DI$25/(TRANSPOSE(Dists!$B14:$X14)*SUM(Capacity!$DI$3:$DI$25/TRANSPOSE(Dists!$B14:$X14))))</f>
        <v>0.0448867099169851</v>
      </c>
      <c r="AR15" s="4" t="n">
        <f aca="false" t="array" ref="AR15:AR15">SUM(Capacity!BL15*Demand!AR$3:AR$25*Capacity!$DI$3:$DI$25/(TRANSPOSE(Dists!$B14:$X14)*SUM(Capacity!$DI$3:$DI$25/TRANSPOSE(Dists!$B14:$X14))))</f>
        <v>0.115009210868057</v>
      </c>
      <c r="AS15" s="4" t="n">
        <f aca="false" t="array" ref="AS15:AS15">SUM(Capacity!BM15*Demand!AS$3:AS$25*Capacity!$DI$3:$DI$25/(TRANSPOSE(Dists!$B14:$X14)*SUM(Capacity!$DI$3:$DI$25/TRANSPOSE(Dists!$B14:$X14))))</f>
        <v>0.139092237020382</v>
      </c>
      <c r="AT15" s="4" t="n">
        <f aca="false" t="array" ref="AT15:AT15">SUM(Capacity!BN15*Demand!AT$3:AT$25*Capacity!$DI$3:$DI$25/(TRANSPOSE(Dists!$B14:$X14)*SUM(Capacity!$DI$3:$DI$25/TRANSPOSE(Dists!$B14:$X14))))</f>
        <v>2.20430529482168</v>
      </c>
      <c r="AU15" s="4" t="n">
        <f aca="false" t="array" ref="AU15:AU15">SUM(Capacity!BO15*Demand!AU$3:AU$25*Capacity!$DI$3:$DI$25/(TRANSPOSE(Dists!$B14:$X14)*SUM(Capacity!$DI$3:$DI$25/TRANSPOSE(Dists!$B14:$X14))))</f>
        <v>1.20414966992903</v>
      </c>
      <c r="AV15" s="4" t="n">
        <f aca="false" t="array" ref="AV15:AV15">SUM(Capacity!BP15*Demand!AV$3:AV$25*Capacity!$DI$3:$DI$25/(TRANSPOSE(Dists!$B14:$X14)*SUM(Capacity!$DI$3:$DI$25/TRANSPOSE(Dists!$B14:$X14))))</f>
        <v>0.0725937616990227</v>
      </c>
      <c r="AW15" s="4" t="n">
        <f aca="false" t="array" ref="AW15:AW15">SUM(Capacity!BQ15*Demand!AW$3:AW$25*Capacity!$DI$3:$DI$25/(TRANSPOSE(Dists!$B14:$X14)*SUM(Capacity!$DI$3:$DI$25/TRANSPOSE(Dists!$B14:$X14))))</f>
        <v>2.18814295162763</v>
      </c>
      <c r="AX15" s="4" t="n">
        <f aca="false" t="array" ref="AX15:AX15">SUM(Capacity!BR15*Demand!AX$3:AX$25*Capacity!$DI$3:$DI$25/(TRANSPOSE(Dists!$B14:$X14)*SUM(Capacity!$DI$3:$DI$25/TRANSPOSE(Dists!$B14:$X14))))</f>
        <v>0.19676352123689</v>
      </c>
      <c r="AY15" s="4" t="n">
        <f aca="false" t="array" ref="AY15:AY15">SUM(Capacity!BS15*Demand!AY$3:AY$25*Capacity!$DI$3:$DI$25/(TRANSPOSE(Dists!$B14:$X14)*SUM(Capacity!$DI$3:$DI$25/TRANSPOSE(Dists!$B14:$X14))))</f>
        <v>0.19062354621156</v>
      </c>
      <c r="AZ15" s="4" t="n">
        <f aca="false" t="array" ref="AZ15:AZ15">SUM(Capacity!BT15*Demand!AZ$3:AZ$25*Capacity!$DI$3:$DI$25/(TRANSPOSE(Dists!$B14:$X14)*SUM(Capacity!$DI$3:$DI$25/TRANSPOSE(Dists!$B14:$X14))))</f>
        <v>1.31166051689325</v>
      </c>
      <c r="BA15" s="4" t="n">
        <f aca="false">L15*25/(2000*1000*51)</f>
        <v>0.0843995223008645</v>
      </c>
      <c r="BB15" s="4" t="n">
        <f aca="false" t="array" ref="BB15:BB15">SUM(Capacity!BV15*Demand!BB$3:BB$25*Capacity!$DI$3:$DI$25/(TRANSPOSE(Dists!$B14:$X14)*SUM(Capacity!$DI$3:$DI$25/TRANSPOSE(Dists!$B14:$X14))))</f>
        <v>0.223460224046604</v>
      </c>
      <c r="BC15" s="4" t="n">
        <f aca="false" t="array" ref="BC15:BC15">SUM(Capacity!BW15*Demand!BC$3:BC$25*Capacity!$DI$3:$DI$25/(TRANSPOSE(Dists!$B14:$X14)*SUM(Capacity!$DI$3:$DI$25/TRANSPOSE(Dists!$B14:$X14))))</f>
        <v>0.124337446644749</v>
      </c>
      <c r="BD15" s="4" t="n">
        <f aca="false" t="array" ref="BD15:BD15">SUM(Capacity!BX15*Demand!BD$3:BD$25*Capacity!$DI$3:$DI$25/(TRANSPOSE(Dists!$B14:$X14)*SUM(Capacity!$DI$3:$DI$25/TRANSPOSE(Dists!$B14:$X14))))</f>
        <v>0.089793348971677</v>
      </c>
      <c r="BE15" s="4" t="n">
        <f aca="false" t="array" ref="BE15:BE15">SUM(Capacity!BY15*Demand!BE$3:BE$25*Capacity!$DI$3:$DI$25/(TRANSPOSE(Dists!$B14:$X14)*SUM(Capacity!$DI$3:$DI$25/TRANSPOSE(Dists!$B14:$X14))))</f>
        <v>0.0539097686201487</v>
      </c>
      <c r="BF15" s="4" t="n">
        <f aca="false" t="array" ref="BF15:BF15">SUM(Capacity!BZ15*Demand!BF$3:BF$25*Capacity!$DI$3:$DI$25/(TRANSPOSE(Dists!$B14:$X14)*SUM(Capacity!$DI$3:$DI$25/TRANSPOSE(Dists!$B14:$X14))))</f>
        <v>5.97593540448578</v>
      </c>
      <c r="BG15" s="4" t="n">
        <f aca="false" t="array" ref="BG15:BG15">SUM(Capacity!CA15*Demand!BG$3:BG$25*Capacity!$DI$3:$DI$25/(TRANSPOSE(Dists!$B14:$X14)*SUM(Capacity!$DI$3:$DI$25/TRANSPOSE(Dists!$B14:$X14))))</f>
        <v>20.9202173360908</v>
      </c>
      <c r="BH15" s="4" t="n">
        <f aca="false" t="array" ref="BH15:BH15">SUM(Capacity!CB15*Demand!BH$3:BH$25*Capacity!$DI$3:$DI$25/(TRANSPOSE(Dists!$B14:$X14)*SUM(Capacity!$DI$3:$DI$25/TRANSPOSE(Dists!$B14:$X14))))</f>
        <v>0.00392009678177285</v>
      </c>
      <c r="BI15" s="4" t="n">
        <f aca="false" t="array" ref="BI15:BI15">SUM(Capacity!CC15*Demand!BI15*Capacity!$DI$3:$DI$25/(TRANSPOSE(Dists!$B14:$X14)*SUM(Capacity!$DI$3:$DI$25/TRANSPOSE(Dists!$B14:$X14))))</f>
        <v>65.8656941425813</v>
      </c>
      <c r="BJ15" s="4" t="n">
        <f aca="false" t="array" ref="BJ15:BJ15">SUM(Capacity!CD15*Demand!BJ15*Capacity!$DI$3:$DI$25/(TRANSPOSE(Dists!$B14:$X14)*SUM(Capacity!$DI$3:$DI$25/TRANSPOSE(Dists!$B14:$X14))))</f>
        <v>85.6385876700505</v>
      </c>
      <c r="BK15" s="4" t="n">
        <f aca="false" t="array" ref="BK15:BK15">SUM(Capacity!CE15*Demand!BK15*Capacity!$DI$3:$DI$25/(TRANSPOSE(Dists!$B14:$X14)*SUM(Capacity!$DI$3:$DI$25/TRANSPOSE(Dists!$B14:$X14))))</f>
        <v>32.9328470712907</v>
      </c>
      <c r="BL15" s="4" t="n">
        <f aca="false" t="array" ref="BL15:BL15">SUM(Capacity!CF15*Demand!BL15*Capacity!$DI$3:$DI$25/(TRANSPOSE(Dists!$B14:$X14)*SUM(Capacity!$DI$3:$DI$25/TRANSPOSE(Dists!$B14:$X14))))</f>
        <v>387.8721747588</v>
      </c>
      <c r="BM15" s="4" t="n">
        <f aca="false" t="array" ref="BM15:BM15">SUM(Capacity!CG15*Demand!BM15*Capacity!$DI$3:$DI$25/(TRANSPOSE(Dists!$B14:$X14)*SUM(Capacity!$DI$3:$DI$25/TRANSPOSE(Dists!$B14:$X14))))</f>
        <v>6.49367454917166</v>
      </c>
      <c r="BN15" s="4" t="n">
        <f aca="false">MAX($BO15/0.006,$BP15/0.7,$BR15/0.002,$BS15/0.001)</f>
        <v>0.000802359025221115</v>
      </c>
      <c r="BO15" s="4" t="n">
        <f aca="false" t="array" ref="BO15:BO15">SUM(Capacity!CI15*Demand!BO15*Capacity!$DI$3:$DI$25/(TRANSPOSE(Dists!$B14:$X14)*SUM(Capacity!$DI$3:$DI$25/TRANSPOSE(Dists!$B14:$X14))))</f>
        <v>4.81415415132669E-006</v>
      </c>
      <c r="BP15" s="4" t="n">
        <f aca="false" t="array" ref="BP15:BP15">SUM(Capacity!CJ15*Demand!BP15*Capacity!$DI$3:$DI$25/(TRANSPOSE(Dists!$B14:$X14)*SUM(Capacity!$DI$3:$DI$25/TRANSPOSE(Dists!$B14:$X14))))</f>
        <v>4.58765206838205E-008</v>
      </c>
      <c r="BQ15" s="4" t="n">
        <f aca="false" t="array" ref="BQ15:BQ15">SUM(Capacity!CK15*Demand!BQ15*Capacity!$DI$3:$DI$25/(TRANSPOSE(Dists!$B14:$X14)*SUM(Capacity!$DI$3:$DI$25/TRANSPOSE(Dists!$B14:$X14))))</f>
        <v>0</v>
      </c>
      <c r="BR15" s="4" t="n">
        <f aca="false" t="array" ref="BR15:BR15">SUM(Capacity!CL15*Demand!BR15*Capacity!$DI$3:$DI$25/(TRANSPOSE(Dists!$B14:$X14)*SUM(Capacity!$DI$3:$DI$25/TRANSPOSE(Dists!$B14:$X14))))</f>
        <v>4.81415415132669E-007</v>
      </c>
      <c r="BS15" s="4" t="n">
        <f aca="false" t="array" ref="BS15:BS15">SUM(Capacity!CM15*Demand!BS15*Capacity!$DI$3:$DI$25/(TRANSPOSE(Dists!$B14:$X14)*SUM(Capacity!$DI$3:$DI$25/TRANSPOSE(Dists!$B14:$X14))))</f>
        <v>9.62829403269066E-008</v>
      </c>
      <c r="BT15" s="4" t="n">
        <f aca="false" t="array" ref="BT15:BT15">SUM(Capacity!CN15*Demand!BT15*Capacity!$DI$3:$DI$25/(TRANSPOSE(Dists!$B14:$X14)*SUM(Capacity!$DI$3:$DI$25/TRANSPOSE(Dists!$B14:$X14))))</f>
        <v>3.77871413064949</v>
      </c>
      <c r="BU15" s="4" t="n">
        <f aca="false" t="array" ref="BU15:BU15">SUM(Capacity!CO15*Demand!BU15*Capacity!$DI$3:$DI$25/(TRANSPOSE(Dists!$B14:$X14)*SUM(Capacity!$DI$3:$DI$25/TRANSPOSE(Dists!$B14:$X14))))</f>
        <v>0.377871413064949</v>
      </c>
      <c r="BV15" s="4" t="n">
        <f aca="false" t="array" ref="BV15:BV15">SUM(Capacity!CP15*Demand!BV15*Capacity!$DI$3:$DI$25/(TRANSPOSE(Dists!$B14:$X14)*SUM(Capacity!$DI$3:$DI$25/TRANSPOSE(Dists!$B14:$X14))))</f>
        <v>0.0377871413064949</v>
      </c>
      <c r="BW15" s="4" t="n">
        <f aca="false">E43*DemClcs!$A$40*DemClcs!$A$41*8.34/(DemClcs!$A$38)</f>
        <v>1377.18621042203</v>
      </c>
      <c r="BX15" s="4" t="n">
        <f aca="false" t="array" ref="BX15:BX15">SUM(Capacity!CR15*Demand!BX15*Capacity!$DI$3:$DI$25/(TRANSPOSE(Dists!$B14:$X14)*SUM(Capacity!$DI$3:$DI$25/TRANSPOSE(Dists!$B14:$X14))))</f>
        <v>3.90801102650079</v>
      </c>
      <c r="BY15" s="4" t="n">
        <f aca="false" t="array" ref="BY15:BY15">SUM(Capacity!CS15*Demand!BY15*Capacity!$DI$3:$DI$25/(TRANSPOSE(Dists!$B14:$X14)*SUM(Capacity!$DI$3:$DI$25/TRANSPOSE(Dists!$B14:$X14))))</f>
        <v>72.1610598701988</v>
      </c>
      <c r="BZ15" s="4" t="n">
        <f aca="false" t="array" ref="BZ15:BZ15">SUM(Capacity!CT15*Demand!BZ15*Capacity!$DI$3:$DI$25/(TRANSPOSE(Dists!$B14:$X14)*SUM(Capacity!$DI$3:$DI$25/TRANSPOSE(Dists!$B14:$X14))))</f>
        <v>0.643708377617122</v>
      </c>
      <c r="CA15" s="4" t="n">
        <f aca="false" t="array" ref="CA15:CA15">SUM(Capacity!CU15*Demand!CA15*Capacity!$DI$3:$DI$25/(TRANSPOSE(Dists!$B14:$X14)*SUM(Capacity!$DI$3:$DI$25/TRANSPOSE(Dists!$B14:$X14))))</f>
        <v>0.21486341795801</v>
      </c>
      <c r="CB15" s="4" t="n">
        <f aca="false" t="array" ref="CB15:CB15">SUM(Capacity!CV15*Demand!CB15*Capacity!$DI$3:$DI$25/(TRANSPOSE(Dists!$B14:$X14)*SUM(Capacity!$DI$3:$DI$25/TRANSPOSE(Dists!$B14:$X14))))</f>
        <v>778.536640408034</v>
      </c>
      <c r="CC15" s="4" t="n">
        <f aca="false" t="array" ref="CC15:CC15">SUM(Capacity!CW15*Demand!CC15*Capacity!$DI$3:$DI$25/(TRANSPOSE(Dists!$B14:$X14)*SUM(Capacity!$DI$3:$DI$25/TRANSPOSE(Dists!$B14:$X14))))</f>
        <v>1239.45218772201</v>
      </c>
      <c r="CD15" s="4" t="n">
        <f aca="false">SUM($BG43,$BI43,$BK43)*Capacity!CX15/SUM(Capacity!$AM15:$AN15,Capacity!$CX15)</f>
        <v>84.7863018341912</v>
      </c>
      <c r="CE15" s="4" t="n">
        <f aca="false" t="array" ref="CE15:CE15">SUM(Capacity!CY15*Demand!CE15*Capacity!$DI$3:$DI$25/(TRANSPOSE(Dists!$B14:$X14)*SUM(Capacity!$DI$3:$DI$25/TRANSPOSE(Dists!$B14:$X14))))</f>
        <v>2.66029235106234</v>
      </c>
      <c r="CF15" s="4" t="n">
        <f aca="false" t="array" ref="CF15:CF15">SUM(Capacity!CZ15*Demand!CF15*Capacity!$DI$3:$DI$25/(TRANSPOSE(Dists!$B14:$X14)*SUM(Capacity!$DI$3:$DI$25/TRANSPOSE(Dists!$B14:$X14))))</f>
        <v>356.862293596508</v>
      </c>
      <c r="CG15" s="4" t="n">
        <f aca="false" t="array" ref="CG15:CG15">SUM(Capacity!DA15*Demand!CG15*Capacity!$DI$3:$DI$25/(TRANSPOSE(Dists!$B14:$X14)*SUM(Capacity!$DI$3:$DI$25/TRANSPOSE(Dists!$B14:$X14))))</f>
        <v>0.000150074126353744</v>
      </c>
      <c r="CH15" s="4" t="n">
        <f aca="false" t="array" ref="CH15:CH15">SUM(Capacity!DB15*Demand!CH15*Capacity!$DI$3:$DI$25/(TRANSPOSE(Dists!$B14:$X14)*SUM(Capacity!$DI$3:$DI$25/TRANSPOSE(Dists!$B14:$X14))))</f>
        <v>1.50507623960169E-006</v>
      </c>
      <c r="CI15" s="4" t="n">
        <f aca="false" t="array" ref="CI15:CI15">SUM(Capacity!DC15*Demand!CI15*Capacity!$DI$3:$DI$25/(TRANSPOSE(Dists!$B14:$X14)*SUM(Capacity!$DI$3:$DI$25/TRANSPOSE(Dists!$B14:$X14))))</f>
        <v>0.0353372123572505</v>
      </c>
      <c r="CJ15" s="4" t="n">
        <f aca="false" t="array" ref="CJ15:CJ15">SUM(Capacity!DD15*Demand!CJ15*Capacity!$DI$3:$DI$25/(TRANSPOSE(Dists!$B14:$X14)*SUM(Capacity!$DI$3:$DI$25/TRANSPOSE(Dists!$B14:$X14))))</f>
        <v>0.0116837653418567</v>
      </c>
      <c r="CK15" s="4" t="n">
        <f aca="false" t="array" ref="CK15:CK15">SUM(Capacity!DE15*Demand!CK15*Capacity!$DI$3:$DI$25/(TRANSPOSE(Dists!$B14:$X14)*SUM(Capacity!$DI$3:$DI$25/TRANSPOSE(Dists!$B14:$X14))))</f>
        <v>2.34199897434732</v>
      </c>
      <c r="CL15" s="7" t="s">
        <v>322</v>
      </c>
    </row>
    <row r="16" customFormat="false" ht="12.8" hidden="false" customHeight="false" outlineLevel="0" collapsed="false">
      <c r="A16" s="4" t="s">
        <v>150</v>
      </c>
      <c r="B16" s="7" t="s">
        <v>39</v>
      </c>
      <c r="C16" s="4" t="n">
        <f aca="false" t="array" ref="C16:C16">SUM(Capacity!S16*Demand!C16*Capacity!$DH$3:$DH$25/(TRANSPOSE(Dists!$B15:$X15)*SUM(Capacity!$DH$3:$DH$25/TRANSPOSE(Dists!$B15:$X15))))</f>
        <v>0.0108398522657965</v>
      </c>
      <c r="D16" s="4" t="n">
        <f aca="false" t="array" ref="D16:D16">SUM(Capacity!V16*Demand!D16*Capacity!$DH$3:$DH$25/(TRANSPOSE(Dists!$B15:$X15)*SUM(Capacity!$DH$3:$DH$25/TRANSPOSE(Dists!$B15:$X15))))</f>
        <v>1043.97551167674</v>
      </c>
      <c r="E16" s="4" t="n">
        <f aca="false" t="array" ref="E16:E16">SUM(Capacity!Y16*Demand!E16*Capacity!$DH$3:$DH$25/(TRANSPOSE(Dists!$B15:$X15)*SUM(Capacity!$DH$3:$DH$25/TRANSPOSE(Dists!$B15:$X15))))</f>
        <v>192.495884898188</v>
      </c>
      <c r="F16" s="4" t="n">
        <f aca="false">$E16*Capacity!$M16/(2*(1-Capacity!$H$28)*Capacity!$H16)</f>
        <v>70.495740652856</v>
      </c>
      <c r="G16" s="4" t="n">
        <f aca="false" t="array" ref="G16:G16">SUM(Capacity!AA16*Demand!G16*Capacity!$DH$3:$DH$25/(TRANSPOSE(Dists!$B15:$X15)*SUM(Capacity!$DH$3:$DH$25/TRANSPOSE(Dists!$B15:$X15))))</f>
        <v>112.986830721316</v>
      </c>
      <c r="H16" s="4" t="n">
        <f aca="false" t="array" ref="H16:H16">SUM(Capacity!AB16*Demand!H16*Capacity!$DH$3:$DH$25/(TRANSPOSE(Dists!$B15:$X15)*SUM(Capacity!$DH$3:$DH$25/TRANSPOSE(Dists!$B15:$X15))))</f>
        <v>0</v>
      </c>
      <c r="I16" s="4" t="n">
        <f aca="false" t="array" ref="I16:I16">SUM(Capacity!AC16*Demand!I$3:I$25*Capacity!$DG$3:$DG$25/(TRANSPOSE(Dists!$B15:$X15)*SUM(Capacity!$DG$3:$DG$25/TRANSPOSE(Dists!$B15:$X15))))</f>
        <v>3.29390050676872</v>
      </c>
      <c r="J16" s="4" t="n">
        <f aca="false" t="array" ref="J16:J16">SUM(Capacity!AD16*Demand!J$3:J$25*Capacity!$DG$3:$DG$25/(TRANSPOSE(Dists!$B15:$X15)*SUM(Capacity!$DG$3:$DG$25/TRANSPOSE(Dists!$B15:$X15))))</f>
        <v>2.47585706823128</v>
      </c>
      <c r="K16" s="4" t="n">
        <f aca="false">5479.45205479452*$R16</f>
        <v>528794.946587882</v>
      </c>
      <c r="L16" s="4" t="n">
        <f aca="false">17142.8571428571*$S16</f>
        <v>208954.453014201</v>
      </c>
      <c r="M16" s="4" t="n">
        <f aca="false">IF(50420.1680672269*$T16&gt;($K16/20),50420.1680672269*$T16-($K16/20),0)</f>
        <v>317047.024748746</v>
      </c>
      <c r="N16" s="4" t="n">
        <f aca="false" t="array" ref="N16:N16">SUM(Capacity!AH16*Demand!N16*Capacity!$DH$3:$DH$25/(TRANSPOSE(Dists!$B15:$X15)*SUM(Capacity!$DH$3:$DH$25/TRANSPOSE(Dists!$B15:$X15))))</f>
        <v>219.780211908807</v>
      </c>
      <c r="O16" s="4" t="n">
        <f aca="false">D44*DemClcs!$A$31*DemClcs!$A$32</f>
        <v>1116.93741380946</v>
      </c>
      <c r="P16" s="4" t="n">
        <f aca="false">O16*DemClcs!$A$29*DemClcs!$A$30</f>
        <v>446.774965523784</v>
      </c>
      <c r="Q16" s="4" t="n">
        <f aca="false" t="array" ref="Q16:Q16">SUM(Capacity!AK16*Demand!Q16*Capacity!$DI$3:$DI$25/(TRANSPOSE(Dists!$B15:$X15)*SUM(Capacity!$DI$3:$DI$25/TRANSPOSE(Dists!$B15:$X15))))</f>
        <v>4.60101574456751</v>
      </c>
      <c r="R16" s="4" t="n">
        <f aca="false" t="array" ref="R16:R16">SUM(Capacity!AL16*Demand!R16*Capacity!$DH$3:$DH$25/(TRANSPOSE(Dists!$B15:$X15)*SUM(Capacity!$DH$3:$DH$25/TRANSPOSE(Dists!$B15:$X15))))</f>
        <v>96.5050777522884</v>
      </c>
      <c r="S16" s="4" t="n">
        <f aca="false">SUM($BG44,$BI44,$BK44)*Capacity!AM16/SUM(Capacity!$AM16:$AN16,Capacity!$CX16)</f>
        <v>12.1890097591618</v>
      </c>
      <c r="T16" s="4" t="n">
        <f aca="false">SUM($BG44,$BI44,$BK44)*Capacity!AN16/SUM(Capacity!$AM16:$AN16,Capacity!$CX16)</f>
        <v>6.81248764621644</v>
      </c>
      <c r="U16" s="4" t="n">
        <f aca="false">$M16*120*2/(16*1000*2000)</f>
        <v>2.37785268561559</v>
      </c>
      <c r="V16" s="4" t="n">
        <f aca="false" t="array" ref="V16:V16">SUM(Capacity!AP16*Demand!V$3:V$25*Capacity!$DH$3:$DH$25/(TRANSPOSE(Dists!$B15:$X15)*SUM(Capacity!$DH$3:$DH$25/TRANSPOSE(Dists!$B15:$X15))))</f>
        <v>74.3163393398112</v>
      </c>
      <c r="W16" s="4" t="n">
        <f aca="false" t="array" ref="W16:W16">SUM(Capacity!AQ16*Demand!W$3:W$25*Capacity!$DH$3:$DH$25/(TRANSPOSE(Dists!$B15:$X15)*SUM(Capacity!$DH$3:$DH$25/TRANSPOSE(Dists!$B15:$X15))))</f>
        <v>328.716667795445</v>
      </c>
      <c r="X16" s="4" t="n">
        <f aca="false" t="array" ref="X16:X16">SUM(Capacity!AR16*Demand!X$3:X$25*Capacity!$DH$3:$DH$25/(TRANSPOSE(Dists!$B15:$X15)*SUM(Capacity!$DH$3:$DH$25/TRANSPOSE(Dists!$B15:$X15))))</f>
        <v>664.239190385125</v>
      </c>
      <c r="Y16" s="4" t="n">
        <f aca="false">$L16*600*6/(90*1000*2000)</f>
        <v>4.17908906028403</v>
      </c>
      <c r="Z16" s="4" t="n">
        <f aca="false" t="array" ref="Z16:Z16">SUM(Capacity!AT16*Demand!Z$3:Z$25*Capacity!$DI$3:$DI$25/(TRANSPOSE(Dists!$B15:$X15)*SUM(Capacity!$DI$3:$DI$25/TRANSPOSE(Dists!$B15:$X15))))</f>
        <v>31.2657422325202</v>
      </c>
      <c r="AA16" s="4" t="n">
        <f aca="false" t="array" ref="AA16:AA16">SUM(Capacity!AU16*Demand!AA$3:AA$25*Capacity!$DI$3:$DI$25/(TRANSPOSE(Dists!$B15:$X15)*SUM(Capacity!$DI$3:$DI$25/TRANSPOSE(Dists!$B15:$X15))))</f>
        <v>18.0451209327233</v>
      </c>
      <c r="AB16" s="4" t="n">
        <f aca="false" t="array" ref="AB16:AB16">SUM(Capacity!AV16*Demand!AB$3:AB$25*Capacity!$DI$3:$DI$25/(TRANSPOSE(Dists!$B15:$X15)*SUM(Capacity!$DI$3:$DI$25/TRANSPOSE(Dists!$B15:$X15))))</f>
        <v>17.4539640774065</v>
      </c>
      <c r="AC16" s="4" t="n">
        <f aca="false" t="array" ref="AC16:AC16">SUM(Capacity!AW16*Demand!AC$3:AC$25*Capacity!$DI$3:$DI$25/(TRANSPOSE(Dists!$B15:$X15)*SUM(Capacity!$DI$3:$DI$25/TRANSPOSE(Dists!$B15:$X15))))</f>
        <v>3.05155270100006</v>
      </c>
      <c r="AD16" s="4" t="n">
        <f aca="false" t="array" ref="AD16:AD16">SUM(Capacity!AX16*Demand!AD$3:AD$25*Capacity!$DI$3:$DI$25/(TRANSPOSE(Dists!$B15:$X15)*SUM(Capacity!$DI$3:$DI$25/TRANSPOSE(Dists!$B15:$X15))))</f>
        <v>2.8574000133057</v>
      </c>
      <c r="AE16" s="4" t="n">
        <f aca="false" t="array" ref="AE16:AE16">SUM(Capacity!AY16*Demand!AE$3:AE$25*Capacity!$DI$3:$DI$25/(TRANSPOSE(Dists!$B15:$X15)*SUM(Capacity!$DI$3:$DI$25/TRANSPOSE(Dists!$B15:$X15))))</f>
        <v>1.88822899085122</v>
      </c>
      <c r="AF16" s="4" t="n">
        <f aca="false" t="array" ref="AF16:AF16">SUM(Capacity!AZ16*Demand!AF$3:AF$25*Capacity!$DI$3:$DI$25/(TRANSPOSE(Dists!$B15:$X15)*SUM(Capacity!$DI$3:$DI$25/TRANSPOSE(Dists!$B15:$X15))))</f>
        <v>0.366530870735043</v>
      </c>
      <c r="AG16" s="4" t="n">
        <f aca="false" t="array" ref="AG16:AG16">SUM(Capacity!BA16*Demand!AG$3:AG$25*Capacity!$DI$3:$DI$25/(TRANSPOSE(Dists!$B15:$X15)*SUM(Capacity!$DI$3:$DI$25/TRANSPOSE(Dists!$B15:$X15))))</f>
        <v>1.83508908581777</v>
      </c>
      <c r="AH16" s="4" t="n">
        <f aca="false" t="array" ref="AH16:AH16">SUM(Capacity!BB16*Demand!AH$3:AH$25*Capacity!$DI$3:$DI$25/(TRANSPOSE(Dists!$B15:$X15)*SUM(Capacity!$DI$3:$DI$25/TRANSPOSE(Dists!$B15:$X15))))</f>
        <v>1.48732325124839</v>
      </c>
      <c r="AI16" s="4" t="n">
        <f aca="false" t="array" ref="AI16:AI16">SUM(Capacity!BC16*Demand!AI$3:AI$25*Capacity!$DI$3:$DI$25/(TRANSPOSE(Dists!$B15:$X15)*SUM(Capacity!$DI$3:$DI$25/TRANSPOSE(Dists!$B15:$X15))))</f>
        <v>0.212764112670365</v>
      </c>
      <c r="AJ16" s="4" t="n">
        <f aca="false" t="array" ref="AJ16:AJ16">SUM(Capacity!BD16*Demand!AJ$3:AJ$25*Capacity!$DI$3:$DI$25/(TRANSPOSE(Dists!$B15:$X15)*SUM(Capacity!$DI$3:$DI$25/TRANSPOSE(Dists!$B15:$X15))))</f>
        <v>0.658248827906672</v>
      </c>
      <c r="AK16" s="4" t="n">
        <f aca="false" t="array" ref="AK16:AK16">SUM(Capacity!BE16*Demand!AK$3:AK$25*Capacity!$DI$3:$DI$25/(TRANSPOSE(Dists!$B15:$X15)*SUM(Capacity!$DI$3:$DI$25/TRANSPOSE(Dists!$B15:$X15))))</f>
        <v>0.433103734676717</v>
      </c>
      <c r="AL16" s="4" t="n">
        <f aca="false" t="array" ref="AL16:AL16">SUM(Capacity!BF16*Demand!AL$3:AL$25*Capacity!$DI$3:$DI$25/(TRANSPOSE(Dists!$B15:$X15)*SUM(Capacity!$DI$3:$DI$25/TRANSPOSE(Dists!$B15:$X15))))</f>
        <v>0.249301702032734</v>
      </c>
      <c r="AM16" s="4" t="n">
        <f aca="false" t="array" ref="AM16:AM16">SUM(Capacity!BG16*Demand!AM$3:AM$25*Capacity!$DI$3:$DI$25/(TRANSPOSE(Dists!$B15:$X15)*SUM(Capacity!$DI$3:$DI$25/TRANSPOSE(Dists!$B15:$X15))))</f>
        <v>0.563053503590833</v>
      </c>
      <c r="AN16" s="4" t="n">
        <f aca="false" t="array" ref="AN16:AN16">SUM(Capacity!BH16*Demand!AN$3:AN$25*Capacity!$DI$3:$DI$25/(TRANSPOSE(Dists!$B15:$X15)*SUM(Capacity!$DI$3:$DI$25/TRANSPOSE(Dists!$B15:$X15))))</f>
        <v>0.37195316942212</v>
      </c>
      <c r="AO16" s="4" t="n">
        <f aca="false" t="array" ref="AO16:AO16">SUM(Capacity!BI16*Demand!AO$3:AO$25*Capacity!$DI$3:$DI$25/(TRANSPOSE(Dists!$B15:$X15)*SUM(Capacity!$DI$3:$DI$25/TRANSPOSE(Dists!$B15:$X15))))</f>
        <v>1.18657670334208</v>
      </c>
      <c r="AP16" s="4" t="n">
        <f aca="false" t="array" ref="AP16:AP16">SUM(Capacity!BJ16*Demand!AP$3:AP$25*Capacity!$DI$3:$DI$25/(TRANSPOSE(Dists!$B15:$X15)*SUM(Capacity!$DI$3:$DI$25/TRANSPOSE(Dists!$B15:$X15))))</f>
        <v>0.564598851877695</v>
      </c>
      <c r="AQ16" s="4" t="n">
        <f aca="false" t="array" ref="AQ16:AQ16">SUM(Capacity!BK16*Demand!AQ$3:AQ$25*Capacity!$DI$3:$DI$25/(TRANSPOSE(Dists!$B15:$X15)*SUM(Capacity!$DI$3:$DI$25/TRANSPOSE(Dists!$B15:$X15))))</f>
        <v>0.0717030269388794</v>
      </c>
      <c r="AR16" s="4" t="n">
        <f aca="false" t="array" ref="AR16:AR16">SUM(Capacity!BL16*Demand!AR$3:AR$25*Capacity!$DI$3:$DI$25/(TRANSPOSE(Dists!$B15:$X15)*SUM(Capacity!$DI$3:$DI$25/TRANSPOSE(Dists!$B15:$X15))))</f>
        <v>0.09095924327619</v>
      </c>
      <c r="AS16" s="4" t="n">
        <f aca="false" t="array" ref="AS16:AS16">SUM(Capacity!BM16*Demand!AS$3:AS$25*Capacity!$DI$3:$DI$25/(TRANSPOSE(Dists!$B15:$X15)*SUM(Capacity!$DI$3:$DI$25/TRANSPOSE(Dists!$B15:$X15))))</f>
        <v>0.160010025827002</v>
      </c>
      <c r="AT16" s="4" t="n">
        <f aca="false" t="array" ref="AT16:AT16">SUM(Capacity!BN16*Demand!AT$3:AT$25*Capacity!$DI$3:$DI$25/(TRANSPOSE(Dists!$B15:$X15)*SUM(Capacity!$DI$3:$DI$25/TRANSPOSE(Dists!$B15:$X15))))</f>
        <v>2.03779340924565</v>
      </c>
      <c r="AU16" s="4" t="n">
        <f aca="false" t="array" ref="AU16:AU16">SUM(Capacity!BO16*Demand!AU$3:AU$25*Capacity!$DI$3:$DI$25/(TRANSPOSE(Dists!$B15:$X15)*SUM(Capacity!$DI$3:$DI$25/TRANSPOSE(Dists!$B15:$X15))))</f>
        <v>1.24348050811193</v>
      </c>
      <c r="AV16" s="4" t="n">
        <f aca="false" t="array" ref="AV16:AV16">SUM(Capacity!BP16*Demand!AV$3:AV$25*Capacity!$DI$3:$DI$25/(TRANSPOSE(Dists!$B15:$X15)*SUM(Capacity!$DI$3:$DI$25/TRANSPOSE(Dists!$B15:$X15))))</f>
        <v>0.0741934437336219</v>
      </c>
      <c r="AW16" s="4" t="n">
        <f aca="false" t="array" ref="AW16:AW16">SUM(Capacity!BQ16*Demand!AW$3:AW$25*Capacity!$DI$3:$DI$25/(TRANSPOSE(Dists!$B15:$X15)*SUM(Capacity!$DI$3:$DI$25/TRANSPOSE(Dists!$B15:$X15))))</f>
        <v>1.64530248137959</v>
      </c>
      <c r="AX16" s="4" t="n">
        <f aca="false" t="array" ref="AX16:AX16">SUM(Capacity!BR16*Demand!AX$3:AX$25*Capacity!$DI$3:$DI$25/(TRANSPOSE(Dists!$B15:$X15)*SUM(Capacity!$DI$3:$DI$25/TRANSPOSE(Dists!$B15:$X15))))</f>
        <v>0.108826589645206</v>
      </c>
      <c r="AY16" s="4" t="n">
        <f aca="false" t="array" ref="AY16:AY16">SUM(Capacity!BS16*Demand!AY$3:AY$25*Capacity!$DI$3:$DI$25/(TRANSPOSE(Dists!$B15:$X15)*SUM(Capacity!$DI$3:$DI$25/TRANSPOSE(Dists!$B15:$X15))))</f>
        <v>0.229040668871756</v>
      </c>
      <c r="AZ16" s="4" t="n">
        <f aca="false" t="array" ref="AZ16:AZ16">SUM(Capacity!BT16*Demand!AZ$3:AZ$25*Capacity!$DI$3:$DI$25/(TRANSPOSE(Dists!$B15:$X15)*SUM(Capacity!$DI$3:$DI$25/TRANSPOSE(Dists!$B15:$X15))))</f>
        <v>1.38487627608516</v>
      </c>
      <c r="BA16" s="4" t="n">
        <f aca="false">L16*25/(2000*1000*51)</f>
        <v>0.051214326719167</v>
      </c>
      <c r="BB16" s="4" t="n">
        <f aca="false" t="array" ref="BB16:BB16">SUM(Capacity!BV16*Demand!BB$3:BB$25*Capacity!$DI$3:$DI$25/(TRANSPOSE(Dists!$B15:$X15)*SUM(Capacity!$DI$3:$DI$25/TRANSPOSE(Dists!$B15:$X15))))</f>
        <v>0.207055691959736</v>
      </c>
      <c r="BC16" s="4" t="n">
        <f aca="false" t="array" ref="BC16:BC16">SUM(Capacity!BW16*Demand!BC$3:BC$25*Capacity!$DI$3:$DI$25/(TRANSPOSE(Dists!$B15:$X15)*SUM(Capacity!$DI$3:$DI$25/TRANSPOSE(Dists!$B15:$X15))))</f>
        <v>0.13996837531867</v>
      </c>
      <c r="BD16" s="4" t="n">
        <f aca="false" t="array" ref="BD16:BD16">SUM(Capacity!BX16*Demand!BD$3:BD$25*Capacity!$DI$3:$DI$25/(TRANSPOSE(Dists!$B15:$X15)*SUM(Capacity!$DI$3:$DI$25/TRANSPOSE(Dists!$B15:$X15))))</f>
        <v>0.0882373695830371</v>
      </c>
      <c r="BE16" s="4" t="n">
        <f aca="false" t="array" ref="BE16:BE16">SUM(Capacity!BY16*Demand!BE$3:BE$25*Capacity!$DI$3:$DI$25/(TRANSPOSE(Dists!$B15:$X15)*SUM(Capacity!$DI$3:$DI$25/TRANSPOSE(Dists!$B15:$X15))))</f>
        <v>0.0620129604123688</v>
      </c>
      <c r="BF16" s="4" t="n">
        <f aca="false" t="array" ref="BF16:BF16">SUM(Capacity!BZ16*Demand!BF$3:BF$25*Capacity!$DI$3:$DI$25/(TRANSPOSE(Dists!$B15:$X15)*SUM(Capacity!$DI$3:$DI$25/TRANSPOSE(Dists!$B15:$X15))))</f>
        <v>3.45928604885045</v>
      </c>
      <c r="BG16" s="4" t="n">
        <f aca="false" t="array" ref="BG16:BG16">SUM(Capacity!CA16*Demand!BG$3:BG$25*Capacity!$DI$3:$DI$25/(TRANSPOSE(Dists!$B15:$X15)*SUM(Capacity!$DI$3:$DI$25/TRANSPOSE(Dists!$B15:$X15))))</f>
        <v>12.8346683259729</v>
      </c>
      <c r="BH16" s="4" t="n">
        <f aca="false" t="array" ref="BH16:BH16">SUM(Capacity!CB16*Demand!BH$3:BH$25*Capacity!$DI$3:$DI$25/(TRANSPOSE(Dists!$B15:$X15)*SUM(Capacity!$DI$3:$DI$25/TRANSPOSE(Dists!$B15:$X15))))</f>
        <v>25.8246411193912</v>
      </c>
      <c r="BI16" s="4" t="n">
        <f aca="false" t="array" ref="BI16:BI16">SUM(Capacity!CC16*Demand!BI16*Capacity!$DI$3:$DI$25/(TRANSPOSE(Dists!$B15:$X15)*SUM(Capacity!$DI$3:$DI$25/TRANSPOSE(Dists!$B15:$X15))))</f>
        <v>25.8018898066333</v>
      </c>
      <c r="BJ16" s="4" t="n">
        <f aca="false" t="array" ref="BJ16:BJ16">SUM(Capacity!CD16*Demand!BJ16*Capacity!$DI$3:$DI$25/(TRANSPOSE(Dists!$B15:$X15)*SUM(Capacity!$DI$3:$DI$25/TRANSPOSE(Dists!$B15:$X15))))</f>
        <v>597.24780119508</v>
      </c>
      <c r="BK16" s="4" t="n">
        <f aca="false" t="array" ref="BK16:BK16">SUM(Capacity!CE16*Demand!BK16*Capacity!$DI$3:$DI$25/(TRANSPOSE(Dists!$B15:$X15)*SUM(Capacity!$DI$3:$DI$25/TRANSPOSE(Dists!$B15:$X15))))</f>
        <v>12.9009449033167</v>
      </c>
      <c r="BL16" s="4" t="n">
        <f aca="false" t="array" ref="BL16:BL16">SUM(Capacity!CF16*Demand!BL16*Capacity!$DI$3:$DI$25/(TRANSPOSE(Dists!$B15:$X15)*SUM(Capacity!$DI$3:$DI$25/TRANSPOSE(Dists!$B15:$X15))))</f>
        <v>436.622293922119</v>
      </c>
      <c r="BM16" s="4" t="n">
        <f aca="false" t="array" ref="BM16:BM16">SUM(Capacity!CG16*Demand!BM16*Capacity!$DI$3:$DI$25/(TRANSPOSE(Dists!$B15:$X15)*SUM(Capacity!$DI$3:$DI$25/TRANSPOSE(Dists!$B15:$X15))))</f>
        <v>41.9354467417634</v>
      </c>
      <c r="BN16" s="4" t="n">
        <f aca="false">MAX($BO16/0.006,$BP16/0.7,$BR16/0.002,$BS16/0.001)</f>
        <v>0.000230772122642165</v>
      </c>
      <c r="BO16" s="4" t="n">
        <f aca="false" t="array" ref="BO16:BO16">SUM(Capacity!CI16*Demand!BO16*Capacity!$DI$3:$DI$25/(TRANSPOSE(Dists!$B15:$X15)*SUM(Capacity!$DI$3:$DI$25/TRANSPOSE(Dists!$B15:$X15))))</f>
        <v>1.38463273585299E-006</v>
      </c>
      <c r="BP16" s="4" t="n">
        <f aca="false" t="array" ref="BP16:BP16">SUM(Capacity!CJ16*Demand!BP16*Capacity!$DI$3:$DI$25/(TRANSPOSE(Dists!$B15:$X15)*SUM(Capacity!$DI$3:$DI$25/TRANSPOSE(Dists!$B15:$X15))))</f>
        <v>2.16726850508547E-008</v>
      </c>
      <c r="BQ16" s="4" t="n">
        <f aca="false" t="array" ref="BQ16:BQ16">SUM(Capacity!CK16*Demand!BQ16*Capacity!$DI$3:$DI$25/(TRANSPOSE(Dists!$B15:$X15)*SUM(Capacity!$DI$3:$DI$25/TRANSPOSE(Dists!$B15:$X15))))</f>
        <v>0</v>
      </c>
      <c r="BR16" s="4" t="n">
        <f aca="false" t="array" ref="BR16:BR16">SUM(Capacity!CL16*Demand!BR16*Capacity!$DI$3:$DI$25/(TRANSPOSE(Dists!$B15:$X15)*SUM(Capacity!$DI$3:$DI$25/TRANSPOSE(Dists!$B15:$X15))))</f>
        <v>1.38463273585299E-007</v>
      </c>
      <c r="BS16" s="4" t="n">
        <f aca="false" t="array" ref="BS16:BS16">SUM(Capacity!CM16*Demand!BS16*Capacity!$DI$3:$DI$25/(TRANSPOSE(Dists!$B15:$X15)*SUM(Capacity!$DI$3:$DI$25/TRANSPOSE(Dists!$B15:$X15))))</f>
        <v>2.76926418786311E-008</v>
      </c>
      <c r="BT16" s="4" t="n">
        <f aca="false" t="array" ref="BT16:BT16">SUM(Capacity!CN16*Demand!BT16*Capacity!$DI$3:$DI$25/(TRANSPOSE(Dists!$B15:$X15)*SUM(Capacity!$DI$3:$DI$25/TRANSPOSE(Dists!$B15:$X15))))</f>
        <v>2.374540956192</v>
      </c>
      <c r="BU16" s="4" t="n">
        <f aca="false" t="array" ref="BU16:BU16">SUM(Capacity!CO16*Demand!BU16*Capacity!$DI$3:$DI$25/(TRANSPOSE(Dists!$B15:$X15)*SUM(Capacity!$DI$3:$DI$25/TRANSPOSE(Dists!$B15:$X15))))</f>
        <v>0.2374540956192</v>
      </c>
      <c r="BV16" s="4" t="n">
        <f aca="false" t="array" ref="BV16:BV16">SUM(Capacity!CP16*Demand!BV16*Capacity!$DI$3:$DI$25/(TRANSPOSE(Dists!$B15:$X15)*SUM(Capacity!$DI$3:$DI$25/TRANSPOSE(Dists!$B15:$X15))))</f>
        <v>0.02374540956192</v>
      </c>
      <c r="BW16" s="4" t="n">
        <f aca="false">E44*DemClcs!$A$40*DemClcs!$A$41*8.34/(DemClcs!$A$38)</f>
        <v>1298.51279379072</v>
      </c>
      <c r="BX16" s="4" t="n">
        <f aca="false" t="array" ref="BX16:BX16">SUM(Capacity!CR16*Demand!BX16*Capacity!$DI$3:$DI$25/(TRANSPOSE(Dists!$B15:$X15)*SUM(Capacity!$DI$3:$DI$25/TRANSPOSE(Dists!$B15:$X15))))</f>
        <v>3.48996217177851</v>
      </c>
      <c r="BY16" s="4" t="n">
        <f aca="false" t="array" ref="BY16:BY16">SUM(Capacity!CS16*Demand!BY16*Capacity!$DI$3:$DI$25/(TRANSPOSE(Dists!$B15:$X15)*SUM(Capacity!$DI$3:$DI$25/TRANSPOSE(Dists!$B15:$X15))))</f>
        <v>14.0833200776046</v>
      </c>
      <c r="BZ16" s="4" t="n">
        <f aca="false" t="array" ref="BZ16:BZ16">SUM(Capacity!CT16*Demand!BZ16*Capacity!$DI$3:$DI$25/(TRANSPOSE(Dists!$B15:$X15)*SUM(Capacity!$DI$3:$DI$25/TRANSPOSE(Dists!$B15:$X15))))</f>
        <v>0.430209199771446</v>
      </c>
      <c r="CA16" s="4" t="n">
        <f aca="false" t="array" ref="CA16:CA16">SUM(Capacity!CU16*Demand!CA16*Capacity!$DI$3:$DI$25/(TRANSPOSE(Dists!$B15:$X15)*SUM(Capacity!$DI$3:$DI$25/TRANSPOSE(Dists!$B15:$X15))))</f>
        <v>0.0590902644105347</v>
      </c>
      <c r="CB16" s="4" t="n">
        <f aca="false" t="array" ref="CB16:CB16">SUM(Capacity!CV16*Demand!CB16*Capacity!$DI$3:$DI$25/(TRANSPOSE(Dists!$B15:$X15)*SUM(Capacity!$DI$3:$DI$25/TRANSPOSE(Dists!$B15:$X15))))</f>
        <v>182.059380375778</v>
      </c>
      <c r="CC16" s="4" t="n">
        <f aca="false" t="array" ref="CC16:CC16">SUM(Capacity!CW16*Demand!CC16*Capacity!$DI$3:$DI$25/(TRANSPOSE(Dists!$B15:$X15)*SUM(Capacity!$DI$3:$DI$25/TRANSPOSE(Dists!$B15:$X15))))</f>
        <v>55.8228576286487</v>
      </c>
      <c r="CD16" s="4" t="n">
        <f aca="false">SUM($BG44,$BI44,$BK44)*Capacity!CX16/SUM(Capacity!$AM16:$AN16,Capacity!$CX16)</f>
        <v>59.1945293275866</v>
      </c>
      <c r="CE16" s="4" t="n">
        <f aca="false" t="array" ref="CE16:CE16">SUM(Capacity!CY16*Demand!CE16*Capacity!$DI$3:$DI$25/(TRANSPOSE(Dists!$B15:$X15)*SUM(Capacity!$DI$3:$DI$25/TRANSPOSE(Dists!$B15:$X15))))</f>
        <v>2.975479224575</v>
      </c>
      <c r="CF16" s="4" t="n">
        <f aca="false" t="array" ref="CF16:CF16">SUM(Capacity!CZ16*Demand!CF16*Capacity!$DI$3:$DI$25/(TRANSPOSE(Dists!$B15:$X15)*SUM(Capacity!$DI$3:$DI$25/TRANSPOSE(Dists!$B15:$X15))))</f>
        <v>182.017494581868</v>
      </c>
      <c r="CG16" s="4" t="n">
        <f aca="false" t="array" ref="CG16:CG16">SUM(Capacity!DA16*Demand!CG16*Capacity!$DI$3:$DI$25/(TRANSPOSE(Dists!$B15:$X15)*SUM(Capacity!$DI$3:$DI$25/TRANSPOSE(Dists!$B15:$X15))))</f>
        <v>0.000193799398928504</v>
      </c>
      <c r="CH16" s="4" t="n">
        <f aca="false" t="array" ref="CH16:CH16">SUM(Capacity!DB16*Demand!CH16*Capacity!$DI$3:$DI$25/(TRANSPOSE(Dists!$B15:$X15)*SUM(Capacity!$DI$3:$DI$25/TRANSPOSE(Dists!$B15:$X15))))</f>
        <v>6.46305432625534E-005</v>
      </c>
      <c r="CI16" s="4" t="n">
        <f aca="false" t="array" ref="CI16:CI16">SUM(Capacity!DC16*Demand!CI16*Capacity!$DI$3:$DI$25/(TRANSPOSE(Dists!$B15:$X15)*SUM(Capacity!$DI$3:$DI$25/TRANSPOSE(Dists!$B15:$X15))))</f>
        <v>0.09857297986652</v>
      </c>
      <c r="CJ16" s="4" t="n">
        <f aca="false" t="array" ref="CJ16:CJ16">SUM(Capacity!DD16*Demand!CJ16*Capacity!$DI$3:$DI$25/(TRANSPOSE(Dists!$B15:$X15)*SUM(Capacity!$DI$3:$DI$25/TRANSPOSE(Dists!$B15:$X15))))</f>
        <v>0.0163186871766101</v>
      </c>
      <c r="CK16" s="4" t="n">
        <f aca="false" t="array" ref="CK16:CK16">SUM(Capacity!DE16*Demand!CK16*Capacity!$DI$3:$DI$25/(TRANSPOSE(Dists!$B15:$X15)*SUM(Capacity!$DI$3:$DI$25/TRANSPOSE(Dists!$B15:$X15))))</f>
        <v>3.72572150161531</v>
      </c>
      <c r="CL16" s="7" t="s">
        <v>322</v>
      </c>
    </row>
    <row r="17" customFormat="false" ht="12.8" hidden="false" customHeight="false" outlineLevel="0" collapsed="false">
      <c r="A17" s="4" t="s">
        <v>151</v>
      </c>
      <c r="B17" s="7" t="s">
        <v>39</v>
      </c>
      <c r="C17" s="4" t="n">
        <f aca="false" t="array" ref="C17:C17">SUM(Capacity!S17*Demand!C17*Capacity!$DH$3:$DH$25/(TRANSPOSE(Dists!$B16:$X16)*SUM(Capacity!$DH$3:$DH$25/TRANSPOSE(Dists!$B16:$X16))))</f>
        <v>0.0748995268708194</v>
      </c>
      <c r="D17" s="4" t="n">
        <f aca="false" t="array" ref="D17:D17">SUM(Capacity!V17*Demand!D17*Capacity!$DH$3:$DH$25/(TRANSPOSE(Dists!$B16:$X16)*SUM(Capacity!$DH$3:$DH$25/TRANSPOSE(Dists!$B16:$X16))))</f>
        <v>6045.48853712107</v>
      </c>
      <c r="E17" s="4" t="n">
        <f aca="false" t="array" ref="E17:E17">SUM(Capacity!Y17*Demand!E17*Capacity!$DH$3:$DH$25/(TRANSPOSE(Dists!$B16:$X16)*SUM(Capacity!$DH$3:$DH$25/TRANSPOSE(Dists!$B16:$X16))))</f>
        <v>911.254722101222</v>
      </c>
      <c r="F17" s="4" t="n">
        <f aca="false">$E17*Capacity!$M17/(2*(1-Capacity!$H$28)*Capacity!$H17)</f>
        <v>326.80151029271</v>
      </c>
      <c r="G17" s="4" t="n">
        <f aca="false" t="array" ref="G17:G17">SUM(Capacity!AA17*Demand!G17*Capacity!$DH$3:$DH$25/(TRANSPOSE(Dists!$B16:$X16)*SUM(Capacity!$DH$3:$DH$25/TRANSPOSE(Dists!$B16:$X16))))</f>
        <v>1172.63879117509</v>
      </c>
      <c r="H17" s="4" t="n">
        <f aca="false" t="array" ref="H17:H17">SUM(Capacity!AB17*Demand!H17*Capacity!$DH$3:$DH$25/(TRANSPOSE(Dists!$B16:$X16)*SUM(Capacity!$DH$3:$DH$25/TRANSPOSE(Dists!$B16:$X16))))</f>
        <v>0</v>
      </c>
      <c r="I17" s="4" t="n">
        <f aca="false" t="array" ref="I17:I17">SUM(Capacity!AC17*Demand!I$3:I$25*Capacity!$DG$3:$DG$25/(TRANSPOSE(Dists!$B16:$X16)*SUM(Capacity!$DG$3:$DG$25/TRANSPOSE(Dists!$B16:$X16))))</f>
        <v>3.73987476223601</v>
      </c>
      <c r="J17" s="4" t="n">
        <f aca="false" t="array" ref="J17:J17">SUM(Capacity!AD17*Demand!J$3:J$25*Capacity!$DG$3:$DG$25/(TRANSPOSE(Dists!$B16:$X16)*SUM(Capacity!$DG$3:$DG$25/TRANSPOSE(Dists!$B16:$X16))))</f>
        <v>4.03675501276398</v>
      </c>
      <c r="K17" s="4" t="n">
        <f aca="false">5479.45205479452*$R17</f>
        <v>1486441.74854062</v>
      </c>
      <c r="L17" s="4" t="n">
        <f aca="false">17142.8571428571*$S17</f>
        <v>501869.929127156</v>
      </c>
      <c r="M17" s="4" t="n">
        <f aca="false">IF(50420.1680672269*$T17&gt;($K17/20),50420.1680672269*$T17-($K17/20),0)</f>
        <v>750669.576891584</v>
      </c>
      <c r="N17" s="4" t="n">
        <f aca="false" t="array" ref="N17:N17">SUM(Capacity!AH17*Demand!N17*Capacity!$DH$3:$DH$25/(TRANSPOSE(Dists!$B16:$X16)*SUM(Capacity!$DH$3:$DH$25/TRANSPOSE(Dists!$B16:$X16))))</f>
        <v>1539.66865054045</v>
      </c>
      <c r="O17" s="4" t="n">
        <f aca="false">D45*DemClcs!$A$31*DemClcs!$A$32</f>
        <v>2349.44242071736</v>
      </c>
      <c r="P17" s="4" t="n">
        <f aca="false">O17*DemClcs!$A$29*DemClcs!$A$30</f>
        <v>939.776968286944</v>
      </c>
      <c r="Q17" s="4" t="n">
        <f aca="false" t="array" ref="Q17:Q17">SUM(Capacity!AK17*Demand!Q17*Capacity!$DI$3:$DI$25/(TRANSPOSE(Dists!$B16:$X16)*SUM(Capacity!$DI$3:$DI$25/TRANSPOSE(Dists!$B16:$X16))))</f>
        <v>16.8464872244484</v>
      </c>
      <c r="R17" s="4" t="n">
        <f aca="false" t="array" ref="R17:R17">SUM(Capacity!AL17*Demand!R17*Capacity!$DH$3:$DH$25/(TRANSPOSE(Dists!$B16:$X16)*SUM(Capacity!$DH$3:$DH$25/TRANSPOSE(Dists!$B16:$X16))))</f>
        <v>271.275619108662</v>
      </c>
      <c r="S17" s="4" t="n">
        <f aca="false">SUM($BG45,$BI45,$BK45)*Capacity!AM17/SUM(Capacity!$AM17:$AN17,Capacity!$CX17)</f>
        <v>29.2757458657508</v>
      </c>
      <c r="T17" s="4" t="n">
        <f aca="false">SUM($BG45,$BI45,$BK45)*Capacity!AN17/SUM(Capacity!$AM17:$AN17,Capacity!$CX17)</f>
        <v>16.3623346756525</v>
      </c>
      <c r="U17" s="4" t="n">
        <f aca="false">$M17*120*2/(16*1000*2000)</f>
        <v>5.63002182668688</v>
      </c>
      <c r="V17" s="4" t="n">
        <f aca="false" t="array" ref="V17:V17">SUM(Capacity!AP17*Demand!V$3:V$25*Capacity!$DH$3:$DH$25/(TRANSPOSE(Dists!$B16:$X16)*SUM(Capacity!$DH$3:$DH$25/TRANSPOSE(Dists!$B16:$X16))))</f>
        <v>215.046232363776</v>
      </c>
      <c r="W17" s="4" t="n">
        <f aca="false" t="array" ref="W17:W17">SUM(Capacity!AQ17*Demand!W$3:W$25*Capacity!$DH$3:$DH$25/(TRANSPOSE(Dists!$B16:$X16)*SUM(Capacity!$DH$3:$DH$25/TRANSPOSE(Dists!$B16:$X16))))</f>
        <v>642.117014585306</v>
      </c>
      <c r="X17" s="4" t="n">
        <f aca="false" t="array" ref="X17:X17">SUM(Capacity!AR17*Demand!X$3:X$25*Capacity!$DH$3:$DH$25/(TRANSPOSE(Dists!$B16:$X16)*SUM(Capacity!$DH$3:$DH$25/TRANSPOSE(Dists!$B16:$X16))))</f>
        <v>2238.25751694367</v>
      </c>
      <c r="Y17" s="4" t="n">
        <f aca="false">$L17*600*6/(90*1000*2000)</f>
        <v>10.0373985825431</v>
      </c>
      <c r="Z17" s="4" t="n">
        <f aca="false" t="array" ref="Z17:Z17">SUM(Capacity!AT17*Demand!Z$3:Z$25*Capacity!$DI$3:$DI$25/(TRANSPOSE(Dists!$B16:$X16)*SUM(Capacity!$DI$3:$DI$25/TRANSPOSE(Dists!$B16:$X16))))</f>
        <v>74.3770205084754</v>
      </c>
      <c r="AA17" s="4" t="n">
        <f aca="false" t="array" ref="AA17:AA17">SUM(Capacity!AU17*Demand!AA$3:AA$25*Capacity!$DI$3:$DI$25/(TRANSPOSE(Dists!$B16:$X16)*SUM(Capacity!$DI$3:$DI$25/TRANSPOSE(Dists!$B16:$X16))))</f>
        <v>43.646377437482</v>
      </c>
      <c r="AB17" s="4" t="n">
        <f aca="false" t="array" ref="AB17:AB17">SUM(Capacity!AV17*Demand!AB$3:AB$25*Capacity!$DI$3:$DI$25/(TRANSPOSE(Dists!$B16:$X16)*SUM(Capacity!$DI$3:$DI$25/TRANSPOSE(Dists!$B16:$X16))))</f>
        <v>44.4427538006057</v>
      </c>
      <c r="AC17" s="4" t="n">
        <f aca="false" t="array" ref="AC17:AC17">SUM(Capacity!AW17*Demand!AC$3:AC$25*Capacity!$DI$3:$DI$25/(TRANSPOSE(Dists!$B16:$X16)*SUM(Capacity!$DI$3:$DI$25/TRANSPOSE(Dists!$B16:$X16))))</f>
        <v>7.60893220031894</v>
      </c>
      <c r="AD17" s="4" t="n">
        <f aca="false" t="array" ref="AD17:AD17">SUM(Capacity!AX17*Demand!AD$3:AD$25*Capacity!$DI$3:$DI$25/(TRANSPOSE(Dists!$B16:$X16)*SUM(Capacity!$DI$3:$DI$25/TRANSPOSE(Dists!$B16:$X16))))</f>
        <v>7.27575264495802</v>
      </c>
      <c r="AE17" s="4" t="n">
        <f aca="false" t="array" ref="AE17:AE17">SUM(Capacity!AY17*Demand!AE$3:AE$25*Capacity!$DI$3:$DI$25/(TRANSPOSE(Dists!$B16:$X16)*SUM(Capacity!$DI$3:$DI$25/TRANSPOSE(Dists!$B16:$X16))))</f>
        <v>5.28136116564366</v>
      </c>
      <c r="AF17" s="4" t="n">
        <f aca="false" t="array" ref="AF17:AF17">SUM(Capacity!AZ17*Demand!AF$3:AF$25*Capacity!$DI$3:$DI$25/(TRANSPOSE(Dists!$B16:$X16)*SUM(Capacity!$DI$3:$DI$25/TRANSPOSE(Dists!$B16:$X16))))</f>
        <v>1.0144267280174</v>
      </c>
      <c r="AG17" s="4" t="n">
        <f aca="false" t="array" ref="AG17:AG17">SUM(Capacity!BA17*Demand!AG$3:AG$25*Capacity!$DI$3:$DI$25/(TRANSPOSE(Dists!$B16:$X16)*SUM(Capacity!$DI$3:$DI$25/TRANSPOSE(Dists!$B16:$X16))))</f>
        <v>4.97371819463579</v>
      </c>
      <c r="AH17" s="4" t="n">
        <f aca="false" t="array" ref="AH17:AH17">SUM(Capacity!BB17*Demand!AH$3:AH$25*Capacity!$DI$3:$DI$25/(TRANSPOSE(Dists!$B16:$X16)*SUM(Capacity!$DI$3:$DI$25/TRANSPOSE(Dists!$B16:$X16))))</f>
        <v>3.65241103143234</v>
      </c>
      <c r="AI17" s="4" t="n">
        <f aca="false" t="array" ref="AI17:AI17">SUM(Capacity!BC17*Demand!AI$3:AI$25*Capacity!$DI$3:$DI$25/(TRANSPOSE(Dists!$B16:$X16)*SUM(Capacity!$DI$3:$DI$25/TRANSPOSE(Dists!$B16:$X16))))</f>
        <v>0.605949761043591</v>
      </c>
      <c r="AJ17" s="4" t="n">
        <f aca="false" t="array" ref="AJ17:AJ17">SUM(Capacity!BD17*Demand!AJ$3:AJ$25*Capacity!$DI$3:$DI$25/(TRANSPOSE(Dists!$B16:$X16)*SUM(Capacity!$DI$3:$DI$25/TRANSPOSE(Dists!$B16:$X16))))</f>
        <v>1.57862338010937</v>
      </c>
      <c r="AK17" s="4" t="n">
        <f aca="false" t="array" ref="AK17:AK17">SUM(Capacity!BE17*Demand!AK$3:AK$25*Capacity!$DI$3:$DI$25/(TRANSPOSE(Dists!$B16:$X16)*SUM(Capacity!$DI$3:$DI$25/TRANSPOSE(Dists!$B16:$X16))))</f>
        <v>0.922876800598855</v>
      </c>
      <c r="AL17" s="4" t="n">
        <f aca="false" t="array" ref="AL17:AL17">SUM(Capacity!BF17*Demand!AL$3:AL$25*Capacity!$DI$3:$DI$25/(TRANSPOSE(Dists!$B16:$X16)*SUM(Capacity!$DI$3:$DI$25/TRANSPOSE(Dists!$B16:$X16))))</f>
        <v>0.616506628367687</v>
      </c>
      <c r="AM17" s="4" t="n">
        <f aca="false" t="array" ref="AM17:AM17">SUM(Capacity!BG17*Demand!AM$3:AM$25*Capacity!$DI$3:$DI$25/(TRANSPOSE(Dists!$B16:$X16)*SUM(Capacity!$DI$3:$DI$25/TRANSPOSE(Dists!$B16:$X16))))</f>
        <v>1.78762526072571</v>
      </c>
      <c r="AN17" s="4" t="n">
        <f aca="false" t="array" ref="AN17:AN17">SUM(Capacity!BH17*Demand!AN$3:AN$25*Capacity!$DI$3:$DI$25/(TRANSPOSE(Dists!$B16:$X16)*SUM(Capacity!$DI$3:$DI$25/TRANSPOSE(Dists!$B16:$X16))))</f>
        <v>0.910100413809135</v>
      </c>
      <c r="AO17" s="4" t="n">
        <f aca="false" t="array" ref="AO17:AO17">SUM(Capacity!BI17*Demand!AO$3:AO$25*Capacity!$DI$3:$DI$25/(TRANSPOSE(Dists!$B16:$X16)*SUM(Capacity!$DI$3:$DI$25/TRANSPOSE(Dists!$B16:$X16))))</f>
        <v>2.47412587690899</v>
      </c>
      <c r="AP17" s="4" t="n">
        <f aca="false" t="array" ref="AP17:AP17">SUM(Capacity!BJ17*Demand!AP$3:AP$25*Capacity!$DI$3:$DI$25/(TRANSPOSE(Dists!$B16:$X16)*SUM(Capacity!$DI$3:$DI$25/TRANSPOSE(Dists!$B16:$X16))))</f>
        <v>1.29944854645151</v>
      </c>
      <c r="AQ17" s="4" t="n">
        <f aca="false" t="array" ref="AQ17:AQ17">SUM(Capacity!BK17*Demand!AQ$3:AQ$25*Capacity!$DI$3:$DI$25/(TRANSPOSE(Dists!$B16:$X16)*SUM(Capacity!$DI$3:$DI$25/TRANSPOSE(Dists!$B16:$X16))))</f>
        <v>0.145787087962557</v>
      </c>
      <c r="AR17" s="4" t="n">
        <f aca="false" t="array" ref="AR17:AR17">SUM(Capacity!BL17*Demand!AR$3:AR$25*Capacity!$DI$3:$DI$25/(TRANSPOSE(Dists!$B16:$X16)*SUM(Capacity!$DI$3:$DI$25/TRANSPOSE(Dists!$B16:$X16))))</f>
        <v>0.275390258127105</v>
      </c>
      <c r="AS17" s="4" t="n">
        <f aca="false" t="array" ref="AS17:AS17">SUM(Capacity!BM17*Demand!AS$3:AS$25*Capacity!$DI$3:$DI$25/(TRANSPOSE(Dists!$B16:$X16)*SUM(Capacity!$DI$3:$DI$25/TRANSPOSE(Dists!$B16:$X16))))</f>
        <v>0.442369061395362</v>
      </c>
      <c r="AT17" s="4" t="n">
        <f aca="false" t="array" ref="AT17:AT17">SUM(Capacity!BN17*Demand!AT$3:AT$25*Capacity!$DI$3:$DI$25/(TRANSPOSE(Dists!$B16:$X16)*SUM(Capacity!$DI$3:$DI$25/TRANSPOSE(Dists!$B16:$X16))))</f>
        <v>5.59779466952647</v>
      </c>
      <c r="AU17" s="4" t="n">
        <f aca="false" t="array" ref="AU17:AU17">SUM(Capacity!BO17*Demand!AU$3:AU$25*Capacity!$DI$3:$DI$25/(TRANSPOSE(Dists!$B16:$X16)*SUM(Capacity!$DI$3:$DI$25/TRANSPOSE(Dists!$B16:$X16))))</f>
        <v>4.85744639853124</v>
      </c>
      <c r="AV17" s="4" t="n">
        <f aca="false" t="array" ref="AV17:AV17">SUM(Capacity!BP17*Demand!AV$3:AV$25*Capacity!$DI$3:$DI$25/(TRANSPOSE(Dists!$B16:$X16)*SUM(Capacity!$DI$3:$DI$25/TRANSPOSE(Dists!$B16:$X16))))</f>
        <v>0.211036343536155</v>
      </c>
      <c r="AW17" s="4" t="n">
        <f aca="false" t="array" ref="AW17:AW17">SUM(Capacity!BQ17*Demand!AW$3:AW$25*Capacity!$DI$3:$DI$25/(TRANSPOSE(Dists!$B16:$X16)*SUM(Capacity!$DI$3:$DI$25/TRANSPOSE(Dists!$B16:$X16))))</f>
        <v>4.15255614090782</v>
      </c>
      <c r="AX17" s="4" t="n">
        <f aca="false" t="array" ref="AX17:AX17">SUM(Capacity!BR17*Demand!AX$3:AX$25*Capacity!$DI$3:$DI$25/(TRANSPOSE(Dists!$B16:$X16)*SUM(Capacity!$DI$3:$DI$25/TRANSPOSE(Dists!$B16:$X16))))</f>
        <v>0.335582075149006</v>
      </c>
      <c r="AY17" s="4" t="n">
        <f aca="false" t="array" ref="AY17:AY17">SUM(Capacity!BS17*Demand!AY$3:AY$25*Capacity!$DI$3:$DI$25/(TRANSPOSE(Dists!$B16:$X16)*SUM(Capacity!$DI$3:$DI$25/TRANSPOSE(Dists!$B16:$X16))))</f>
        <v>0.56053080711168</v>
      </c>
      <c r="AZ17" s="4" t="n">
        <f aca="false" t="array" ref="AZ17:AZ17">SUM(Capacity!BT17*Demand!AZ$3:AZ$25*Capacity!$DI$3:$DI$25/(TRANSPOSE(Dists!$B16:$X16)*SUM(Capacity!$DI$3:$DI$25/TRANSPOSE(Dists!$B16:$X16))))</f>
        <v>3.60782337837798</v>
      </c>
      <c r="BA17" s="4" t="n">
        <f aca="false">L17*25/(2000*1000*51)</f>
        <v>0.123007335570381</v>
      </c>
      <c r="BB17" s="4" t="n">
        <f aca="false" t="array" ref="BB17:BB17">SUM(Capacity!BV17*Demand!BB$3:BB$25*Capacity!$DI$3:$DI$25/(TRANSPOSE(Dists!$B16:$X16)*SUM(Capacity!$DI$3:$DI$25/TRANSPOSE(Dists!$B16:$X16))))</f>
        <v>0.516758709559649</v>
      </c>
      <c r="BC17" s="4" t="n">
        <f aca="false" t="array" ref="BC17:BC17">SUM(Capacity!BW17*Demand!BC$3:BC$25*Capacity!$DI$3:$DI$25/(TRANSPOSE(Dists!$B16:$X16)*SUM(Capacity!$DI$3:$DI$25/TRANSPOSE(Dists!$B16:$X16))))</f>
        <v>0.332066604504084</v>
      </c>
      <c r="BD17" s="4" t="n">
        <f aca="false" t="array" ref="BD17:BD17">SUM(Capacity!BX17*Demand!BD$3:BD$25*Capacity!$DI$3:$DI$25/(TRANSPOSE(Dists!$B16:$X16)*SUM(Capacity!$DI$3:$DI$25/TRANSPOSE(Dists!$B16:$X16))))</f>
        <v>0.169465285859146</v>
      </c>
      <c r="BE17" s="4" t="n">
        <f aca="false" t="array" ref="BE17:BE17">SUM(Capacity!BY17*Demand!BE$3:BE$25*Capacity!$DI$3:$DI$25/(TRANSPOSE(Dists!$B16:$X16)*SUM(Capacity!$DI$3:$DI$25/TRANSPOSE(Dists!$B16:$X16))))</f>
        <v>0.135827622188558</v>
      </c>
      <c r="BF17" s="4" t="n">
        <f aca="false" t="array" ref="BF17:BF17">SUM(Capacity!BZ17*Demand!BF$3:BF$25*Capacity!$DI$3:$DI$25/(TRANSPOSE(Dists!$B16:$X16)*SUM(Capacity!$DI$3:$DI$25/TRANSPOSE(Dists!$B16:$X16))))</f>
        <v>10.3094589909641</v>
      </c>
      <c r="BG17" s="4" t="n">
        <f aca="false" t="array" ref="BG17:BG17">SUM(Capacity!CA17*Demand!BG$3:BG$25*Capacity!$DI$3:$DI$25/(TRANSPOSE(Dists!$B16:$X16)*SUM(Capacity!$DI$3:$DI$25/TRANSPOSE(Dists!$B16:$X16))))</f>
        <v>31.857329837156</v>
      </c>
      <c r="BH17" s="4" t="n">
        <f aca="false" t="array" ref="BH17:BH17">SUM(Capacity!CB17*Demand!BH$3:BH$25*Capacity!$DI$3:$DI$25/(TRANSPOSE(Dists!$B16:$X16)*SUM(Capacity!$DI$3:$DI$25/TRANSPOSE(Dists!$B16:$X16))))</f>
        <v>66.1393669132742</v>
      </c>
      <c r="BI17" s="4" t="n">
        <f aca="false" t="array" ref="BI17:BI17">SUM(Capacity!CC17*Demand!BI17*Capacity!$DI$3:$DI$25/(TRANSPOSE(Dists!$B16:$X16)*SUM(Capacity!$DI$3:$DI$25/TRANSPOSE(Dists!$B16:$X16))))</f>
        <v>114.627176136706</v>
      </c>
      <c r="BJ17" s="4" t="n">
        <f aca="false" t="array" ref="BJ17:BJ17">SUM(Capacity!CD17*Demand!BJ17*Capacity!$DI$3:$DI$25/(TRANSPOSE(Dists!$B16:$X16)*SUM(Capacity!$DI$3:$DI$25/TRANSPOSE(Dists!$B16:$X16))))</f>
        <v>405.663534125389</v>
      </c>
      <c r="BK17" s="4" t="n">
        <f aca="false" t="array" ref="BK17:BK17">SUM(Capacity!CE17*Demand!BK17*Capacity!$DI$3:$DI$25/(TRANSPOSE(Dists!$B16:$X16)*SUM(Capacity!$DI$3:$DI$25/TRANSPOSE(Dists!$B16:$X16))))</f>
        <v>57.3135880683532</v>
      </c>
      <c r="BL17" s="4" t="n">
        <f aca="false" t="array" ref="BL17:BL17">SUM(Capacity!CF17*Demand!BL17*Capacity!$DI$3:$DI$25/(TRANSPOSE(Dists!$B16:$X16)*SUM(Capacity!$DI$3:$DI$25/TRANSPOSE(Dists!$B16:$X16))))</f>
        <v>745.231801102492</v>
      </c>
      <c r="BM17" s="4" t="n">
        <f aca="false" t="array" ref="BM17:BM17">SUM(Capacity!CG17*Demand!BM17*Capacity!$DI$3:$DI$25/(TRANSPOSE(Dists!$B16:$X16)*SUM(Capacity!$DI$3:$DI$25/TRANSPOSE(Dists!$B16:$X16))))</f>
        <v>30.5864256923537</v>
      </c>
      <c r="BN17" s="4" t="n">
        <f aca="false">MAX($BO17/0.006,$BP17/0.7,$BR17/0.002,$BS17/0.001)</f>
        <v>0.00174483956072549</v>
      </c>
      <c r="BO17" s="4" t="n">
        <f aca="false" t="array" ref="BO17:BO17">SUM(Capacity!CI17*Demand!BO17*Capacity!$DI$3:$DI$25/(TRANSPOSE(Dists!$B16:$X16)*SUM(Capacity!$DI$3:$DI$25/TRANSPOSE(Dists!$B16:$X16))))</f>
        <v>1.0469037364353E-005</v>
      </c>
      <c r="BP17" s="4" t="n">
        <f aca="false" t="array" ref="BP17:BP17">SUM(Capacity!CJ17*Demand!BP17*Capacity!$DI$3:$DI$25/(TRANSPOSE(Dists!$B16:$X16)*SUM(Capacity!$DI$3:$DI$25/TRANSPOSE(Dists!$B16:$X16))))</f>
        <v>8.37461753996144E-008</v>
      </c>
      <c r="BQ17" s="4" t="n">
        <f aca="false" t="array" ref="BQ17:BQ17">SUM(Capacity!CK17*Demand!BQ17*Capacity!$DI$3:$DI$25/(TRANSPOSE(Dists!$B16:$X16)*SUM(Capacity!$DI$3:$DI$25/TRANSPOSE(Dists!$B16:$X16))))</f>
        <v>0</v>
      </c>
      <c r="BR17" s="4" t="n">
        <f aca="false" t="array" ref="BR17:BR17">SUM(Capacity!CL17*Demand!BR17*Capacity!$DI$3:$DI$25/(TRANSPOSE(Dists!$B16:$X16)*SUM(Capacity!$DI$3:$DI$25/TRANSPOSE(Dists!$B16:$X16))))</f>
        <v>1.0469037364353E-006</v>
      </c>
      <c r="BS17" s="4" t="n">
        <f aca="false" t="array" ref="BS17:BS17">SUM(Capacity!CM17*Demand!BS17*Capacity!$DI$3:$DI$25/(TRANSPOSE(Dists!$B16:$X16)*SUM(Capacity!$DI$3:$DI$25/TRANSPOSE(Dists!$B16:$X16))))</f>
        <v>2.09380518286213E-007</v>
      </c>
      <c r="BT17" s="4" t="n">
        <f aca="false" t="array" ref="BT17:BT17">SUM(Capacity!CN17*Demand!BT17*Capacity!$DI$3:$DI$25/(TRANSPOSE(Dists!$B16:$X16)*SUM(Capacity!$DI$3:$DI$25/TRANSPOSE(Dists!$B16:$X16))))</f>
        <v>11.6696133627988</v>
      </c>
      <c r="BU17" s="4" t="n">
        <f aca="false" t="array" ref="BU17:BU17">SUM(Capacity!CO17*Demand!BU17*Capacity!$DI$3:$DI$25/(TRANSPOSE(Dists!$B16:$X16)*SUM(Capacity!$DI$3:$DI$25/TRANSPOSE(Dists!$B16:$X16))))</f>
        <v>1.16696133627988</v>
      </c>
      <c r="BV17" s="4" t="n">
        <f aca="false" t="array" ref="BV17:BV17">SUM(Capacity!CP17*Demand!BV17*Capacity!$DI$3:$DI$25/(TRANSPOSE(Dists!$B16:$X16)*SUM(Capacity!$DI$3:$DI$25/TRANSPOSE(Dists!$B16:$X16))))</f>
        <v>0.116696133627988</v>
      </c>
      <c r="BW17" s="4" t="n">
        <f aca="false">E45*DemClcs!$A$40*DemClcs!$A$41*8.34/(DemClcs!$A$38)</f>
        <v>2579.20394104986</v>
      </c>
      <c r="BX17" s="4" t="n">
        <f aca="false" t="array" ref="BX17:BX17">SUM(Capacity!CR17*Demand!BX17*Capacity!$DI$3:$DI$25/(TRANSPOSE(Dists!$B16:$X16)*SUM(Capacity!$DI$3:$DI$25/TRANSPOSE(Dists!$B16:$X16))))</f>
        <v>1.22258465359163</v>
      </c>
      <c r="BY17" s="4" t="n">
        <f aca="false" t="array" ref="BY17:BY17">SUM(Capacity!CS17*Demand!BY17*Capacity!$DI$3:$DI$25/(TRANSPOSE(Dists!$B16:$X16)*SUM(Capacity!$DI$3:$DI$25/TRANSPOSE(Dists!$B16:$X16))))</f>
        <v>161.204769729554</v>
      </c>
      <c r="BZ17" s="4" t="n">
        <f aca="false" t="array" ref="BZ17:BZ17">SUM(Capacity!CT17*Demand!BZ17*Capacity!$DI$3:$DI$25/(TRANSPOSE(Dists!$B16:$X16)*SUM(Capacity!$DI$3:$DI$25/TRANSPOSE(Dists!$B16:$X16))))</f>
        <v>0.229415121719254</v>
      </c>
      <c r="CA17" s="4" t="n">
        <f aca="false" t="array" ref="CA17:CA17">SUM(Capacity!CU17*Demand!CA17*Capacity!$DI$3:$DI$25/(TRANSPOSE(Dists!$B16:$X16)*SUM(Capacity!$DI$3:$DI$25/TRANSPOSE(Dists!$B16:$X16))))</f>
        <v>0.25698516304103</v>
      </c>
      <c r="CB17" s="4" t="n">
        <f aca="false" t="array" ref="CB17:CB17">SUM(Capacity!CV17*Demand!CB17*Capacity!$DI$3:$DI$25/(TRANSPOSE(Dists!$B16:$X16)*SUM(Capacity!$DI$3:$DI$25/TRANSPOSE(Dists!$B16:$X16))))</f>
        <v>1266.36755178785</v>
      </c>
      <c r="CC17" s="4" t="n">
        <f aca="false" t="array" ref="CC17:CC17">SUM(Capacity!CW17*Demand!CC17*Capacity!$DI$3:$DI$25/(TRANSPOSE(Dists!$B16:$X16)*SUM(Capacity!$DI$3:$DI$25/TRANSPOSE(Dists!$B16:$X16))))</f>
        <v>1238.27722184643</v>
      </c>
      <c r="CD17" s="4" t="n">
        <f aca="false">SUM($BG45,$BI45,$BK45)*Capacity!CX17/SUM(Capacity!$AM17:$AN17,Capacity!$CX17)</f>
        <v>109.680759048412</v>
      </c>
      <c r="CE17" s="4" t="n">
        <f aca="false" t="array" ref="CE17:CE17">SUM(Capacity!CY17*Demand!CE17*Capacity!$DI$3:$DI$25/(TRANSPOSE(Dists!$B16:$X16)*SUM(Capacity!$DI$3:$DI$25/TRANSPOSE(Dists!$B16:$X16))))</f>
        <v>1.53630995265515</v>
      </c>
      <c r="CF17" s="4" t="n">
        <f aca="false" t="array" ref="CF17:CF17">SUM(Capacity!CZ17*Demand!CF17*Capacity!$DI$3:$DI$25/(TRANSPOSE(Dists!$B16:$X16)*SUM(Capacity!$DI$3:$DI$25/TRANSPOSE(Dists!$B16:$X16))))</f>
        <v>535.822775612087</v>
      </c>
      <c r="CG17" s="4" t="n">
        <f aca="false" t="array" ref="CG17:CG17">SUM(Capacity!DA17*Demand!CG17*Capacity!$DI$3:$DI$25/(TRANSPOSE(Dists!$B16:$X16)*SUM(Capacity!$DI$3:$DI$25/TRANSPOSE(Dists!$B16:$X16))))</f>
        <v>0.000105962517966949</v>
      </c>
      <c r="CH17" s="4" t="n">
        <f aca="false" t="array" ref="CH17:CH17">SUM(Capacity!DB17*Demand!CH17*Capacity!$DI$3:$DI$25/(TRANSPOSE(Dists!$B16:$X16)*SUM(Capacity!$DI$3:$DI$25/TRANSPOSE(Dists!$B16:$X16))))</f>
        <v>7.0606509132679E-006</v>
      </c>
      <c r="CI17" s="4" t="n">
        <f aca="false" t="array" ref="CI17:CI17">SUM(Capacity!DC17*Demand!CI17*Capacity!$DI$3:$DI$25/(TRANSPOSE(Dists!$B16:$X16)*SUM(Capacity!$DI$3:$DI$25/TRANSPOSE(Dists!$B16:$X16))))</f>
        <v>0.178474754148726</v>
      </c>
      <c r="CJ17" s="4" t="n">
        <f aca="false" t="array" ref="CJ17:CJ17">SUM(Capacity!DD17*Demand!CJ17*Capacity!$DI$3:$DI$25/(TRANSPOSE(Dists!$B16:$X16)*SUM(Capacity!$DI$3:$DI$25/TRANSPOSE(Dists!$B16:$X16))))</f>
        <v>0.0788541441879361</v>
      </c>
      <c r="CK17" s="4" t="n">
        <f aca="false" t="array" ref="CK17:CK17">SUM(Capacity!DE17*Demand!CK17*Capacity!$DI$3:$DI$25/(TRANSPOSE(Dists!$B16:$X16)*SUM(Capacity!$DI$3:$DI$25/TRANSPOSE(Dists!$B16:$X16))))</f>
        <v>0.974789783129328</v>
      </c>
      <c r="CL17" s="7" t="s">
        <v>322</v>
      </c>
    </row>
    <row r="18" s="20" customFormat="true" ht="12.8" hidden="false" customHeight="false" outlineLevel="0" collapsed="false">
      <c r="A18" s="20" t="s">
        <v>152</v>
      </c>
      <c r="B18" s="21" t="s">
        <v>39</v>
      </c>
      <c r="C18" s="20" t="n">
        <f aca="false" t="array" ref="C18:C18">SUM(Capacity!S18*Demand!C18*Capacity!$DH$3:$DH$25/(TRANSPOSE(Dists!$B17:$X17)*SUM(Capacity!$DH$3:$DH$25/TRANSPOSE(Dists!$B17:$X17))))</f>
        <v>0.0415013000460847</v>
      </c>
      <c r="D18" s="20" t="n">
        <f aca="false" t="array" ref="D18:D18">SUM(Capacity!V18*Demand!D18*Capacity!$DH$3:$DH$25/(TRANSPOSE(Dists!$B17:$X17)*SUM(Capacity!$DH$3:$DH$25/TRANSPOSE(Dists!$B17:$X17))))</f>
        <v>3591.37145050788</v>
      </c>
      <c r="E18" s="20" t="n">
        <f aca="false" t="array" ref="E18:E18">SUM(Capacity!Y18*Demand!E18*Capacity!$DH$3:$DH$25/(TRANSPOSE(Dists!$B17:$X17)*SUM(Capacity!$DH$3:$DH$25/TRANSPOSE(Dists!$B17:$X17))))</f>
        <v>504.863393188483</v>
      </c>
      <c r="F18" s="20" t="n">
        <f aca="false">$E18*Capacity!$M18/(2*(1-Capacity!$H$28)*Capacity!$H18)</f>
        <v>181.058177679513</v>
      </c>
      <c r="G18" s="20" t="n">
        <f aca="false" t="array" ref="G18:G18">SUM(Capacity!AA18*Demand!G18*Capacity!$DH$3:$DH$25/(TRANSPOSE(Dists!$B17:$X17)*SUM(Capacity!$DH$3:$DH$25/TRANSPOSE(Dists!$B17:$X17))))</f>
        <v>23.8513383188937</v>
      </c>
      <c r="H18" s="20" t="n">
        <f aca="false" t="array" ref="H18:H18">SUM(Capacity!AB18*Demand!H18*Capacity!$DH$3:$DH$25/(TRANSPOSE(Dists!$B17:$X17)*SUM(Capacity!$DH$3:$DH$25/TRANSPOSE(Dists!$B17:$X17))))</f>
        <v>0</v>
      </c>
      <c r="I18" s="20" t="n">
        <f aca="false" t="array" ref="I18:I18">SUM(Capacity!AC18*Demand!I$3:I$25*Capacity!$DG$3:$DG$25/(TRANSPOSE(Dists!$B17:$X17)*SUM(Capacity!$DG$3:$DG$25/TRANSPOSE(Dists!$B17:$X17))))</f>
        <v>3.93593358147866</v>
      </c>
      <c r="J18" s="20" t="n">
        <f aca="false" t="array" ref="J18:J18">SUM(Capacity!AD18*Demand!J$3:J$25*Capacity!$DG$3:$DG$25/(TRANSPOSE(Dists!$B17:$X17)*SUM(Capacity!$DG$3:$DG$25/TRANSPOSE(Dists!$B17:$X17))))</f>
        <v>3.23863453352134</v>
      </c>
      <c r="K18" s="20" t="n">
        <f aca="false">5479.45205479452*$R18</f>
        <v>1470427.80583001</v>
      </c>
      <c r="L18" s="20" t="n">
        <f aca="false">17142.8571428571*$S18</f>
        <v>489547.439710506</v>
      </c>
      <c r="M18" s="20" t="n">
        <f aca="false">IF(50420.1680672269*$T18&gt;($K18/20),50420.1680672269*$T18-($K18/20),0)</f>
        <v>731214.12704084</v>
      </c>
      <c r="N18" s="20" t="n">
        <f aca="false" t="array" ref="N18:N18">SUM(Capacity!AH18*Demand!N18*Capacity!$DH$3:$DH$25/(TRANSPOSE(Dists!$B17:$X17)*SUM(Capacity!$DH$3:$DH$25/TRANSPOSE(Dists!$B17:$X17))))</f>
        <v>1156.08550348071</v>
      </c>
      <c r="O18" s="22" t="n">
        <f aca="false">D46*DemClcs!$A$31*DemClcs!$A$32</f>
        <v>2364.39629269871</v>
      </c>
      <c r="P18" s="22" t="n">
        <f aca="false">O18*DemClcs!$A$29*DemClcs!$A$30</f>
        <v>945.758517079484</v>
      </c>
      <c r="Q18" s="20" t="n">
        <f aca="false" t="array" ref="Q18:Q18">SUM(Capacity!AK18*Demand!Q18*Capacity!$DI$3:$DI$25/(TRANSPOSE(Dists!$B17:$X17)*SUM(Capacity!$DI$3:$DI$25/TRANSPOSE(Dists!$B17:$X17))))</f>
        <v>0.579243511017826</v>
      </c>
      <c r="R18" s="20" t="n">
        <f aca="false" t="array" ref="R18:R18">SUM(Capacity!AL18*Demand!R18*Capacity!$DH$3:$DH$25/(TRANSPOSE(Dists!$B17:$X17)*SUM(Capacity!$DH$3:$DH$25/TRANSPOSE(Dists!$B17:$X17))))</f>
        <v>268.353074563978</v>
      </c>
      <c r="S18" s="20" t="n">
        <f aca="false">SUM($BG46,$BI46,$BK46)*Capacity!AM18/SUM(Capacity!$AM18:$AN18,Capacity!$CX18)</f>
        <v>28.5569339831129</v>
      </c>
      <c r="T18" s="20" t="n">
        <f aca="false">SUM($BG46,$BI46,$BK46)*Capacity!AN18/SUM(Capacity!$AM18:$AN18,Capacity!$CX18)</f>
        <v>15.9605877604248</v>
      </c>
      <c r="U18" s="20" t="n">
        <f aca="false">$M18*120*2/(16*1000*2000)</f>
        <v>5.4841059528063</v>
      </c>
      <c r="V18" s="20" t="n">
        <f aca="false" t="array" ref="V18:V18">SUM(Capacity!AP18*Demand!V$3:V$25*Capacity!$DH$3:$DH$25/(TRANSPOSE(Dists!$B17:$X17)*SUM(Capacity!$DH$3:$DH$25/TRANSPOSE(Dists!$B17:$X17))))</f>
        <v>207.400261517837</v>
      </c>
      <c r="W18" s="20" t="n">
        <f aca="false" t="array" ref="W18:W18">SUM(Capacity!AQ18*Demand!W$3:W$25*Capacity!$DH$3:$DH$25/(TRANSPOSE(Dists!$B17:$X17)*SUM(Capacity!$DH$3:$DH$25/TRANSPOSE(Dists!$B17:$X17))))</f>
        <v>874.056548654824</v>
      </c>
      <c r="X18" s="20" t="n">
        <f aca="false" t="array" ref="X18:X18">SUM(Capacity!AR18*Demand!X$3:X$25*Capacity!$DH$3:$DH$25/(TRANSPOSE(Dists!$B17:$X17)*SUM(Capacity!$DH$3:$DH$25/TRANSPOSE(Dists!$B17:$X17))))</f>
        <v>2507.84615657663</v>
      </c>
      <c r="Y18" s="20" t="n">
        <f aca="false">$L18*600*6/(90*1000*2000)</f>
        <v>9.79094879421012</v>
      </c>
      <c r="Z18" s="20" t="n">
        <f aca="false" t="array" ref="Z18:Z18">SUM(Capacity!AT18*Demand!Z$3:Z$25*Capacity!$DI$3:$DI$25/(TRANSPOSE(Dists!$B17:$X17)*SUM(Capacity!$DI$3:$DI$25/TRANSPOSE(Dists!$B17:$X17))))</f>
        <v>74.0370178739241</v>
      </c>
      <c r="AA18" s="20" t="n">
        <f aca="false" t="array" ref="AA18:AA18">SUM(Capacity!AU18*Demand!AA$3:AA$25*Capacity!$DI$3:$DI$25/(TRANSPOSE(Dists!$B17:$X17)*SUM(Capacity!$DI$3:$DI$25/TRANSPOSE(Dists!$B17:$X17))))</f>
        <v>50.9295981716158</v>
      </c>
      <c r="AB18" s="20" t="n">
        <f aca="false" t="array" ref="AB18:AB18">SUM(Capacity!AV18*Demand!AB$3:AB$25*Capacity!$DI$3:$DI$25/(TRANSPOSE(Dists!$B17:$X17)*SUM(Capacity!$DI$3:$DI$25/TRANSPOSE(Dists!$B17:$X17))))</f>
        <v>48.8239390222761</v>
      </c>
      <c r="AC18" s="20" t="n">
        <f aca="false" t="array" ref="AC18:AC18">SUM(Capacity!AW18*Demand!AC$3:AC$25*Capacity!$DI$3:$DI$25/(TRANSPOSE(Dists!$B17:$X17)*SUM(Capacity!$DI$3:$DI$25/TRANSPOSE(Dists!$B17:$X17))))</f>
        <v>7.17207638334704</v>
      </c>
      <c r="AD18" s="20" t="n">
        <f aca="false" t="array" ref="AD18:AD18">SUM(Capacity!AX18*Demand!AD$3:AD$25*Capacity!$DI$3:$DI$25/(TRANSPOSE(Dists!$B17:$X17)*SUM(Capacity!$DI$3:$DI$25/TRANSPOSE(Dists!$B17:$X17))))</f>
        <v>7.99299937785928</v>
      </c>
      <c r="AE18" s="20" t="n">
        <f aca="false" t="array" ref="AE18:AE18">SUM(Capacity!AY18*Demand!AE$3:AE$25*Capacity!$DI$3:$DI$25/(TRANSPOSE(Dists!$B17:$X17)*SUM(Capacity!$DI$3:$DI$25/TRANSPOSE(Dists!$B17:$X17))))</f>
        <v>5.43559404932191</v>
      </c>
      <c r="AF18" s="20" t="n">
        <f aca="false" t="array" ref="AF18:AF18">SUM(Capacity!AZ18*Demand!AF$3:AF$25*Capacity!$DI$3:$DI$25/(TRANSPOSE(Dists!$B17:$X17)*SUM(Capacity!$DI$3:$DI$25/TRANSPOSE(Dists!$B17:$X17))))</f>
        <v>1.05541997405114</v>
      </c>
      <c r="AG18" s="20" t="n">
        <f aca="false" t="array" ref="AG18:AG18">SUM(Capacity!BA18*Demand!AG$3:AG$25*Capacity!$DI$3:$DI$25/(TRANSPOSE(Dists!$B17:$X17)*SUM(Capacity!$DI$3:$DI$25/TRANSPOSE(Dists!$B17:$X17))))</f>
        <v>5.37342738239256</v>
      </c>
      <c r="AH18" s="20" t="n">
        <f aca="false" t="array" ref="AH18:AH18">SUM(Capacity!BB18*Demand!AH$3:AH$25*Capacity!$DI$3:$DI$25/(TRANSPOSE(Dists!$B17:$X17)*SUM(Capacity!$DI$3:$DI$25/TRANSPOSE(Dists!$B17:$X17))))</f>
        <v>4.10791897980575</v>
      </c>
      <c r="AI18" s="20" t="n">
        <f aca="false" t="array" ref="AI18:AI18">SUM(Capacity!BC18*Demand!AI$3:AI$25*Capacity!$DI$3:$DI$25/(TRANSPOSE(Dists!$B17:$X17)*SUM(Capacity!$DI$3:$DI$25/TRANSPOSE(Dists!$B17:$X17))))</f>
        <v>0.607533513597903</v>
      </c>
      <c r="AJ18" s="20" t="n">
        <f aca="false" t="array" ref="AJ18:AJ18">SUM(Capacity!BD18*Demand!AJ$3:AJ$25*Capacity!$DI$3:$DI$25/(TRANSPOSE(Dists!$B17:$X17)*SUM(Capacity!$DI$3:$DI$25/TRANSPOSE(Dists!$B17:$X17))))</f>
        <v>1.84640089943616</v>
      </c>
      <c r="AK18" s="20" t="n">
        <f aca="false" t="array" ref="AK18:AK18">SUM(Capacity!BE18*Demand!AK$3:AK$25*Capacity!$DI$3:$DI$25/(TRANSPOSE(Dists!$B17:$X17)*SUM(Capacity!$DI$3:$DI$25/TRANSPOSE(Dists!$B17:$X17))))</f>
        <v>1.18872762528102</v>
      </c>
      <c r="AL18" s="20" t="n">
        <f aca="false" t="array" ref="AL18:AL18">SUM(Capacity!BF18*Demand!AL$3:AL$25*Capacity!$DI$3:$DI$25/(TRANSPOSE(Dists!$B17:$X17)*SUM(Capacity!$DI$3:$DI$25/TRANSPOSE(Dists!$B17:$X17))))</f>
        <v>0.694269454450346</v>
      </c>
      <c r="AM18" s="20" t="n">
        <f aca="false" t="array" ref="AM18:AM18">SUM(Capacity!BG18*Demand!AM$3:AM$25*Capacity!$DI$3:$DI$25/(TRANSPOSE(Dists!$B17:$X17)*SUM(Capacity!$DI$3:$DI$25/TRANSPOSE(Dists!$B17:$X17))))</f>
        <v>1.63322502116967</v>
      </c>
      <c r="AN18" s="20" t="n">
        <f aca="false" t="array" ref="AN18:AN18">SUM(Capacity!BH18*Demand!AN$3:AN$25*Capacity!$DI$3:$DI$25/(TRANSPOSE(Dists!$B17:$X17)*SUM(Capacity!$DI$3:$DI$25/TRANSPOSE(Dists!$B17:$X17))))</f>
        <v>1.02672423205164</v>
      </c>
      <c r="AO18" s="20" t="n">
        <f aca="false" t="array" ref="AO18:AO18">SUM(Capacity!BI18*Demand!AO$3:AO$25*Capacity!$DI$3:$DI$25/(TRANSPOSE(Dists!$B17:$X17)*SUM(Capacity!$DI$3:$DI$25/TRANSPOSE(Dists!$B17:$X17))))</f>
        <v>3.27722779317907</v>
      </c>
      <c r="AP18" s="20" t="n">
        <f aca="false" t="array" ref="AP18:AP18">SUM(Capacity!BJ18*Demand!AP$3:AP$25*Capacity!$DI$3:$DI$25/(TRANSPOSE(Dists!$B17:$X17)*SUM(Capacity!$DI$3:$DI$25/TRANSPOSE(Dists!$B17:$X17))))</f>
        <v>1.59765693603175</v>
      </c>
      <c r="AQ18" s="20" t="n">
        <f aca="false" t="array" ref="AQ18:AQ18">SUM(Capacity!BK18*Demand!AQ$3:AQ$25*Capacity!$DI$3:$DI$25/(TRANSPOSE(Dists!$B17:$X17)*SUM(Capacity!$DI$3:$DI$25/TRANSPOSE(Dists!$B17:$X17))))</f>
        <v>0.19724466079402</v>
      </c>
      <c r="AR18" s="20" t="n">
        <f aca="false" t="array" ref="AR18:AR18">SUM(Capacity!BL18*Demand!AR$3:AR$25*Capacity!$DI$3:$DI$25/(TRANSPOSE(Dists!$B17:$X17)*SUM(Capacity!$DI$3:$DI$25/TRANSPOSE(Dists!$B17:$X17))))</f>
        <v>0.251644614172057</v>
      </c>
      <c r="AS18" s="20" t="n">
        <f aca="false" t="array" ref="AS18:AS18">SUM(Capacity!BM18*Demand!AS$3:AS$25*Capacity!$DI$3:$DI$25/(TRANSPOSE(Dists!$B17:$X17)*SUM(Capacity!$DI$3:$DI$25/TRANSPOSE(Dists!$B17:$X17))))</f>
        <v>0.452716035061661</v>
      </c>
      <c r="AT18" s="20" t="n">
        <f aca="false" t="array" ref="AT18:AT18">SUM(Capacity!BN18*Demand!AT$3:AT$25*Capacity!$DI$3:$DI$25/(TRANSPOSE(Dists!$B17:$X17)*SUM(Capacity!$DI$3:$DI$25/TRANSPOSE(Dists!$B17:$X17))))</f>
        <v>5.58703654244869</v>
      </c>
      <c r="AU18" s="20" t="n">
        <f aca="false" t="array" ref="AU18:AU18">SUM(Capacity!BO18*Demand!AU$3:AU$25*Capacity!$DI$3:$DI$25/(TRANSPOSE(Dists!$B17:$X17)*SUM(Capacity!$DI$3:$DI$25/TRANSPOSE(Dists!$B17:$X17))))</f>
        <v>3.72380179779874</v>
      </c>
      <c r="AV18" s="20" t="n">
        <f aca="false" t="array" ref="AV18:AV18">SUM(Capacity!BP18*Demand!AV$3:AV$25*Capacity!$DI$3:$DI$25/(TRANSPOSE(Dists!$B17:$X17)*SUM(Capacity!$DI$3:$DI$25/TRANSPOSE(Dists!$B17:$X17))))</f>
        <v>0.202352424001217</v>
      </c>
      <c r="AW18" s="20" t="n">
        <f aca="false" t="array" ref="AW18:AW18">SUM(Capacity!BQ18*Demand!AW$3:AW$25*Capacity!$DI$3:$DI$25/(TRANSPOSE(Dists!$B17:$X17)*SUM(Capacity!$DI$3:$DI$25/TRANSPOSE(Dists!$B17:$X17))))</f>
        <v>3.86861390923939</v>
      </c>
      <c r="AX18" s="20" t="n">
        <f aca="false" t="array" ref="AX18:AX18">SUM(Capacity!BR18*Demand!AX$3:AX$25*Capacity!$DI$3:$DI$25/(TRANSPOSE(Dists!$B17:$X17)*SUM(Capacity!$DI$3:$DI$25/TRANSPOSE(Dists!$B17:$X17))))</f>
        <v>0.264313966489593</v>
      </c>
      <c r="AY18" s="20" t="n">
        <f aca="false" t="array" ref="AY18:AY18">SUM(Capacity!BS18*Demand!AY$3:AY$25*Capacity!$DI$3:$DI$25/(TRANSPOSE(Dists!$B17:$X17)*SUM(Capacity!$DI$3:$DI$25/TRANSPOSE(Dists!$B17:$X17))))</f>
        <v>0.64481029607779</v>
      </c>
      <c r="AZ18" s="20" t="n">
        <f aca="false" t="array" ref="AZ18:AZ18">SUM(Capacity!BT18*Demand!AZ$3:AZ$25*Capacity!$DI$3:$DI$25/(TRANSPOSE(Dists!$B17:$X17)*SUM(Capacity!$DI$3:$DI$25/TRANSPOSE(Dists!$B17:$X17))))</f>
        <v>3.88658681540416</v>
      </c>
      <c r="BA18" s="20" t="n">
        <f aca="false">L18*25/(2000*1000*51)</f>
        <v>0.119987117576104</v>
      </c>
      <c r="BB18" s="20" t="n">
        <f aca="false" t="array" ref="BB18:BB18">SUM(Capacity!BV18*Demand!BB$3:BB$25*Capacity!$DI$3:$DI$25/(TRANSPOSE(Dists!$B17:$X17)*SUM(Capacity!$DI$3:$DI$25/TRANSPOSE(Dists!$B17:$X17))))</f>
        <v>0.542192023326281</v>
      </c>
      <c r="BC18" s="20" t="n">
        <f aca="false" t="array" ref="BC18:BC18">SUM(Capacity!BW18*Demand!BC$3:BC$25*Capacity!$DI$3:$DI$25/(TRANSPOSE(Dists!$B17:$X17)*SUM(Capacity!$DI$3:$DI$25/TRANSPOSE(Dists!$B17:$X17))))</f>
        <v>0.397866500280455</v>
      </c>
      <c r="BD18" s="20" t="n">
        <f aca="false" t="array" ref="BD18:BD18">SUM(Capacity!BX18*Demand!BD$3:BD$25*Capacity!$DI$3:$DI$25/(TRANSPOSE(Dists!$B17:$X17)*SUM(Capacity!$DI$3:$DI$25/TRANSPOSE(Dists!$B17:$X17))))</f>
        <v>0.240948077419334</v>
      </c>
      <c r="BE18" s="20" t="n">
        <f aca="false" t="array" ref="BE18:BE18">SUM(Capacity!BY18*Demand!BE$3:BE$25*Capacity!$DI$3:$DI$25/(TRANSPOSE(Dists!$B17:$X17)*SUM(Capacity!$DI$3:$DI$25/TRANSPOSE(Dists!$B17:$X17))))</f>
        <v>0.168055932552784</v>
      </c>
      <c r="BF18" s="20" t="n">
        <f aca="false" t="array" ref="BF18:BF18">SUM(Capacity!BZ18*Demand!BF$3:BF$25*Capacity!$DI$3:$DI$25/(TRANSPOSE(Dists!$B17:$X17)*SUM(Capacity!$DI$3:$DI$25/TRANSPOSE(Dists!$B17:$X17))))</f>
        <v>7.77459862237429</v>
      </c>
      <c r="BG18" s="20" t="n">
        <f aca="false" t="array" ref="BG18:BG18">SUM(Capacity!CA18*Demand!BG$3:BG$25*Capacity!$DI$3:$DI$25/(TRANSPOSE(Dists!$B17:$X17)*SUM(Capacity!$DI$3:$DI$25/TRANSPOSE(Dists!$B17:$X17))))</f>
        <v>29.4592355937345</v>
      </c>
      <c r="BH18" s="20" t="n">
        <f aca="false" t="array" ref="BH18:BH18">SUM(Capacity!CB18*Demand!BH$3:BH$25*Capacity!$DI$3:$DI$25/(TRANSPOSE(Dists!$B17:$X17)*SUM(Capacity!$DI$3:$DI$25/TRANSPOSE(Dists!$B17:$X17))))</f>
        <v>60.5378839372964</v>
      </c>
      <c r="BI18" s="20" t="n">
        <f aca="false" t="array" ref="BI18:BI18">SUM(Capacity!CC18*Demand!BI18*Capacity!$DI$3:$DI$25/(TRANSPOSE(Dists!$B17:$X17)*SUM(Capacity!$DI$3:$DI$25/TRANSPOSE(Dists!$B17:$X17))))</f>
        <v>95.5441950834035</v>
      </c>
      <c r="BJ18" s="20" t="n">
        <f aca="false" t="array" ref="BJ18:BJ18">SUM(Capacity!CD18*Demand!BJ18*Capacity!$DI$3:$DI$25/(TRANSPOSE(Dists!$B17:$X17)*SUM(Capacity!$DI$3:$DI$25/TRANSPOSE(Dists!$B17:$X17))))</f>
        <v>1165.89685483438</v>
      </c>
      <c r="BK18" s="20" t="n">
        <f aca="false" t="array" ref="BK18:BK18">SUM(Capacity!CE18*Demand!BK18*Capacity!$DI$3:$DI$25/(TRANSPOSE(Dists!$B17:$X17)*SUM(Capacity!$DI$3:$DI$25/TRANSPOSE(Dists!$B17:$X17))))</f>
        <v>47.7720975417018</v>
      </c>
      <c r="BL18" s="20" t="n">
        <f aca="false" t="array" ref="BL18:BL18">SUM(Capacity!CF18*Demand!BL18*Capacity!$DI$3:$DI$25/(TRANSPOSE(Dists!$B17:$X17)*SUM(Capacity!$DI$3:$DI$25/TRANSPOSE(Dists!$B17:$X17))))</f>
        <v>1304.02661045111</v>
      </c>
      <c r="BM18" s="20" t="n">
        <f aca="false" t="array" ref="BM18:BM18">SUM(Capacity!CG18*Demand!BM18*Capacity!$DI$3:$DI$25/(TRANSPOSE(Dists!$B17:$X17)*SUM(Capacity!$DI$3:$DI$25/TRANSPOSE(Dists!$B17:$X17))))</f>
        <v>81.8024599353476</v>
      </c>
      <c r="BN18" s="20" t="n">
        <f aca="false">MAX($BO18/0.006,$BP18/0.7,$BR18/0.002,$BS18/0.001)</f>
        <v>14028.4334473254</v>
      </c>
      <c r="BO18" s="20" t="n">
        <f aca="false" t="array" ref="BO18:BO18">SUM(Capacity!CI18*Demand!BO18*Capacity!$DI$3:$DI$25/(TRANSPOSE(Dists!$B17:$X17)*SUM(Capacity!$DI$3:$DI$25/TRANSPOSE(Dists!$B17:$X17))))</f>
        <v>84.1706006839521</v>
      </c>
      <c r="BP18" s="20" t="n">
        <f aca="false" t="array" ref="BP18:BP18">SUM(Capacity!CJ18*Demand!BP18*Capacity!$DI$3:$DI$25/(TRANSPOSE(Dists!$B17:$X17)*SUM(Capacity!$DI$3:$DI$25/TRANSPOSE(Dists!$B17:$X17))))</f>
        <v>88.2672952891993</v>
      </c>
      <c r="BQ18" s="22" t="n">
        <f aca="false" t="array" ref="BQ18:BQ18">SUM(Capacity!CK18*Demand!BQ18*Capacity!$DI$3:$DI$25/(TRANSPOSE(Dists!$B17:$X17)*SUM(Capacity!$DI$3:$DI$25/TRANSPOSE(Dists!$B17:$X17))))</f>
        <v>0</v>
      </c>
      <c r="BR18" s="20" t="n">
        <f aca="false" t="array" ref="BR18:BR18">SUM(Capacity!CL18*Demand!BR18*Capacity!$DI$3:$DI$25/(TRANSPOSE(Dists!$B17:$X17)*SUM(Capacity!$DI$3:$DI$25/TRANSPOSE(Dists!$B17:$X17))))</f>
        <v>2.80568668946507</v>
      </c>
      <c r="BS18" s="20" t="n">
        <f aca="false" t="array" ref="BS18:BS18">SUM(Capacity!CM18*Demand!BS18*Capacity!$DI$3:$DI$25/(TRANSPOSE(Dists!$B17:$X17)*SUM(Capacity!$DI$3:$DI$25/TRANSPOSE(Dists!$B17:$X17))))</f>
        <v>0.280568538519784</v>
      </c>
      <c r="BT18" s="20" t="n">
        <f aca="false" t="array" ref="BT18:BT18">SUM(Capacity!CN18*Demand!BT18*Capacity!$DI$3:$DI$25/(TRANSPOSE(Dists!$B17:$X17)*SUM(Capacity!$DI$3:$DI$25/TRANSPOSE(Dists!$B17:$X17))))</f>
        <v>11.6777237036039</v>
      </c>
      <c r="BU18" s="20" t="n">
        <f aca="false" t="array" ref="BU18:BU18">SUM(Capacity!CO18*Demand!BU18*Capacity!$DI$3:$DI$25/(TRANSPOSE(Dists!$B17:$X17)*SUM(Capacity!$DI$3:$DI$25/TRANSPOSE(Dists!$B17:$X17))))</f>
        <v>1.16777237036039</v>
      </c>
      <c r="BV18" s="20" t="n">
        <f aca="false" t="array" ref="BV18:BV18">SUM(Capacity!CP18*Demand!BV18*Capacity!$DI$3:$DI$25/(TRANSPOSE(Dists!$B17:$X17)*SUM(Capacity!$DI$3:$DI$25/TRANSPOSE(Dists!$B17:$X17))))</f>
        <v>0.116777237036038</v>
      </c>
      <c r="BW18" s="22" t="n">
        <f aca="false">E46*DemClcs!$A$40*DemClcs!$A$41*8.34/(DemClcs!$A$38)</f>
        <v>2469.12745634667</v>
      </c>
      <c r="BX18" s="20" t="n">
        <f aca="false" t="array" ref="BX18:BX18">SUM(Capacity!CR18*Demand!BX18*Capacity!$DI$3:$DI$25/(TRANSPOSE(Dists!$B17:$X17)*SUM(Capacity!$DI$3:$DI$25/TRANSPOSE(Dists!$B17:$X17))))</f>
        <v>10.330473581283</v>
      </c>
      <c r="BY18" s="20" t="n">
        <f aca="false" t="array" ref="BY18:BY18">SUM(Capacity!CS18*Demand!BY18*Capacity!$DI$3:$DI$25/(TRANSPOSE(Dists!$B17:$X17)*SUM(Capacity!$DI$3:$DI$25/TRANSPOSE(Dists!$B17:$X17))))</f>
        <v>192.522446974273</v>
      </c>
      <c r="BZ18" s="20" t="n">
        <f aca="false" t="array" ref="BZ18:BZ18">SUM(Capacity!CT18*Demand!BZ18*Capacity!$DI$3:$DI$25/(TRANSPOSE(Dists!$B17:$X17)*SUM(Capacity!$DI$3:$DI$25/TRANSPOSE(Dists!$B17:$X17))))</f>
        <v>0.682353301088744</v>
      </c>
      <c r="CA18" s="20" t="n">
        <f aca="false" t="array" ref="CA18:CA18">SUM(Capacity!CU18*Demand!CA18*Capacity!$DI$3:$DI$25/(TRANSPOSE(Dists!$B17:$X17)*SUM(Capacity!$DI$3:$DI$25/TRANSPOSE(Dists!$B17:$X17))))</f>
        <v>0.0555132415495008</v>
      </c>
      <c r="CB18" s="20" t="n">
        <f aca="false" t="array" ref="CB18:CB18">SUM(Capacity!CV18*Demand!CB18*Capacity!$DI$3:$DI$25/(TRANSPOSE(Dists!$B17:$X17)*SUM(Capacity!$DI$3:$DI$25/TRANSPOSE(Dists!$B17:$X17))))</f>
        <v>907.040810823549</v>
      </c>
      <c r="CC18" s="20" t="n">
        <f aca="false" t="array" ref="CC18:CC18">SUM(Capacity!CW18*Demand!CC18*Capacity!$DI$3:$DI$25/(TRANSPOSE(Dists!$B17:$X17)*SUM(Capacity!$DI$3:$DI$25/TRANSPOSE(Dists!$B17:$X17))))</f>
        <v>796.136179251019</v>
      </c>
      <c r="CD18" s="20" t="n">
        <f aca="false">SUM($BG46,$BI46,$BK46)*Capacity!CX18/SUM(Capacity!$AM18:$AN18,Capacity!$CX18)</f>
        <v>104.172547008068</v>
      </c>
      <c r="CE18" s="20" t="n">
        <f aca="false" t="array" ref="CE18:CE18">SUM(Capacity!CY18*Demand!CE18*Capacity!$DI$3:$DI$25/(TRANSPOSE(Dists!$B17:$X17)*SUM(Capacity!$DI$3:$DI$25/TRANSPOSE(Dists!$B17:$X17))))</f>
        <v>7.07568905961791</v>
      </c>
      <c r="CF18" s="20" t="n">
        <f aca="false" t="array" ref="CF18:CF18">SUM(Capacity!CZ18*Demand!CF18*Capacity!$DI$3:$DI$25/(TRANSPOSE(Dists!$B17:$X17)*SUM(Capacity!$DI$3:$DI$25/TRANSPOSE(Dists!$B17:$X17))))</f>
        <v>850.223867885824</v>
      </c>
      <c r="CG18" s="20" t="n">
        <f aca="false" t="array" ref="CG18:CG18">SUM(Capacity!DA18*Demand!CG18*Capacity!$DI$3:$DI$25/(TRANSPOSE(Dists!$B17:$X17)*SUM(Capacity!$DI$3:$DI$25/TRANSPOSE(Dists!$B17:$X17))))</f>
        <v>12.6499330553607</v>
      </c>
      <c r="CH18" s="20" t="n">
        <f aca="false" t="array" ref="CH18:CH18">SUM(Capacity!DB18*Demand!CH18*Capacity!$DI$3:$DI$25/(TRANSPOSE(Dists!$B17:$X17)*SUM(Capacity!$DI$3:$DI$25/TRANSPOSE(Dists!$B17:$X17))))</f>
        <v>16.9869344372004</v>
      </c>
      <c r="CI18" s="20" t="n">
        <f aca="false" t="array" ref="CI18:CI18">SUM(Capacity!DC18*Demand!CI18*Capacity!$DI$3:$DI$25/(TRANSPOSE(Dists!$B17:$X17)*SUM(Capacity!$DI$3:$DI$25/TRANSPOSE(Dists!$B17:$X17))))</f>
        <v>0.427415721699054</v>
      </c>
      <c r="CJ18" s="20" t="n">
        <f aca="false" t="array" ref="CJ18:CJ18">SUM(Capacity!DD18*Demand!CJ18*Capacity!$DI$3:$DI$25/(TRANSPOSE(Dists!$B17:$X17)*SUM(Capacity!$DI$3:$DI$25/TRANSPOSE(Dists!$B17:$X17))))</f>
        <v>0.0929039145430916</v>
      </c>
      <c r="CK18" s="20" t="n">
        <f aca="false" t="array" ref="CK18:CK18">SUM(Capacity!DE18*Demand!CK18*Capacity!$DI$3:$DI$25/(TRANSPOSE(Dists!$B17:$X17)*SUM(Capacity!$DI$3:$DI$25/TRANSPOSE(Dists!$B17:$X17))))</f>
        <v>7.75254424787464</v>
      </c>
      <c r="CL18" s="21" t="s">
        <v>322</v>
      </c>
      <c r="AMJ18" s="17"/>
    </row>
    <row r="19" customFormat="false" ht="12.8" hidden="false" customHeight="false" outlineLevel="0" collapsed="false">
      <c r="A19" s="4" t="s">
        <v>153</v>
      </c>
      <c r="B19" s="7" t="s">
        <v>39</v>
      </c>
      <c r="C19" s="4" t="n">
        <f aca="false" t="array" ref="C19:C19">SUM(Capacity!S19*Demand!C19*Capacity!$DH$3:$DH$25/(TRANSPOSE(Dists!$B18:$X18)*SUM(Capacity!$DH$3:$DH$25/TRANSPOSE(Dists!$B18:$X18))))</f>
        <v>0.0110815239731146</v>
      </c>
      <c r="D19" s="4" t="n">
        <f aca="false" t="array" ref="D19:D19">SUM(Capacity!V19*Demand!D19*Capacity!$DH$3:$DH$25/(TRANSPOSE(Dists!$B18:$X18)*SUM(Capacity!$DH$3:$DH$25/TRANSPOSE(Dists!$B18:$X18))))</f>
        <v>1519.77782001477</v>
      </c>
      <c r="E19" s="4" t="n">
        <f aca="false" t="array" ref="E19:E19">SUM(Capacity!Y19*Demand!E19*Capacity!$DH$3:$DH$25/(TRANSPOSE(Dists!$B18:$X18)*SUM(Capacity!$DH$3:$DH$25/TRANSPOSE(Dists!$B18:$X18))))</f>
        <v>202.810218959544</v>
      </c>
      <c r="F19" s="4" t="n">
        <f aca="false">$E19*Capacity!$M19/(2*(1-Capacity!$H$28)*Capacity!$H19)</f>
        <v>72.4715716489013</v>
      </c>
      <c r="G19" s="4" t="n">
        <f aca="false" t="array" ref="G19:G19">SUM(Capacity!AA19*Demand!G19*Capacity!$DH$3:$DH$25/(TRANSPOSE(Dists!$B18:$X18)*SUM(Capacity!$DH$3:$DH$25/TRANSPOSE(Dists!$B18:$X18))))</f>
        <v>81.3450674984474</v>
      </c>
      <c r="H19" s="4" t="n">
        <f aca="false" t="array" ref="H19:H19">SUM(Capacity!AB19*Demand!H19*Capacity!$DH$3:$DH$25/(TRANSPOSE(Dists!$B18:$X18)*SUM(Capacity!$DH$3:$DH$25/TRANSPOSE(Dists!$B18:$X18))))</f>
        <v>0</v>
      </c>
      <c r="I19" s="4" t="n">
        <f aca="false" t="array" ref="I19:I19">SUM(Capacity!AC19*Demand!I$3:I$25*Capacity!$DG$3:$DG$25/(TRANSPOSE(Dists!$B18:$X18)*SUM(Capacity!$DG$3:$DG$25/TRANSPOSE(Dists!$B18:$X18))))</f>
        <v>2.28637361772385</v>
      </c>
      <c r="J19" s="4" t="n">
        <f aca="false" t="array" ref="J19:J19">SUM(Capacity!AD19*Demand!J$3:J$25*Capacity!$DG$3:$DG$25/(TRANSPOSE(Dists!$B18:$X18)*SUM(Capacity!$DG$3:$DG$25/TRANSPOSE(Dists!$B18:$X18))))</f>
        <v>1.92805800227616</v>
      </c>
      <c r="K19" s="4" t="n">
        <f aca="false">5479.45205479452*$R19</f>
        <v>644370.911336741</v>
      </c>
      <c r="L19" s="4" t="n">
        <f aca="false">17142.8571428571*$S19</f>
        <v>215392.689585542</v>
      </c>
      <c r="M19" s="4" t="n">
        <f aca="false">IF(50420.1680672269*$T19&gt;($K19/20),50420.1680672269*$T19-($K19/20),0)</f>
        <v>321851.629094329</v>
      </c>
      <c r="N19" s="4" t="n">
        <f aca="false" t="array" ref="N19:N19">SUM(Capacity!AH19*Demand!N19*Capacity!$DH$3:$DH$25/(TRANSPOSE(Dists!$B18:$X18)*SUM(Capacity!$DH$3:$DH$25/TRANSPOSE(Dists!$B18:$X18))))</f>
        <v>427.433067458197</v>
      </c>
      <c r="O19" s="4" t="n">
        <f aca="false">D47*DemClcs!$A$31*DemClcs!$A$32</f>
        <v>1206.16522513854</v>
      </c>
      <c r="P19" s="4" t="n">
        <f aca="false">O19*DemClcs!$A$29*DemClcs!$A$30</f>
        <v>482.466090055417</v>
      </c>
      <c r="Q19" s="4" t="n">
        <f aca="false" t="array" ref="Q19:Q19">SUM(Capacity!AK19*Demand!Q19*Capacity!$DI$3:$DI$25/(TRANSPOSE(Dists!$B18:$X18)*SUM(Capacity!$DI$3:$DI$25/TRANSPOSE(Dists!$B18:$X18))))</f>
        <v>2.32971103148227</v>
      </c>
      <c r="R19" s="4" t="n">
        <f aca="false" t="array" ref="R19:R19">SUM(Capacity!AL19*Demand!R19*Capacity!$DH$3:$DH$25/(TRANSPOSE(Dists!$B18:$X18)*SUM(Capacity!$DH$3:$DH$25/TRANSPOSE(Dists!$B18:$X18))))</f>
        <v>117.597691318955</v>
      </c>
      <c r="S19" s="4" t="n">
        <f aca="false">SUM($BG47,$BI47,$BK47)*Capacity!AM19/SUM(Capacity!$AM19:$AN19,Capacity!$CX19)</f>
        <v>12.5645735591566</v>
      </c>
      <c r="T19" s="4" t="n">
        <f aca="false">SUM($BG47,$BI47,$BK47)*Capacity!AN19/SUM(Capacity!$AM19:$AN19,Capacity!$CX19)</f>
        <v>7.02239179744645</v>
      </c>
      <c r="U19" s="4" t="n">
        <f aca="false">$M19*120*2/(16*1000*2000)</f>
        <v>2.41388721820747</v>
      </c>
      <c r="V19" s="4" t="n">
        <f aca="false" t="array" ref="V19:V19">SUM(Capacity!AP19*Demand!V$3:V$25*Capacity!$DH$3:$DH$25/(TRANSPOSE(Dists!$B18:$X18)*SUM(Capacity!$DH$3:$DH$25/TRANSPOSE(Dists!$B18:$X18))))</f>
        <v>108.604762431833</v>
      </c>
      <c r="W19" s="4" t="n">
        <f aca="false" t="array" ref="W19:W19">SUM(Capacity!AQ19*Demand!W$3:W$25*Capacity!$DH$3:$DH$25/(TRANSPOSE(Dists!$B18:$X18)*SUM(Capacity!$DH$3:$DH$25/TRANSPOSE(Dists!$B18:$X18))))</f>
        <v>536.058034635054</v>
      </c>
      <c r="X19" s="4" t="n">
        <f aca="false" t="array" ref="X19:X19">SUM(Capacity!AR19*Demand!X$3:X$25*Capacity!$DH$3:$DH$25/(TRANSPOSE(Dists!$B18:$X18)*SUM(Capacity!$DH$3:$DH$25/TRANSPOSE(Dists!$B18:$X18))))</f>
        <v>715.842576458375</v>
      </c>
      <c r="Y19" s="4" t="n">
        <f aca="false">$L19*600*6/(90*1000*2000)</f>
        <v>4.30785379171084</v>
      </c>
      <c r="Z19" s="4" t="n">
        <f aca="false" t="array" ref="Z19:Z19">SUM(Capacity!AT19*Demand!Z$3:Z$25*Capacity!$DI$3:$DI$25/(TRANSPOSE(Dists!$B18:$X18)*SUM(Capacity!$DI$3:$DI$25/TRANSPOSE(Dists!$B18:$X18))))</f>
        <v>18.4675211062466</v>
      </c>
      <c r="AA19" s="4" t="n">
        <f aca="false" t="array" ref="AA19:AA19">SUM(Capacity!AU19*Demand!AA$3:AA$25*Capacity!$DI$3:$DI$25/(TRANSPOSE(Dists!$B18:$X18)*SUM(Capacity!$DI$3:$DI$25/TRANSPOSE(Dists!$B18:$X18))))</f>
        <v>27.4589066000683</v>
      </c>
      <c r="AB19" s="4" t="n">
        <f aca="false" t="array" ref="AB19:AB19">SUM(Capacity!AV19*Demand!AB$3:AB$25*Capacity!$DI$3:$DI$25/(TRANSPOSE(Dists!$B18:$X18)*SUM(Capacity!$DI$3:$DI$25/TRANSPOSE(Dists!$B18:$X18))))</f>
        <v>26.4066578730292</v>
      </c>
      <c r="AC19" s="4" t="n">
        <f aca="false" t="array" ref="AC19:AC19">SUM(Capacity!AW19*Demand!AC$3:AC$25*Capacity!$DI$3:$DI$25/(TRANSPOSE(Dists!$B18:$X18)*SUM(Capacity!$DI$3:$DI$25/TRANSPOSE(Dists!$B18:$X18))))</f>
        <v>3.90959785465942</v>
      </c>
      <c r="AD19" s="4" t="n">
        <f aca="false" t="array" ref="AD19:AD19">SUM(Capacity!AX19*Demand!AD$3:AD$25*Capacity!$DI$3:$DI$25/(TRANSPOSE(Dists!$B18:$X18)*SUM(Capacity!$DI$3:$DI$25/TRANSPOSE(Dists!$B18:$X18))))</f>
        <v>4.32305144110073</v>
      </c>
      <c r="AE19" s="4" t="n">
        <f aca="false" t="array" ref="AE19:AE19">SUM(Capacity!AY19*Demand!AE$3:AE$25*Capacity!$DI$3:$DI$25/(TRANSPOSE(Dists!$B18:$X18)*SUM(Capacity!$DI$3:$DI$25/TRANSPOSE(Dists!$B18:$X18))))</f>
        <v>3.29367849862574</v>
      </c>
      <c r="AF19" s="4" t="n">
        <f aca="false" t="array" ref="AF19:AF19">SUM(Capacity!AZ19*Demand!AF$3:AF$25*Capacity!$DI$3:$DI$25/(TRANSPOSE(Dists!$B18:$X18)*SUM(Capacity!$DI$3:$DI$25/TRANSPOSE(Dists!$B18:$X18))))</f>
        <v>0.671535605039726</v>
      </c>
      <c r="AG19" s="4" t="n">
        <f aca="false" t="array" ref="AG19:AG19">SUM(Capacity!BA19*Demand!AG$3:AG$25*Capacity!$DI$3:$DI$25/(TRANSPOSE(Dists!$B18:$X18)*SUM(Capacity!$DI$3:$DI$25/TRANSPOSE(Dists!$B18:$X18))))</f>
        <v>2.60708538076776</v>
      </c>
      <c r="AH19" s="4" t="n">
        <f aca="false" t="array" ref="AH19:AH19">SUM(Capacity!BB19*Demand!AH$3:AH$25*Capacity!$DI$3:$DI$25/(TRANSPOSE(Dists!$B18:$X18)*SUM(Capacity!$DI$3:$DI$25/TRANSPOSE(Dists!$B18:$X18))))</f>
        <v>2.48038489807799</v>
      </c>
      <c r="AI19" s="4" t="n">
        <f aca="false" t="array" ref="AI19:AI19">SUM(Capacity!BC19*Demand!AI$3:AI$25*Capacity!$DI$3:$DI$25/(TRANSPOSE(Dists!$B18:$X18)*SUM(Capacity!$DI$3:$DI$25/TRANSPOSE(Dists!$B18:$X18))))</f>
        <v>0.361024224799222</v>
      </c>
      <c r="AJ19" s="4" t="n">
        <f aca="false" t="array" ref="AJ19:AJ19">SUM(Capacity!BD19*Demand!AJ$3:AJ$25*Capacity!$DI$3:$DI$25/(TRANSPOSE(Dists!$B18:$X18)*SUM(Capacity!$DI$3:$DI$25/TRANSPOSE(Dists!$B18:$X18))))</f>
        <v>0.972433510716357</v>
      </c>
      <c r="AK19" s="4" t="n">
        <f aca="false" t="array" ref="AK19:AK19">SUM(Capacity!BE19*Demand!AK$3:AK$25*Capacity!$DI$3:$DI$25/(TRANSPOSE(Dists!$B18:$X18)*SUM(Capacity!$DI$3:$DI$25/TRANSPOSE(Dists!$B18:$X18))))</f>
        <v>0.716107196639406</v>
      </c>
      <c r="AL19" s="4" t="n">
        <f aca="false" t="array" ref="AL19:AL19">SUM(Capacity!BF19*Demand!AL$3:AL$25*Capacity!$DI$3:$DI$25/(TRANSPOSE(Dists!$B18:$X18)*SUM(Capacity!$DI$3:$DI$25/TRANSPOSE(Dists!$B18:$X18))))</f>
        <v>0.424705665541797</v>
      </c>
      <c r="AM19" s="4" t="n">
        <f aca="false" t="array" ref="AM19:AM19">SUM(Capacity!BG19*Demand!AM$3:AM$25*Capacity!$DI$3:$DI$25/(TRANSPOSE(Dists!$B18:$X18)*SUM(Capacity!$DI$3:$DI$25/TRANSPOSE(Dists!$B18:$X18))))</f>
        <v>0.814268825588887</v>
      </c>
      <c r="AN19" s="4" t="n">
        <f aca="false" t="array" ref="AN19:AN19">SUM(Capacity!BH19*Demand!AN$3:AN$25*Capacity!$DI$3:$DI$25/(TRANSPOSE(Dists!$B18:$X18)*SUM(Capacity!$DI$3:$DI$25/TRANSPOSE(Dists!$B18:$X18))))</f>
        <v>0.661772541627843</v>
      </c>
      <c r="AO19" s="4" t="n">
        <f aca="false" t="array" ref="AO19:AO19">SUM(Capacity!BI19*Demand!AO$3:AO$25*Capacity!$DI$3:$DI$25/(TRANSPOSE(Dists!$B18:$X18)*SUM(Capacity!$DI$3:$DI$25/TRANSPOSE(Dists!$B18:$X18))))</f>
        <v>2.02737859548655</v>
      </c>
      <c r="AP19" s="4" t="n">
        <f aca="false" t="array" ref="AP19:AP19">SUM(Capacity!BJ19*Demand!AP$3:AP$25*Capacity!$DI$3:$DI$25/(TRANSPOSE(Dists!$B18:$X18)*SUM(Capacity!$DI$3:$DI$25/TRANSPOSE(Dists!$B18:$X18))))</f>
        <v>0.853877397652006</v>
      </c>
      <c r="AQ19" s="4" t="n">
        <f aca="false" t="array" ref="AQ19:AQ19">SUM(Capacity!BK19*Demand!AQ$3:AQ$25*Capacity!$DI$3:$DI$25/(TRANSPOSE(Dists!$B18:$X18)*SUM(Capacity!$DI$3:$DI$25/TRANSPOSE(Dists!$B18:$X18))))</f>
        <v>0.0997024843498908</v>
      </c>
      <c r="AR19" s="4" t="n">
        <f aca="false" t="array" ref="AR19:AR19">SUM(Capacity!BL19*Demand!AR$3:AR$25*Capacity!$DI$3:$DI$25/(TRANSPOSE(Dists!$B18:$X18)*SUM(Capacity!$DI$3:$DI$25/TRANSPOSE(Dists!$B18:$X18))))</f>
        <v>0.127476413115873</v>
      </c>
      <c r="AS19" s="4" t="n">
        <f aca="false" t="array" ref="AS19:AS19">SUM(Capacity!BM19*Demand!AS$3:AS$25*Capacity!$DI$3:$DI$25/(TRANSPOSE(Dists!$B18:$X18)*SUM(Capacity!$DI$3:$DI$25/TRANSPOSE(Dists!$B18:$X18))))</f>
        <v>0.24776594467241</v>
      </c>
      <c r="AT19" s="4" t="n">
        <f aca="false" t="array" ref="AT19:AT19">SUM(Capacity!BN19*Demand!AT$3:AT$25*Capacity!$DI$3:$DI$25/(TRANSPOSE(Dists!$B18:$X18)*SUM(Capacity!$DI$3:$DI$25/TRANSPOSE(Dists!$B18:$X18))))</f>
        <v>3.51277163043945</v>
      </c>
      <c r="AU19" s="4" t="n">
        <f aca="false" t="array" ref="AU19:AU19">SUM(Capacity!BO19*Demand!AU$3:AU$25*Capacity!$DI$3:$DI$25/(TRANSPOSE(Dists!$B18:$X18)*SUM(Capacity!$DI$3:$DI$25/TRANSPOSE(Dists!$B18:$X18))))</f>
        <v>1.94655798224044</v>
      </c>
      <c r="AV19" s="4" t="n">
        <f aca="false" t="array" ref="AV19:AV19">SUM(Capacity!BP19*Demand!AV$3:AV$25*Capacity!$DI$3:$DI$25/(TRANSPOSE(Dists!$B18:$X18)*SUM(Capacity!$DI$3:$DI$25/TRANSPOSE(Dists!$B18:$X18))))</f>
        <v>0.102782289131169</v>
      </c>
      <c r="AW19" s="4" t="n">
        <f aca="false" t="array" ref="AW19:AW19">SUM(Capacity!BQ19*Demand!AW$3:AW$25*Capacity!$DI$3:$DI$25/(TRANSPOSE(Dists!$B18:$X18)*SUM(Capacity!$DI$3:$DI$25/TRANSPOSE(Dists!$B18:$X18))))</f>
        <v>2.11554830224205</v>
      </c>
      <c r="AX19" s="4" t="n">
        <f aca="false" t="array" ref="AX19:AX19">SUM(Capacity!BR19*Demand!AX$3:AX$25*Capacity!$DI$3:$DI$25/(TRANSPOSE(Dists!$B18:$X18)*SUM(Capacity!$DI$3:$DI$25/TRANSPOSE(Dists!$B18:$X18))))</f>
        <v>0.157496653294218</v>
      </c>
      <c r="AY19" s="4" t="n">
        <f aca="false" t="array" ref="AY19:AY19">SUM(Capacity!BS19*Demand!AY$3:AY$25*Capacity!$DI$3:$DI$25/(TRANSPOSE(Dists!$B18:$X18)*SUM(Capacity!$DI$3:$DI$25/TRANSPOSE(Dists!$B18:$X18))))</f>
        <v>0.361666506422927</v>
      </c>
      <c r="AZ19" s="4" t="n">
        <f aca="false" t="array" ref="AZ19:AZ19">SUM(Capacity!BT19*Demand!AZ$3:AZ$25*Capacity!$DI$3:$DI$25/(TRANSPOSE(Dists!$B18:$X18)*SUM(Capacity!$DI$3:$DI$25/TRANSPOSE(Dists!$B18:$X18))))</f>
        <v>2.1600427511267</v>
      </c>
      <c r="BA19" s="4" t="n">
        <f aca="false">L19*25/(2000*1000*51)</f>
        <v>0.0527923258788093</v>
      </c>
      <c r="BB19" s="4" t="n">
        <f aca="false" t="array" ref="BB19:BB19">SUM(Capacity!BV19*Demand!BB$3:BB$25*Capacity!$DI$3:$DI$25/(TRANSPOSE(Dists!$B18:$X18)*SUM(Capacity!$DI$3:$DI$25/TRANSPOSE(Dists!$B18:$X18))))</f>
        <v>0.283489245356717</v>
      </c>
      <c r="BC19" s="4" t="n">
        <f aca="false" t="array" ref="BC19:BC19">SUM(Capacity!BW19*Demand!BC$3:BC$25*Capacity!$DI$3:$DI$25/(TRANSPOSE(Dists!$B18:$X18)*SUM(Capacity!$DI$3:$DI$25/TRANSPOSE(Dists!$B18:$X18))))</f>
        <v>0.231562066831826</v>
      </c>
      <c r="BD19" s="4" t="n">
        <f aca="false" t="array" ref="BD19:BD19">SUM(Capacity!BX19*Demand!BD$3:BD$25*Capacity!$DI$3:$DI$25/(TRANSPOSE(Dists!$B18:$X18)*SUM(Capacity!$DI$3:$DI$25/TRANSPOSE(Dists!$B18:$X18))))</f>
        <v>0.139893263055207</v>
      </c>
      <c r="BE19" s="4" t="n">
        <f aca="false" t="array" ref="BE19:BE19">SUM(Capacity!BY19*Demand!BE$3:BE$25*Capacity!$DI$3:$DI$25/(TRANSPOSE(Dists!$B18:$X18)*SUM(Capacity!$DI$3:$DI$25/TRANSPOSE(Dists!$B18:$X18))))</f>
        <v>0.0898655188142722</v>
      </c>
      <c r="BF19" s="4" t="n">
        <f aca="false" t="array" ref="BF19:BF19">SUM(Capacity!BZ19*Demand!BF$3:BF$25*Capacity!$DI$3:$DI$25/(TRANSPOSE(Dists!$B18:$X18)*SUM(Capacity!$DI$3:$DI$25/TRANSPOSE(Dists!$B18:$X18))))</f>
        <v>3.54189428622242</v>
      </c>
      <c r="BG19" s="4" t="n">
        <f aca="false" t="array" ref="BG19:BG19">SUM(Capacity!CA19*Demand!BG$3:BG$25*Capacity!$DI$3:$DI$25/(TRANSPOSE(Dists!$B18:$X18)*SUM(Capacity!$DI$3:$DI$25/TRANSPOSE(Dists!$B18:$X18))))</f>
        <v>15.7382304683885</v>
      </c>
      <c r="BH19" s="4" t="n">
        <f aca="false" t="array" ref="BH19:BH19">SUM(Capacity!CB19*Demand!BH$3:BH$25*Capacity!$DI$3:$DI$25/(TRANSPOSE(Dists!$B18:$X18)*SUM(Capacity!$DI$3:$DI$25/TRANSPOSE(Dists!$B18:$X18))))</f>
        <v>31.5047013170117</v>
      </c>
      <c r="BI19" s="4" t="n">
        <f aca="false" t="array" ref="BI19:BI19">SUM(Capacity!CC19*Demand!BI19*Capacity!$DI$3:$DI$25/(TRANSPOSE(Dists!$B18:$X18)*SUM(Capacity!$DI$3:$DI$25/TRANSPOSE(Dists!$B18:$X18))))</f>
        <v>33.4925622143722</v>
      </c>
      <c r="BJ19" s="4" t="n">
        <f aca="false" t="array" ref="BJ19:BJ19">SUM(Capacity!CD19*Demand!BJ19*Capacity!$DI$3:$DI$25/(TRANSPOSE(Dists!$B18:$X18)*SUM(Capacity!$DI$3:$DI$25/TRANSPOSE(Dists!$B18:$X18))))</f>
        <v>33.8417624179764</v>
      </c>
      <c r="BK19" s="4" t="n">
        <f aca="false" t="array" ref="BK19:BK19">SUM(Capacity!CE19*Demand!BK19*Capacity!$DI$3:$DI$25/(TRANSPOSE(Dists!$B18:$X18)*SUM(Capacity!$DI$3:$DI$25/TRANSPOSE(Dists!$B18:$X18))))</f>
        <v>16.7462811071861</v>
      </c>
      <c r="BL19" s="4" t="n">
        <f aca="false" t="array" ref="BL19:BL19">SUM(Capacity!CF19*Demand!BL19*Capacity!$DI$3:$DI$25/(TRANSPOSE(Dists!$B18:$X18)*SUM(Capacity!$DI$3:$DI$25/TRANSPOSE(Dists!$B18:$X18))))</f>
        <v>514.615583375159</v>
      </c>
      <c r="BM19" s="4" t="n">
        <f aca="false" t="array" ref="BM19:BM19">SUM(Capacity!CG19*Demand!BM19*Capacity!$DI$3:$DI$25/(TRANSPOSE(Dists!$B18:$X18)*SUM(Capacity!$DI$3:$DI$25/TRANSPOSE(Dists!$B18:$X18))))</f>
        <v>101.653912173102</v>
      </c>
      <c r="BN19" s="4" t="n">
        <f aca="false">MAX($BO19/0.006,$BP19/0.7,$BR19/0.002,$BS19/0.001)</f>
        <v>0.000452867586090378</v>
      </c>
      <c r="BO19" s="4" t="n">
        <f aca="false" t="array" ref="BO19:BO19">SUM(Capacity!CI19*Demand!BO19*Capacity!$DI$3:$DI$25/(TRANSPOSE(Dists!$B18:$X18)*SUM(Capacity!$DI$3:$DI$25/TRANSPOSE(Dists!$B18:$X18))))</f>
        <v>2.71720551654227E-006</v>
      </c>
      <c r="BP19" s="4" t="n">
        <f aca="false" t="array" ref="BP19:BP19">SUM(Capacity!CJ19*Demand!BP19*Capacity!$DI$3:$DI$25/(TRANSPOSE(Dists!$B18:$X18)*SUM(Capacity!$DI$3:$DI$25/TRANSPOSE(Dists!$B18:$X18))))</f>
        <v>4.14867336126794E-008</v>
      </c>
      <c r="BQ19" s="4" t="n">
        <f aca="false" t="array" ref="BQ19:BQ19">SUM(Capacity!CK19*Demand!BQ19*Capacity!$DI$3:$DI$25/(TRANSPOSE(Dists!$B18:$X18)*SUM(Capacity!$DI$3:$DI$25/TRANSPOSE(Dists!$B18:$X18))))</f>
        <v>0</v>
      </c>
      <c r="BR19" s="4" t="n">
        <f aca="false" t="array" ref="BR19:BR19">SUM(Capacity!CL19*Demand!BR19*Capacity!$DI$3:$DI$25/(TRANSPOSE(Dists!$B18:$X18)*SUM(Capacity!$DI$3:$DI$25/TRANSPOSE(Dists!$B18:$X18))))</f>
        <v>2.71720551654227E-007</v>
      </c>
      <c r="BS19" s="4" t="n">
        <f aca="false" t="array" ref="BS19:BS19">SUM(Capacity!CM19*Demand!BS19*Capacity!$DI$3:$DI$25/(TRANSPOSE(Dists!$B18:$X18)*SUM(Capacity!$DI$3:$DI$25/TRANSPOSE(Dists!$B18:$X18))))</f>
        <v>5.4344076910978E-008</v>
      </c>
      <c r="BT19" s="4" t="n">
        <f aca="false" t="array" ref="BT19:BT19">SUM(Capacity!CN19*Demand!BT19*Capacity!$DI$3:$DI$25/(TRANSPOSE(Dists!$B18:$X18)*SUM(Capacity!$DI$3:$DI$25/TRANSPOSE(Dists!$B18:$X18))))</f>
        <v>3.85030591982644</v>
      </c>
      <c r="BU19" s="4" t="n">
        <f aca="false" t="array" ref="BU19:BU19">SUM(Capacity!CO19*Demand!BU19*Capacity!$DI$3:$DI$25/(TRANSPOSE(Dists!$B18:$X18)*SUM(Capacity!$DI$3:$DI$25/TRANSPOSE(Dists!$B18:$X18))))</f>
        <v>0.385030591982644</v>
      </c>
      <c r="BV19" s="4" t="n">
        <f aca="false" t="array" ref="BV19:BV19">SUM(Capacity!CP19*Demand!BV19*Capacity!$DI$3:$DI$25/(TRANSPOSE(Dists!$B18:$X18)*SUM(Capacity!$DI$3:$DI$25/TRANSPOSE(Dists!$B18:$X18))))</f>
        <v>0.0385030591982644</v>
      </c>
      <c r="BW19" s="4" t="n">
        <f aca="false">E47*DemClcs!$A$40*DemClcs!$A$41*8.34/(DemClcs!$A$38)</f>
        <v>1374.56146378172</v>
      </c>
      <c r="BX19" s="4" t="n">
        <f aca="false" t="array" ref="BX19:BX19">SUM(Capacity!CR19*Demand!BX19*Capacity!$DI$3:$DI$25/(TRANSPOSE(Dists!$B18:$X18)*SUM(Capacity!$DI$3:$DI$25/TRANSPOSE(Dists!$B18:$X18))))</f>
        <v>0.0688005969285991</v>
      </c>
      <c r="BY19" s="4" t="n">
        <f aca="false" t="array" ref="BY19:BY19">SUM(Capacity!CS19*Demand!BY19*Capacity!$DI$3:$DI$25/(TRANSPOSE(Dists!$B18:$X18)*SUM(Capacity!$DI$3:$DI$25/TRANSPOSE(Dists!$B18:$X18))))</f>
        <v>137.071491136736</v>
      </c>
      <c r="BZ19" s="4" t="n">
        <f aca="false" t="array" ref="BZ19:BZ19">SUM(Capacity!CT19*Demand!BZ19*Capacity!$DI$3:$DI$25/(TRANSPOSE(Dists!$B18:$X18)*SUM(Capacity!$DI$3:$DI$25/TRANSPOSE(Dists!$B18:$X18))))</f>
        <v>0.293353847373932</v>
      </c>
      <c r="CA19" s="4" t="n">
        <f aca="false" t="array" ref="CA19:CA19">SUM(Capacity!CU19*Demand!CA19*Capacity!$DI$3:$DI$25/(TRANSPOSE(Dists!$B18:$X18)*SUM(Capacity!$DI$3:$DI$25/TRANSPOSE(Dists!$B18:$X18))))</f>
        <v>0.152940085021892</v>
      </c>
      <c r="CB19" s="4" t="n">
        <f aca="false" t="array" ref="CB19:CB19">SUM(Capacity!CV19*Demand!CB19*Capacity!$DI$3:$DI$25/(TRANSPOSE(Dists!$B18:$X18)*SUM(Capacity!$DI$3:$DI$25/TRANSPOSE(Dists!$B18:$X18))))</f>
        <v>1137.87159508903</v>
      </c>
      <c r="CC19" s="4" t="n">
        <f aca="false" t="array" ref="CC19:CC19">SUM(Capacity!CW19*Demand!CC19*Capacity!$DI$3:$DI$25/(TRANSPOSE(Dists!$B18:$X18)*SUM(Capacity!$DI$3:$DI$25/TRANSPOSE(Dists!$B18:$X18))))</f>
        <v>810.547000498596</v>
      </c>
      <c r="CD19" s="4" t="n">
        <f aca="false">SUM($BG47,$BI47,$BK47)*Capacity!CX19/SUM(Capacity!$AM19:$AN19,Capacity!$CX19)</f>
        <v>63.1886880539416</v>
      </c>
      <c r="CE19" s="4" t="n">
        <f aca="false" t="array" ref="CE19:CE19">SUM(Capacity!CY19*Demand!CE19*Capacity!$DI$3:$DI$25/(TRANSPOSE(Dists!$B18:$X18)*SUM(Capacity!$DI$3:$DI$25/TRANSPOSE(Dists!$B18:$X18))))</f>
        <v>4.08439973202567</v>
      </c>
      <c r="CF19" s="4" t="n">
        <f aca="false" t="array" ref="CF19:CF19">SUM(Capacity!CZ19*Demand!CF19*Capacity!$DI$3:$DI$25/(TRANSPOSE(Dists!$B18:$X18)*SUM(Capacity!$DI$3:$DI$25/TRANSPOSE(Dists!$B18:$X18))))</f>
        <v>599.435097272346</v>
      </c>
      <c r="CG19" s="4" t="n">
        <f aca="false" t="array" ref="CG19:CG19">SUM(Capacity!DA19*Demand!CG19*Capacity!$DI$3:$DI$25/(TRANSPOSE(Dists!$B18:$X18)*SUM(Capacity!$DI$3:$DI$25/TRANSPOSE(Dists!$B18:$X18))))</f>
        <v>8.69218590361726E-005</v>
      </c>
      <c r="CH19" s="4" t="n">
        <f aca="false" t="array" ref="CH19:CH19">SUM(Capacity!DB19*Demand!CH19*Capacity!$DI$3:$DI$25/(TRANSPOSE(Dists!$B18:$X18)*SUM(Capacity!$DI$3:$DI$25/TRANSPOSE(Dists!$B18:$X18))))</f>
        <v>3.24590528865E-005</v>
      </c>
      <c r="CI19" s="4" t="n">
        <f aca="false" t="array" ref="CI19:CI19">SUM(Capacity!DC19*Demand!CI19*Capacity!$DI$3:$DI$25/(TRANSPOSE(Dists!$B18:$X18)*SUM(Capacity!$DI$3:$DI$25/TRANSPOSE(Dists!$B18:$X18))))</f>
        <v>0.0332326655112011</v>
      </c>
      <c r="CJ19" s="4" t="n">
        <f aca="false" t="array" ref="CJ19:CJ19">SUM(Capacity!DD19*Demand!CJ19*Capacity!$DI$3:$DI$25/(TRANSPOSE(Dists!$B18:$X18)*SUM(Capacity!$DI$3:$DI$25/TRANSPOSE(Dists!$B18:$X18))))</f>
        <v>0.0652711058963557</v>
      </c>
      <c r="CK19" s="4" t="n">
        <f aca="false" t="array" ref="CK19:CK19">SUM(Capacity!DE19*Demand!CK19*Capacity!$DI$3:$DI$25/(TRANSPOSE(Dists!$B18:$X18)*SUM(Capacity!$DI$3:$DI$25/TRANSPOSE(Dists!$B18:$X18))))</f>
        <v>4.03611058229682</v>
      </c>
      <c r="CL19" s="7" t="s">
        <v>322</v>
      </c>
    </row>
    <row r="20" customFormat="false" ht="12.8" hidden="false" customHeight="false" outlineLevel="0" collapsed="false">
      <c r="A20" s="4" t="s">
        <v>155</v>
      </c>
      <c r="B20" s="7" t="s">
        <v>39</v>
      </c>
      <c r="C20" s="4" t="n">
        <f aca="false" t="array" ref="C20:C20">SUM(Capacity!S20*Demand!C20*Capacity!$DH$3:$DH$25/(TRANSPOSE(Dists!$B19:$X19)*SUM(Capacity!$DH$3:$DH$25/TRANSPOSE(Dists!$B19:$X19))))</f>
        <v>0.00111766311197016</v>
      </c>
      <c r="D20" s="4" t="n">
        <f aca="false" t="array" ref="D20:D20">SUM(Capacity!V20*Demand!D20*Capacity!$DH$3:$DH$25/(TRANSPOSE(Dists!$B19:$X19)*SUM(Capacity!$DH$3:$DH$25/TRANSPOSE(Dists!$B19:$X19))))</f>
        <v>57.8222227631268</v>
      </c>
      <c r="E20" s="4" t="n">
        <f aca="false" t="array" ref="E20:E20">SUM(Capacity!Y20*Demand!E20*Capacity!$DH$3:$DH$25/(TRANSPOSE(Dists!$B19:$X19)*SUM(Capacity!$DH$3:$DH$25/TRANSPOSE(Dists!$B19:$X19))))</f>
        <v>11.1991508488389</v>
      </c>
      <c r="F20" s="4" t="n">
        <f aca="false">$E20*Capacity!$M20/(2*(1-Capacity!$H$28)*Capacity!$H20)</f>
        <v>5.76148628326627</v>
      </c>
      <c r="G20" s="4" t="n">
        <f aca="false" t="array" ref="G20:G20">SUM(Capacity!AA20*Demand!G20*Capacity!$DH$3:$DH$25/(TRANSPOSE(Dists!$B19:$X19)*SUM(Capacity!$DH$3:$DH$25/TRANSPOSE(Dists!$B19:$X19))))</f>
        <v>0.659546853930703</v>
      </c>
      <c r="H20" s="4" t="n">
        <f aca="false" t="array" ref="H20:H20">SUM(Capacity!AB20*Demand!H20*Capacity!$DH$3:$DH$25/(TRANSPOSE(Dists!$B19:$X19)*SUM(Capacity!$DH$3:$DH$25/TRANSPOSE(Dists!$B19:$X19))))</f>
        <v>0</v>
      </c>
      <c r="I20" s="4" t="n">
        <f aca="false" t="array" ref="I20:I20">SUM(Capacity!AC20*Demand!I$3:I$25*Capacity!$DG$3:$DG$25/(TRANSPOSE(Dists!$B19:$X19)*SUM(Capacity!$DG$3:$DG$25/TRANSPOSE(Dists!$B19:$X19))))</f>
        <v>1.16654325528544</v>
      </c>
      <c r="J20" s="4" t="n">
        <f aca="false" t="array" ref="J20:J20">SUM(Capacity!AD20*Demand!J$3:J$25*Capacity!$DG$3:$DG$25/(TRANSPOSE(Dists!$B19:$X19)*SUM(Capacity!$DG$3:$DG$25/TRANSPOSE(Dists!$B19:$X19))))</f>
        <v>1.04101616471456</v>
      </c>
      <c r="K20" s="4" t="n">
        <f aca="false">5479.45205479452*$R20</f>
        <v>183420.49778758</v>
      </c>
      <c r="L20" s="4" t="n">
        <f aca="false">17142.8571428571*$S20</f>
        <v>51651.6874978283</v>
      </c>
      <c r="M20" s="4" t="n">
        <f aca="false">IF(50420.1680672269*$T20&gt;($K20/20),50420.1680672269*$T20-($K20/20),0)</f>
        <v>75735.8586686951</v>
      </c>
      <c r="N20" s="4" t="n">
        <f aca="false" t="array" ref="N20:N20">SUM(Capacity!AH20*Demand!N20*Capacity!$DH$3:$DH$25/(TRANSPOSE(Dists!$B19:$X19)*SUM(Capacity!$DH$3:$DH$25/TRANSPOSE(Dists!$B19:$X19))))</f>
        <v>7.68163461604267</v>
      </c>
      <c r="O20" s="4" t="n">
        <f aca="false">D48*DemClcs!$A$31*DemClcs!$A$32</f>
        <v>197.056250363806</v>
      </c>
      <c r="P20" s="4" t="n">
        <f aca="false">O20*DemClcs!$A$29*DemClcs!$A$30</f>
        <v>78.8225001455224</v>
      </c>
      <c r="Q20" s="4" t="n">
        <f aca="false" t="array" ref="Q20:Q20">SUM(Capacity!AK20*Demand!Q20*Capacity!$DI$3:$DI$25/(TRANSPOSE(Dists!$B19:$X19)*SUM(Capacity!$DI$3:$DI$25/TRANSPOSE(Dists!$B19:$X19))))</f>
        <v>0.0921242483013431</v>
      </c>
      <c r="R20" s="4" t="n">
        <f aca="false" t="array" ref="R20:R20">SUM(Capacity!AL20*Demand!R20*Capacity!$DH$3:$DH$25/(TRANSPOSE(Dists!$B19:$X19)*SUM(Capacity!$DH$3:$DH$25/TRANSPOSE(Dists!$B19:$X19))))</f>
        <v>33.4742408462334</v>
      </c>
      <c r="S20" s="4" t="n">
        <f aca="false">SUM($BG48,$BI48,$BK48)*Capacity!AM20/SUM(Capacity!$AM20:$AN20,Capacity!$CX20)</f>
        <v>3.01301510403999</v>
      </c>
      <c r="T20" s="4" t="n">
        <f aca="false">SUM($BG48,$BI48,$BK48)*Capacity!AN20/SUM(Capacity!$AM20:$AN20,Capacity!$CX20)</f>
        <v>1.6839865239018</v>
      </c>
      <c r="U20" s="4" t="n">
        <f aca="false">$M20*120*2/(16*1000*2000)</f>
        <v>0.568018940015213</v>
      </c>
      <c r="V20" s="4" t="n">
        <f aca="false" t="array" ref="V20:V20">SUM(Capacity!AP20*Demand!V$3:V$25*Capacity!$DH$3:$DH$25/(TRANSPOSE(Dists!$B19:$X19)*SUM(Capacity!$DH$3:$DH$25/TRANSPOSE(Dists!$B19:$X19))))</f>
        <v>6.61138325977146</v>
      </c>
      <c r="W20" s="4" t="n">
        <f aca="false" t="array" ref="W20:W20">SUM(Capacity!AQ20*Demand!W$3:W$25*Capacity!$DH$3:$DH$25/(TRANSPOSE(Dists!$B19:$X19)*SUM(Capacity!$DH$3:$DH$25/TRANSPOSE(Dists!$B19:$X19))))</f>
        <v>27.117740460407</v>
      </c>
      <c r="X20" s="4" t="n">
        <f aca="false" t="array" ref="X20:X20">SUM(Capacity!AR20*Demand!X$3:X$25*Capacity!$DH$3:$DH$25/(TRANSPOSE(Dists!$B19:$X19)*SUM(Capacity!$DH$3:$DH$25/TRANSPOSE(Dists!$B19:$X19))))</f>
        <v>330.888832030883</v>
      </c>
      <c r="Y20" s="4" t="n">
        <f aca="false">$L20*600*6/(90*1000*2000)</f>
        <v>1.03303374995657</v>
      </c>
      <c r="Z20" s="4" t="n">
        <f aca="false" t="array" ref="Z20:Z20">SUM(Capacity!AT20*Demand!Z$3:Z$25*Capacity!$DI$3:$DI$25/(TRANSPOSE(Dists!$B19:$X19)*SUM(Capacity!$DI$3:$DI$25/TRANSPOSE(Dists!$B19:$X19))))</f>
        <v>0.0998703566701658</v>
      </c>
      <c r="AA20" s="4" t="n">
        <f aca="false" t="array" ref="AA20:AA20">SUM(Capacity!AU20*Demand!AA$3:AA$25*Capacity!$DI$3:$DI$25/(TRANSPOSE(Dists!$B19:$X19)*SUM(Capacity!$DI$3:$DI$25/TRANSPOSE(Dists!$B19:$X19))))</f>
        <v>0.908898280627225</v>
      </c>
      <c r="AB20" s="4" t="n">
        <f aca="false" t="array" ref="AB20:AB20">SUM(Capacity!AV20*Demand!AB$3:AB$25*Capacity!$DI$3:$DI$25/(TRANSPOSE(Dists!$B19:$X19)*SUM(Capacity!$DI$3:$DI$25/TRANSPOSE(Dists!$B19:$X19))))</f>
        <v>0.959480451596486</v>
      </c>
      <c r="AC20" s="4" t="n">
        <f aca="false" t="array" ref="AC20:AC20">SUM(Capacity!AW20*Demand!AC$3:AC$25*Capacity!$DI$3:$DI$25/(TRANSPOSE(Dists!$B19:$X19)*SUM(Capacity!$DI$3:$DI$25/TRANSPOSE(Dists!$B19:$X19))))</f>
        <v>0.38729725986457</v>
      </c>
      <c r="AD20" s="4" t="n">
        <f aca="false" t="array" ref="AD20:AD20">SUM(Capacity!AX20*Demand!AD$3:AD$25*Capacity!$DI$3:$DI$25/(TRANSPOSE(Dists!$B19:$X19)*SUM(Capacity!$DI$3:$DI$25/TRANSPOSE(Dists!$B19:$X19))))</f>
        <v>0.157077179888738</v>
      </c>
      <c r="AE20" s="4" t="n">
        <f aca="false" t="array" ref="AE20:AE20">SUM(Capacity!AY20*Demand!AE$3:AE$25*Capacity!$DI$3:$DI$25/(TRANSPOSE(Dists!$B19:$X19)*SUM(Capacity!$DI$3:$DI$25/TRANSPOSE(Dists!$B19:$X19))))</f>
        <v>0.134979324357411</v>
      </c>
      <c r="AF20" s="4" t="n">
        <f aca="false" t="array" ref="AF20:AF20">SUM(Capacity!AZ20*Demand!AF$3:AF$25*Capacity!$DI$3:$DI$25/(TRANSPOSE(Dists!$B19:$X19)*SUM(Capacity!$DI$3:$DI$25/TRANSPOSE(Dists!$B19:$X19))))</f>
        <v>0.0348670287208139</v>
      </c>
      <c r="AG20" s="4" t="n">
        <f aca="false" t="array" ref="AG20:AG20">SUM(Capacity!BA20*Demand!AG$3:AG$25*Capacity!$DI$3:$DI$25/(TRANSPOSE(Dists!$B19:$X19)*SUM(Capacity!$DI$3:$DI$25/TRANSPOSE(Dists!$B19:$X19))))</f>
        <v>0.149855507533788</v>
      </c>
      <c r="AH20" s="4" t="n">
        <f aca="false" t="array" ref="AH20:AH20">SUM(Capacity!BB20*Demand!AH$3:AH$25*Capacity!$DI$3:$DI$25/(TRANSPOSE(Dists!$B19:$X19)*SUM(Capacity!$DI$3:$DI$25/TRANSPOSE(Dists!$B19:$X19))))</f>
        <v>0.09099901016585</v>
      </c>
      <c r="AI20" s="4" t="n">
        <f aca="false" t="array" ref="AI20:AI20">SUM(Capacity!BC20*Demand!AI$3:AI$25*Capacity!$DI$3:$DI$25/(TRANSPOSE(Dists!$B19:$X19)*SUM(Capacity!$DI$3:$DI$25/TRANSPOSE(Dists!$B19:$X19))))</f>
        <v>0.0190709887487838</v>
      </c>
      <c r="AJ20" s="4" t="n">
        <f aca="false" t="array" ref="AJ20:AJ20">SUM(Capacity!BD20*Demand!AJ$3:AJ$25*Capacity!$DI$3:$DI$25/(TRANSPOSE(Dists!$B19:$X19)*SUM(Capacity!$DI$3:$DI$25/TRANSPOSE(Dists!$B19:$X19))))</f>
        <v>0.0392146555592588</v>
      </c>
      <c r="AK20" s="4" t="n">
        <f aca="false" t="array" ref="AK20:AK20">SUM(Capacity!BE20*Demand!AK$3:AK$25*Capacity!$DI$3:$DI$25/(TRANSPOSE(Dists!$B19:$X19)*SUM(Capacity!$DI$3:$DI$25/TRANSPOSE(Dists!$B19:$X19))))</f>
        <v>0.031122361317642</v>
      </c>
      <c r="AL20" s="4" t="n">
        <f aca="false" t="array" ref="AL20:AL20">SUM(Capacity!BF20*Demand!AL$3:AL$25*Capacity!$DI$3:$DI$25/(TRANSPOSE(Dists!$B19:$X19)*SUM(Capacity!$DI$3:$DI$25/TRANSPOSE(Dists!$B19:$X19))))</f>
        <v>0.0189731360145169</v>
      </c>
      <c r="AM20" s="4" t="n">
        <f aca="false" t="array" ref="AM20:AM20">SUM(Capacity!BG20*Demand!AM$3:AM$25*Capacity!$DI$3:$DI$25/(TRANSPOSE(Dists!$B19:$X19)*SUM(Capacity!$DI$3:$DI$25/TRANSPOSE(Dists!$B19:$X19))))</f>
        <v>0.0570985128343347</v>
      </c>
      <c r="AN20" s="4" t="n">
        <f aca="false" t="array" ref="AN20:AN20">SUM(Capacity!BH20*Demand!AN$3:AN$25*Capacity!$DI$3:$DI$25/(TRANSPOSE(Dists!$B19:$X19)*SUM(Capacity!$DI$3:$DI$25/TRANSPOSE(Dists!$B19:$X19))))</f>
        <v>0.0271814957336773</v>
      </c>
      <c r="AO20" s="4" t="n">
        <f aca="false" t="array" ref="AO20:AO20">SUM(Capacity!BI20*Demand!AO$3:AO$25*Capacity!$DI$3:$DI$25/(TRANSPOSE(Dists!$B19:$X19)*SUM(Capacity!$DI$3:$DI$25/TRANSPOSE(Dists!$B19:$X19))))</f>
        <v>0.068950389313051</v>
      </c>
      <c r="AP20" s="4" t="n">
        <f aca="false" t="array" ref="AP20:AP20">SUM(Capacity!BJ20*Demand!AP$3:AP$25*Capacity!$DI$3:$DI$25/(TRANSPOSE(Dists!$B19:$X19)*SUM(Capacity!$DI$3:$DI$25/TRANSPOSE(Dists!$B19:$X19))))</f>
        <v>0.03758192646575</v>
      </c>
      <c r="AQ20" s="4" t="n">
        <f aca="false" t="array" ref="AQ20:AQ20">SUM(Capacity!BK20*Demand!AQ$3:AQ$25*Capacity!$DI$3:$DI$25/(TRANSPOSE(Dists!$B19:$X19)*SUM(Capacity!$DI$3:$DI$25/TRANSPOSE(Dists!$B19:$X19))))</f>
        <v>0.00528480289151957</v>
      </c>
      <c r="AR20" s="4" t="n">
        <f aca="false" t="array" ref="AR20:AR20">SUM(Capacity!BL20*Demand!AR$3:AR$25*Capacity!$DI$3:$DI$25/(TRANSPOSE(Dists!$B19:$X19)*SUM(Capacity!$DI$3:$DI$25/TRANSPOSE(Dists!$B19:$X19))))</f>
        <v>0.00900317208269054</v>
      </c>
      <c r="AS20" s="4" t="n">
        <f aca="false" t="array" ref="AS20:AS20">SUM(Capacity!BM20*Demand!AS$3:AS$25*Capacity!$DI$3:$DI$25/(TRANSPOSE(Dists!$B19:$X19)*SUM(Capacity!$DI$3:$DI$25/TRANSPOSE(Dists!$B19:$X19))))</f>
        <v>0.0134233283262585</v>
      </c>
      <c r="AT20" s="4" t="n">
        <f aca="false" t="array" ref="AT20:AT20">SUM(Capacity!BN20*Demand!AT$3:AT$25*Capacity!$DI$3:$DI$25/(TRANSPOSE(Dists!$B19:$X19)*SUM(Capacity!$DI$3:$DI$25/TRANSPOSE(Dists!$B19:$X19))))</f>
        <v>0.127976223606252</v>
      </c>
      <c r="AU20" s="4" t="n">
        <f aca="false" t="array" ref="AU20:AU20">SUM(Capacity!BO20*Demand!AU$3:AU$25*Capacity!$DI$3:$DI$25/(TRANSPOSE(Dists!$B19:$X19)*SUM(Capacity!$DI$3:$DI$25/TRANSPOSE(Dists!$B19:$X19))))</f>
        <v>0.12147878407839</v>
      </c>
      <c r="AV20" s="4" t="n">
        <f aca="false" t="array" ref="AV20:AV20">SUM(Capacity!BP20*Demand!AV$3:AV$25*Capacity!$DI$3:$DI$25/(TRANSPOSE(Dists!$B19:$X19)*SUM(Capacity!$DI$3:$DI$25/TRANSPOSE(Dists!$B19:$X19))))</f>
        <v>0.00640837306523283</v>
      </c>
      <c r="AW20" s="4" t="n">
        <f aca="false" t="array" ref="AW20:AW20">SUM(Capacity!BQ20*Demand!AW$3:AW$25*Capacity!$DI$3:$DI$25/(TRANSPOSE(Dists!$B19:$X19)*SUM(Capacity!$DI$3:$DI$25/TRANSPOSE(Dists!$B19:$X19))))</f>
        <v>0.211911190635084</v>
      </c>
      <c r="AX20" s="4" t="n">
        <f aca="false" t="array" ref="AX20:AX20">SUM(Capacity!BR20*Demand!AX$3:AX$25*Capacity!$DI$3:$DI$25/(TRANSPOSE(Dists!$B19:$X19)*SUM(Capacity!$DI$3:$DI$25/TRANSPOSE(Dists!$B19:$X19))))</f>
        <v>0.0296451368646874</v>
      </c>
      <c r="AY20" s="4" t="n">
        <f aca="false" t="array" ref="AY20:AY20">SUM(Capacity!BS20*Demand!AY$3:AY$25*Capacity!$DI$3:$DI$25/(TRANSPOSE(Dists!$B19:$X19)*SUM(Capacity!$DI$3:$DI$25/TRANSPOSE(Dists!$B19:$X19))))</f>
        <v>0.0116273148269122</v>
      </c>
      <c r="AZ20" s="4" t="n">
        <f aca="false" t="array" ref="AZ20:AZ20">SUM(Capacity!BT20*Demand!AZ$3:AZ$25*Capacity!$DI$3:$DI$25/(TRANSPOSE(Dists!$B19:$X19)*SUM(Capacity!$DI$3:$DI$25/TRANSPOSE(Dists!$B19:$X19))))</f>
        <v>0.0743966481524444</v>
      </c>
      <c r="BA20" s="4" t="n">
        <f aca="false">L20*25/(2000*1000*51)</f>
        <v>0.0126597273278991</v>
      </c>
      <c r="BB20" s="4" t="n">
        <f aca="false" t="array" ref="BB20:BB20">SUM(Capacity!BV20*Demand!BB$3:BB$25*Capacity!$DI$3:$DI$25/(TRANSPOSE(Dists!$B19:$X19)*SUM(Capacity!$DI$3:$DI$25/TRANSPOSE(Dists!$B19:$X19))))</f>
        <v>0.0159749386100857</v>
      </c>
      <c r="BC20" s="4" t="n">
        <f aca="false" t="array" ref="BC20:BC20">SUM(Capacity!BW20*Demand!BC$3:BC$25*Capacity!$DI$3:$DI$25/(TRANSPOSE(Dists!$B19:$X19)*SUM(Capacity!$DI$3:$DI$25/TRANSPOSE(Dists!$B19:$X19))))</f>
        <v>0.0125262984687928</v>
      </c>
      <c r="BD20" s="4" t="n">
        <f aca="false" t="array" ref="BD20:BD20">SUM(Capacity!BX20*Demand!BD$3:BD$25*Capacity!$DI$3:$DI$25/(TRANSPOSE(Dists!$B19:$X19)*SUM(Capacity!$DI$3:$DI$25/TRANSPOSE(Dists!$B19:$X19))))</f>
        <v>0.00704764499126208</v>
      </c>
      <c r="BE20" s="4" t="n">
        <f aca="false" t="array" ref="BE20:BE20">SUM(Capacity!BY20*Demand!BE$3:BE$25*Capacity!$DI$3:$DI$25/(TRANSPOSE(Dists!$B19:$X19)*SUM(Capacity!$DI$3:$DI$25/TRANSPOSE(Dists!$B19:$X19))))</f>
        <v>0.00410785589651308</v>
      </c>
      <c r="BF20" s="4" t="n">
        <f aca="false" t="array" ref="BF20:BF20">SUM(Capacity!BZ20*Demand!BF$3:BF$25*Capacity!$DI$3:$DI$25/(TRANSPOSE(Dists!$B19:$X19)*SUM(Capacity!$DI$3:$DI$25/TRANSPOSE(Dists!$B19:$X19))))</f>
        <v>0.703156835270359</v>
      </c>
      <c r="BG20" s="4" t="n">
        <f aca="false" t="array" ref="BG20:BG20">SUM(Capacity!CA20*Demand!BG$3:BG$25*Capacity!$DI$3:$DI$25/(TRANSPOSE(Dists!$B19:$X19)*SUM(Capacity!$DI$3:$DI$25/TRANSPOSE(Dists!$B19:$X19))))</f>
        <v>1.8009086207142</v>
      </c>
      <c r="BH20" s="4" t="n">
        <f aca="false" t="array" ref="BH20:BH20">SUM(Capacity!CB20*Demand!BH$3:BH$25*Capacity!$DI$3:$DI$25/(TRANSPOSE(Dists!$B19:$X19)*SUM(Capacity!$DI$3:$DI$25/TRANSPOSE(Dists!$B19:$X19))))</f>
        <v>0.00410407590250841</v>
      </c>
      <c r="BI20" s="4" t="n">
        <f aca="false" t="array" ref="BI20:BI20">SUM(Capacity!CC20*Demand!BI20*Capacity!$DI$3:$DI$25/(TRANSPOSE(Dists!$B19:$X19)*SUM(Capacity!$DI$3:$DI$25/TRANSPOSE(Dists!$B19:$X19))))</f>
        <v>1.71756513680227</v>
      </c>
      <c r="BJ20" s="4" t="n">
        <f aca="false" t="array" ref="BJ20:BJ20">SUM(Capacity!CD20*Demand!BJ20*Capacity!$DI$3:$DI$25/(TRANSPOSE(Dists!$B19:$X19)*SUM(Capacity!$DI$3:$DI$25/TRANSPOSE(Dists!$B19:$X19))))</f>
        <v>96.3520679811946</v>
      </c>
      <c r="BK20" s="4" t="n">
        <f aca="false" t="array" ref="BK20:BK20">SUM(Capacity!CE20*Demand!BK20*Capacity!$DI$3:$DI$25/(TRANSPOSE(Dists!$B19:$X19)*SUM(Capacity!$DI$3:$DI$25/TRANSPOSE(Dists!$B19:$X19))))</f>
        <v>0.858782568401136</v>
      </c>
      <c r="BL20" s="4" t="n">
        <f aca="false" t="array" ref="BL20:BL20">SUM(Capacity!CF20*Demand!BL20*Capacity!$DI$3:$DI$25/(TRANSPOSE(Dists!$B19:$X19)*SUM(Capacity!$DI$3:$DI$25/TRANSPOSE(Dists!$B19:$X19))))</f>
        <v>35.7329500427794</v>
      </c>
      <c r="BM20" s="4" t="n">
        <f aca="false" t="array" ref="BM20:BM20">SUM(Capacity!CG20*Demand!BM20*Capacity!$DI$3:$DI$25/(TRANSPOSE(Dists!$B19:$X19)*SUM(Capacity!$DI$3:$DI$25/TRANSPOSE(Dists!$B19:$X19))))</f>
        <v>1.74838049270852</v>
      </c>
      <c r="BN20" s="4" t="n">
        <f aca="false">MAX($BO20/0.006,$BP20/0.7,$BR20/0.002,$BS20/0.001)</f>
        <v>19.1864421174799</v>
      </c>
      <c r="BO20" s="4" t="n">
        <f aca="false" t="array" ref="BO20:BO20">SUM(Capacity!CI20*Demand!BO20*Capacity!$DI$3:$DI$25/(TRANSPOSE(Dists!$B19:$X19)*SUM(Capacity!$DI$3:$DI$25/TRANSPOSE(Dists!$B19:$X19))))</f>
        <v>0.115118652704879</v>
      </c>
      <c r="BP20" s="4" t="n">
        <f aca="false" t="array" ref="BP20:BP20">SUM(Capacity!CJ20*Demand!BP20*Capacity!$DI$3:$DI$25/(TRANSPOSE(Dists!$B19:$X19)*SUM(Capacity!$DI$3:$DI$25/TRANSPOSE(Dists!$B19:$X19))))</f>
        <v>0.433214520637481</v>
      </c>
      <c r="BQ20" s="4" t="n">
        <f aca="false" t="array" ref="BQ20:BQ20">SUM(Capacity!CK20*Demand!BQ20*Capacity!$DI$3:$DI$25/(TRANSPOSE(Dists!$B19:$X19)*SUM(Capacity!$DI$3:$DI$25/TRANSPOSE(Dists!$B19:$X19))))</f>
        <v>0</v>
      </c>
      <c r="BR20" s="4" t="n">
        <f aca="false" t="array" ref="BR20:BR20">SUM(Capacity!CL20*Demand!BR20*Capacity!$DI$3:$DI$25/(TRANSPOSE(Dists!$B19:$X19)*SUM(Capacity!$DI$3:$DI$25/TRANSPOSE(Dists!$B19:$X19))))</f>
        <v>0.00383728842349598</v>
      </c>
      <c r="BS20" s="4" t="n">
        <f aca="false" t="array" ref="BS20:BS20">SUM(Capacity!CM20*Demand!BS20*Capacity!$DI$3:$DI$25/(TRANSPOSE(Dists!$B19:$X19)*SUM(Capacity!$DI$3:$DI$25/TRANSPOSE(Dists!$B19:$X19))))</f>
        <v>0.000383728667597136</v>
      </c>
      <c r="BT20" s="4" t="n">
        <f aca="false" t="array" ref="BT20:BT20">SUM(Capacity!CN20*Demand!BT20*Capacity!$DI$3:$DI$25/(TRANSPOSE(Dists!$B19:$X19)*SUM(Capacity!$DI$3:$DI$25/TRANSPOSE(Dists!$B19:$X19))))</f>
        <v>0.0842914822892254</v>
      </c>
      <c r="BU20" s="4" t="n">
        <f aca="false" t="array" ref="BU20:BU20">SUM(Capacity!CO20*Demand!BU20*Capacity!$DI$3:$DI$25/(TRANSPOSE(Dists!$B19:$X19)*SUM(Capacity!$DI$3:$DI$25/TRANSPOSE(Dists!$B19:$X19))))</f>
        <v>0.00842914822892254</v>
      </c>
      <c r="BV20" s="4" t="n">
        <f aca="false" t="array" ref="BV20:BV20">SUM(Capacity!CP20*Demand!BV20*Capacity!$DI$3:$DI$25/(TRANSPOSE(Dists!$B19:$X19)*SUM(Capacity!$DI$3:$DI$25/TRANSPOSE(Dists!$B19:$X19))))</f>
        <v>0.000842914822892254</v>
      </c>
      <c r="BW20" s="4" t="n">
        <f aca="false">E48*DemClcs!$A$40*DemClcs!$A$41*8.34/(DemClcs!$A$38)</f>
        <v>133.998950976253</v>
      </c>
      <c r="BX20" s="4" t="n">
        <f aca="false" t="array" ref="BX20:BX20">SUM(Capacity!CR20*Demand!BX20*Capacity!$DI$3:$DI$25/(TRANSPOSE(Dists!$B19:$X19)*SUM(Capacity!$DI$3:$DI$25/TRANSPOSE(Dists!$B19:$X19))))</f>
        <v>0.17301009902655</v>
      </c>
      <c r="BY20" s="4" t="n">
        <f aca="false" t="array" ref="BY20:BY20">SUM(Capacity!CS20*Demand!BY20*Capacity!$DI$3:$DI$25/(TRANSPOSE(Dists!$B19:$X19)*SUM(Capacity!$DI$3:$DI$25/TRANSPOSE(Dists!$B19:$X19))))</f>
        <v>6.44882771546506</v>
      </c>
      <c r="BZ20" s="4" t="n">
        <f aca="false" t="array" ref="BZ20:BZ20">SUM(Capacity!CT20*Demand!BZ20*Capacity!$DI$3:$DI$25/(TRANSPOSE(Dists!$B19:$X19)*SUM(Capacity!$DI$3:$DI$25/TRANSPOSE(Dists!$B19:$X19))))</f>
        <v>0.0184510432771261</v>
      </c>
      <c r="CA20" s="4" t="n">
        <f aca="false" t="array" ref="CA20:CA20">SUM(Capacity!CU20*Demand!CA20*Capacity!$DI$3:$DI$25/(TRANSPOSE(Dists!$B19:$X19)*SUM(Capacity!$DI$3:$DI$25/TRANSPOSE(Dists!$B19:$X19))))</f>
        <v>0.00856986436656704</v>
      </c>
      <c r="CB20" s="4" t="n">
        <f aca="false" t="array" ref="CB20:CB20">SUM(Capacity!CV20*Demand!CB20*Capacity!$DI$3:$DI$25/(TRANSPOSE(Dists!$B19:$X19)*SUM(Capacity!$DI$3:$DI$25/TRANSPOSE(Dists!$B19:$X19))))</f>
        <v>23.6023626257807</v>
      </c>
      <c r="CC20" s="4" t="n">
        <f aca="false" t="array" ref="CC20:CC20">SUM(Capacity!CW20*Demand!CC20*Capacity!$DI$3:$DI$25/(TRANSPOSE(Dists!$B19:$X19)*SUM(Capacity!$DI$3:$DI$25/TRANSPOSE(Dists!$B19:$X19))))</f>
        <v>126.439313792968</v>
      </c>
      <c r="CD20" s="4" t="n">
        <f aca="false">SUM($BG48,$BI48,$BK48)*Capacity!CX20/SUM(Capacity!$AM20:$AN20,Capacity!$CX20)</f>
        <v>6.59413367336379</v>
      </c>
      <c r="CE20" s="4" t="n">
        <f aca="false" t="array" ref="CE20:CE20">SUM(Capacity!CY20*Demand!CE20*Capacity!$DI$3:$DI$25/(TRANSPOSE(Dists!$B19:$X19)*SUM(Capacity!$DI$3:$DI$25/TRANSPOSE(Dists!$B19:$X19))))</f>
        <v>0.0480493892036075</v>
      </c>
      <c r="CF20" s="4" t="n">
        <f aca="false" t="array" ref="CF20:CF20">SUM(Capacity!CZ20*Demand!CF20*Capacity!$DI$3:$DI$25/(TRANSPOSE(Dists!$B19:$X19)*SUM(Capacity!$DI$3:$DI$25/TRANSPOSE(Dists!$B19:$X19))))</f>
        <v>125.772957845016</v>
      </c>
      <c r="CG20" s="4" t="n">
        <f aca="false" t="array" ref="CG20:CG20">SUM(Capacity!DA20*Demand!CG20*Capacity!$DI$3:$DI$25/(TRANSPOSE(Dists!$B19:$X19)*SUM(Capacity!$DI$3:$DI$25/TRANSPOSE(Dists!$B19:$X19))))</f>
        <v>0.174378473844458</v>
      </c>
      <c r="CH20" s="4" t="n">
        <f aca="false" t="array" ref="CH20:CH20">SUM(Capacity!DB20*Demand!CH20*Capacity!$DI$3:$DI$25/(TRANSPOSE(Dists!$B19:$X19)*SUM(Capacity!$DI$3:$DI$25/TRANSPOSE(Dists!$B19:$X19))))</f>
        <v>3.09833061938662</v>
      </c>
      <c r="CI20" s="4" t="n">
        <f aca="false" t="array" ref="CI20:CI20">SUM(Capacity!DC20*Demand!CI20*Capacity!$DI$3:$DI$25/(TRANSPOSE(Dists!$B19:$X19)*SUM(Capacity!$DI$3:$DI$25/TRANSPOSE(Dists!$B19:$X19))))</f>
        <v>0.00750189661484075</v>
      </c>
      <c r="CJ20" s="4" t="n">
        <f aca="false" t="array" ref="CJ20:CJ20">SUM(Capacity!DD20*Demand!CJ20*Capacity!$DI$3:$DI$25/(TRANSPOSE(Dists!$B19:$X19)*SUM(Capacity!$DI$3:$DI$25/TRANSPOSE(Dists!$B19:$X19))))</f>
        <v>0.000531494943186311</v>
      </c>
      <c r="CK20" s="4" t="n">
        <f aca="false" t="array" ref="CK20:CK20">SUM(Capacity!DE20*Demand!CK20*Capacity!$DI$3:$DI$25/(TRANSPOSE(Dists!$B19:$X19)*SUM(Capacity!$DI$3:$DI$25/TRANSPOSE(Dists!$B19:$X19))))</f>
        <v>0.276905753515261</v>
      </c>
      <c r="CL20" s="7" t="s">
        <v>322</v>
      </c>
    </row>
    <row r="21" customFormat="false" ht="12.8" hidden="false" customHeight="false" outlineLevel="0" collapsed="false">
      <c r="A21" s="4" t="s">
        <v>156</v>
      </c>
      <c r="B21" s="7" t="s">
        <v>39</v>
      </c>
      <c r="C21" s="4" t="n">
        <f aca="false" t="array" ref="C21:C21">SUM(Capacity!S21*Demand!C21*Capacity!$DH$3:$DH$25/(TRANSPOSE(Dists!$B20:$X20)*SUM(Capacity!$DH$3:$DH$25/TRANSPOSE(Dists!$B20:$X20))))</f>
        <v>0.052405050512631</v>
      </c>
      <c r="D21" s="4" t="n">
        <f aca="false" t="array" ref="D21:D21">SUM(Capacity!V21*Demand!D21*Capacity!$DH$3:$DH$25/(TRANSPOSE(Dists!$B20:$X20)*SUM(Capacity!$DH$3:$DH$25/TRANSPOSE(Dists!$B20:$X20))))</f>
        <v>6380.40412527158</v>
      </c>
      <c r="E21" s="4" t="n">
        <f aca="false" t="array" ref="E21:E21">SUM(Capacity!Y21*Demand!E21*Capacity!$DH$3:$DH$25/(TRANSPOSE(Dists!$B20:$X20)*SUM(Capacity!$DH$3:$DH$25/TRANSPOSE(Dists!$B20:$X20))))</f>
        <v>940.875602838331</v>
      </c>
      <c r="F21" s="4" t="n">
        <f aca="false">$E21*Capacity!$M21/(2*(1-Capacity!$H$28)*Capacity!$H21)</f>
        <v>336.209555976087</v>
      </c>
      <c r="G21" s="4" t="n">
        <f aca="false" t="array" ref="G21:G21">SUM(Capacity!AA21*Demand!G21*Capacity!$DH$3:$DH$25/(TRANSPOSE(Dists!$B20:$X20)*SUM(Capacity!$DH$3:$DH$25/TRANSPOSE(Dists!$B20:$X20))))</f>
        <v>2314.59497981286</v>
      </c>
      <c r="H21" s="4" t="n">
        <f aca="false" t="array" ref="H21:H21">SUM(Capacity!AB21*Demand!H21*Capacity!$DH$3:$DH$25/(TRANSPOSE(Dists!$B20:$X20)*SUM(Capacity!$DH$3:$DH$25/TRANSPOSE(Dists!$B20:$X20))))</f>
        <v>0</v>
      </c>
      <c r="I21" s="4" t="n">
        <f aca="false" t="array" ref="I21:I21">SUM(Capacity!AC21*Demand!I$3:I$25*Capacity!$DG$3:$DG$25/(TRANSPOSE(Dists!$B20:$X20)*SUM(Capacity!$DG$3:$DG$25/TRANSPOSE(Dists!$B20:$X20))))</f>
        <v>4.69415638908825</v>
      </c>
      <c r="J21" s="4" t="n">
        <f aca="false" t="array" ref="J21:J21">SUM(Capacity!AD21*Demand!J$3:J$25*Capacity!$DG$3:$DG$25/(TRANSPOSE(Dists!$B20:$X20)*SUM(Capacity!$DG$3:$DG$25/TRANSPOSE(Dists!$B20:$X20))))</f>
        <v>5.13951739091176</v>
      </c>
      <c r="K21" s="4" t="n">
        <f aca="false">5479.45205479452*$R21</f>
        <v>1290872.43134773</v>
      </c>
      <c r="L21" s="4" t="n">
        <f aca="false">17142.8571428571*$S21</f>
        <v>512233.998277241</v>
      </c>
      <c r="M21" s="4" t="n">
        <f aca="false">IF(50420.1680672269*$T21&gt;($K21/20),50420.1680672269*$T21-($K21/20),0)</f>
        <v>777484.868751367</v>
      </c>
      <c r="N21" s="4" t="n">
        <f aca="false" t="array" ref="N21:N21">SUM(Capacity!AH21*Demand!N21*Capacity!$DH$3:$DH$25/(TRANSPOSE(Dists!$B20:$X20)*SUM(Capacity!$DH$3:$DH$25/TRANSPOSE(Dists!$B20:$X20))))</f>
        <v>1880.92525107182</v>
      </c>
      <c r="O21" s="4" t="n">
        <f aca="false">D49*DemClcs!$A$31*DemClcs!$A$32</f>
        <v>2662.69554403366</v>
      </c>
      <c r="P21" s="4" t="n">
        <f aca="false">O21*DemClcs!$A$29*DemClcs!$A$30</f>
        <v>1065.07821761346</v>
      </c>
      <c r="Q21" s="4" t="n">
        <f aca="false" t="array" ref="Q21:Q21">SUM(Capacity!AK21*Demand!Q21*Capacity!$DI$3:$DI$25/(TRANSPOSE(Dists!$B20:$X20)*SUM(Capacity!$DI$3:$DI$25/TRANSPOSE(Dists!$B20:$X20))))</f>
        <v>35.0005709256983</v>
      </c>
      <c r="R21" s="4" t="n">
        <f aca="false" t="array" ref="R21:R21">SUM(Capacity!AL21*Demand!R21*Capacity!$DH$3:$DH$25/(TRANSPOSE(Dists!$B20:$X20)*SUM(Capacity!$DH$3:$DH$25/TRANSPOSE(Dists!$B20:$X20))))</f>
        <v>235.584218720961</v>
      </c>
      <c r="S21" s="4" t="n">
        <f aca="false">SUM($BG49,$BI49,$BK49)*Capacity!AM21/SUM(Capacity!$AM21:$AN21,Capacity!$CX21)</f>
        <v>29.8803165661724</v>
      </c>
      <c r="T21" s="4" t="n">
        <f aca="false">SUM($BG49,$BI49,$BK49)*Capacity!AN21/SUM(Capacity!$AM21:$AN21,Capacity!$CX21)</f>
        <v>16.7002317246553</v>
      </c>
      <c r="U21" s="4" t="n">
        <f aca="false">$M21*120*2/(16*1000*2000)</f>
        <v>5.83113651563526</v>
      </c>
      <c r="V21" s="4" t="n">
        <f aca="false" t="array" ref="V21:V21">SUM(Capacity!AP21*Demand!V$3:V$25*Capacity!$DH$3:$DH$25/(TRANSPOSE(Dists!$B20:$X20)*SUM(Capacity!$DH$3:$DH$25/TRANSPOSE(Dists!$B20:$X20))))</f>
        <v>269.55395079922</v>
      </c>
      <c r="W21" s="4" t="n">
        <f aca="false" t="array" ref="W21:W21">SUM(Capacity!AQ21*Demand!W$3:W$25*Capacity!$DH$3:$DH$25/(TRANSPOSE(Dists!$B20:$X20)*SUM(Capacity!$DH$3:$DH$25/TRANSPOSE(Dists!$B20:$X20))))</f>
        <v>1183.42224058631</v>
      </c>
      <c r="X21" s="4" t="n">
        <f aca="false" t="array" ref="X21:X21">SUM(Capacity!AR21*Demand!X$3:X$25*Capacity!$DH$3:$DH$25/(TRANSPOSE(Dists!$B20:$X20)*SUM(Capacity!$DH$3:$DH$25/TRANSPOSE(Dists!$B20:$X20))))</f>
        <v>1672.72204149018</v>
      </c>
      <c r="Y21" s="4" t="n">
        <f aca="false">$L21*600*6/(90*1000*2000)</f>
        <v>10.2446799655448</v>
      </c>
      <c r="Z21" s="4" t="n">
        <f aca="false" t="array" ref="Z21:Z21">SUM(Capacity!AT21*Demand!Z$3:Z$25*Capacity!$DI$3:$DI$25/(TRANSPOSE(Dists!$B20:$X20)*SUM(Capacity!$DI$3:$DI$25/TRANSPOSE(Dists!$B20:$X20))))</f>
        <v>46.7953757368773</v>
      </c>
      <c r="AA21" s="4" t="n">
        <f aca="false" t="array" ref="AA21:AA21">SUM(Capacity!AU21*Demand!AA$3:AA$25*Capacity!$DI$3:$DI$25/(TRANSPOSE(Dists!$B20:$X20)*SUM(Capacity!$DI$3:$DI$25/TRANSPOSE(Dists!$B20:$X20))))</f>
        <v>71.831844808453</v>
      </c>
      <c r="AB21" s="4" t="n">
        <f aca="false" t="array" ref="AB21:AB21">SUM(Capacity!AV21*Demand!AB$3:AB$25*Capacity!$DI$3:$DI$25/(TRANSPOSE(Dists!$B20:$X20)*SUM(Capacity!$DI$3:$DI$25/TRANSPOSE(Dists!$B20:$X20))))</f>
        <v>68.4322954546391</v>
      </c>
      <c r="AC21" s="4" t="n">
        <f aca="false" t="array" ref="AC21:AC21">SUM(Capacity!AW21*Demand!AC$3:AC$25*Capacity!$DI$3:$DI$25/(TRANSPOSE(Dists!$B20:$X20)*SUM(Capacity!$DI$3:$DI$25/TRANSPOSE(Dists!$B20:$X20))))</f>
        <v>9.72624468778457</v>
      </c>
      <c r="AD21" s="4" t="n">
        <f aca="false" t="array" ref="AD21:AD21">SUM(Capacity!AX21*Demand!AD$3:AD$25*Capacity!$DI$3:$DI$25/(TRANSPOSE(Dists!$B20:$X20)*SUM(Capacity!$DI$3:$DI$25/TRANSPOSE(Dists!$B20:$X20))))</f>
        <v>11.2030963897618</v>
      </c>
      <c r="AE21" s="4" t="n">
        <f aca="false" t="array" ref="AE21:AE21">SUM(Capacity!AY21*Demand!AE$3:AE$25*Capacity!$DI$3:$DI$25/(TRANSPOSE(Dists!$B20:$X20)*SUM(Capacity!$DI$3:$DI$25/TRANSPOSE(Dists!$B20:$X20))))</f>
        <v>8.65688543236278</v>
      </c>
      <c r="AF21" s="4" t="n">
        <f aca="false" t="array" ref="AF21:AF21">SUM(Capacity!AZ21*Demand!AF$3:AF$25*Capacity!$DI$3:$DI$25/(TRANSPOSE(Dists!$B20:$X20)*SUM(Capacity!$DI$3:$DI$25/TRANSPOSE(Dists!$B20:$X20))))</f>
        <v>1.53907523772079</v>
      </c>
      <c r="AG21" s="4" t="n">
        <f aca="false" t="array" ref="AG21:AG21">SUM(Capacity!BA21*Demand!AG$3:AG$25*Capacity!$DI$3:$DI$25/(TRANSPOSE(Dists!$B20:$X20)*SUM(Capacity!$DI$3:$DI$25/TRANSPOSE(Dists!$B20:$X20))))</f>
        <v>8.14770996983567</v>
      </c>
      <c r="AH21" s="4" t="n">
        <f aca="false" t="array" ref="AH21:AH21">SUM(Capacity!BB21*Demand!AH$3:AH$25*Capacity!$DI$3:$DI$25/(TRANSPOSE(Dists!$B20:$X20)*SUM(Capacity!$DI$3:$DI$25/TRANSPOSE(Dists!$B20:$X20))))</f>
        <v>5.70661951338161</v>
      </c>
      <c r="AI21" s="4" t="n">
        <f aca="false" t="array" ref="AI21:AI21">SUM(Capacity!BC21*Demand!AI$3:AI$25*Capacity!$DI$3:$DI$25/(TRANSPOSE(Dists!$B20:$X20)*SUM(Capacity!$DI$3:$DI$25/TRANSPOSE(Dists!$B20:$X20))))</f>
        <v>0.856958706800993</v>
      </c>
      <c r="AJ21" s="4" t="n">
        <f aca="false" t="array" ref="AJ21:AJ21">SUM(Capacity!BD21*Demand!AJ$3:AJ$25*Capacity!$DI$3:$DI$25/(TRANSPOSE(Dists!$B20:$X20)*SUM(Capacity!$DI$3:$DI$25/TRANSPOSE(Dists!$B20:$X20))))</f>
        <v>2.66166766482619</v>
      </c>
      <c r="AK21" s="4" t="n">
        <f aca="false" t="array" ref="AK21:AK21">SUM(Capacity!BE21*Demand!AK$3:AK$25*Capacity!$DI$3:$DI$25/(TRANSPOSE(Dists!$B20:$X20)*SUM(Capacity!$DI$3:$DI$25/TRANSPOSE(Dists!$B20:$X20))))</f>
        <v>1.49353957042873</v>
      </c>
      <c r="AL21" s="4" t="n">
        <f aca="false" t="array" ref="AL21:AL21">SUM(Capacity!BF21*Demand!AL$3:AL$25*Capacity!$DI$3:$DI$25/(TRANSPOSE(Dists!$B20:$X20)*SUM(Capacity!$DI$3:$DI$25/TRANSPOSE(Dists!$B20:$X20))))</f>
        <v>0.959322512485204</v>
      </c>
      <c r="AM21" s="4" t="n">
        <f aca="false" t="array" ref="AM21:AM21">SUM(Capacity!BG21*Demand!AM$3:AM$25*Capacity!$DI$3:$DI$25/(TRANSPOSE(Dists!$B20:$X20)*SUM(Capacity!$DI$3:$DI$25/TRANSPOSE(Dists!$B20:$X20))))</f>
        <v>2.45393712391798</v>
      </c>
      <c r="AN21" s="4" t="n">
        <f aca="false" t="array" ref="AN21:AN21">SUM(Capacity!BH21*Demand!AN$3:AN$25*Capacity!$DI$3:$DI$25/(TRANSPOSE(Dists!$B20:$X20)*SUM(Capacity!$DI$3:$DI$25/TRANSPOSE(Dists!$B20:$X20))))</f>
        <v>1.52846055067299</v>
      </c>
      <c r="AO21" s="4" t="n">
        <f aca="false" t="array" ref="AO21:AO21">SUM(Capacity!BI21*Demand!AO$3:AO$25*Capacity!$DI$3:$DI$25/(TRANSPOSE(Dists!$B20:$X20)*SUM(Capacity!$DI$3:$DI$25/TRANSPOSE(Dists!$B20:$X20))))</f>
        <v>4.35423082739035</v>
      </c>
      <c r="AP21" s="4" t="n">
        <f aca="false" t="array" ref="AP21:AP21">SUM(Capacity!BJ21*Demand!AP$3:AP$25*Capacity!$DI$3:$DI$25/(TRANSPOSE(Dists!$B20:$X20)*SUM(Capacity!$DI$3:$DI$25/TRANSPOSE(Dists!$B20:$X20))))</f>
        <v>2.37677814748032</v>
      </c>
      <c r="AQ21" s="4" t="n">
        <f aca="false" t="array" ref="AQ21:AQ21">SUM(Capacity!BK21*Demand!AQ$3:AQ$25*Capacity!$DI$3:$DI$25/(TRANSPOSE(Dists!$B20:$X20)*SUM(Capacity!$DI$3:$DI$25/TRANSPOSE(Dists!$B20:$X20))))</f>
        <v>0.26820631663695</v>
      </c>
      <c r="AR21" s="4" t="n">
        <f aca="false" t="array" ref="AR21:AR21">SUM(Capacity!BL21*Demand!AR$3:AR$25*Capacity!$DI$3:$DI$25/(TRANSPOSE(Dists!$B20:$X20)*SUM(Capacity!$DI$3:$DI$25/TRANSPOSE(Dists!$B20:$X20))))</f>
        <v>0.374746245353998</v>
      </c>
      <c r="AS21" s="4" t="n">
        <f aca="false" t="array" ref="AS21:AS21">SUM(Capacity!BM21*Demand!AS$3:AS$25*Capacity!$DI$3:$DI$25/(TRANSPOSE(Dists!$B20:$X20)*SUM(Capacity!$DI$3:$DI$25/TRANSPOSE(Dists!$B20:$X20))))</f>
        <v>0.610747896395449</v>
      </c>
      <c r="AT21" s="4" t="n">
        <f aca="false" t="array" ref="AT21:AT21">SUM(Capacity!BN21*Demand!AT$3:AT$25*Capacity!$DI$3:$DI$25/(TRANSPOSE(Dists!$B20:$X20)*SUM(Capacity!$DI$3:$DI$25/TRANSPOSE(Dists!$B20:$X20))))</f>
        <v>7.23939771099068</v>
      </c>
      <c r="AU21" s="4" t="n">
        <f aca="false" t="array" ref="AU21:AU21">SUM(Capacity!BO21*Demand!AU$3:AU$25*Capacity!$DI$3:$DI$25/(TRANSPOSE(Dists!$B20:$X20)*SUM(Capacity!$DI$3:$DI$25/TRANSPOSE(Dists!$B20:$X20))))</f>
        <v>5.88919382824203</v>
      </c>
      <c r="AV21" s="4" t="n">
        <f aca="false" t="array" ref="AV21:AV21">SUM(Capacity!BP21*Demand!AV$3:AV$25*Capacity!$DI$3:$DI$25/(TRANSPOSE(Dists!$B20:$X20)*SUM(Capacity!$DI$3:$DI$25/TRANSPOSE(Dists!$B20:$X20))))</f>
        <v>0.271828829414141</v>
      </c>
      <c r="AW21" s="4" t="n">
        <f aca="false" t="array" ref="AW21:AW21">SUM(Capacity!BQ21*Demand!AW$3:AW$25*Capacity!$DI$3:$DI$25/(TRANSPOSE(Dists!$B20:$X20)*SUM(Capacity!$DI$3:$DI$25/TRANSPOSE(Dists!$B20:$X20))))</f>
        <v>5.28196221357282</v>
      </c>
      <c r="AX21" s="4" t="n">
        <f aca="false" t="array" ref="AX21:AX21">SUM(Capacity!BR21*Demand!AX$3:AX$25*Capacity!$DI$3:$DI$25/(TRANSPOSE(Dists!$B20:$X20)*SUM(Capacity!$DI$3:$DI$25/TRANSPOSE(Dists!$B20:$X20))))</f>
        <v>0.414183674260444</v>
      </c>
      <c r="AY21" s="4" t="n">
        <f aca="false" t="array" ref="AY21:AY21">SUM(Capacity!BS21*Demand!AY$3:AY$25*Capacity!$DI$3:$DI$25/(TRANSPOSE(Dists!$B20:$X20)*SUM(Capacity!$DI$3:$DI$25/TRANSPOSE(Dists!$B20:$X20))))</f>
        <v>0.921371783504141</v>
      </c>
      <c r="AZ21" s="4" t="n">
        <f aca="false" t="array" ref="AZ21:AZ21">SUM(Capacity!BT21*Demand!AZ$3:AZ$25*Capacity!$DI$3:$DI$25/(TRANSPOSE(Dists!$B20:$X20)*SUM(Capacity!$DI$3:$DI$25/TRANSPOSE(Dists!$B20:$X20))))</f>
        <v>5.58364959988224</v>
      </c>
      <c r="BA21" s="4" t="n">
        <f aca="false">L21*25/(2000*1000*51)</f>
        <v>0.125547548597363</v>
      </c>
      <c r="BB21" s="4" t="n">
        <f aca="false" t="array" ref="BB21:BB21">SUM(Capacity!BV21*Demand!BB$3:BB$25*Capacity!$DI$3:$DI$25/(TRANSPOSE(Dists!$B20:$X20)*SUM(Capacity!$DI$3:$DI$25/TRANSPOSE(Dists!$B20:$X20))))</f>
        <v>0.711279209269336</v>
      </c>
      <c r="BC21" s="4" t="n">
        <f aca="false" t="array" ref="BC21:BC21">SUM(Capacity!BW21*Demand!BC$3:BC$25*Capacity!$DI$3:$DI$25/(TRANSPOSE(Dists!$B20:$X20)*SUM(Capacity!$DI$3:$DI$25/TRANSPOSE(Dists!$B20:$X20))))</f>
        <v>0.528276835933837</v>
      </c>
      <c r="BD21" s="4" t="n">
        <f aca="false" t="array" ref="BD21:BD21">SUM(Capacity!BX21*Demand!BD$3:BD$25*Capacity!$DI$3:$DI$25/(TRANSPOSE(Dists!$B20:$X20)*SUM(Capacity!$DI$3:$DI$25/TRANSPOSE(Dists!$B20:$X20))))</f>
        <v>0.305411607988366</v>
      </c>
      <c r="BE21" s="4" t="n">
        <f aca="false" t="array" ref="BE21:BE21">SUM(Capacity!BY21*Demand!BE$3:BE$25*Capacity!$DI$3:$DI$25/(TRANSPOSE(Dists!$B20:$X20)*SUM(Capacity!$DI$3:$DI$25/TRANSPOSE(Dists!$B20:$X20))))</f>
        <v>0.214003191611698</v>
      </c>
      <c r="BF21" s="4" t="n">
        <f aca="false" t="array" ref="BF21:BF21">SUM(Capacity!BZ21*Demand!BF$3:BF$25*Capacity!$DI$3:$DI$25/(TRANSPOSE(Dists!$B20:$X20)*SUM(Capacity!$DI$3:$DI$25/TRANSPOSE(Dists!$B20:$X20))))</f>
        <v>8.68974666141964</v>
      </c>
      <c r="BG21" s="4" t="n">
        <f aca="false" t="array" ref="BG21:BG21">SUM(Capacity!CA21*Demand!BG$3:BG$25*Capacity!$DI$3:$DI$25/(TRANSPOSE(Dists!$B20:$X20)*SUM(Capacity!$DI$3:$DI$25/TRANSPOSE(Dists!$B20:$X20))))</f>
        <v>38.0392899872186</v>
      </c>
      <c r="BH21" s="4" t="n">
        <f aca="false" t="array" ref="BH21:BH21">SUM(Capacity!CB21*Demand!BH$3:BH$25*Capacity!$DI$3:$DI$25/(TRANSPOSE(Dists!$B20:$X20)*SUM(Capacity!$DI$3:$DI$25/TRANSPOSE(Dists!$B20:$X20))))</f>
        <v>78.8499977286283</v>
      </c>
      <c r="BI21" s="4" t="n">
        <f aca="false" t="array" ref="BI21:BI21">SUM(Capacity!CC21*Demand!BI21*Capacity!$DI$3:$DI$25/(TRANSPOSE(Dists!$B20:$X20)*SUM(Capacity!$DI$3:$DI$25/TRANSPOSE(Dists!$B20:$X20))))</f>
        <v>149.165883861533</v>
      </c>
      <c r="BJ21" s="4" t="n">
        <f aca="false" t="array" ref="BJ21:BJ21">SUM(Capacity!CD21*Demand!BJ21*Capacity!$DI$3:$DI$25/(TRANSPOSE(Dists!$B20:$X20)*SUM(Capacity!$DI$3:$DI$25/TRANSPOSE(Dists!$B20:$X20))))</f>
        <v>818.56875543109</v>
      </c>
      <c r="BK21" s="4" t="n">
        <f aca="false" t="array" ref="BK21:BK21">SUM(Capacity!CE21*Demand!BK21*Capacity!$DI$3:$DI$25/(TRANSPOSE(Dists!$B20:$X20)*SUM(Capacity!$DI$3:$DI$25/TRANSPOSE(Dists!$B20:$X20))))</f>
        <v>74.5829419307664</v>
      </c>
      <c r="BL21" s="4" t="n">
        <f aca="false" t="array" ref="BL21:BL21">SUM(Capacity!CF21*Demand!BL21*Capacity!$DI$3:$DI$25/(TRANSPOSE(Dists!$B20:$X20)*SUM(Capacity!$DI$3:$DI$25/TRANSPOSE(Dists!$B20:$X20))))</f>
        <v>30.858864576236</v>
      </c>
      <c r="BM21" s="4" t="n">
        <f aca="false" t="array" ref="BM21:BM21">SUM(Capacity!CG21*Demand!BM21*Capacity!$DI$3:$DI$25/(TRANSPOSE(Dists!$B20:$X20)*SUM(Capacity!$DI$3:$DI$25/TRANSPOSE(Dists!$B20:$X20))))</f>
        <v>218.739994339643</v>
      </c>
      <c r="BN21" s="4" t="n">
        <f aca="false">MAX($BO21/0.006,$BP21/0.7,$BR21/0.002,$BS21/0.001)</f>
        <v>0.00180017959412794</v>
      </c>
      <c r="BO21" s="4" t="n">
        <f aca="false" t="array" ref="BO21:BO21">SUM(Capacity!CI21*Demand!BO21*Capacity!$DI$3:$DI$25/(TRANSPOSE(Dists!$B20:$X20)*SUM(Capacity!$DI$3:$DI$25/TRANSPOSE(Dists!$B20:$X20))))</f>
        <v>1.08010775647676E-005</v>
      </c>
      <c r="BP21" s="4" t="n">
        <f aca="false" t="array" ref="BP21:BP21">SUM(Capacity!CJ21*Demand!BP21*Capacity!$DI$3:$DI$25/(TRANSPOSE(Dists!$B20:$X20)*SUM(Capacity!$DI$3:$DI$25/TRANSPOSE(Dists!$B20:$X20))))</f>
        <v>9.53657431546898E-008</v>
      </c>
      <c r="BQ21" s="4" t="n">
        <f aca="false" t="array" ref="BQ21:BQ21">SUM(Capacity!CK21*Demand!BQ21*Capacity!$DI$3:$DI$25/(TRANSPOSE(Dists!$B20:$X20)*SUM(Capacity!$DI$3:$DI$25/TRANSPOSE(Dists!$B20:$X20))))</f>
        <v>0</v>
      </c>
      <c r="BR21" s="4" t="n">
        <f aca="false" t="array" ref="BR21:BR21">SUM(Capacity!CL21*Demand!BR21*Capacity!$DI$3:$DI$25/(TRANSPOSE(Dists!$B20:$X20)*SUM(Capacity!$DI$3:$DI$25/TRANSPOSE(Dists!$B20:$X20))))</f>
        <v>1.08010775647676E-006</v>
      </c>
      <c r="BS21" s="4" t="n">
        <f aca="false" t="array" ref="BS21:BS21">SUM(Capacity!CM21*Demand!BS21*Capacity!$DI$3:$DI$25/(TRANSPOSE(Dists!$B20:$X20)*SUM(Capacity!$DI$3:$DI$25/TRANSPOSE(Dists!$B20:$X20))))</f>
        <v>2.16021406977976E-007</v>
      </c>
      <c r="BT21" s="4" t="n">
        <f aca="false" t="array" ref="BT21:BT21">SUM(Capacity!CN21*Demand!BT21*Capacity!$DI$3:$DI$25/(TRANSPOSE(Dists!$B20:$X20)*SUM(Capacity!$DI$3:$DI$25/TRANSPOSE(Dists!$B20:$X20))))</f>
        <v>16.9908742582227</v>
      </c>
      <c r="BU21" s="4" t="n">
        <f aca="false" t="array" ref="BU21:BU21">SUM(Capacity!CO21*Demand!BU21*Capacity!$DI$3:$DI$25/(TRANSPOSE(Dists!$B20:$X20)*SUM(Capacity!$DI$3:$DI$25/TRANSPOSE(Dists!$B20:$X20))))</f>
        <v>1.69908742582227</v>
      </c>
      <c r="BV21" s="4" t="n">
        <f aca="false" t="array" ref="BV21:BV21">SUM(Capacity!CP21*Demand!BV21*Capacity!$DI$3:$DI$25/(TRANSPOSE(Dists!$B20:$X20)*SUM(Capacity!$DI$3:$DI$25/TRANSPOSE(Dists!$B20:$X20))))</f>
        <v>0.169908742582227</v>
      </c>
      <c r="BW21" s="4" t="n">
        <f aca="false">E49*DemClcs!$A$40*DemClcs!$A$41*8.34/(DemClcs!$A$38)</f>
        <v>3246.22945764</v>
      </c>
      <c r="BX21" s="4" t="n">
        <f aca="false" t="array" ref="BX21:BX21">SUM(Capacity!CR21*Demand!BX21*Capacity!$DI$3:$DI$25/(TRANSPOSE(Dists!$B20:$X20)*SUM(Capacity!$DI$3:$DI$25/TRANSPOSE(Dists!$B20:$X20))))</f>
        <v>14.4746863175725</v>
      </c>
      <c r="BY21" s="4" t="n">
        <f aca="false" t="array" ref="BY21:BY21">SUM(Capacity!CS21*Demand!BY21*Capacity!$DI$3:$DI$25/(TRANSPOSE(Dists!$B20:$X20)*SUM(Capacity!$DI$3:$DI$25/TRANSPOSE(Dists!$B20:$X20))))</f>
        <v>67.517524735788</v>
      </c>
      <c r="BZ21" s="4" t="n">
        <f aca="false" t="array" ref="BZ21:BZ21">SUM(Capacity!CT21*Demand!BZ21*Capacity!$DI$3:$DI$25/(TRANSPOSE(Dists!$B20:$X20)*SUM(Capacity!$DI$3:$DI$25/TRANSPOSE(Dists!$B20:$X20))))</f>
        <v>0.132180713780943</v>
      </c>
      <c r="CA21" s="4" t="n">
        <f aca="false" t="array" ref="CA21:CA21">SUM(Capacity!CU21*Demand!CA21*Capacity!$DI$3:$DI$25/(TRANSPOSE(Dists!$B20:$X20)*SUM(Capacity!$DI$3:$DI$25/TRANSPOSE(Dists!$B20:$X20))))</f>
        <v>0.0398522523655997</v>
      </c>
      <c r="CB21" s="4" t="n">
        <f aca="false" t="array" ref="CB21:CB21">SUM(Capacity!CV21*Demand!CB21*Capacity!$DI$3:$DI$25/(TRANSPOSE(Dists!$B20:$X20)*SUM(Capacity!$DI$3:$DI$25/TRANSPOSE(Dists!$B20:$X20))))</f>
        <v>106.287504459277</v>
      </c>
      <c r="CC21" s="4" t="n">
        <f aca="false" t="array" ref="CC21:CC21">SUM(Capacity!CW21*Demand!CC21*Capacity!$DI$3:$DI$25/(TRANSPOSE(Dists!$B20:$X20)*SUM(Capacity!$DI$3:$DI$25/TRANSPOSE(Dists!$B20:$X20))))</f>
        <v>247.588188121069</v>
      </c>
      <c r="CD21" s="4" t="n">
        <f aca="false">SUM($BG49,$BI49,$BK49)*Capacity!CX21/SUM(Capacity!$AM21:$AN21,Capacity!$CX21)</f>
        <v>148.906355392208</v>
      </c>
      <c r="CE21" s="4" t="n">
        <f aca="false" t="array" ref="CE21:CE21">SUM(Capacity!CY21*Demand!CE21*Capacity!$DI$3:$DI$25/(TRANSPOSE(Dists!$B20:$X20)*SUM(Capacity!$DI$3:$DI$25/TRANSPOSE(Dists!$B20:$X20))))</f>
        <v>29.932962845188</v>
      </c>
      <c r="CF21" s="4" t="n">
        <f aca="false" t="array" ref="CF21:CF21">SUM(Capacity!CZ21*Demand!CF21*Capacity!$DI$3:$DI$25/(TRANSPOSE(Dists!$B20:$X20)*SUM(Capacity!$DI$3:$DI$25/TRANSPOSE(Dists!$B20:$X20))))</f>
        <v>57.9494791858141</v>
      </c>
      <c r="CG21" s="4" t="n">
        <f aca="false" t="array" ref="CG21:CG21">SUM(Capacity!DA21*Demand!CG21*Capacity!$DI$3:$DI$25/(TRANSPOSE(Dists!$B20:$X20)*SUM(Capacity!$DI$3:$DI$25/TRANSPOSE(Dists!$B20:$X20))))</f>
        <v>3.44250151140444E-005</v>
      </c>
      <c r="CH21" s="4" t="n">
        <f aca="false" t="array" ref="CH21:CH21">SUM(Capacity!DB21*Demand!CH21*Capacity!$DI$3:$DI$25/(TRANSPOSE(Dists!$B20:$X20)*SUM(Capacity!$DI$3:$DI$25/TRANSPOSE(Dists!$B20:$X20))))</f>
        <v>3.44869655123484E-005</v>
      </c>
      <c r="CI21" s="4" t="n">
        <f aca="false" t="array" ref="CI21:CI21">SUM(Capacity!DC21*Demand!CI21*Capacity!$DI$3:$DI$25/(TRANSPOSE(Dists!$B20:$X20)*SUM(Capacity!$DI$3:$DI$25/TRANSPOSE(Dists!$B20:$X20))))</f>
        <v>0.374544062069605</v>
      </c>
      <c r="CJ21" s="4" t="n">
        <f aca="false" t="array" ref="CJ21:CJ21">SUM(Capacity!DD21*Demand!CJ21*Capacity!$DI$3:$DI$25/(TRANSPOSE(Dists!$B20:$X20)*SUM(Capacity!$DI$3:$DI$25/TRANSPOSE(Dists!$B20:$X20))))</f>
        <v>0.105209132470706</v>
      </c>
      <c r="CK21" s="4" t="n">
        <f aca="false" t="array" ref="CK21:CK21">SUM(Capacity!DE21*Demand!CK21*Capacity!$DI$3:$DI$25/(TRANSPOSE(Dists!$B20:$X20)*SUM(Capacity!$DI$3:$DI$25/TRANSPOSE(Dists!$B20:$X20))))</f>
        <v>15.9963444594122</v>
      </c>
      <c r="CL21" s="7" t="s">
        <v>322</v>
      </c>
    </row>
    <row r="22" customFormat="false" ht="12.8" hidden="false" customHeight="false" outlineLevel="0" collapsed="false">
      <c r="A22" s="4" t="s">
        <v>157</v>
      </c>
      <c r="B22" s="7" t="s">
        <v>39</v>
      </c>
      <c r="C22" s="4" t="n">
        <f aca="false" t="array" ref="C22:C22">SUM(Capacity!S22*Demand!C22*Capacity!$DH$3:$DH$25/(TRANSPOSE(Dists!$B21:$X21)*SUM(Capacity!$DH$3:$DH$25/TRANSPOSE(Dists!$B21:$X21))))</f>
        <v>0.0069831353575924</v>
      </c>
      <c r="D22" s="4" t="n">
        <f aca="false" t="array" ref="D22:D22">SUM(Capacity!V22*Demand!D22*Capacity!$DH$3:$DH$25/(TRANSPOSE(Dists!$B21:$X21)*SUM(Capacity!$DH$3:$DH$25/TRANSPOSE(Dists!$B21:$X21))))</f>
        <v>327.938127410648</v>
      </c>
      <c r="E22" s="4" t="n">
        <f aca="false" t="array" ref="E22:E22">SUM(Capacity!Y22*Demand!E22*Capacity!$DH$3:$DH$25/(TRANSPOSE(Dists!$B21:$X21)*SUM(Capacity!$DH$3:$DH$25/TRANSPOSE(Dists!$B21:$X21))))</f>
        <v>62.8130695851428</v>
      </c>
      <c r="F22" s="4" t="n">
        <f aca="false">$E22*Capacity!$M22/(2*(1-Capacity!$H$28)*Capacity!$H22)</f>
        <v>32.3146498970651</v>
      </c>
      <c r="G22" s="4" t="n">
        <f aca="false" t="array" ref="G22:G22">SUM(Capacity!AA22*Demand!G22*Capacity!$DH$3:$DH$25/(TRANSPOSE(Dists!$B21:$X21)*SUM(Capacity!$DH$3:$DH$25/TRANSPOSE(Dists!$B21:$X21))))</f>
        <v>40.5773590454755</v>
      </c>
      <c r="H22" s="4" t="n">
        <f aca="false" t="array" ref="H22:H22">SUM(Capacity!AB22*Demand!H22*Capacity!$DH$3:$DH$25/(TRANSPOSE(Dists!$B21:$X21)*SUM(Capacity!$DH$3:$DH$25/TRANSPOSE(Dists!$B21:$X21))))</f>
        <v>0</v>
      </c>
      <c r="I22" s="4" t="n">
        <f aca="false" t="array" ref="I22:I22">SUM(Capacity!AC22*Demand!I$3:I$25*Capacity!$DG$3:$DG$25/(TRANSPOSE(Dists!$B21:$X21)*SUM(Capacity!$DG$3:$DG$25/TRANSPOSE(Dists!$B21:$X21))))</f>
        <v>2.98925969072841</v>
      </c>
      <c r="J22" s="4" t="n">
        <f aca="false" t="array" ref="J22:J22">SUM(Capacity!AD22*Demand!J$3:J$25*Capacity!$DG$3:$DG$25/(TRANSPOSE(Dists!$B21:$X21)*SUM(Capacity!$DG$3:$DG$25/TRANSPOSE(Dists!$B21:$X21))))</f>
        <v>3.33238773927159</v>
      </c>
      <c r="K22" s="4" t="n">
        <f aca="false">5479.45205479452*$R22</f>
        <v>567819.201045995</v>
      </c>
      <c r="L22" s="4" t="n">
        <f aca="false">17142.8571428571*$S22</f>
        <v>153777.698595094</v>
      </c>
      <c r="M22" s="4" t="n">
        <f aca="false">IF(50420.1680672269*$T22&gt;($K22/20),50420.1680672269*$T22-($K22/20),0)</f>
        <v>224394.297912239</v>
      </c>
      <c r="N22" s="4" t="n">
        <f aca="false" t="array" ref="N22:N22">SUM(Capacity!AH22*Demand!N22*Capacity!$DH$3:$DH$25/(TRANSPOSE(Dists!$B21:$X21)*SUM(Capacity!$DH$3:$DH$25/TRANSPOSE(Dists!$B21:$X21))))</f>
        <v>40.5914417684456</v>
      </c>
      <c r="O22" s="4" t="n">
        <f aca="false">D50*DemClcs!$A$31*DemClcs!$A$32</f>
        <v>581.823011943105</v>
      </c>
      <c r="P22" s="4" t="n">
        <f aca="false">O22*DemClcs!$A$29*DemClcs!$A$30</f>
        <v>232.729204777242</v>
      </c>
      <c r="Q22" s="4" t="n">
        <f aca="false" t="array" ref="Q22:Q22">SUM(Capacity!AK22*Demand!Q22*Capacity!$DI$3:$DI$25/(TRANSPOSE(Dists!$B21:$X21)*SUM(Capacity!$DI$3:$DI$25/TRANSPOSE(Dists!$B21:$X21))))</f>
        <v>2.94718884086791</v>
      </c>
      <c r="R22" s="4" t="n">
        <f aca="false" t="array" ref="R22:R22">SUM(Capacity!AL22*Demand!R22*Capacity!$DH$3:$DH$25/(TRANSPOSE(Dists!$B21:$X21)*SUM(Capacity!$DH$3:$DH$25/TRANSPOSE(Dists!$B21:$X21))))</f>
        <v>103.627004190894</v>
      </c>
      <c r="S22" s="4" t="n">
        <f aca="false">SUM($BG50,$BI50,$BK50)*Capacity!AM22/SUM(Capacity!$AM22:$AN22,Capacity!$CX22)</f>
        <v>8.9703657513805</v>
      </c>
      <c r="T22" s="4" t="n">
        <f aca="false">SUM($BG50,$BI50,$BK50)*Capacity!AN22/SUM(Capacity!$AM22:$AN22,Capacity!$CX22)</f>
        <v>5.01357428296335</v>
      </c>
      <c r="U22" s="4" t="n">
        <f aca="false">$M22*120*2/(16*1000*2000)</f>
        <v>1.68295723434179</v>
      </c>
      <c r="V22" s="4" t="n">
        <f aca="false" t="array" ref="V22:V22">SUM(Capacity!AP22*Demand!V$3:V$25*Capacity!$DH$3:$DH$25/(TRANSPOSE(Dists!$B21:$X21)*SUM(Capacity!$DH$3:$DH$25/TRANSPOSE(Dists!$B21:$X21))))</f>
        <v>16.3842877869651</v>
      </c>
      <c r="W22" s="4" t="n">
        <f aca="false" t="array" ref="W22:W22">SUM(Capacity!AQ22*Demand!W$3:W$25*Capacity!$DH$3:$DH$25/(TRANSPOSE(Dists!$B21:$X21)*SUM(Capacity!$DH$3:$DH$25/TRANSPOSE(Dists!$B21:$X21))))</f>
        <v>75.9038259832162</v>
      </c>
      <c r="X22" s="4" t="n">
        <f aca="false" t="array" ref="X22:X22">SUM(Capacity!AR22*Demand!X$3:X$25*Capacity!$DH$3:$DH$25/(TRANSPOSE(Dists!$B21:$X21)*SUM(Capacity!$DH$3:$DH$25/TRANSPOSE(Dists!$B21:$X21))))</f>
        <v>638.506579381698</v>
      </c>
      <c r="Y22" s="4" t="n">
        <f aca="false">$L22*600*6/(90*1000*2000)</f>
        <v>3.07555397190188</v>
      </c>
      <c r="Z22" s="4" t="n">
        <f aca="false" t="array" ref="Z22:Z22">SUM(Capacity!AT22*Demand!Z$3:Z$25*Capacity!$DI$3:$DI$25/(TRANSPOSE(Dists!$B21:$X21)*SUM(Capacity!$DI$3:$DI$25/TRANSPOSE(Dists!$B21:$X21))))</f>
        <v>0.314295046856848</v>
      </c>
      <c r="AA22" s="4" t="n">
        <f aca="false" t="array" ref="AA22:AA22">SUM(Capacity!AU22*Demand!AA$3:AA$25*Capacity!$DI$3:$DI$25/(TRANSPOSE(Dists!$B21:$X21)*SUM(Capacity!$DI$3:$DI$25/TRANSPOSE(Dists!$B21:$X21))))</f>
        <v>3.88481388096066</v>
      </c>
      <c r="AB22" s="4" t="n">
        <f aca="false" t="array" ref="AB22:AB22">SUM(Capacity!AV22*Demand!AB$3:AB$25*Capacity!$DI$3:$DI$25/(TRANSPOSE(Dists!$B21:$X21)*SUM(Capacity!$DI$3:$DI$25/TRANSPOSE(Dists!$B21:$X21))))</f>
        <v>4.21863894024352</v>
      </c>
      <c r="AC22" s="4" t="n">
        <f aca="false" t="array" ref="AC22:AC22">SUM(Capacity!AW22*Demand!AC$3:AC$25*Capacity!$DI$3:$DI$25/(TRANSPOSE(Dists!$B21:$X21)*SUM(Capacity!$DI$3:$DI$25/TRANSPOSE(Dists!$B21:$X21))))</f>
        <v>1.24457990671036</v>
      </c>
      <c r="AD22" s="4" t="n">
        <f aca="false" t="array" ref="AD22:AD22">SUM(Capacity!AX22*Demand!AD$3:AD$25*Capacity!$DI$3:$DI$25/(TRANSPOSE(Dists!$B21:$X21)*SUM(Capacity!$DI$3:$DI$25/TRANSPOSE(Dists!$B21:$X21))))</f>
        <v>0.690636173566305</v>
      </c>
      <c r="AE22" s="4" t="n">
        <f aca="false" t="array" ref="AE22:AE22">SUM(Capacity!AY22*Demand!AE$3:AE$25*Capacity!$DI$3:$DI$25/(TRANSPOSE(Dists!$B21:$X21)*SUM(Capacity!$DI$3:$DI$25/TRANSPOSE(Dists!$B21:$X21))))</f>
        <v>0.547141870782804</v>
      </c>
      <c r="AF22" s="4" t="n">
        <f aca="false" t="array" ref="AF22:AF22">SUM(Capacity!AZ22*Demand!AF$3:AF$25*Capacity!$DI$3:$DI$25/(TRANSPOSE(Dists!$B21:$X21)*SUM(Capacity!$DI$3:$DI$25/TRANSPOSE(Dists!$B21:$X21))))</f>
        <v>0.12345455881847</v>
      </c>
      <c r="AG22" s="4" t="n">
        <f aca="false" t="array" ref="AG22:AG22">SUM(Capacity!BA22*Demand!AG$3:AG$25*Capacity!$DI$3:$DI$25/(TRANSPOSE(Dists!$B21:$X21)*SUM(Capacity!$DI$3:$DI$25/TRANSPOSE(Dists!$B21:$X21))))</f>
        <v>0.506561324327985</v>
      </c>
      <c r="AH22" s="4" t="n">
        <f aca="false" t="array" ref="AH22:AH22">SUM(Capacity!BB22*Demand!AH$3:AH$25*Capacity!$DI$3:$DI$25/(TRANSPOSE(Dists!$B21:$X21)*SUM(Capacity!$DI$3:$DI$25/TRANSPOSE(Dists!$B21:$X21))))</f>
        <v>0.405790883525822</v>
      </c>
      <c r="AI22" s="4" t="n">
        <f aca="false" t="array" ref="AI22:AI22">SUM(Capacity!BC22*Demand!AI$3:AI$25*Capacity!$DI$3:$DI$25/(TRANSPOSE(Dists!$B21:$X21)*SUM(Capacity!$DI$3:$DI$25/TRANSPOSE(Dists!$B21:$X21))))</f>
        <v>0.0541314479327381</v>
      </c>
      <c r="AJ22" s="4" t="n">
        <f aca="false" t="array" ref="AJ22:AJ22">SUM(Capacity!BD22*Demand!AJ$3:AJ$25*Capacity!$DI$3:$DI$25/(TRANSPOSE(Dists!$B21:$X21)*SUM(Capacity!$DI$3:$DI$25/TRANSPOSE(Dists!$B21:$X21))))</f>
        <v>0.167294997452825</v>
      </c>
      <c r="AK22" s="4" t="n">
        <f aca="false" t="array" ref="AK22:AK22">SUM(Capacity!BE22*Demand!AK$3:AK$25*Capacity!$DI$3:$DI$25/(TRANSPOSE(Dists!$B21:$X21)*SUM(Capacity!$DI$3:$DI$25/TRANSPOSE(Dists!$B21:$X21))))</f>
        <v>0.0957161715334576</v>
      </c>
      <c r="AL22" s="4" t="n">
        <f aca="false" t="array" ref="AL22:AL22">SUM(Capacity!BF22*Demand!AL$3:AL$25*Capacity!$DI$3:$DI$25/(TRANSPOSE(Dists!$B21:$X21)*SUM(Capacity!$DI$3:$DI$25/TRANSPOSE(Dists!$B21:$X21))))</f>
        <v>0.064682160007637</v>
      </c>
      <c r="AM22" s="4" t="n">
        <f aca="false" t="array" ref="AM22:AM22">SUM(Capacity!BG22*Demand!AM$3:AM$25*Capacity!$DI$3:$DI$25/(TRANSPOSE(Dists!$B21:$X21)*SUM(Capacity!$DI$3:$DI$25/TRANSPOSE(Dists!$B21:$X21))))</f>
        <v>0.184690007050841</v>
      </c>
      <c r="AN22" s="4" t="n">
        <f aca="false" t="array" ref="AN22:AN22">SUM(Capacity!BH22*Demand!AN$3:AN$25*Capacity!$DI$3:$DI$25/(TRANSPOSE(Dists!$B21:$X21)*SUM(Capacity!$DI$3:$DI$25/TRANSPOSE(Dists!$B21:$X21))))</f>
        <v>0.098368425822119</v>
      </c>
      <c r="AO22" s="4" t="n">
        <f aca="false" t="array" ref="AO22:AO22">SUM(Capacity!BI22*Demand!AO$3:AO$25*Capacity!$DI$3:$DI$25/(TRANSPOSE(Dists!$B21:$X21)*SUM(Capacity!$DI$3:$DI$25/TRANSPOSE(Dists!$B21:$X21))))</f>
        <v>0.279645471731731</v>
      </c>
      <c r="AP22" s="4" t="n">
        <f aca="false" t="array" ref="AP22:AP22">SUM(Capacity!BJ22*Demand!AP$3:AP$25*Capacity!$DI$3:$DI$25/(TRANSPOSE(Dists!$B21:$X21)*SUM(Capacity!$DI$3:$DI$25/TRANSPOSE(Dists!$B21:$X21))))</f>
        <v>0.159257916788314</v>
      </c>
      <c r="AQ22" s="4" t="n">
        <f aca="false" t="array" ref="AQ22:AQ22">SUM(Capacity!BK22*Demand!AQ$3:AQ$25*Capacity!$DI$3:$DI$25/(TRANSPOSE(Dists!$B21:$X21)*SUM(Capacity!$DI$3:$DI$25/TRANSPOSE(Dists!$B21:$X21))))</f>
        <v>0.0159854428591934</v>
      </c>
      <c r="AR22" s="4" t="n">
        <f aca="false" t="array" ref="AR22:AR22">SUM(Capacity!BL22*Demand!AR$3:AR$25*Capacity!$DI$3:$DI$25/(TRANSPOSE(Dists!$B21:$X21)*SUM(Capacity!$DI$3:$DI$25/TRANSPOSE(Dists!$B21:$X21))))</f>
        <v>0.0271974899149339</v>
      </c>
      <c r="AS22" s="4" t="n">
        <f aca="false" t="array" ref="AS22:AS22">SUM(Capacity!BM22*Demand!AS$3:AS$25*Capacity!$DI$3:$DI$25/(TRANSPOSE(Dists!$B21:$X21)*SUM(Capacity!$DI$3:$DI$25/TRANSPOSE(Dists!$B21:$X21))))</f>
        <v>0.0557270919009961</v>
      </c>
      <c r="AT22" s="4" t="n">
        <f aca="false" t="array" ref="AT22:AT22">SUM(Capacity!BN22*Demand!AT$3:AT$25*Capacity!$DI$3:$DI$25/(TRANSPOSE(Dists!$B21:$X21)*SUM(Capacity!$DI$3:$DI$25/TRANSPOSE(Dists!$B21:$X21))))</f>
        <v>0.543047037875576</v>
      </c>
      <c r="AU22" s="4" t="n">
        <f aca="false" t="array" ref="AU22:AU22">SUM(Capacity!BO22*Demand!AU$3:AU$25*Capacity!$DI$3:$DI$25/(TRANSPOSE(Dists!$B21:$X21)*SUM(Capacity!$DI$3:$DI$25/TRANSPOSE(Dists!$B21:$X21))))</f>
        <v>0.359529102881287</v>
      </c>
      <c r="AV22" s="4" t="n">
        <f aca="false" t="array" ref="AV22:AV22">SUM(Capacity!BP22*Demand!AV$3:AV$25*Capacity!$DI$3:$DI$25/(TRANSPOSE(Dists!$B21:$X21)*SUM(Capacity!$DI$3:$DI$25/TRANSPOSE(Dists!$B21:$X21))))</f>
        <v>0.0226493481318688</v>
      </c>
      <c r="AW22" s="4" t="n">
        <f aca="false" t="array" ref="AW22:AW22">SUM(Capacity!BQ22*Demand!AW$3:AW$25*Capacity!$DI$3:$DI$25/(TRANSPOSE(Dists!$B21:$X21)*SUM(Capacity!$DI$3:$DI$25/TRANSPOSE(Dists!$B21:$X21))))</f>
        <v>0.681147820795653</v>
      </c>
      <c r="AX22" s="4" t="n">
        <f aca="false" t="array" ref="AX22:AX22">SUM(Capacity!BR22*Demand!AX$3:AX$25*Capacity!$DI$3:$DI$25/(TRANSPOSE(Dists!$B21:$X21)*SUM(Capacity!$DI$3:$DI$25/TRANSPOSE(Dists!$B21:$X21))))</f>
        <v>0.0707873965737028</v>
      </c>
      <c r="AY22" s="4" t="n">
        <f aca="false" t="array" ref="AY22:AY22">SUM(Capacity!BS22*Demand!AY$3:AY$25*Capacity!$DI$3:$DI$25/(TRANSPOSE(Dists!$B21:$X21)*SUM(Capacity!$DI$3:$DI$25/TRANSPOSE(Dists!$B21:$X21))))</f>
        <v>0.0509247504060046</v>
      </c>
      <c r="AZ22" s="4" t="n">
        <f aca="false" t="array" ref="AZ22:AZ22">SUM(Capacity!BT22*Demand!AZ$3:AZ$25*Capacity!$DI$3:$DI$25/(TRANSPOSE(Dists!$B21:$X21)*SUM(Capacity!$DI$3:$DI$25/TRANSPOSE(Dists!$B21:$X21))))</f>
        <v>0.335050750182708</v>
      </c>
      <c r="BA22" s="4" t="n">
        <f aca="false">L22*25/(2000*1000*51)</f>
        <v>0.0376906124007583</v>
      </c>
      <c r="BB22" s="4" t="n">
        <f aca="false" t="array" ref="BB22:BB22">SUM(Capacity!BV22*Demand!BB$3:BB$25*Capacity!$DI$3:$DI$25/(TRANSPOSE(Dists!$B21:$X21)*SUM(Capacity!$DI$3:$DI$25/TRANSPOSE(Dists!$B21:$X21))))</f>
        <v>0.0621211882010283</v>
      </c>
      <c r="BC22" s="4" t="n">
        <f aca="false" t="array" ref="BC22:BC22">SUM(Capacity!BW22*Demand!BC$3:BC$25*Capacity!$DI$3:$DI$25/(TRANSPOSE(Dists!$B21:$X21)*SUM(Capacity!$DI$3:$DI$25/TRANSPOSE(Dists!$B21:$X21))))</f>
        <v>0.0421431180896704</v>
      </c>
      <c r="BD22" s="4" t="n">
        <f aca="false" t="array" ref="BD22:BD22">SUM(Capacity!BX22*Demand!BD$3:BD$25*Capacity!$DI$3:$DI$25/(TRANSPOSE(Dists!$B21:$X21)*SUM(Capacity!$DI$3:$DI$25/TRANSPOSE(Dists!$B21:$X21))))</f>
        <v>0.0235155546918179</v>
      </c>
      <c r="BE22" s="4" t="n">
        <f aca="false" t="array" ref="BE22:BE22">SUM(Capacity!BY22*Demand!BE$3:BE$25*Capacity!$DI$3:$DI$25/(TRANSPOSE(Dists!$B21:$X21)*SUM(Capacity!$DI$3:$DI$25/TRANSPOSE(Dists!$B21:$X21))))</f>
        <v>0.0134447992989412</v>
      </c>
      <c r="BF22" s="4" t="n">
        <f aca="false" t="array" ref="BF22:BF22">SUM(Capacity!BZ22*Demand!BF$3:BF$25*Capacity!$DI$3:$DI$25/(TRANSPOSE(Dists!$B21:$X21)*SUM(Capacity!$DI$3:$DI$25/TRANSPOSE(Dists!$B21:$X21))))</f>
        <v>1.79893097026976</v>
      </c>
      <c r="BG22" s="4" t="n">
        <f aca="false" t="array" ref="BG22:BG22">SUM(Capacity!CA22*Demand!BG$3:BG$25*Capacity!$DI$3:$DI$25/(TRANSPOSE(Dists!$B21:$X21)*SUM(Capacity!$DI$3:$DI$25/TRANSPOSE(Dists!$B21:$X21))))</f>
        <v>5.79756633543939</v>
      </c>
      <c r="BH22" s="4" t="n">
        <f aca="false" t="array" ref="BH22:BH22">SUM(Capacity!CB22*Demand!BH$3:BH$25*Capacity!$DI$3:$DI$25/(TRANSPOSE(Dists!$B21:$X21)*SUM(Capacity!$DI$3:$DI$25/TRANSPOSE(Dists!$B21:$X21))))</f>
        <v>0.00500469690997294</v>
      </c>
      <c r="BI22" s="4" t="n">
        <f aca="false" t="array" ref="BI22:BI22">SUM(Capacity!CC22*Demand!BI22*Capacity!$DI$3:$DI$25/(TRANSPOSE(Dists!$B21:$X21)*SUM(Capacity!$DI$3:$DI$25/TRANSPOSE(Dists!$B21:$X21))))</f>
        <v>9.12662531868005</v>
      </c>
      <c r="BJ22" s="4" t="n">
        <f aca="false" t="array" ref="BJ22:BJ22">SUM(Capacity!CD22*Demand!BJ22*Capacity!$DI$3:$DI$25/(TRANSPOSE(Dists!$B21:$X21)*SUM(Capacity!$DI$3:$DI$25/TRANSPOSE(Dists!$B21:$X21))))</f>
        <v>157.906078073649</v>
      </c>
      <c r="BK22" s="4" t="n">
        <f aca="false" t="array" ref="BK22:BK22">SUM(Capacity!CE22*Demand!BK22*Capacity!$DI$3:$DI$25/(TRANSPOSE(Dists!$B21:$X21)*SUM(Capacity!$DI$3:$DI$25/TRANSPOSE(Dists!$B21:$X21))))</f>
        <v>4.56331265934002</v>
      </c>
      <c r="BL22" s="4" t="n">
        <f aca="false" t="array" ref="BL22:BL22">SUM(Capacity!CF22*Demand!BL22*Capacity!$DI$3:$DI$25/(TRANSPOSE(Dists!$B21:$X21)*SUM(Capacity!$DI$3:$DI$25/TRANSPOSE(Dists!$B21:$X21))))</f>
        <v>247.668025141181</v>
      </c>
      <c r="BM22" s="4" t="n">
        <f aca="false" t="array" ref="BM22:BM22">SUM(Capacity!CG22*Demand!BM22*Capacity!$DI$3:$DI$25/(TRANSPOSE(Dists!$B21:$X21)*SUM(Capacity!$DI$3:$DI$25/TRANSPOSE(Dists!$B21:$X21))))</f>
        <v>15.6261647838065</v>
      </c>
      <c r="BN22" s="4" t="n">
        <f aca="false">MAX($BO22/0.006,$BP22/0.7,$BR22/0.002,$BS22/0.001)</f>
        <v>262.190496439322</v>
      </c>
      <c r="BO22" s="4" t="n">
        <f aca="false" t="array" ref="BO22:BO22">SUM(Capacity!CI22*Demand!BO22*Capacity!$DI$3:$DI$25/(TRANSPOSE(Dists!$B21:$X21)*SUM(Capacity!$DI$3:$DI$25/TRANSPOSE(Dists!$B21:$X21))))</f>
        <v>1.57314297863593</v>
      </c>
      <c r="BP22" s="4" t="n">
        <f aca="false" t="array" ref="BP22:BP22">SUM(Capacity!CJ22*Demand!BP22*Capacity!$DI$3:$DI$25/(TRANSPOSE(Dists!$B21:$X21)*SUM(Capacity!$DI$3:$DI$25/TRANSPOSE(Dists!$B21:$X21))))</f>
        <v>3.09194736726673</v>
      </c>
      <c r="BQ22" s="4" t="n">
        <f aca="false" t="array" ref="BQ22:BQ22">SUM(Capacity!CK22*Demand!BQ22*Capacity!$DI$3:$DI$25/(TRANSPOSE(Dists!$B21:$X21)*SUM(Capacity!$DI$3:$DI$25/TRANSPOSE(Dists!$B21:$X21))))</f>
        <v>0</v>
      </c>
      <c r="BR22" s="4" t="n">
        <f aca="false" t="array" ref="BR22:BR22">SUM(Capacity!CL22*Demand!BR22*Capacity!$DI$3:$DI$25/(TRANSPOSE(Dists!$B21:$X21)*SUM(Capacity!$DI$3:$DI$25/TRANSPOSE(Dists!$B21:$X21))))</f>
        <v>0.0524380992878645</v>
      </c>
      <c r="BS22" s="4" t="n">
        <f aca="false" t="array" ref="BS22:BS22">SUM(Capacity!CM22*Demand!BS22*Capacity!$DI$3:$DI$25/(TRANSPOSE(Dists!$B21:$X21)*SUM(Capacity!$DI$3:$DI$25/TRANSPOSE(Dists!$B21:$X21))))</f>
        <v>0.00524380723203515</v>
      </c>
      <c r="BT22" s="4" t="n">
        <f aca="false" t="array" ref="BT22:BT22">SUM(Capacity!CN22*Demand!BT22*Capacity!$DI$3:$DI$25/(TRANSPOSE(Dists!$B21:$X21)*SUM(Capacity!$DI$3:$DI$25/TRANSPOSE(Dists!$B21:$X21))))</f>
        <v>0.599190607534346</v>
      </c>
      <c r="BU22" s="4" t="n">
        <f aca="false" t="array" ref="BU22:BU22">SUM(Capacity!CO22*Demand!BU22*Capacity!$DI$3:$DI$25/(TRANSPOSE(Dists!$B21:$X21)*SUM(Capacity!$DI$3:$DI$25/TRANSPOSE(Dists!$B21:$X21))))</f>
        <v>0.0599190607534346</v>
      </c>
      <c r="BV22" s="4" t="n">
        <f aca="false" t="array" ref="BV22:BV22">SUM(Capacity!CP22*Demand!BV22*Capacity!$DI$3:$DI$25/(TRANSPOSE(Dists!$B21:$X21)*SUM(Capacity!$DI$3:$DI$25/TRANSPOSE(Dists!$B21:$X21))))</f>
        <v>0.00599190607534346</v>
      </c>
      <c r="BW22" s="4" t="n">
        <f aca="false">E50*DemClcs!$A$40*DemClcs!$A$41*8.34/(DemClcs!$A$38)</f>
        <v>394.87843342036</v>
      </c>
      <c r="BX22" s="4" t="n">
        <f aca="false" t="array" ref="BX22:BX22">SUM(Capacity!CR22*Demand!BX22*Capacity!$DI$3:$DI$25/(TRANSPOSE(Dists!$B21:$X21)*SUM(Capacity!$DI$3:$DI$25/TRANSPOSE(Dists!$B21:$X21))))</f>
        <v>0.317129818443581</v>
      </c>
      <c r="BY22" s="4" t="n">
        <f aca="false" t="array" ref="BY22:BY22">SUM(Capacity!CS22*Demand!BY22*Capacity!$DI$3:$DI$25/(TRANSPOSE(Dists!$B21:$X21)*SUM(Capacity!$DI$3:$DI$25/TRANSPOSE(Dists!$B21:$X21))))</f>
        <v>2.35059383990315</v>
      </c>
      <c r="BZ22" s="4" t="n">
        <f aca="false" t="array" ref="BZ22:BZ22">SUM(Capacity!CT22*Demand!BZ22*Capacity!$DI$3:$DI$25/(TRANSPOSE(Dists!$B21:$X21)*SUM(Capacity!$DI$3:$DI$25/TRANSPOSE(Dists!$B21:$X21))))</f>
        <v>0.231827538331336</v>
      </c>
      <c r="CA22" s="4" t="n">
        <f aca="false" t="array" ref="CA22:CA22">SUM(Capacity!CU22*Demand!CA22*Capacity!$DI$3:$DI$25/(TRANSPOSE(Dists!$B21:$X21)*SUM(Capacity!$DI$3:$DI$25/TRANSPOSE(Dists!$B21:$X21))))</f>
        <v>0.011410386449413</v>
      </c>
      <c r="CB22" s="4" t="n">
        <f aca="false" t="array" ref="CB22:CB22">SUM(Capacity!CV22*Demand!CB22*Capacity!$DI$3:$DI$25/(TRANSPOSE(Dists!$B21:$X21)*SUM(Capacity!$DI$3:$DI$25/TRANSPOSE(Dists!$B21:$X21))))</f>
        <v>132.29335119752</v>
      </c>
      <c r="CC22" s="4" t="n">
        <f aca="false" t="array" ref="CC22:CC22">SUM(Capacity!CW22*Demand!CC22*Capacity!$DI$3:$DI$25/(TRANSPOSE(Dists!$B21:$X21)*SUM(Capacity!$DI$3:$DI$25/TRANSPOSE(Dists!$B21:$X21))))</f>
        <v>350.165762078385</v>
      </c>
      <c r="CD22" s="4" t="n">
        <f aca="false">SUM($BG50,$BI50,$BK50)*Capacity!CX22/SUM(Capacity!$AM22:$AN22,Capacity!$CX22)</f>
        <v>19.3010243860182</v>
      </c>
      <c r="CE22" s="4" t="n">
        <f aca="false" t="array" ref="CE22:CE22">SUM(Capacity!CY22*Demand!CE22*Capacity!$DI$3:$DI$25/(TRANSPOSE(Dists!$B21:$X21)*SUM(Capacity!$DI$3:$DI$25/TRANSPOSE(Dists!$B21:$X21))))</f>
        <v>0.667610425590431</v>
      </c>
      <c r="CF22" s="4" t="n">
        <f aca="false" t="array" ref="CF22:CF22">SUM(Capacity!CZ22*Demand!CF22*Capacity!$DI$3:$DI$25/(TRANSPOSE(Dists!$B21:$X21)*SUM(Capacity!$DI$3:$DI$25/TRANSPOSE(Dists!$B21:$X21))))</f>
        <v>552.147493658848</v>
      </c>
      <c r="CG22" s="4" t="n">
        <f aca="false" t="array" ref="CG22:CG22">SUM(Capacity!DA22*Demand!CG22*Capacity!$DI$3:$DI$25/(TRANSPOSE(Dists!$B21:$X21)*SUM(Capacity!$DI$3:$DI$25/TRANSPOSE(Dists!$B21:$X21))))</f>
        <v>1.80187300709851</v>
      </c>
      <c r="CH22" s="4" t="n">
        <f aca="false" t="array" ref="CH22:CH22">SUM(Capacity!DB22*Demand!CH22*Capacity!$DI$3:$DI$25/(TRANSPOSE(Dists!$B21:$X21)*SUM(Capacity!$DI$3:$DI$25/TRANSPOSE(Dists!$B21:$X21))))</f>
        <v>4.49542542011847</v>
      </c>
      <c r="CI22" s="4" t="n">
        <f aca="false" t="array" ref="CI22:CI22">SUM(Capacity!DC22*Demand!CI22*Capacity!$DI$3:$DI$25/(TRANSPOSE(Dists!$B21:$X21)*SUM(Capacity!$DI$3:$DI$25/TRANSPOSE(Dists!$B21:$X21))))</f>
        <v>0.0594683027809978</v>
      </c>
      <c r="CJ22" s="4" t="n">
        <f aca="false" t="array" ref="CJ22:CJ22">SUM(Capacity!DD22*Demand!CJ22*Capacity!$DI$3:$DI$25/(TRANSPOSE(Dists!$B21:$X21)*SUM(Capacity!$DI$3:$DI$25/TRANSPOSE(Dists!$B21:$X21))))</f>
        <v>0.00258114616320515</v>
      </c>
      <c r="CK22" s="4" t="n">
        <f aca="false" t="array" ref="CK22:CK22">SUM(Capacity!DE22*Demand!CK22*Capacity!$DI$3:$DI$25/(TRANSPOSE(Dists!$B21:$X21)*SUM(Capacity!$DI$3:$DI$25/TRANSPOSE(Dists!$B21:$X21))))</f>
        <v>2.00268380843591</v>
      </c>
      <c r="CL22" s="7" t="s">
        <v>322</v>
      </c>
    </row>
    <row r="23" customFormat="false" ht="12.8" hidden="false" customHeight="false" outlineLevel="0" collapsed="false">
      <c r="A23" s="4" t="s">
        <v>158</v>
      </c>
      <c r="B23" s="7" t="s">
        <v>39</v>
      </c>
      <c r="C23" s="4" t="n">
        <f aca="false" t="array" ref="C23:C23">SUM(Capacity!S23*Demand!C23*Capacity!$DH$3:$DH$25/(TRANSPOSE(Dists!$B22:$X22)*SUM(Capacity!$DH$3:$DH$25/TRANSPOSE(Dists!$B22:$X22))))</f>
        <v>0.0533994811978883</v>
      </c>
      <c r="D23" s="4" t="n">
        <f aca="false" t="array" ref="D23:D23">SUM(Capacity!V23*Demand!D23*Capacity!$DH$3:$DH$25/(TRANSPOSE(Dists!$B22:$X22)*SUM(Capacity!$DH$3:$DH$25/TRANSPOSE(Dists!$B22:$X22))))</f>
        <v>3493.33008817017</v>
      </c>
      <c r="E23" s="4" t="n">
        <f aca="false" t="array" ref="E23:E23">SUM(Capacity!Y23*Demand!E23*Capacity!$DH$3:$DH$25/(TRANSPOSE(Dists!$B22:$X22)*SUM(Capacity!$DH$3:$DH$25/TRANSPOSE(Dists!$B22:$X22))))</f>
        <v>621.091067902699</v>
      </c>
      <c r="F23" s="4" t="n">
        <f aca="false">$E23*Capacity!$M23/(2*(1-Capacity!$H$28)*Capacity!$H23)</f>
        <v>238.59168280498</v>
      </c>
      <c r="G23" s="4" t="n">
        <f aca="false" t="array" ref="G23:G23">SUM(Capacity!AA23*Demand!G23*Capacity!$DH$3:$DH$25/(TRANSPOSE(Dists!$B22:$X22)*SUM(Capacity!$DH$3:$DH$25/TRANSPOSE(Dists!$B22:$X22))))</f>
        <v>337.996768105361</v>
      </c>
      <c r="H23" s="4" t="n">
        <f aca="false" t="array" ref="H23:H23">SUM(Capacity!AB23*Demand!H23*Capacity!$DH$3:$DH$25/(TRANSPOSE(Dists!$B22:$X22)*SUM(Capacity!$DH$3:$DH$25/TRANSPOSE(Dists!$B22:$X22))))</f>
        <v>0</v>
      </c>
      <c r="I23" s="4" t="n">
        <f aca="false" t="array" ref="I23:I23">SUM(Capacity!AC23*Demand!I$3:I$25*Capacity!$DG$3:$DG$25/(TRANSPOSE(Dists!$B22:$X22)*SUM(Capacity!$DG$3:$DG$25/TRANSPOSE(Dists!$B22:$X22))))</f>
        <v>2.61144396997017</v>
      </c>
      <c r="J23" s="4" t="n">
        <f aca="false" t="array" ref="J23:J23">SUM(Capacity!AD23*Demand!J$3:J$25*Capacity!$DG$3:$DG$25/(TRANSPOSE(Dists!$B22:$X22)*SUM(Capacity!$DG$3:$DG$25/TRANSPOSE(Dists!$B22:$X22))))</f>
        <v>3.05796999502983</v>
      </c>
      <c r="K23" s="4" t="n">
        <f aca="false">5479.45205479452*$R23</f>
        <v>1190347.01064508</v>
      </c>
      <c r="L23" s="4" t="n">
        <f aca="false">17142.8571428571*$S23</f>
        <v>367172.18206761</v>
      </c>
      <c r="M23" s="4" t="n">
        <f aca="false">IF(50420.1680672269*$T23&gt;($K23/20),50420.1680672269*$T23-($K23/20),0)</f>
        <v>544053.359715873</v>
      </c>
      <c r="N23" s="4" t="n">
        <f aca="false" t="array" ref="N23:N23">SUM(Capacity!AH23*Demand!N23*Capacity!$DH$3:$DH$25/(TRANSPOSE(Dists!$B22:$X22)*SUM(Capacity!$DH$3:$DH$25/TRANSPOSE(Dists!$B22:$X22))))</f>
        <v>779.161524100957</v>
      </c>
      <c r="O23" s="4" t="n">
        <f aca="false">D51*DemClcs!$A$31*DemClcs!$A$32</f>
        <v>1829.65380806436</v>
      </c>
      <c r="P23" s="4" t="n">
        <f aca="false">O23*DemClcs!$A$29*DemClcs!$A$30</f>
        <v>731.861523225744</v>
      </c>
      <c r="Q23" s="4" t="n">
        <f aca="false" t="array" ref="Q23:Q23">SUM(Capacity!AK23*Demand!Q23*Capacity!$DI$3:$DI$25/(TRANSPOSE(Dists!$B22:$X22)*SUM(Capacity!$DI$3:$DI$25/TRANSPOSE(Dists!$B22:$X22))))</f>
        <v>6.68451819109767</v>
      </c>
      <c r="R23" s="4" t="n">
        <f aca="false" t="array" ref="R23:R23">SUM(Capacity!AL23*Demand!R23*Capacity!$DH$3:$DH$25/(TRANSPOSE(Dists!$B22:$X22)*SUM(Capacity!$DH$3:$DH$25/TRANSPOSE(Dists!$B22:$X22))))</f>
        <v>217.238329442728</v>
      </c>
      <c r="S23" s="4" t="n">
        <f aca="false">SUM($BG51,$BI51,$BK51)*Capacity!AM23/SUM(Capacity!$AM23:$AN23,Capacity!$CX23)</f>
        <v>21.4183772872773</v>
      </c>
      <c r="T23" s="4" t="n">
        <f aca="false">SUM($BG51,$BI51,$BK51)*Capacity!AN23/SUM(Capacity!$AM23:$AN23,Capacity!$CX23)</f>
        <v>11.9708190865879</v>
      </c>
      <c r="U23" s="4" t="n">
        <f aca="false">$M23*120*2/(16*1000*2000)</f>
        <v>4.08040019786905</v>
      </c>
      <c r="V23" s="4" t="n">
        <f aca="false" t="array" ref="V23:V23">SUM(Capacity!AP23*Demand!V$3:V$25*Capacity!$DH$3:$DH$25/(TRANSPOSE(Dists!$B22:$X22)*SUM(Capacity!$DH$3:$DH$25/TRANSPOSE(Dists!$B22:$X22))))</f>
        <v>120.545939996826</v>
      </c>
      <c r="W23" s="4" t="n">
        <f aca="false" t="array" ref="W23:W23">SUM(Capacity!AQ23*Demand!W$3:W$25*Capacity!$DH$3:$DH$25/(TRANSPOSE(Dists!$B22:$X22)*SUM(Capacity!$DH$3:$DH$25/TRANSPOSE(Dists!$B22:$X22))))</f>
        <v>531.807226959771</v>
      </c>
      <c r="X23" s="4" t="n">
        <f aca="false" t="array" ref="X23:X23">SUM(Capacity!AR23*Demand!X$3:X$25*Capacity!$DH$3:$DH$25/(TRANSPOSE(Dists!$B22:$X22)*SUM(Capacity!$DH$3:$DH$25/TRANSPOSE(Dists!$B22:$X22))))</f>
        <v>1515.70371181915</v>
      </c>
      <c r="Y23" s="4" t="n">
        <f aca="false">$L23*600*6/(90*1000*2000)</f>
        <v>7.3434436413522</v>
      </c>
      <c r="Z23" s="4" t="n">
        <f aca="false" t="array" ref="Z23:Z23">SUM(Capacity!AT23*Demand!Z$3:Z$25*Capacity!$DI$3:$DI$25/(TRANSPOSE(Dists!$B22:$X22)*SUM(Capacity!$DI$3:$DI$25/TRANSPOSE(Dists!$B22:$X22))))</f>
        <v>21.3861910404571</v>
      </c>
      <c r="AA23" s="4" t="n">
        <f aca="false" t="array" ref="AA23:AA23">SUM(Capacity!AU23*Demand!AA$3:AA$25*Capacity!$DI$3:$DI$25/(TRANSPOSE(Dists!$B22:$X22)*SUM(Capacity!$DI$3:$DI$25/TRANSPOSE(Dists!$B22:$X22))))</f>
        <v>33.5358583718845</v>
      </c>
      <c r="AB23" s="4" t="n">
        <f aca="false" t="array" ref="AB23:AB23">SUM(Capacity!AV23*Demand!AB$3:AB$25*Capacity!$DI$3:$DI$25/(TRANSPOSE(Dists!$B22:$X22)*SUM(Capacity!$DI$3:$DI$25/TRANSPOSE(Dists!$B22:$X22))))</f>
        <v>31.5690014678362</v>
      </c>
      <c r="AC23" s="4" t="n">
        <f aca="false" t="array" ref="AC23:AC23">SUM(Capacity!AW23*Demand!AC$3:AC$25*Capacity!$DI$3:$DI$25/(TRANSPOSE(Dists!$B22:$X22)*SUM(Capacity!$DI$3:$DI$25/TRANSPOSE(Dists!$B22:$X22))))</f>
        <v>7.71889463826124</v>
      </c>
      <c r="AD23" s="4" t="n">
        <f aca="false" t="array" ref="AD23:AD23">SUM(Capacity!AX23*Demand!AD$3:AD$25*Capacity!$DI$3:$DI$25/(TRANSPOSE(Dists!$B22:$X22)*SUM(Capacity!$DI$3:$DI$25/TRANSPOSE(Dists!$B22:$X22))))</f>
        <v>5.16818212838023</v>
      </c>
      <c r="AE23" s="4" t="n">
        <f aca="false" t="array" ref="AE23:AE23">SUM(Capacity!AY23*Demand!AE$3:AE$25*Capacity!$DI$3:$DI$25/(TRANSPOSE(Dists!$B22:$X22)*SUM(Capacity!$DI$3:$DI$25/TRANSPOSE(Dists!$B22:$X22))))</f>
        <v>4.10047301593603</v>
      </c>
      <c r="AF23" s="4" t="n">
        <f aca="false" t="array" ref="AF23:AF23">SUM(Capacity!AZ23*Demand!AF$3:AF$25*Capacity!$DI$3:$DI$25/(TRANSPOSE(Dists!$B22:$X22)*SUM(Capacity!$DI$3:$DI$25/TRANSPOSE(Dists!$B22:$X22))))</f>
        <v>0.686743424013446</v>
      </c>
      <c r="AG23" s="4" t="n">
        <f aca="false" t="array" ref="AG23:AG23">SUM(Capacity!BA23*Demand!AG$3:AG$25*Capacity!$DI$3:$DI$25/(TRANSPOSE(Dists!$B22:$X22)*SUM(Capacity!$DI$3:$DI$25/TRANSPOSE(Dists!$B22:$X22))))</f>
        <v>3.8560439825759</v>
      </c>
      <c r="AH23" s="4" t="n">
        <f aca="false" t="array" ref="AH23:AH23">SUM(Capacity!BB23*Demand!AH$3:AH$25*Capacity!$DI$3:$DI$25/(TRANSPOSE(Dists!$B22:$X22)*SUM(Capacity!$DI$3:$DI$25/TRANSPOSE(Dists!$B22:$X22))))</f>
        <v>2.5599959859474</v>
      </c>
      <c r="AI23" s="4" t="n">
        <f aca="false" t="array" ref="AI23:AI23">SUM(Capacity!BC23*Demand!AI$3:AI$25*Capacity!$DI$3:$DI$25/(TRANSPOSE(Dists!$B22:$X22)*SUM(Capacity!$DI$3:$DI$25/TRANSPOSE(Dists!$B22:$X22))))</f>
        <v>0.390144007965319</v>
      </c>
      <c r="AJ23" s="4" t="n">
        <f aca="false" t="array" ref="AJ23:AJ23">SUM(Capacity!BD23*Demand!AJ$3:AJ$25*Capacity!$DI$3:$DI$25/(TRANSPOSE(Dists!$B22:$X22)*SUM(Capacity!$DI$3:$DI$25/TRANSPOSE(Dists!$B22:$X22))))</f>
        <v>1.22177263695984</v>
      </c>
      <c r="AK23" s="4" t="n">
        <f aca="false" t="array" ref="AK23:AK23">SUM(Capacity!BE23*Demand!AK$3:AK$25*Capacity!$DI$3:$DI$25/(TRANSPOSE(Dists!$B22:$X22)*SUM(Capacity!$DI$3:$DI$25/TRANSPOSE(Dists!$B22:$X22))))</f>
        <v>0.640700396155853</v>
      </c>
      <c r="AL23" s="4" t="n">
        <f aca="false" t="array" ref="AL23:AL23">SUM(Capacity!BF23*Demand!AL$3:AL$25*Capacity!$DI$3:$DI$25/(TRANSPOSE(Dists!$B22:$X22)*SUM(Capacity!$DI$3:$DI$25/TRANSPOSE(Dists!$B22:$X22))))</f>
        <v>0.433653021063845</v>
      </c>
      <c r="AM23" s="4" t="n">
        <f aca="false" t="array" ref="AM23:AM23">SUM(Capacity!BG23*Demand!AM$3:AM$25*Capacity!$DI$3:$DI$25/(TRANSPOSE(Dists!$B22:$X22)*SUM(Capacity!$DI$3:$DI$25/TRANSPOSE(Dists!$B22:$X22))))</f>
        <v>1.12542646302603</v>
      </c>
      <c r="AN23" s="4" t="n">
        <f aca="false" t="array" ref="AN23:AN23">SUM(Capacity!BH23*Demand!AN$3:AN$25*Capacity!$DI$3:$DI$25/(TRANSPOSE(Dists!$B22:$X22)*SUM(Capacity!$DI$3:$DI$25/TRANSPOSE(Dists!$B22:$X22))))</f>
        <v>0.703798035659435</v>
      </c>
      <c r="AO23" s="4" t="n">
        <f aca="false" t="array" ref="AO23:AO23">SUM(Capacity!BI23*Demand!AO$3:AO$25*Capacity!$DI$3:$DI$25/(TRANSPOSE(Dists!$B22:$X22)*SUM(Capacity!$DI$3:$DI$25/TRANSPOSE(Dists!$B22:$X22))))</f>
        <v>1.93715199851989</v>
      </c>
      <c r="AP23" s="4" t="n">
        <f aca="false" t="array" ref="AP23:AP23">SUM(Capacity!BJ23*Demand!AP$3:AP$25*Capacity!$DI$3:$DI$25/(TRANSPOSE(Dists!$B22:$X22)*SUM(Capacity!$DI$3:$DI$25/TRANSPOSE(Dists!$B22:$X22))))</f>
        <v>1.10849818433748</v>
      </c>
      <c r="AQ23" s="4" t="n">
        <f aca="false" t="array" ref="AQ23:AQ23">SUM(Capacity!BK23*Demand!AQ$3:AQ$25*Capacity!$DI$3:$DI$25/(TRANSPOSE(Dists!$B22:$X22)*SUM(Capacity!$DI$3:$DI$25/TRANSPOSE(Dists!$B22:$X22))))</f>
        <v>0.122104548140472</v>
      </c>
      <c r="AR23" s="4" t="n">
        <f aca="false" t="array" ref="AR23:AR23">SUM(Capacity!BL23*Demand!AR$3:AR$25*Capacity!$DI$3:$DI$25/(TRANSPOSE(Dists!$B22:$X22)*SUM(Capacity!$DI$3:$DI$25/TRANSPOSE(Dists!$B22:$X22))))</f>
        <v>0.176376574727036</v>
      </c>
      <c r="AS23" s="4" t="n">
        <f aca="false" t="array" ref="AS23:AS23">SUM(Capacity!BM23*Demand!AS$3:AS$25*Capacity!$DI$3:$DI$25/(TRANSPOSE(Dists!$B22:$X22)*SUM(Capacity!$DI$3:$DI$25/TRANSPOSE(Dists!$B22:$X22))))</f>
        <v>0.260875791625764</v>
      </c>
      <c r="AT23" s="4" t="n">
        <f aca="false" t="array" ref="AT23:AT23">SUM(Capacity!BN23*Demand!AT$3:AT$25*Capacity!$DI$3:$DI$25/(TRANSPOSE(Dists!$B22:$X22)*SUM(Capacity!$DI$3:$DI$25/TRANSPOSE(Dists!$B22:$X22))))</f>
        <v>3.148706555916</v>
      </c>
      <c r="AU23" s="4" t="n">
        <f aca="false" t="array" ref="AU23:AU23">SUM(Capacity!BO23*Demand!AU$3:AU$25*Capacity!$DI$3:$DI$25/(TRANSPOSE(Dists!$B22:$X22)*SUM(Capacity!$DI$3:$DI$25/TRANSPOSE(Dists!$B22:$X22))))</f>
        <v>2.91047827073308</v>
      </c>
      <c r="AV23" s="4" t="n">
        <f aca="false" t="array" ref="AV23:AV23">SUM(Capacity!BP23*Demand!AV$3:AV$25*Capacity!$DI$3:$DI$25/(TRANSPOSE(Dists!$B22:$X22)*SUM(Capacity!$DI$3:$DI$25/TRANSPOSE(Dists!$B22:$X22))))</f>
        <v>0.120247815679737</v>
      </c>
      <c r="AW23" s="4" t="n">
        <f aca="false" t="array" ref="AW23:AW23">SUM(Capacity!BQ23*Demand!AW$3:AW$25*Capacity!$DI$3:$DI$25/(TRANSPOSE(Dists!$B22:$X22)*SUM(Capacity!$DI$3:$DI$25/TRANSPOSE(Dists!$B22:$X22))))</f>
        <v>4.19900846671562</v>
      </c>
      <c r="AX23" s="4" t="n">
        <f aca="false" t="array" ref="AX23:AX23">SUM(Capacity!BR23*Demand!AX$3:AX$25*Capacity!$DI$3:$DI$25/(TRANSPOSE(Dists!$B22:$X22)*SUM(Capacity!$DI$3:$DI$25/TRANSPOSE(Dists!$B22:$X22))))</f>
        <v>0.329257919225442</v>
      </c>
      <c r="AY23" s="4" t="n">
        <f aca="false" t="array" ref="AY23:AY23">SUM(Capacity!BS23*Demand!AY$3:AY$25*Capacity!$DI$3:$DI$25/(TRANSPOSE(Dists!$B22:$X22)*SUM(Capacity!$DI$3:$DI$25/TRANSPOSE(Dists!$B22:$X22))))</f>
        <v>0.430864901746283</v>
      </c>
      <c r="AZ23" s="4" t="n">
        <f aca="false" t="array" ref="AZ23:AZ23">SUM(Capacity!BT23*Demand!AZ$3:AZ$25*Capacity!$DI$3:$DI$25/(TRANSPOSE(Dists!$B22:$X22)*SUM(Capacity!$DI$3:$DI$25/TRANSPOSE(Dists!$B22:$X22))))</f>
        <v>2.60530985077263</v>
      </c>
      <c r="BA23" s="4" t="n">
        <f aca="false">L23*25/(2000*1000*51)</f>
        <v>0.0899931818793162</v>
      </c>
      <c r="BB23" s="4" t="n">
        <f aca="false" t="array" ref="BB23:BB23">SUM(Capacity!BV23*Demand!BB$3:BB$25*Capacity!$DI$3:$DI$25/(TRANSPOSE(Dists!$B22:$X22)*SUM(Capacity!$DI$3:$DI$25/TRANSPOSE(Dists!$B22:$X22))))</f>
        <v>0.314016514376023</v>
      </c>
      <c r="BC23" s="4" t="n">
        <f aca="false" t="array" ref="BC23:BC23">SUM(Capacity!BW23*Demand!BC$3:BC$25*Capacity!$DI$3:$DI$25/(TRANSPOSE(Dists!$B22:$X22)*SUM(Capacity!$DI$3:$DI$25/TRANSPOSE(Dists!$B22:$X22))))</f>
        <v>0.229519363152571</v>
      </c>
      <c r="BD23" s="4" t="n">
        <f aca="false" t="array" ref="BD23:BD23">SUM(Capacity!BX23*Demand!BD$3:BD$25*Capacity!$DI$3:$DI$25/(TRANSPOSE(Dists!$B22:$X22)*SUM(Capacity!$DI$3:$DI$25/TRANSPOSE(Dists!$B22:$X22))))</f>
        <v>0.129635337236028</v>
      </c>
      <c r="BE23" s="4" t="n">
        <f aca="false" t="array" ref="BE23:BE23">SUM(Capacity!BY23*Demand!BE$3:BE$25*Capacity!$DI$3:$DI$25/(TRANSPOSE(Dists!$B22:$X22)*SUM(Capacity!$DI$3:$DI$25/TRANSPOSE(Dists!$B22:$X22))))</f>
        <v>0.096191958926866</v>
      </c>
      <c r="BF23" s="4" t="n">
        <f aca="false" t="array" ref="BF23:BF23">SUM(Capacity!BZ23*Demand!BF$3:BF$25*Capacity!$DI$3:$DI$25/(TRANSPOSE(Dists!$B22:$X22)*SUM(Capacity!$DI$3:$DI$25/TRANSPOSE(Dists!$B22:$X22))))</f>
        <v>6.39028074091564</v>
      </c>
      <c r="BG23" s="4" t="n">
        <f aca="false" t="array" ref="BG23:BG23">SUM(Capacity!CA23*Demand!BG$3:BG$25*Capacity!$DI$3:$DI$25/(TRANSPOSE(Dists!$B22:$X22)*SUM(Capacity!$DI$3:$DI$25/TRANSPOSE(Dists!$B22:$X22))))</f>
        <v>29.3437483120386</v>
      </c>
      <c r="BH23" s="4" t="n">
        <f aca="false" t="array" ref="BH23:BH23">SUM(Capacity!CB23*Demand!BH$3:BH$25*Capacity!$DI$3:$DI$25/(TRANSPOSE(Dists!$B22:$X22)*SUM(Capacity!$DI$3:$DI$25/TRANSPOSE(Dists!$B22:$X22))))</f>
        <v>61.3769159540148</v>
      </c>
      <c r="BI23" s="4" t="n">
        <f aca="false" t="array" ref="BI23:BI23">SUM(Capacity!CC23*Demand!BI23*Capacity!$DI$3:$DI$25/(TRANSPOSE(Dists!$B22:$X22)*SUM(Capacity!$DI$3:$DI$25/TRANSPOSE(Dists!$B22:$X22))))</f>
        <v>75.0304135865516</v>
      </c>
      <c r="BJ23" s="4" t="n">
        <f aca="false" t="array" ref="BJ23:BJ23">SUM(Capacity!CD23*Demand!BJ23*Capacity!$DI$3:$DI$25/(TRANSPOSE(Dists!$B22:$X22)*SUM(Capacity!$DI$3:$DI$25/TRANSPOSE(Dists!$B22:$X22))))</f>
        <v>1397.27199727603</v>
      </c>
      <c r="BK23" s="4" t="n">
        <f aca="false" t="array" ref="BK23:BK23">SUM(Capacity!CE23*Demand!BK23*Capacity!$DI$3:$DI$25/(TRANSPOSE(Dists!$B22:$X22)*SUM(Capacity!$DI$3:$DI$25/TRANSPOSE(Dists!$B22:$X22))))</f>
        <v>37.5152067932758</v>
      </c>
      <c r="BL23" s="4" t="n">
        <f aca="false" t="array" ref="BL23:BL23">SUM(Capacity!CF23*Demand!BL23*Capacity!$DI$3:$DI$25/(TRANSPOSE(Dists!$B22:$X22)*SUM(Capacity!$DI$3:$DI$25/TRANSPOSE(Dists!$B22:$X22))))</f>
        <v>505.396753129449</v>
      </c>
      <c r="BM23" s="4" t="n">
        <f aca="false" t="array" ref="BM23:BM23">SUM(Capacity!CG23*Demand!BM23*Capacity!$DI$3:$DI$25/(TRANSPOSE(Dists!$B22:$X22)*SUM(Capacity!$DI$3:$DI$25/TRANSPOSE(Dists!$B22:$X22))))</f>
        <v>87.6770381622292</v>
      </c>
      <c r="BN23" s="4" t="n">
        <f aca="false">MAX($BO23/0.006,$BP23/0.7,$BR23/0.002,$BS23/0.001)</f>
        <v>0.000739926498074752</v>
      </c>
      <c r="BO23" s="4" t="n">
        <f aca="false" t="array" ref="BO23:BO23">SUM(Capacity!CI23*Demand!BO23*Capacity!$DI$3:$DI$25/(TRANSPOSE(Dists!$B22:$X22)*SUM(Capacity!$DI$3:$DI$25/TRANSPOSE(Dists!$B22:$X22))))</f>
        <v>4.43955898844852E-006</v>
      </c>
      <c r="BP23" s="4" t="n">
        <f aca="false" t="array" ref="BP23:BP23">SUM(Capacity!CJ23*Demand!BP23*Capacity!$DI$3:$DI$25/(TRANSPOSE(Dists!$B22:$X22)*SUM(Capacity!$DI$3:$DI$25/TRANSPOSE(Dists!$B22:$X22))))</f>
        <v>5.38673814854554E-008</v>
      </c>
      <c r="BQ23" s="4" t="n">
        <f aca="false" t="array" ref="BQ23:BQ23">SUM(Capacity!CK23*Demand!BQ23*Capacity!$DI$3:$DI$25/(TRANSPOSE(Dists!$B22:$X22)*SUM(Capacity!$DI$3:$DI$25/TRANSPOSE(Dists!$B22:$X22))))</f>
        <v>0</v>
      </c>
      <c r="BR23" s="4" t="n">
        <f aca="false" t="array" ref="BR23:BR23">SUM(Capacity!CL23*Demand!BR23*Capacity!$DI$3:$DI$25/(TRANSPOSE(Dists!$B22:$X22)*SUM(Capacity!$DI$3:$DI$25/TRANSPOSE(Dists!$B22:$X22))))</f>
        <v>4.43955898844851E-007</v>
      </c>
      <c r="BS23" s="4" t="n">
        <f aca="false" t="array" ref="BS23:BS23">SUM(Capacity!CM23*Demand!BS23*Capacity!$DI$3:$DI$25/(TRANSPOSE(Dists!$B22:$X22)*SUM(Capacity!$DI$3:$DI$25/TRANSPOSE(Dists!$B22:$X22))))</f>
        <v>8.87911023302724E-008</v>
      </c>
      <c r="BT23" s="4" t="n">
        <f aca="false" t="array" ref="BT23:BT23">SUM(Capacity!CN23*Demand!BT23*Capacity!$DI$3:$DI$25/(TRANSPOSE(Dists!$B22:$X22)*SUM(Capacity!$DI$3:$DI$25/TRANSPOSE(Dists!$B22:$X22))))</f>
        <v>5.64536067002527</v>
      </c>
      <c r="BU23" s="4" t="n">
        <f aca="false" t="array" ref="BU23:BU23">SUM(Capacity!CO23*Demand!BU23*Capacity!$DI$3:$DI$25/(TRANSPOSE(Dists!$B22:$X22)*SUM(Capacity!$DI$3:$DI$25/TRANSPOSE(Dists!$B22:$X22))))</f>
        <v>0.564536067002526</v>
      </c>
      <c r="BV23" s="4" t="n">
        <f aca="false" t="array" ref="BV23:BV23">SUM(Capacity!CP23*Demand!BV23*Capacity!$DI$3:$DI$25/(TRANSPOSE(Dists!$B22:$X22)*SUM(Capacity!$DI$3:$DI$25/TRANSPOSE(Dists!$B22:$X22))))</f>
        <v>0.0564536067002527</v>
      </c>
      <c r="BW23" s="4" t="n">
        <f aca="false">E51*DemClcs!$A$40*DemClcs!$A$41*8.34/(DemClcs!$A$38)</f>
        <v>2020.02447962049</v>
      </c>
      <c r="BX23" s="4" t="n">
        <f aca="false" t="array" ref="BX23:BX23">SUM(Capacity!CR23*Demand!BX23*Capacity!$DI$3:$DI$25/(TRANSPOSE(Dists!$B22:$X22)*SUM(Capacity!$DI$3:$DI$25/TRANSPOSE(Dists!$B22:$X22))))</f>
        <v>2.2583045189815</v>
      </c>
      <c r="BY23" s="4" t="n">
        <f aca="false" t="array" ref="BY23:BY23">SUM(Capacity!CS23*Demand!BY23*Capacity!$DI$3:$DI$25/(TRANSPOSE(Dists!$B22:$X22)*SUM(Capacity!$DI$3:$DI$25/TRANSPOSE(Dists!$B22:$X22))))</f>
        <v>54.3456974724073</v>
      </c>
      <c r="BZ23" s="4" t="n">
        <f aca="false" t="array" ref="BZ23:BZ23">SUM(Capacity!CT23*Demand!BZ23*Capacity!$DI$3:$DI$25/(TRANSPOSE(Dists!$B22:$X22)*SUM(Capacity!$DI$3:$DI$25/TRANSPOSE(Dists!$B22:$X22))))</f>
        <v>0.792998668754904</v>
      </c>
      <c r="CA23" s="4" t="n">
        <f aca="false" t="array" ref="CA23:CA23">SUM(Capacity!CU23*Demand!CA23*Capacity!$DI$3:$DI$25/(TRANSPOSE(Dists!$B22:$X22)*SUM(Capacity!$DI$3:$DI$25/TRANSPOSE(Dists!$B22:$X22))))</f>
        <v>0.0761244854551845</v>
      </c>
      <c r="CB23" s="4" t="n">
        <f aca="false" t="array" ref="CB23:CB23">SUM(Capacity!CV23*Demand!CB23*Capacity!$DI$3:$DI$25/(TRANSPOSE(Dists!$B22:$X22)*SUM(Capacity!$DI$3:$DI$25/TRANSPOSE(Dists!$B22:$X22))))</f>
        <v>198.150352822962</v>
      </c>
      <c r="CC23" s="4" t="n">
        <f aca="false" t="array" ref="CC23:CC23">SUM(Capacity!CW23*Demand!CC23*Capacity!$DI$3:$DI$25/(TRANSPOSE(Dists!$B22:$X22)*SUM(Capacity!$DI$3:$DI$25/TRANSPOSE(Dists!$B22:$X22))))</f>
        <v>1232.63198513999</v>
      </c>
      <c r="CD23" s="4" t="n">
        <f aca="false">SUM($BG51,$BI51,$BK51)*Capacity!CX23/SUM(Capacity!$AM23:$AN23,Capacity!$CX23)</f>
        <v>88.2560342045142</v>
      </c>
      <c r="CE23" s="4" t="n">
        <f aca="false" t="array" ref="CE23:CE23">SUM(Capacity!CY23*Demand!CE23*Capacity!$DI$3:$DI$25/(TRANSPOSE(Dists!$B22:$X22)*SUM(Capacity!$DI$3:$DI$25/TRANSPOSE(Dists!$B22:$X22))))</f>
        <v>0.541831269173671</v>
      </c>
      <c r="CF23" s="4" t="n">
        <f aca="false" t="array" ref="CF23:CF23">SUM(Capacity!CZ23*Demand!CF23*Capacity!$DI$3:$DI$25/(TRANSPOSE(Dists!$B22:$X22)*SUM(Capacity!$DI$3:$DI$25/TRANSPOSE(Dists!$B22:$X22))))</f>
        <v>887.557773238756</v>
      </c>
      <c r="CG23" s="4" t="n">
        <f aca="false" t="array" ref="CG23:CG23">SUM(Capacity!DA23*Demand!CG23*Capacity!$DI$3:$DI$25/(TRANSPOSE(Dists!$B22:$X22)*SUM(Capacity!$DI$3:$DI$25/TRANSPOSE(Dists!$B22:$X22))))</f>
        <v>0.000100681791697449</v>
      </c>
      <c r="CH23" s="4" t="n">
        <f aca="false" t="array" ref="CH23:CH23">SUM(Capacity!DB23*Demand!CH23*Capacity!$DI$3:$DI$25/(TRANSPOSE(Dists!$B22:$X22)*SUM(Capacity!$DI$3:$DI$25/TRANSPOSE(Dists!$B22:$X22))))</f>
        <v>6.21337708481338E-005</v>
      </c>
      <c r="CI23" s="4" t="n">
        <f aca="false" t="array" ref="CI23:CI23">SUM(Capacity!DC23*Demand!CI23*Capacity!$DI$3:$DI$25/(TRANSPOSE(Dists!$B22:$X22)*SUM(Capacity!$DI$3:$DI$25/TRANSPOSE(Dists!$B22:$X22))))</f>
        <v>0.228615714376415</v>
      </c>
      <c r="CJ23" s="4" t="n">
        <f aca="false" t="array" ref="CJ23:CJ23">SUM(Capacity!DD23*Demand!CJ23*Capacity!$DI$3:$DI$25/(TRANSPOSE(Dists!$B22:$X22)*SUM(Capacity!$DI$3:$DI$25/TRANSPOSE(Dists!$B22:$X22))))</f>
        <v>0.105396890675826</v>
      </c>
      <c r="CK23" s="4" t="n">
        <f aca="false" t="array" ref="CK23:CK23">SUM(Capacity!DE23*Demand!CK23*Capacity!$DI$3:$DI$25/(TRANSPOSE(Dists!$B22:$X22)*SUM(Capacity!$DI$3:$DI$25/TRANSPOSE(Dists!$B22:$X22))))</f>
        <v>0.384757204433211</v>
      </c>
      <c r="CL23" s="7" t="s">
        <v>322</v>
      </c>
    </row>
    <row r="24" customFormat="false" ht="12.8" hidden="false" customHeight="false" outlineLevel="0" collapsed="false">
      <c r="A24" s="4" t="s">
        <v>159</v>
      </c>
      <c r="B24" s="7" t="s">
        <v>39</v>
      </c>
      <c r="C24" s="4" t="n">
        <f aca="false" t="array" ref="C24:C24">SUM(Capacity!S24*Demand!C24*Capacity!$DH$3:$DH$25/(TRANSPOSE(Dists!$B23:$X23)*SUM(Capacity!$DH$3:$DH$25/TRANSPOSE(Dists!$B23:$X23))))</f>
        <v>0.00756827245128447</v>
      </c>
      <c r="D24" s="4" t="n">
        <f aca="false" t="array" ref="D24:D24">SUM(Capacity!V24*Demand!D24*Capacity!$DH$3:$DH$25/(TRANSPOSE(Dists!$B23:$X23)*SUM(Capacity!$DH$3:$DH$25/TRANSPOSE(Dists!$B23:$X23))))</f>
        <v>364.289078266199</v>
      </c>
      <c r="E24" s="4" t="n">
        <f aca="false" t="array" ref="E24:E24">SUM(Capacity!Y24*Demand!E24*Capacity!$DH$3:$DH$25/(TRANSPOSE(Dists!$B23:$X23)*SUM(Capacity!$DH$3:$DH$25/TRANSPOSE(Dists!$B23:$X23))))</f>
        <v>34.0737030320694</v>
      </c>
      <c r="F24" s="4" t="n">
        <f aca="false">$E24*Capacity!$M24/(2*(1-Capacity!$H$28)*Capacity!$H24)</f>
        <v>11.0917002057517</v>
      </c>
      <c r="G24" s="4" t="n">
        <f aca="false" t="array" ref="G24:G24">SUM(Capacity!AA24*Demand!G24*Capacity!$DH$3:$DH$25/(TRANSPOSE(Dists!$B23:$X23)*SUM(Capacity!$DH$3:$DH$25/TRANSPOSE(Dists!$B23:$X23))))</f>
        <v>27.0357463329182</v>
      </c>
      <c r="H24" s="4" t="n">
        <f aca="false" t="array" ref="H24:H24">SUM(Capacity!AB24*Demand!H24*Capacity!$DH$3:$DH$25/(TRANSPOSE(Dists!$B23:$X23)*SUM(Capacity!$DH$3:$DH$25/TRANSPOSE(Dists!$B23:$X23))))</f>
        <v>0</v>
      </c>
      <c r="I24" s="4" t="n">
        <f aca="false" t="array" ref="I24:I24">SUM(Capacity!AC24*Demand!I$3:I$25*Capacity!$DG$3:$DG$25/(TRANSPOSE(Dists!$B23:$X23)*SUM(Capacity!$DG$3:$DG$25/TRANSPOSE(Dists!$B23:$X23))))</f>
        <v>2.56615587159203</v>
      </c>
      <c r="J24" s="4" t="n">
        <f aca="false" t="array" ref="J24:J24">SUM(Capacity!AD24*Demand!J$3:J$25*Capacity!$DG$3:$DG$25/(TRANSPOSE(Dists!$B23:$X23)*SUM(Capacity!$DG$3:$DG$25/TRANSPOSE(Dists!$B23:$X23))))</f>
        <v>2.45102462840797</v>
      </c>
      <c r="K24" s="4" t="n">
        <f aca="false">5479.45205479452*$R24</f>
        <v>408295.386149535</v>
      </c>
      <c r="L24" s="4" t="n">
        <f aca="false">17142.8571428571*$S24</f>
        <v>73653.2234315672</v>
      </c>
      <c r="M24" s="4" t="n">
        <f aca="false">IF(50420.1680672269*$T24&gt;($K24/20),50420.1680672269*$T24-($K24/20),0)</f>
        <v>100659.022634826</v>
      </c>
      <c r="N24" s="4" t="n">
        <f aca="false" t="array" ref="N24:N24">SUM(Capacity!AH24*Demand!N24*Capacity!$DH$3:$DH$25/(TRANSPOSE(Dists!$B23:$X23)*SUM(Capacity!$DH$3:$DH$25/TRANSPOSE(Dists!$B23:$X23))))</f>
        <v>47.0013414997385</v>
      </c>
      <c r="O24" s="4" t="n">
        <f aca="false">D52*DemClcs!$A$31*DemClcs!$A$32</f>
        <v>354.435715902462</v>
      </c>
      <c r="P24" s="4" t="n">
        <f aca="false">O24*DemClcs!$A$29*DemClcs!$A$30</f>
        <v>141.774286360985</v>
      </c>
      <c r="Q24" s="4" t="n">
        <f aca="false" t="array" ref="Q24:Q24">SUM(Capacity!AK24*Demand!Q24*Capacity!$DI$3:$DI$25/(TRANSPOSE(Dists!$B23:$X23)*SUM(Capacity!$DI$3:$DI$25/TRANSPOSE(Dists!$B23:$X23))))</f>
        <v>0.992724958186738</v>
      </c>
      <c r="R24" s="4" t="n">
        <f aca="false" t="array" ref="R24:R24">SUM(Capacity!AL24*Demand!R24*Capacity!$DH$3:$DH$25/(TRANSPOSE(Dists!$B23:$X23)*SUM(Capacity!$DH$3:$DH$25/TRANSPOSE(Dists!$B23:$X23))))</f>
        <v>74.5139079722902</v>
      </c>
      <c r="S24" s="4" t="n">
        <f aca="false">SUM($BG52,$BI52,$BK52)*Capacity!AM24/SUM(Capacity!$AM24:$AN24,Capacity!$CX24)</f>
        <v>4.2964380335081</v>
      </c>
      <c r="T24" s="4" t="n">
        <f aca="false">SUM($BG52,$BI52,$BK52)*Capacity!AN24/SUM(Capacity!$AM24:$AN24,Capacity!$CX24)</f>
        <v>2.40129687352233</v>
      </c>
      <c r="U24" s="4" t="n">
        <f aca="false">$M24*120*2/(16*1000*2000)</f>
        <v>0.754942669761194</v>
      </c>
      <c r="V24" s="4" t="n">
        <f aca="false" t="array" ref="V24:V24">SUM(Capacity!AP24*Demand!V$3:V$25*Capacity!$DH$3:$DH$25/(TRANSPOSE(Dists!$B23:$X23)*SUM(Capacity!$DH$3:$DH$25/TRANSPOSE(Dists!$B23:$X23))))</f>
        <v>14.028784303522</v>
      </c>
      <c r="W24" s="4" t="n">
        <f aca="false" t="array" ref="W24:W24">SUM(Capacity!AQ24*Demand!W$3:W$25*Capacity!$DH$3:$DH$25/(TRANSPOSE(Dists!$B23:$X23)*SUM(Capacity!$DH$3:$DH$25/TRANSPOSE(Dists!$B23:$X23))))</f>
        <v>51.2543098541875</v>
      </c>
      <c r="X24" s="4" t="n">
        <f aca="false" t="array" ref="X24:X24">SUM(Capacity!AR24*Demand!X$3:X$25*Capacity!$DH$3:$DH$25/(TRANSPOSE(Dists!$B23:$X23)*SUM(Capacity!$DH$3:$DH$25/TRANSPOSE(Dists!$B23:$X23))))</f>
        <v>586.248432206211</v>
      </c>
      <c r="Y24" s="4" t="n">
        <f aca="false">$L24*600*6/(90*1000*2000)</f>
        <v>1.47306446863134</v>
      </c>
      <c r="Z24" s="4" t="n">
        <f aca="false" t="array" ref="Z24:Z24">SUM(Capacity!AT24*Demand!Z$3:Z$25*Capacity!$DI$3:$DI$25/(TRANSPOSE(Dists!$B23:$X23)*SUM(Capacity!$DI$3:$DI$25/TRANSPOSE(Dists!$B23:$X23))))</f>
        <v>4.5035588582991</v>
      </c>
      <c r="AA24" s="4" t="n">
        <f aca="false" t="array" ref="AA24:AA24">SUM(Capacity!AU24*Demand!AA$3:AA$25*Capacity!$DI$3:$DI$25/(TRANSPOSE(Dists!$B23:$X23)*SUM(Capacity!$DI$3:$DI$25/TRANSPOSE(Dists!$B23:$X23))))</f>
        <v>2.69781407447505</v>
      </c>
      <c r="AB24" s="4" t="n">
        <f aca="false" t="array" ref="AB24:AB24">SUM(Capacity!AV24*Demand!AB$3:AB$25*Capacity!$DI$3:$DI$25/(TRANSPOSE(Dists!$B23:$X23)*SUM(Capacity!$DI$3:$DI$25/TRANSPOSE(Dists!$B23:$X23))))</f>
        <v>2.75176556420589</v>
      </c>
      <c r="AC24" s="4" t="n">
        <f aca="false" t="array" ref="AC24:AC24">SUM(Capacity!AW24*Demand!AC$3:AC$25*Capacity!$DI$3:$DI$25/(TRANSPOSE(Dists!$B23:$X23)*SUM(Capacity!$DI$3:$DI$25/TRANSPOSE(Dists!$B23:$X23))))</f>
        <v>0.736532239691546</v>
      </c>
      <c r="AD24" s="4" t="n">
        <f aca="false" t="array" ref="AD24:AD24">SUM(Capacity!AX24*Demand!AD$3:AD$25*Capacity!$DI$3:$DI$25/(TRANSPOSE(Dists!$B23:$X23)*SUM(Capacity!$DI$3:$DI$25/TRANSPOSE(Dists!$B23:$X23))))</f>
        <v>0.450493362132805</v>
      </c>
      <c r="AE24" s="4" t="n">
        <f aca="false" t="array" ref="AE24:AE24">SUM(Capacity!AY24*Demand!AE$3:AE$25*Capacity!$DI$3:$DI$25/(TRANSPOSE(Dists!$B23:$X23)*SUM(Capacity!$DI$3:$DI$25/TRANSPOSE(Dists!$B23:$X23))))</f>
        <v>0.334101345656284</v>
      </c>
      <c r="AF24" s="4" t="n">
        <f aca="false" t="array" ref="AF24:AF24">SUM(Capacity!AZ24*Demand!AF$3:AF$25*Capacity!$DI$3:$DI$25/(TRANSPOSE(Dists!$B23:$X23)*SUM(Capacity!$DI$3:$DI$25/TRANSPOSE(Dists!$B23:$X23))))</f>
        <v>0.0768617177820372</v>
      </c>
      <c r="AG24" s="4" t="n">
        <f aca="false" t="array" ref="AG24:AG24">SUM(Capacity!BA24*Demand!AG$3:AG$25*Capacity!$DI$3:$DI$25/(TRANSPOSE(Dists!$B23:$X23)*SUM(Capacity!$DI$3:$DI$25/TRANSPOSE(Dists!$B23:$X23))))</f>
        <v>0.403012127346724</v>
      </c>
      <c r="AH24" s="4" t="n">
        <f aca="false" t="array" ref="AH24:AH24">SUM(Capacity!BB24*Demand!AH$3:AH$25*Capacity!$DI$3:$DI$25/(TRANSPOSE(Dists!$B23:$X23)*SUM(Capacity!$DI$3:$DI$25/TRANSPOSE(Dists!$B23:$X23))))</f>
        <v>0.295811518914508</v>
      </c>
      <c r="AI24" s="4" t="n">
        <f aca="false" t="array" ref="AI24:AI24">SUM(Capacity!BC24*Demand!AI$3:AI$25*Capacity!$DI$3:$DI$25/(TRANSPOSE(Dists!$B23:$X23)*SUM(Capacity!$DI$3:$DI$25/TRANSPOSE(Dists!$B23:$X23))))</f>
        <v>0.0349066342109232</v>
      </c>
      <c r="AJ24" s="4" t="n">
        <f aca="false" t="array" ref="AJ24:AJ24">SUM(Capacity!BD24*Demand!AJ$3:AJ$25*Capacity!$DI$3:$DI$25/(TRANSPOSE(Dists!$B23:$X23)*SUM(Capacity!$DI$3:$DI$25/TRANSPOSE(Dists!$B23:$X23))))</f>
        <v>0.112190606699836</v>
      </c>
      <c r="AK24" s="4" t="n">
        <f aca="false" t="array" ref="AK24:AK24">SUM(Capacity!BE24*Demand!AK$3:AK$25*Capacity!$DI$3:$DI$25/(TRANSPOSE(Dists!$B23:$X23)*SUM(Capacity!$DI$3:$DI$25/TRANSPOSE(Dists!$B23:$X23))))</f>
        <v>0.0600225477189626</v>
      </c>
      <c r="AL24" s="4" t="n">
        <f aca="false" t="array" ref="AL24:AL24">SUM(Capacity!BF24*Demand!AL$3:AL$25*Capacity!$DI$3:$DI$25/(TRANSPOSE(Dists!$B23:$X23)*SUM(Capacity!$DI$3:$DI$25/TRANSPOSE(Dists!$B23:$X23))))</f>
        <v>0.0411504897241712</v>
      </c>
      <c r="AM24" s="4" t="n">
        <f aca="false" t="array" ref="AM24:AM24">SUM(Capacity!BG24*Demand!AM$3:AM$25*Capacity!$DI$3:$DI$25/(TRANSPOSE(Dists!$B23:$X23)*SUM(Capacity!$DI$3:$DI$25/TRANSPOSE(Dists!$B23:$X23))))</f>
        <v>0.098319794592086</v>
      </c>
      <c r="AN24" s="4" t="n">
        <f aca="false" t="array" ref="AN24:AN24">SUM(Capacity!BH24*Demand!AN$3:AN$25*Capacity!$DI$3:$DI$25/(TRANSPOSE(Dists!$B23:$X23)*SUM(Capacity!$DI$3:$DI$25/TRANSPOSE(Dists!$B23:$X23))))</f>
        <v>0.083252694236619</v>
      </c>
      <c r="AO24" s="4" t="n">
        <f aca="false" t="array" ref="AO24:AO24">SUM(Capacity!BI24*Demand!AO$3:AO$25*Capacity!$DI$3:$DI$25/(TRANSPOSE(Dists!$B23:$X23)*SUM(Capacity!$DI$3:$DI$25/TRANSPOSE(Dists!$B23:$X23))))</f>
        <v>0.195412045719525</v>
      </c>
      <c r="AP24" s="4" t="n">
        <f aca="false" t="array" ref="AP24:AP24">SUM(Capacity!BJ24*Demand!AP$3:AP$25*Capacity!$DI$3:$DI$25/(TRANSPOSE(Dists!$B23:$X23)*SUM(Capacity!$DI$3:$DI$25/TRANSPOSE(Dists!$B23:$X23))))</f>
        <v>0.117020733887211</v>
      </c>
      <c r="AQ24" s="4" t="n">
        <f aca="false" t="array" ref="AQ24:AQ24">SUM(Capacity!BK24*Demand!AQ$3:AQ$25*Capacity!$DI$3:$DI$25/(TRANSPOSE(Dists!$B23:$X23)*SUM(Capacity!$DI$3:$DI$25/TRANSPOSE(Dists!$B23:$X23))))</f>
        <v>0.0115528631263553</v>
      </c>
      <c r="AR24" s="4" t="n">
        <f aca="false" t="array" ref="AR24:AR24">SUM(Capacity!BL24*Demand!AR$3:AR$25*Capacity!$DI$3:$DI$25/(TRANSPOSE(Dists!$B23:$X23)*SUM(Capacity!$DI$3:$DI$25/TRANSPOSE(Dists!$B23:$X23))))</f>
        <v>0.0158209575010397</v>
      </c>
      <c r="AS24" s="4" t="n">
        <f aca="false" t="array" ref="AS24:AS24">SUM(Capacity!BM24*Demand!AS$3:AS$25*Capacity!$DI$3:$DI$25/(TRANSPOSE(Dists!$B23:$X23)*SUM(Capacity!$DI$3:$DI$25/TRANSPOSE(Dists!$B23:$X23))))</f>
        <v>0.0324800784965074</v>
      </c>
      <c r="AT24" s="4" t="n">
        <f aca="false" t="array" ref="AT24:AT24">SUM(Capacity!BN24*Demand!AT$3:AT$25*Capacity!$DI$3:$DI$25/(TRANSPOSE(Dists!$B23:$X23)*SUM(Capacity!$DI$3:$DI$25/TRANSPOSE(Dists!$B23:$X23))))</f>
        <v>0.388857443703325</v>
      </c>
      <c r="AU24" s="4" t="n">
        <f aca="false" t="array" ref="AU24:AU24">SUM(Capacity!BO24*Demand!AU$3:AU$25*Capacity!$DI$3:$DI$25/(TRANSPOSE(Dists!$B23:$X23)*SUM(Capacity!$DI$3:$DI$25/TRANSPOSE(Dists!$B23:$X23))))</f>
        <v>0.377938023177322</v>
      </c>
      <c r="AV24" s="4" t="n">
        <f aca="false" t="array" ref="AV24:AV24">SUM(Capacity!BP24*Demand!AV$3:AV$25*Capacity!$DI$3:$DI$25/(TRANSPOSE(Dists!$B23:$X23)*SUM(Capacity!$DI$3:$DI$25/TRANSPOSE(Dists!$B23:$X23))))</f>
        <v>0.0120215503728782</v>
      </c>
      <c r="AW24" s="4" t="n">
        <f aca="false" t="array" ref="AW24:AW24">SUM(Capacity!BQ24*Demand!AW$3:AW$25*Capacity!$DI$3:$DI$25/(TRANSPOSE(Dists!$B23:$X23)*SUM(Capacity!$DI$3:$DI$25/TRANSPOSE(Dists!$B23:$X23))))</f>
        <v>0.403183651513963</v>
      </c>
      <c r="AX24" s="4" t="n">
        <f aca="false" t="array" ref="AX24:AX24">SUM(Capacity!BR24*Demand!AX$3:AX$25*Capacity!$DI$3:$DI$25/(TRANSPOSE(Dists!$B23:$X23)*SUM(Capacity!$DI$3:$DI$25/TRANSPOSE(Dists!$B23:$X23))))</f>
        <v>0.0446287980958819</v>
      </c>
      <c r="AY24" s="4" t="n">
        <f aca="false" t="array" ref="AY24:AY24">SUM(Capacity!BS24*Demand!AY$3:AY$25*Capacity!$DI$3:$DI$25/(TRANSPOSE(Dists!$B23:$X23)*SUM(Capacity!$DI$3:$DI$25/TRANSPOSE(Dists!$B23:$X23))))</f>
        <v>0.0347653012505202</v>
      </c>
      <c r="AZ24" s="4" t="n">
        <f aca="false" t="array" ref="AZ24:AZ24">SUM(Capacity!BT24*Demand!AZ$3:AZ$25*Capacity!$DI$3:$DI$25/(TRANSPOSE(Dists!$B23:$X23)*SUM(Capacity!$DI$3:$DI$25/TRANSPOSE(Dists!$B23:$X23))))</f>
        <v>0.22153617619749</v>
      </c>
      <c r="BA24" s="4" t="n">
        <f aca="false">L24*25/(2000*1000*51)</f>
        <v>0.018052260644992</v>
      </c>
      <c r="BB24" s="4" t="n">
        <f aca="false" t="array" ref="BB24:BB24">SUM(Capacity!BV24*Demand!BB$3:BB$25*Capacity!$DI$3:$DI$25/(TRANSPOSE(Dists!$B23:$X23)*SUM(Capacity!$DI$3:$DI$25/TRANSPOSE(Dists!$B23:$X23))))</f>
        <v>0.0324404568374637</v>
      </c>
      <c r="BC24" s="4" t="n">
        <f aca="false" t="array" ref="BC24:BC24">SUM(Capacity!BW24*Demand!BC$3:BC$25*Capacity!$DI$3:$DI$25/(TRANSPOSE(Dists!$B23:$X23)*SUM(Capacity!$DI$3:$DI$25/TRANSPOSE(Dists!$B23:$X23))))</f>
        <v>0.0260869061433423</v>
      </c>
      <c r="BD24" s="4" t="n">
        <f aca="false" t="array" ref="BD24:BD24">SUM(Capacity!BX24*Demand!BD$3:BD$25*Capacity!$DI$3:$DI$25/(TRANSPOSE(Dists!$B23:$X23)*SUM(Capacity!$DI$3:$DI$25/TRANSPOSE(Dists!$B23:$X23))))</f>
        <v>0.0134085216218984</v>
      </c>
      <c r="BE24" s="4" t="n">
        <f aca="false" t="array" ref="BE24:BE24">SUM(Capacity!BY24*Demand!BE$3:BE$25*Capacity!$DI$3:$DI$25/(TRANSPOSE(Dists!$B23:$X23)*SUM(Capacity!$DI$3:$DI$25/TRANSPOSE(Dists!$B23:$X23))))</f>
        <v>0.0112854542577395</v>
      </c>
      <c r="BF24" s="4" t="n">
        <f aca="false" t="array" ref="BF24:BF24">SUM(Capacity!BZ24*Demand!BF$3:BF$25*Capacity!$DI$3:$DI$25/(TRANSPOSE(Dists!$B23:$X23)*SUM(Capacity!$DI$3:$DI$25/TRANSPOSE(Dists!$B23:$X23))))</f>
        <v>0.827074120941875</v>
      </c>
      <c r="BG24" s="4" t="n">
        <f aca="false" t="array" ref="BG24:BG24">SUM(Capacity!CA24*Demand!BG$3:BG$25*Capacity!$DI$3:$DI$25/(TRANSPOSE(Dists!$B23:$X23)*SUM(Capacity!$DI$3:$DI$25/TRANSPOSE(Dists!$B23:$X23))))</f>
        <v>3.16035129597882</v>
      </c>
      <c r="BH24" s="4" t="n">
        <f aca="false" t="array" ref="BH24:BH24">SUM(Capacity!CB24*Demand!BH$3:BH$25*Capacity!$DI$3:$DI$25/(TRANSPOSE(Dists!$B23:$X23)*SUM(Capacity!$DI$3:$DI$25/TRANSPOSE(Dists!$B23:$X23))))</f>
        <v>6.23172613212098</v>
      </c>
      <c r="BI24" s="4" t="n">
        <f aca="false" t="array" ref="BI24:BI24">SUM(Capacity!CC24*Demand!BI24*Capacity!$DI$3:$DI$25/(TRANSPOSE(Dists!$B23:$X23)*SUM(Capacity!$DI$3:$DI$25/TRANSPOSE(Dists!$B23:$X23))))</f>
        <v>2.28967792999391</v>
      </c>
      <c r="BJ24" s="4" t="n">
        <f aca="false" t="array" ref="BJ24:BJ24">SUM(Capacity!CD24*Demand!BJ24*Capacity!$DI$3:$DI$25/(TRANSPOSE(Dists!$B23:$X23)*SUM(Capacity!$DI$3:$DI$25/TRANSPOSE(Dists!$B23:$X23))))</f>
        <v>88.7080259787235</v>
      </c>
      <c r="BK24" s="4" t="n">
        <f aca="false" t="array" ref="BK24:BK24">SUM(Capacity!CE24*Demand!BK24*Capacity!$DI$3:$DI$25/(TRANSPOSE(Dists!$B23:$X23)*SUM(Capacity!$DI$3:$DI$25/TRANSPOSE(Dists!$B23:$X23))))</f>
        <v>1.14483896499695</v>
      </c>
      <c r="BL24" s="4" t="n">
        <f aca="false" t="array" ref="BL24:BL24">SUM(Capacity!CF24*Demand!BL24*Capacity!$DI$3:$DI$25/(TRANSPOSE(Dists!$B23:$X23)*SUM(Capacity!$DI$3:$DI$25/TRANSPOSE(Dists!$B23:$X23))))</f>
        <v>108.466765295869</v>
      </c>
      <c r="BM24" s="4" t="n">
        <f aca="false" t="array" ref="BM24:BM24">SUM(Capacity!CG24*Demand!BM24*Capacity!$DI$3:$DI$25/(TRANSPOSE(Dists!$B23:$X23)*SUM(Capacity!$DI$3:$DI$25/TRANSPOSE(Dists!$B23:$X23))))</f>
        <v>3.04839086551604</v>
      </c>
      <c r="BN24" s="4" t="n">
        <f aca="false">MAX($BO24/0.006,$BP24/0.7,$BR24/0.002,$BS24/0.001)</f>
        <v>5.08100858294372E-005</v>
      </c>
      <c r="BO24" s="4" t="n">
        <f aca="false" t="array" ref="BO24:BO24">SUM(Capacity!CI24*Demand!BO24*Capacity!$DI$3:$DI$25/(TRANSPOSE(Dists!$B23:$X23)*SUM(Capacity!$DI$3:$DI$25/TRANSPOSE(Dists!$B23:$X23))))</f>
        <v>3.04860514976623E-007</v>
      </c>
      <c r="BP24" s="4" t="n">
        <f aca="false" t="array" ref="BP24:BP24">SUM(Capacity!CJ24*Demand!BP24*Capacity!$DI$3:$DI$25/(TRANSPOSE(Dists!$B23:$X23)*SUM(Capacity!$DI$3:$DI$25/TRANSPOSE(Dists!$B23:$X23))))</f>
        <v>8.59116040623811E-009</v>
      </c>
      <c r="BQ24" s="4" t="n">
        <f aca="false" t="array" ref="BQ24:BQ24">SUM(Capacity!CK24*Demand!BQ24*Capacity!$DI$3:$DI$25/(TRANSPOSE(Dists!$B23:$X23)*SUM(Capacity!$DI$3:$DI$25/TRANSPOSE(Dists!$B23:$X23))))</f>
        <v>0</v>
      </c>
      <c r="BR24" s="4" t="n">
        <f aca="false" t="array" ref="BR24:BR24">SUM(Capacity!CL24*Demand!BR24*Capacity!$DI$3:$DI$25/(TRANSPOSE(Dists!$B23:$X23)*SUM(Capacity!$DI$3:$DI$25/TRANSPOSE(Dists!$B23:$X23))))</f>
        <v>3.04860514976623E-008</v>
      </c>
      <c r="BS24" s="4" t="n">
        <f aca="false" t="array" ref="BS24:BS24">SUM(Capacity!CM24*Demand!BS24*Capacity!$DI$3:$DI$25/(TRANSPOSE(Dists!$B23:$X23)*SUM(Capacity!$DI$3:$DI$25/TRANSPOSE(Dists!$B23:$X23))))</f>
        <v>6.09720344604757E-009</v>
      </c>
      <c r="BT24" s="4" t="n">
        <f aca="false" t="array" ref="BT24:BT24">SUM(Capacity!CN24*Demand!BT24*Capacity!$DI$3:$DI$25/(TRANSPOSE(Dists!$B23:$X23)*SUM(Capacity!$DI$3:$DI$25/TRANSPOSE(Dists!$B23:$X23))))</f>
        <v>0.251857126904741</v>
      </c>
      <c r="BU24" s="4" t="n">
        <f aca="false" t="array" ref="BU24:BU24">SUM(Capacity!CO24*Demand!BU24*Capacity!$DI$3:$DI$25/(TRANSPOSE(Dists!$B23:$X23)*SUM(Capacity!$DI$3:$DI$25/TRANSPOSE(Dists!$B23:$X23))))</f>
        <v>0.0251857126904741</v>
      </c>
      <c r="BV24" s="4" t="n">
        <f aca="false" t="array" ref="BV24:BV24">SUM(Capacity!CP24*Demand!BV24*Capacity!$DI$3:$DI$25/(TRANSPOSE(Dists!$B23:$X23)*SUM(Capacity!$DI$3:$DI$25/TRANSPOSE(Dists!$B23:$X23))))</f>
        <v>0.00251857126904741</v>
      </c>
      <c r="BW24" s="4" t="n">
        <f aca="false">E52*DemClcs!$A$40*DemClcs!$A$41*8.34/(DemClcs!$A$38)</f>
        <v>234.622907237754</v>
      </c>
      <c r="BX24" s="4" t="n">
        <f aca="false" t="array" ref="BX24:BX24">SUM(Capacity!CR24*Demand!BX24*Capacity!$DI$3:$DI$25/(TRANSPOSE(Dists!$B23:$X23)*SUM(Capacity!$DI$3:$DI$25/TRANSPOSE(Dists!$B23:$X23))))</f>
        <v>0.585596508486011</v>
      </c>
      <c r="BY24" s="4" t="n">
        <f aca="false" t="array" ref="BY24:BY24">SUM(Capacity!CS24*Demand!BY24*Capacity!$DI$3:$DI$25/(TRANSPOSE(Dists!$B23:$X23)*SUM(Capacity!$DI$3:$DI$25/TRANSPOSE(Dists!$B23:$X23))))</f>
        <v>16.8229611867517</v>
      </c>
      <c r="BZ24" s="4" t="n">
        <f aca="false" t="array" ref="BZ24:BZ24">SUM(Capacity!CT24*Demand!BZ24*Capacity!$DI$3:$DI$25/(TRANSPOSE(Dists!$B23:$X23)*SUM(Capacity!$DI$3:$DI$25/TRANSPOSE(Dists!$B23:$X23))))</f>
        <v>0.088599344224542</v>
      </c>
      <c r="CA24" s="4" t="n">
        <f aca="false" t="array" ref="CA24:CA24">SUM(Capacity!CU24*Demand!CA24*Capacity!$DI$3:$DI$25/(TRANSPOSE(Dists!$B23:$X23)*SUM(Capacity!$DI$3:$DI$25/TRANSPOSE(Dists!$B23:$X23))))</f>
        <v>0.0295522442965066</v>
      </c>
      <c r="CB24" s="4" t="n">
        <f aca="false" t="array" ref="CB24:CB24">SUM(Capacity!CV24*Demand!CB24*Capacity!$DI$3:$DI$25/(TRANSPOSE(Dists!$B23:$X23)*SUM(Capacity!$DI$3:$DI$25/TRANSPOSE(Dists!$B23:$X23))))</f>
        <v>71.4683648665684</v>
      </c>
      <c r="CC24" s="4" t="n">
        <f aca="false" t="array" ref="CC24:CC24">SUM(Capacity!CW24*Demand!CC24*Capacity!$DI$3:$DI$25/(TRANSPOSE(Dists!$B23:$X23)*SUM(Capacity!$DI$3:$DI$25/TRANSPOSE(Dists!$B23:$X23))))</f>
        <v>366.702539809968</v>
      </c>
      <c r="CD24" s="4" t="n">
        <f aca="false">SUM($BG52,$BI52,$BK52)*Capacity!CX24/SUM(Capacity!$AM24:$AN24,Capacity!$CX24)</f>
        <v>7.43118181543837</v>
      </c>
      <c r="CE24" s="4" t="n">
        <f aca="false" t="array" ref="CE24:CE24">SUM(Capacity!CY24*Demand!CE24*Capacity!$DI$3:$DI$25/(TRANSPOSE(Dists!$B23:$X23)*SUM(Capacity!$DI$3:$DI$25/TRANSPOSE(Dists!$B23:$X23))))</f>
        <v>0.0143593263591827</v>
      </c>
      <c r="CF24" s="4" t="n">
        <f aca="false" t="array" ref="CF24:CF24">SUM(Capacity!CZ24*Demand!CF24*Capacity!$DI$3:$DI$25/(TRANSPOSE(Dists!$B23:$X23)*SUM(Capacity!$DI$3:$DI$25/TRANSPOSE(Dists!$B23:$X23))))</f>
        <v>507.5002261593</v>
      </c>
      <c r="CG24" s="4" t="n">
        <f aca="false" t="array" ref="CG24:CG24">SUM(Capacity!DA24*Demand!CG24*Capacity!$DI$3:$DI$25/(TRANSPOSE(Dists!$B23:$X23)*SUM(Capacity!$DI$3:$DI$25/TRANSPOSE(Dists!$B23:$X23))))</f>
        <v>1.37011984472242E-005</v>
      </c>
      <c r="CH24" s="4" t="n">
        <f aca="false" t="array" ref="CH24:CH24">SUM(Capacity!DB24*Demand!CH24*Capacity!$DI$3:$DI$25/(TRANSPOSE(Dists!$B23:$X23)*SUM(Capacity!$DI$3:$DI$25/TRANSPOSE(Dists!$B23:$X23))))</f>
        <v>5.11027640767363E-005</v>
      </c>
      <c r="CI24" s="4" t="n">
        <f aca="false" t="array" ref="CI24:CI24">SUM(Capacity!DC24*Demand!CI24*Capacity!$DI$3:$DI$25/(TRANSPOSE(Dists!$B23:$X23)*SUM(Capacity!$DI$3:$DI$25/TRANSPOSE(Dists!$B23:$X23))))</f>
        <v>0.0287794197545827</v>
      </c>
      <c r="CJ24" s="4" t="n">
        <f aca="false" t="array" ref="CJ24:CJ24">SUM(Capacity!DD24*Demand!CJ24*Capacity!$DI$3:$DI$25/(TRANSPOSE(Dists!$B23:$X23)*SUM(Capacity!$DI$3:$DI$25/TRANSPOSE(Dists!$B23:$X23))))</f>
        <v>0.0117136663101432</v>
      </c>
      <c r="CK24" s="4" t="n">
        <f aca="false" t="array" ref="CK24:CK24">SUM(Capacity!DE24*Demand!CK24*Capacity!$DI$3:$DI$25/(TRANSPOSE(Dists!$B23:$X23)*SUM(Capacity!$DI$3:$DI$25/TRANSPOSE(Dists!$B23:$X23))))</f>
        <v>0.0519312763211933</v>
      </c>
      <c r="CL24" s="7" t="s">
        <v>322</v>
      </c>
    </row>
    <row r="25" customFormat="false" ht="12.8" hidden="false" customHeight="false" outlineLevel="0" collapsed="false">
      <c r="A25" s="4" t="s">
        <v>160</v>
      </c>
      <c r="B25" s="7" t="s">
        <v>39</v>
      </c>
      <c r="C25" s="4" t="n">
        <f aca="false" t="array" ref="C25:C25">SUM(Capacity!S25*Demand!C25*Capacity!$DH$3:$DH$25/(TRANSPOSE(Dists!$B24:$X24)*SUM(Capacity!$DH$3:$DH$25/TRANSPOSE(Dists!$B24:$X24))))</f>
        <v>0.0165181812668687</v>
      </c>
      <c r="D25" s="4" t="n">
        <f aca="false" t="array" ref="D25:D25">SUM(Capacity!V25*Demand!D25*Capacity!$DH$3:$DH$25/(TRANSPOSE(Dists!$B24:$X24)*SUM(Capacity!$DH$3:$DH$25/TRANSPOSE(Dists!$B24:$X24))))</f>
        <v>789.558540347913</v>
      </c>
      <c r="E25" s="4" t="n">
        <f aca="false" t="array" ref="E25:E25">SUM(Capacity!Y25*Demand!E25*Capacity!$DH$3:$DH$25/(TRANSPOSE(Dists!$B24:$X24)*SUM(Capacity!$DH$3:$DH$25/TRANSPOSE(Dists!$B24:$X24))))</f>
        <v>72.3980215433797</v>
      </c>
      <c r="F25" s="4" t="n">
        <f aca="false">$E25*Capacity!$M25/(2*(1-Capacity!$H$28)*Capacity!$H25)</f>
        <v>23.5670643044856</v>
      </c>
      <c r="G25" s="4" t="n">
        <f aca="false" t="array" ref="G25:G25">SUM(Capacity!AA25*Demand!G25*Capacity!$DH$3:$DH$25/(TRANSPOSE(Dists!$B24:$X24)*SUM(Capacity!$DH$3:$DH$25/TRANSPOSE(Dists!$B24:$X24))))</f>
        <v>72.2043753777469</v>
      </c>
      <c r="H25" s="4" t="n">
        <f aca="false" t="array" ref="H25:H25">SUM(Capacity!AB25*Demand!H25*Capacity!$DH$3:$DH$25/(TRANSPOSE(Dists!$B24:$X24)*SUM(Capacity!$DH$3:$DH$25/TRANSPOSE(Dists!$B24:$X24))))</f>
        <v>0</v>
      </c>
      <c r="I25" s="4" t="n">
        <f aca="false" t="array" ref="I25:I25">SUM(Capacity!AC25*Demand!I$3:I$25*Capacity!$DG$3:$DG$25/(TRANSPOSE(Dists!$B24:$X24)*SUM(Capacity!$DG$3:$DG$25/TRANSPOSE(Dists!$B24:$X24))))</f>
        <v>3.17916105493035</v>
      </c>
      <c r="J25" s="4" t="n">
        <f aca="false" t="array" ref="J25:J25">SUM(Capacity!AD25*Demand!J$3:J$25*Capacity!$DG$3:$DG$25/(TRANSPOSE(Dists!$B24:$X24)*SUM(Capacity!$DG$3:$DG$25/TRANSPOSE(Dists!$B24:$X24))))</f>
        <v>4.39678150006965</v>
      </c>
      <c r="K25" s="4" t="n">
        <f aca="false">5479.45205479452*$R25</f>
        <v>631952.528425814</v>
      </c>
      <c r="L25" s="4" t="n">
        <f aca="false">17142.8571428571*$S25</f>
        <v>112928.134171497</v>
      </c>
      <c r="M25" s="4" t="n">
        <f aca="false">IF(50420.1680672269*$T25&gt;($K25/20),50420.1680672269*$T25-($K25/20),0)</f>
        <v>154037.662627745</v>
      </c>
      <c r="N25" s="4" t="n">
        <f aca="false" t="array" ref="N25:N25">SUM(Capacity!AH25*Demand!N25*Capacity!$DH$3:$DH$25/(TRANSPOSE(Dists!$B24:$X24)*SUM(Capacity!$DH$3:$DH$25/TRANSPOSE(Dists!$B24:$X24))))</f>
        <v>113.420572638067</v>
      </c>
      <c r="O25" s="4" t="n">
        <f aca="false">D53*DemClcs!$A$31*DemClcs!$A$32</f>
        <v>540.351436101795</v>
      </c>
      <c r="P25" s="4" t="n">
        <f aca="false">O25*DemClcs!$A$29*DemClcs!$A$30</f>
        <v>216.140574440718</v>
      </c>
      <c r="Q25" s="4" t="n">
        <f aca="false" t="array" ref="Q25:Q25">SUM(Capacity!AK25*Demand!Q25*Capacity!$DI$3:$DI$25/(TRANSPOSE(Dists!$B24:$X24)*SUM(Capacity!$DI$3:$DI$25/TRANSPOSE(Dists!$B24:$X24))))</f>
        <v>1.86128675373995</v>
      </c>
      <c r="R25" s="4" t="n">
        <f aca="false" t="array" ref="R25:R25">SUM(Capacity!AL25*Demand!R25*Capacity!$DH$3:$DH$25/(TRANSPOSE(Dists!$B24:$X24)*SUM(Capacity!$DH$3:$DH$25/TRANSPOSE(Dists!$B24:$X24))))</f>
        <v>115.331336437711</v>
      </c>
      <c r="S25" s="4" t="n">
        <f aca="false">SUM($BG53,$BI53,$BK53)*Capacity!AM25/SUM(Capacity!$AM25:$AN25,Capacity!$CX25)</f>
        <v>6.58747449333731</v>
      </c>
      <c r="T25" s="4" t="n">
        <f aca="false">SUM($BG53,$BI53,$BK53)*Capacity!AN25/SUM(Capacity!$AM25:$AN25,Capacity!$CX25)</f>
        <v>3.68176656613921</v>
      </c>
      <c r="U25" s="4" t="n">
        <f aca="false">$M25*120*2/(16*1000*2000)</f>
        <v>1.15528246970809</v>
      </c>
      <c r="V25" s="4" t="n">
        <f aca="false" t="array" ref="V25:V25">SUM(Capacity!AP25*Demand!V$3:V$25*Capacity!$DH$3:$DH$25/(TRANSPOSE(Dists!$B24:$X24)*SUM(Capacity!$DH$3:$DH$25/TRANSPOSE(Dists!$B24:$X24))))</f>
        <v>25.5018661586568</v>
      </c>
      <c r="W25" s="4" t="n">
        <f aca="false" t="array" ref="W25:W25">SUM(Capacity!AQ25*Demand!W$3:W$25*Capacity!$DH$3:$DH$25/(TRANSPOSE(Dists!$B24:$X24)*SUM(Capacity!$DH$3:$DH$25/TRANSPOSE(Dists!$B24:$X24))))</f>
        <v>87.5109886405704</v>
      </c>
      <c r="X25" s="4" t="n">
        <f aca="false" t="array" ref="X25:X25">SUM(Capacity!AR25*Demand!X$3:X$25*Capacity!$DH$3:$DH$25/(TRANSPOSE(Dists!$B24:$X24)*SUM(Capacity!$DH$3:$DH$25/TRANSPOSE(Dists!$B24:$X24))))</f>
        <v>822.010386914771</v>
      </c>
      <c r="Y25" s="4" t="n">
        <f aca="false">$L25*600*6/(90*1000*2000)</f>
        <v>2.25856268342993</v>
      </c>
      <c r="Z25" s="4" t="n">
        <f aca="false" t="array" ref="Z25:Z25">SUM(Capacity!AT25*Demand!Z$3:Z$25*Capacity!$DI$3:$DI$25/(TRANSPOSE(Dists!$B24:$X24)*SUM(Capacity!$DI$3:$DI$25/TRANSPOSE(Dists!$B24:$X24))))</f>
        <v>6.08618154674432</v>
      </c>
      <c r="AA25" s="4" t="n">
        <f aca="false" t="array" ref="AA25:AA25">SUM(Capacity!AU25*Demand!AA$3:AA$25*Capacity!$DI$3:$DI$25/(TRANSPOSE(Dists!$B24:$X24)*SUM(Capacity!$DI$3:$DI$25/TRANSPOSE(Dists!$B24:$X24))))</f>
        <v>4.37845073552486</v>
      </c>
      <c r="AB25" s="4" t="n">
        <f aca="false" t="array" ref="AB25:AB25">SUM(Capacity!AV25*Demand!AB$3:AB$25*Capacity!$DI$3:$DI$25/(TRANSPOSE(Dists!$B24:$X24)*SUM(Capacity!$DI$3:$DI$25/TRANSPOSE(Dists!$B24:$X24))))</f>
        <v>4.74885007268735</v>
      </c>
      <c r="AC25" s="4" t="n">
        <f aca="false" t="array" ref="AC25:AC25">SUM(Capacity!AW25*Demand!AC$3:AC$25*Capacity!$DI$3:$DI$25/(TRANSPOSE(Dists!$B24:$X24)*SUM(Capacity!$DI$3:$DI$25/TRANSPOSE(Dists!$B24:$X24))))</f>
        <v>1.07240309728085</v>
      </c>
      <c r="AD25" s="4" t="n">
        <f aca="false" t="array" ref="AD25:AD25">SUM(Capacity!AX25*Demand!AD$3:AD$25*Capacity!$DI$3:$DI$25/(TRANSPOSE(Dists!$B24:$X24)*SUM(Capacity!$DI$3:$DI$25/TRANSPOSE(Dists!$B24:$X24))))</f>
        <v>0.777437389048407</v>
      </c>
      <c r="AE25" s="4" t="n">
        <f aca="false" t="array" ref="AE25:AE25">SUM(Capacity!AY25*Demand!AE$3:AE$25*Capacity!$DI$3:$DI$25/(TRANSPOSE(Dists!$B24:$X24)*SUM(Capacity!$DI$3:$DI$25/TRANSPOSE(Dists!$B24:$X24))))</f>
        <v>0.612385417242181</v>
      </c>
      <c r="AF25" s="4" t="n">
        <f aca="false" t="array" ref="AF25:AF25">SUM(Capacity!AZ25*Demand!AF$3:AF$25*Capacity!$DI$3:$DI$25/(TRANSPOSE(Dists!$B24:$X24)*SUM(Capacity!$DI$3:$DI$25/TRANSPOSE(Dists!$B24:$X24))))</f>
        <v>0.119755189966492</v>
      </c>
      <c r="AG25" s="4" t="n">
        <f aca="false" t="array" ref="AG25:AG25">SUM(Capacity!BA25*Demand!AG$3:AG$25*Capacity!$DI$3:$DI$25/(TRANSPOSE(Dists!$B24:$X24)*SUM(Capacity!$DI$3:$DI$25/TRANSPOSE(Dists!$B24:$X24))))</f>
        <v>0.570668740494528</v>
      </c>
      <c r="AH25" s="4" t="n">
        <f aca="false" t="array" ref="AH25:AH25">SUM(Capacity!BB25*Demand!AH$3:AH$25*Capacity!$DI$3:$DI$25/(TRANSPOSE(Dists!$B24:$X24)*SUM(Capacity!$DI$3:$DI$25/TRANSPOSE(Dists!$B24:$X24))))</f>
        <v>0.497568093136678</v>
      </c>
      <c r="AI25" s="4" t="n">
        <f aca="false" t="array" ref="AI25:AI25">SUM(Capacity!BC25*Demand!AI$3:AI$25*Capacity!$DI$3:$DI$25/(TRANSPOSE(Dists!$B24:$X24)*SUM(Capacity!$DI$3:$DI$25/TRANSPOSE(Dists!$B24:$X24))))</f>
        <v>0.0640045584402286</v>
      </c>
      <c r="AJ25" s="4" t="n">
        <f aca="false" t="array" ref="AJ25:AJ25">SUM(Capacity!BD25*Demand!AJ$3:AJ$25*Capacity!$DI$3:$DI$25/(TRANSPOSE(Dists!$B24:$X24)*SUM(Capacity!$DI$3:$DI$25/TRANSPOSE(Dists!$B24:$X24))))</f>
        <v>0.210253307765385</v>
      </c>
      <c r="AK25" s="4" t="n">
        <f aca="false" t="array" ref="AK25:AK25">SUM(Capacity!BE25*Demand!AK$3:AK$25*Capacity!$DI$3:$DI$25/(TRANSPOSE(Dists!$B24:$X24)*SUM(Capacity!$DI$3:$DI$25/TRANSPOSE(Dists!$B24:$X24))))</f>
        <v>0.129559057370537</v>
      </c>
      <c r="AL25" s="4" t="n">
        <f aca="false" t="array" ref="AL25:AL25">SUM(Capacity!BF25*Demand!AL$3:AL$25*Capacity!$DI$3:$DI$25/(TRANSPOSE(Dists!$B24:$X24)*SUM(Capacity!$DI$3:$DI$25/TRANSPOSE(Dists!$B24:$X24))))</f>
        <v>0.0699183897736164</v>
      </c>
      <c r="AM25" s="4" t="n">
        <f aca="false" t="array" ref="AM25:AM25">SUM(Capacity!BG25*Demand!AM$3:AM$25*Capacity!$DI$3:$DI$25/(TRANSPOSE(Dists!$B24:$X24)*SUM(Capacity!$DI$3:$DI$25/TRANSPOSE(Dists!$B24:$X24))))</f>
        <v>0.229955878699507</v>
      </c>
      <c r="AN25" s="4" t="n">
        <f aca="false" t="array" ref="AN25:AN25">SUM(Capacity!BH25*Demand!AN$3:AN$25*Capacity!$DI$3:$DI$25/(TRANSPOSE(Dists!$B24:$X24)*SUM(Capacity!$DI$3:$DI$25/TRANSPOSE(Dists!$B24:$X24))))</f>
        <v>0.130495544654122</v>
      </c>
      <c r="AO25" s="4" t="n">
        <f aca="false" t="array" ref="AO25:AO25">SUM(Capacity!BI25*Demand!AO$3:AO$25*Capacity!$DI$3:$DI$25/(TRANSPOSE(Dists!$B24:$X24)*SUM(Capacity!$DI$3:$DI$25/TRANSPOSE(Dists!$B24:$X24))))</f>
        <v>0.30659292033037</v>
      </c>
      <c r="AP25" s="4" t="n">
        <f aca="false" t="array" ref="AP25:AP25">SUM(Capacity!BJ25*Demand!AP$3:AP$25*Capacity!$DI$3:$DI$25/(TRANSPOSE(Dists!$B24:$X24)*SUM(Capacity!$DI$3:$DI$25/TRANSPOSE(Dists!$B24:$X24))))</f>
        <v>0.155880816400189</v>
      </c>
      <c r="AQ25" s="4" t="n">
        <f aca="false" t="array" ref="AQ25:AQ25">SUM(Capacity!BK25*Demand!AQ$3:AQ$25*Capacity!$DI$3:$DI$25/(TRANSPOSE(Dists!$B24:$X24)*SUM(Capacity!$DI$3:$DI$25/TRANSPOSE(Dists!$B24:$X24))))</f>
        <v>0.0180195007124611</v>
      </c>
      <c r="AR25" s="4" t="n">
        <f aca="false" t="array" ref="AR25:AR25">SUM(Capacity!BL25*Demand!AR$3:AR$25*Capacity!$DI$3:$DI$25/(TRANSPOSE(Dists!$B24:$X24)*SUM(Capacity!$DI$3:$DI$25/TRANSPOSE(Dists!$B24:$X24))))</f>
        <v>0.0274119957370879</v>
      </c>
      <c r="AS25" s="4" t="n">
        <f aca="false" t="array" ref="AS25:AS25">SUM(Capacity!BM25*Demand!AS$3:AS$25*Capacity!$DI$3:$DI$25/(TRANSPOSE(Dists!$B24:$X24)*SUM(Capacity!$DI$3:$DI$25/TRANSPOSE(Dists!$B24:$X24))))</f>
        <v>0.0608740882328411</v>
      </c>
      <c r="AT25" s="4" t="n">
        <f aca="false" t="array" ref="AT25:AT25">SUM(Capacity!BN25*Demand!AT$3:AT$25*Capacity!$DI$3:$DI$25/(TRANSPOSE(Dists!$B24:$X24)*SUM(Capacity!$DI$3:$DI$25/TRANSPOSE(Dists!$B24:$X24))))</f>
        <v>0.7243425452853</v>
      </c>
      <c r="AU25" s="4" t="n">
        <f aca="false" t="array" ref="AU25:AU25">SUM(Capacity!BO25*Demand!AU$3:AU$25*Capacity!$DI$3:$DI$25/(TRANSPOSE(Dists!$B24:$X24)*SUM(Capacity!$DI$3:$DI$25/TRANSPOSE(Dists!$B24:$X24))))</f>
        <v>0.516524002887835</v>
      </c>
      <c r="AV25" s="4" t="n">
        <f aca="false" t="array" ref="AV25:AV25">SUM(Capacity!BP25*Demand!AV$3:AV$25*Capacity!$DI$3:$DI$25/(TRANSPOSE(Dists!$B24:$X24)*SUM(Capacity!$DI$3:$DI$25/TRANSPOSE(Dists!$B24:$X24))))</f>
        <v>0.0291904246343042</v>
      </c>
      <c r="AW25" s="4" t="n">
        <f aca="false" t="array" ref="AW25:AW25">SUM(Capacity!BQ25*Demand!AW$3:AW$25*Capacity!$DI$3:$DI$25/(TRANSPOSE(Dists!$B24:$X24)*SUM(Capacity!$DI$3:$DI$25/TRANSPOSE(Dists!$B24:$X24))))</f>
        <v>0.588026245278625</v>
      </c>
      <c r="AX25" s="4" t="n">
        <f aca="false" t="array" ref="AX25:AX25">SUM(Capacity!BR25*Demand!AX$3:AX$25*Capacity!$DI$3:$DI$25/(TRANSPOSE(Dists!$B24:$X24)*SUM(Capacity!$DI$3:$DI$25/TRANSPOSE(Dists!$B24:$X24))))</f>
        <v>0.0613473938354345</v>
      </c>
      <c r="AY25" s="4" t="n">
        <f aca="false" t="array" ref="AY25:AY25">SUM(Capacity!BS25*Demand!AY$3:AY$25*Capacity!$DI$3:$DI$25/(TRANSPOSE(Dists!$B24:$X24)*SUM(Capacity!$DI$3:$DI$25/TRANSPOSE(Dists!$B24:$X24))))</f>
        <v>0.0579777987380333</v>
      </c>
      <c r="AZ25" s="4" t="n">
        <f aca="false" t="array" ref="AZ25:AZ25">SUM(Capacity!BT25*Demand!AZ$3:AZ$25*Capacity!$DI$3:$DI$25/(TRANSPOSE(Dists!$B24:$X24)*SUM(Capacity!$DI$3:$DI$25/TRANSPOSE(Dists!$B24:$X24))))</f>
        <v>0.384458008188346</v>
      </c>
      <c r="BA25" s="4" t="n">
        <f aca="false">L25*25/(2000*1000*51)</f>
        <v>0.0276784642577197</v>
      </c>
      <c r="BB25" s="4" t="n">
        <f aca="false" t="array" ref="BB25:BB25">SUM(Capacity!BV25*Demand!BB$3:BB$25*Capacity!$DI$3:$DI$25/(TRANSPOSE(Dists!$B24:$X24)*SUM(Capacity!$DI$3:$DI$25/TRANSPOSE(Dists!$B24:$X24))))</f>
        <v>0.0709843150836789</v>
      </c>
      <c r="BC25" s="4" t="n">
        <f aca="false" t="array" ref="BC25:BC25">SUM(Capacity!BW25*Demand!BC$3:BC$25*Capacity!$DI$3:$DI$25/(TRANSPOSE(Dists!$B24:$X24)*SUM(Capacity!$DI$3:$DI$25/TRANSPOSE(Dists!$B24:$X24))))</f>
        <v>0.0419866086530156</v>
      </c>
      <c r="BD25" s="4" t="n">
        <f aca="false" t="array" ref="BD25:BD25">SUM(Capacity!BX25*Demand!BD$3:BD$25*Capacity!$DI$3:$DI$25/(TRANSPOSE(Dists!$B24:$X24)*SUM(Capacity!$DI$3:$DI$25/TRANSPOSE(Dists!$B24:$X24))))</f>
        <v>0.0218120779143764</v>
      </c>
      <c r="BE25" s="4" t="n">
        <f aca="false" t="array" ref="BE25:BE25">SUM(Capacity!BY25*Demand!BE$3:BE$25*Capacity!$DI$3:$DI$25/(TRANSPOSE(Dists!$B24:$X24)*SUM(Capacity!$DI$3:$DI$25/TRANSPOSE(Dists!$B24:$X24))))</f>
        <v>0.016377390959965</v>
      </c>
      <c r="BF25" s="4" t="n">
        <f aca="false" t="array" ref="BF25:BF25">SUM(Capacity!BZ25*Demand!BF$3:BF$25*Capacity!$DI$3:$DI$25/(TRANSPOSE(Dists!$B24:$X24)*SUM(Capacity!$DI$3:$DI$25/TRANSPOSE(Dists!$B24:$X24))))</f>
        <v>1.51744855632567</v>
      </c>
      <c r="BG25" s="4" t="n">
        <f aca="false" t="array" ref="BG25:BG25">SUM(Capacity!CA25*Demand!BG$3:BG$25*Capacity!$DI$3:$DI$25/(TRANSPOSE(Dists!$B24:$X24)*SUM(Capacity!$DI$3:$DI$25/TRANSPOSE(Dists!$B24:$X24))))</f>
        <v>4.86471386025289</v>
      </c>
      <c r="BH25" s="4" t="n">
        <f aca="false" t="array" ref="BH25:BH25">SUM(Capacity!CB25*Demand!BH$3:BH$25*Capacity!$DI$3:$DI$25/(TRANSPOSE(Dists!$B24:$X24)*SUM(Capacity!$DI$3:$DI$25/TRANSPOSE(Dists!$B24:$X24))))</f>
        <v>9.62077732758723</v>
      </c>
      <c r="BI25" s="4" t="n">
        <f aca="false" t="array" ref="BI25:BI25">SUM(Capacity!CC25*Demand!BI25*Capacity!$DI$3:$DI$25/(TRANSPOSE(Dists!$B24:$X24)*SUM(Capacity!$DI$3:$DI$25/TRANSPOSE(Dists!$B24:$X24))))</f>
        <v>4.8136803953453</v>
      </c>
      <c r="BJ25" s="4" t="n">
        <f aca="false" t="array" ref="BJ25:BJ25">SUM(Capacity!CD25*Demand!BJ25*Capacity!$DI$3:$DI$25/(TRANSPOSE(Dists!$B24:$X24)*SUM(Capacity!$DI$3:$DI$25/TRANSPOSE(Dists!$B24:$X24))))</f>
        <v>180.448628283993</v>
      </c>
      <c r="BK25" s="4" t="n">
        <f aca="false" t="array" ref="BK25:BK25">SUM(Capacity!CE25*Demand!BK25*Capacity!$DI$3:$DI$25/(TRANSPOSE(Dists!$B24:$X24)*SUM(Capacity!$DI$3:$DI$25/TRANSPOSE(Dists!$B24:$X24))))</f>
        <v>2.40684019767265</v>
      </c>
      <c r="BL25" s="4" t="n">
        <f aca="false" t="array" ref="BL25:BL25">SUM(Capacity!CF25*Demand!BL25*Capacity!$DI$3:$DI$25/(TRANSPOSE(Dists!$B24:$X24)*SUM(Capacity!$DI$3:$DI$25/TRANSPOSE(Dists!$B24:$X24))))</f>
        <v>153.853750682138</v>
      </c>
      <c r="BM25" s="4" t="n">
        <f aca="false" t="array" ref="BM25:BM25">SUM(Capacity!CG25*Demand!BM25*Capacity!$DI$3:$DI$25/(TRANSPOSE(Dists!$B24:$X24)*SUM(Capacity!$DI$3:$DI$25/TRANSPOSE(Dists!$B24:$X24))))</f>
        <v>8.57442913200751</v>
      </c>
      <c r="BN25" s="4" t="n">
        <f aca="false">MAX($BO25/0.006,$BP25/0.7,$BR25/0.002,$BS25/0.001)</f>
        <v>0.000118643614657679</v>
      </c>
      <c r="BO25" s="4" t="n">
        <f aca="false" t="array" ref="BO25:BO25">SUM(Capacity!CI25*Demand!BO25*Capacity!$DI$3:$DI$25/(TRANSPOSE(Dists!$B24:$X24)*SUM(Capacity!$DI$3:$DI$25/TRANSPOSE(Dists!$B24:$X24))))</f>
        <v>7.11861687946074E-007</v>
      </c>
      <c r="BP25" s="4" t="n">
        <f aca="false" t="array" ref="BP25:BP25">SUM(Capacity!CJ25*Demand!BP25*Capacity!$DI$3:$DI$25/(TRANSPOSE(Dists!$B24:$X24)*SUM(Capacity!$DI$3:$DI$25/TRANSPOSE(Dists!$B24:$X24))))</f>
        <v>1.39226269034768E-008</v>
      </c>
      <c r="BQ25" s="4" t="n">
        <f aca="false" t="array" ref="BQ25:BQ25">SUM(Capacity!CK25*Demand!BQ25*Capacity!$DI$3:$DI$25/(TRANSPOSE(Dists!$B24:$X24)*SUM(Capacity!$DI$3:$DI$25/TRANSPOSE(Dists!$B24:$X24))))</f>
        <v>0</v>
      </c>
      <c r="BR25" s="4" t="n">
        <f aca="false" t="array" ref="BR25:BR25">SUM(Capacity!CL25*Demand!BR25*Capacity!$DI$3:$DI$25/(TRANSPOSE(Dists!$B24:$X24)*SUM(Capacity!$DI$3:$DI$25/TRANSPOSE(Dists!$B24:$X24))))</f>
        <v>7.11861687946075E-008</v>
      </c>
      <c r="BS25" s="4" t="n">
        <f aca="false" t="array" ref="BS25:BS25">SUM(Capacity!CM25*Demand!BS25*Capacity!$DI$3:$DI$25/(TRANSPOSE(Dists!$B24:$X24)*SUM(Capacity!$DI$3:$DI$25/TRANSPOSE(Dists!$B24:$X24))))</f>
        <v>1.42372178657721E-008</v>
      </c>
      <c r="BT25" s="4" t="n">
        <f aca="false" t="array" ref="BT25:BT25">SUM(Capacity!CN25*Demand!BT25*Capacity!$DI$3:$DI$25/(TRANSPOSE(Dists!$B24:$X24)*SUM(Capacity!$DI$3:$DI$25/TRANSPOSE(Dists!$B24:$X24))))</f>
        <v>0.59807108662095</v>
      </c>
      <c r="BU25" s="4" t="n">
        <f aca="false" t="array" ref="BU25:BU25">SUM(Capacity!CO25*Demand!BU25*Capacity!$DI$3:$DI$25/(TRANSPOSE(Dists!$B24:$X24)*SUM(Capacity!$DI$3:$DI$25/TRANSPOSE(Dists!$B24:$X24))))</f>
        <v>0.059807108662095</v>
      </c>
      <c r="BV25" s="4" t="n">
        <f aca="false" t="array" ref="BV25:BV25">SUM(Capacity!CP25*Demand!BV25*Capacity!$DI$3:$DI$25/(TRANSPOSE(Dists!$B24:$X24)*SUM(Capacity!$DI$3:$DI$25/TRANSPOSE(Dists!$B24:$X24))))</f>
        <v>0.0059807108662095</v>
      </c>
      <c r="BW25" s="4" t="n">
        <f aca="false">E53*DemClcs!$A$40*DemClcs!$A$41*8.34/(DemClcs!$A$38)</f>
        <v>358.365595784142</v>
      </c>
      <c r="BX25" s="4" t="n">
        <f aca="false" t="array" ref="BX25:BX25">SUM(Capacity!CR25*Demand!BX25*Capacity!$DI$3:$DI$25/(TRANSPOSE(Dists!$B24:$X24)*SUM(Capacity!$DI$3:$DI$25/TRANSPOSE(Dists!$B24:$X24))))</f>
        <v>1.07528607924956</v>
      </c>
      <c r="BY25" s="4" t="n">
        <f aca="false" t="array" ref="BY25:BY25">SUM(Capacity!CS25*Demand!BY25*Capacity!$DI$3:$DI$25/(TRANSPOSE(Dists!$B24:$X24)*SUM(Capacity!$DI$3:$DI$25/TRANSPOSE(Dists!$B24:$X24))))</f>
        <v>12.3917588294477</v>
      </c>
      <c r="BZ25" s="4" t="n">
        <f aca="false" t="array" ref="BZ25:BZ25">SUM(Capacity!CT25*Demand!BZ25*Capacity!$DI$3:$DI$25/(TRANSPOSE(Dists!$B24:$X24)*SUM(Capacity!$DI$3:$DI$25/TRANSPOSE(Dists!$B24:$X24))))</f>
        <v>0.191875048315456</v>
      </c>
      <c r="CA25" s="4" t="n">
        <f aca="false" t="array" ref="CA25:CA25">SUM(Capacity!CU25*Demand!CA25*Capacity!$DI$3:$DI$25/(TRANSPOSE(Dists!$B24:$X24)*SUM(Capacity!$DI$3:$DI$25/TRANSPOSE(Dists!$B24:$X24))))</f>
        <v>0.0180762855657862</v>
      </c>
      <c r="CB25" s="4" t="n">
        <f aca="false" t="array" ref="CB25:CB25">SUM(Capacity!CV25*Demand!CB25*Capacity!$DI$3:$DI$25/(TRANSPOSE(Dists!$B24:$X24)*SUM(Capacity!$DI$3:$DI$25/TRANSPOSE(Dists!$B24:$X24))))</f>
        <v>66.9828205024675</v>
      </c>
      <c r="CC25" s="4" t="n">
        <f aca="false" t="array" ref="CC25:CC25">SUM(Capacity!CW25*Demand!CC25*Capacity!$DI$3:$DI$25/(TRANSPOSE(Dists!$B24:$X24)*SUM(Capacity!$DI$3:$DI$25/TRANSPOSE(Dists!$B24:$X24))))</f>
        <v>307.808995032949</v>
      </c>
      <c r="CD25" s="4" t="n">
        <f aca="false">SUM($BG53,$BI53,$BK53)*Capacity!CX25/SUM(Capacity!$AM25:$AN25,Capacity!$CX25)</f>
        <v>11.3114209425554</v>
      </c>
      <c r="CE25" s="4" t="n">
        <f aca="false" t="array" ref="CE25:CE25">SUM(Capacity!CY25*Demand!CE25*Capacity!$DI$3:$DI$25/(TRANSPOSE(Dists!$B24:$X24)*SUM(Capacity!$DI$3:$DI$25/TRANSPOSE(Dists!$B24:$X24))))</f>
        <v>0.223908746706784</v>
      </c>
      <c r="CF25" s="4" t="n">
        <f aca="false" t="array" ref="CF25:CF25">SUM(Capacity!CZ25*Demand!CF25*Capacity!$DI$3:$DI$25/(TRANSPOSE(Dists!$B24:$X24)*SUM(Capacity!$DI$3:$DI$25/TRANSPOSE(Dists!$B24:$X24))))</f>
        <v>500.464730592765</v>
      </c>
      <c r="CG25" s="4" t="n">
        <f aca="false" t="array" ref="CG25:CG25">SUM(Capacity!DA25*Demand!CG25*Capacity!$DI$3:$DI$25/(TRANSPOSE(Dists!$B24:$X24)*SUM(Capacity!$DI$3:$DI$25/TRANSPOSE(Dists!$B24:$X24))))</f>
        <v>7.10672516752167E-005</v>
      </c>
      <c r="CH25" s="4" t="n">
        <f aca="false" t="array" ref="CH25:CH25">SUM(Capacity!DB25*Demand!CH25*Capacity!$DI$3:$DI$25/(TRANSPOSE(Dists!$B24:$X24)*SUM(Capacity!$DI$3:$DI$25/TRANSPOSE(Dists!$B24:$X24))))</f>
        <v>0.00020070791312249</v>
      </c>
      <c r="CI25" s="4" t="n">
        <f aca="false" t="array" ref="CI25:CI25">SUM(Capacity!DC25*Demand!CI25*Capacity!$DI$3:$DI$25/(TRANSPOSE(Dists!$B24:$X24)*SUM(Capacity!$DI$3:$DI$25/TRANSPOSE(Dists!$B24:$X24))))</f>
        <v>0.0196023085686215</v>
      </c>
      <c r="CJ25" s="4" t="n">
        <f aca="false" t="array" ref="CJ25:CJ25">SUM(Capacity!DD25*Demand!CJ25*Capacity!$DI$3:$DI$25/(TRANSPOSE(Dists!$B24:$X24)*SUM(Capacity!$DI$3:$DI$25/TRANSPOSE(Dists!$B24:$X24))))</f>
        <v>0.00532354024872546</v>
      </c>
      <c r="CK25" s="4" t="n">
        <f aca="false" t="array" ref="CK25:CK25">SUM(Capacity!DE25*Demand!CK25*Capacity!$DI$3:$DI$25/(TRANSPOSE(Dists!$B24:$X24)*SUM(Capacity!$DI$3:$DI$25/TRANSPOSE(Dists!$B24:$X24))))</f>
        <v>0.516224815555247</v>
      </c>
      <c r="CL25" s="7" t="s">
        <v>322</v>
      </c>
    </row>
    <row r="26" customFormat="false" ht="12.8" hidden="false" customHeight="false" outlineLevel="0" collapsed="false">
      <c r="B26" s="7" t="s">
        <v>39</v>
      </c>
      <c r="CL26" s="7" t="s">
        <v>322</v>
      </c>
    </row>
    <row r="27" customFormat="false" ht="12.8" hidden="false" customHeight="false" outlineLevel="0" collapsed="false">
      <c r="A27" s="4" t="s">
        <v>324</v>
      </c>
      <c r="B27" s="7" t="s">
        <v>39</v>
      </c>
      <c r="C27" s="4" t="n">
        <f aca="false">SUM(C3:C25)</f>
        <v>0.924053119179154</v>
      </c>
      <c r="D27" s="4" t="n">
        <f aca="false">SUM(D3:D25)</f>
        <v>59227.0970967802</v>
      </c>
      <c r="E27" s="4" t="n">
        <f aca="false">SUM(E3:E25)</f>
        <v>9188.75013423006</v>
      </c>
      <c r="F27" s="4" t="n">
        <f aca="false">SUM(F3:F25)</f>
        <v>3351.50372476904</v>
      </c>
      <c r="G27" s="4" t="n">
        <f aca="false">SUM(G3:G25)</f>
        <v>10610.730722549</v>
      </c>
      <c r="H27" s="4" t="n">
        <f aca="false">SUM(H3:H25)</f>
        <v>0</v>
      </c>
      <c r="I27" s="4" t="n">
        <f aca="false">SUM(I3:I25)</f>
        <v>84.07104969229</v>
      </c>
      <c r="J27" s="4" t="n">
        <f aca="false">SUM(J3:J25)</f>
        <v>73.01687176271</v>
      </c>
      <c r="K27" s="4" t="n">
        <f aca="false">SUM(K3:K25)</f>
        <v>20771737.8385444</v>
      </c>
      <c r="L27" s="4" t="n">
        <f aca="false">SUM(L3:L25)</f>
        <v>6639257.90829657</v>
      </c>
      <c r="M27" s="4" t="n">
        <f aca="false">SUM(M3:M25)</f>
        <v>9875261.72445074</v>
      </c>
      <c r="N27" s="4" t="n">
        <f aca="false">SUM(N3:N25)</f>
        <v>14299.7250198173</v>
      </c>
      <c r="O27" s="4" t="n">
        <f aca="false">SUM(O3:O25)</f>
        <v>30297.7810900972</v>
      </c>
      <c r="P27" s="4" t="n">
        <f aca="false">SUM(P3:P25)</f>
        <v>12119.1124360389</v>
      </c>
      <c r="Q27" s="4" t="n">
        <f aca="false">SUM(Q3:Q25)</f>
        <v>173.394039422726</v>
      </c>
      <c r="R27" s="4" t="n">
        <f aca="false">SUM(R3:R25)</f>
        <v>3790.84215553435</v>
      </c>
      <c r="S27" s="4" t="n">
        <f aca="false">SUM(S3:S25)</f>
        <v>387.290044650635</v>
      </c>
      <c r="T27" s="4" t="n">
        <f aca="false">SUM(T3:T25)</f>
        <v>216.457997558163</v>
      </c>
      <c r="U27" s="4" t="n">
        <f aca="false">SUM(U3:U25)</f>
        <v>74.0644629333805</v>
      </c>
      <c r="V27" s="4" t="n">
        <f aca="false">SUM(V3:V25)</f>
        <v>1978.6309290413</v>
      </c>
      <c r="W27" s="4" t="n">
        <f aca="false">SUM(W3:W25)</f>
        <v>8621.239106653</v>
      </c>
      <c r="X27" s="4" t="n">
        <f aca="false">SUM(X3:X25)</f>
        <v>29746.9959240794</v>
      </c>
      <c r="Y27" s="4" t="n">
        <f aca="false">SUM(Y3:Y25)</f>
        <v>132.785158165932</v>
      </c>
      <c r="Z27" s="4" t="n">
        <f aca="false">SUM(Z3:Z25)</f>
        <v>540.675197652689</v>
      </c>
      <c r="AA27" s="4" t="n">
        <f aca="false">SUM(AA3:AA25)</f>
        <v>479.07641324723</v>
      </c>
      <c r="AB27" s="4" t="n">
        <f aca="false">SUM(AB3:AB25)</f>
        <v>483.405247951975</v>
      </c>
      <c r="AC27" s="4" t="n">
        <f aca="false">SUM(AC3:AC25)</f>
        <v>93.0577220490473</v>
      </c>
      <c r="AD27" s="4" t="n">
        <f aca="false">SUM(AD3:AD25)</f>
        <v>79.1385931473319</v>
      </c>
      <c r="AE27" s="4" t="n">
        <f aca="false">SUM(AE3:AE25)</f>
        <v>56.8990361161963</v>
      </c>
      <c r="AF27" s="4" t="n">
        <f aca="false">SUM(AF3:AF25)</f>
        <v>10.5860616775776</v>
      </c>
      <c r="AG27" s="4" t="n">
        <f aca="false">SUM(AG3:AG25)</f>
        <v>51.7234085354451</v>
      </c>
      <c r="AH27" s="4" t="n">
        <f aca="false">SUM(AH3:AH25)</f>
        <v>42.9940597379434</v>
      </c>
      <c r="AI27" s="4" t="n">
        <f aca="false">SUM(AI3:AI25)</f>
        <v>6.14777038844647</v>
      </c>
      <c r="AJ27" s="4" t="n">
        <f aca="false">SUM(AJ3:AJ25)</f>
        <v>17.9150025044526</v>
      </c>
      <c r="AK27" s="4" t="n">
        <f aca="false">SUM(AK3:AK25)</f>
        <v>10.8724764310812</v>
      </c>
      <c r="AL27" s="4" t="n">
        <f aca="false">SUM(AL3:AL25)</f>
        <v>6.7408112364351</v>
      </c>
      <c r="AM27" s="4" t="n">
        <f aca="false">SUM(AM3:AM25)</f>
        <v>16.7337774383445</v>
      </c>
      <c r="AN27" s="4" t="n">
        <f aca="false">SUM(AN3:AN25)</f>
        <v>10.8310934166302</v>
      </c>
      <c r="AO27" s="4" t="n">
        <f aca="false">SUM(AO3:AO25)</f>
        <v>29.3479625558575</v>
      </c>
      <c r="AP27" s="4" t="n">
        <f aca="false">SUM(AP3:AP25)</f>
        <v>16.4163691183823</v>
      </c>
      <c r="AQ27" s="4" t="n">
        <f aca="false">SUM(AQ3:AQ25)</f>
        <v>1.70596566842019</v>
      </c>
      <c r="AR27" s="4" t="n">
        <f aca="false">SUM(AR3:AR25)</f>
        <v>2.50674331814883</v>
      </c>
      <c r="AS27" s="4" t="n">
        <f aca="false">SUM(AS3:AS25)</f>
        <v>4.95487683673795</v>
      </c>
      <c r="AT27" s="4" t="n">
        <f aca="false">SUM(AT3:AT25)</f>
        <v>55.4343182415655</v>
      </c>
      <c r="AU27" s="4" t="n">
        <f aca="false">SUM(AU3:AU25)</f>
        <v>40.525742350842</v>
      </c>
      <c r="AV27" s="4" t="n">
        <f aca="false">SUM(AV3:AV25)</f>
        <v>2.01874235927173</v>
      </c>
      <c r="AW27" s="4" t="n">
        <f aca="false">SUM(AW3:AW25)</f>
        <v>50.8034958025228</v>
      </c>
      <c r="AX27" s="4" t="n">
        <f aca="false">SUM(AX3:AX25)</f>
        <v>4.26310592537813</v>
      </c>
      <c r="AY27" s="4" t="n">
        <f aca="false">SUM(AY3:AY25)</f>
        <v>6.2045239030829</v>
      </c>
      <c r="AZ27" s="4" t="n">
        <f aca="false">SUM(AZ3:AZ25)</f>
        <v>39.1284585615331</v>
      </c>
      <c r="BA27" s="4" t="n">
        <f aca="false">SUM(BA3:BA25)</f>
        <v>1.62726909517073</v>
      </c>
      <c r="BB27" s="4" t="n">
        <f aca="false">SUM(BB3:BB25)</f>
        <v>5.65301235421399</v>
      </c>
      <c r="BC27" s="4" t="n">
        <f aca="false">SUM(BC3:BC25)</f>
        <v>3.78698862019167</v>
      </c>
      <c r="BD27" s="4" t="n">
        <f aca="false">SUM(BD3:BD25)</f>
        <v>2.3378942543322</v>
      </c>
      <c r="BE27" s="4" t="n">
        <f aca="false">SUM(BE3:BE25)</f>
        <v>1.55589417781125</v>
      </c>
      <c r="BF27" s="4" t="n">
        <f aca="false">SUM(BF3:BF25)</f>
        <v>115.799318559592</v>
      </c>
      <c r="BG27" s="4" t="n">
        <f aca="false">SUM(BG3:BG25)</f>
        <v>407.261585781425</v>
      </c>
      <c r="BH27" s="4" t="n">
        <f aca="false">SUM(BH3:BH25)</f>
        <v>564.856018281826</v>
      </c>
      <c r="BI27" s="4" t="n">
        <f aca="false">SUM(BI3:BI25)</f>
        <v>1345.45660305616</v>
      </c>
      <c r="BJ27" s="4" t="n">
        <f aca="false">SUM(BJ3:BJ25)</f>
        <v>11650.061794272</v>
      </c>
      <c r="BK27" s="4" t="n">
        <f aca="false">SUM(BK3:BK25)</f>
        <v>672.72830152808</v>
      </c>
      <c r="BL27" s="4" t="n">
        <f aca="false">SUM(BL3:BL25)</f>
        <v>7565.09660331883</v>
      </c>
      <c r="BM27" s="4" t="n">
        <f aca="false">SUM(BM3:BM25)</f>
        <v>1057.96418517625</v>
      </c>
      <c r="BN27" s="4" t="n">
        <f aca="false">SUM(BN3:BN25)</f>
        <v>16085.7810281326</v>
      </c>
      <c r="BO27" s="4" t="n">
        <f aca="false">SUM(BO3:BO25)</f>
        <v>96.5146861687955</v>
      </c>
      <c r="BP27" s="4" t="n">
        <f aca="false">SUM(BP3:BP25)</f>
        <v>108.540009429899</v>
      </c>
      <c r="BQ27" s="4" t="n">
        <f aca="false">SUM(BQ3:BQ25)</f>
        <v>0</v>
      </c>
      <c r="BR27" s="4" t="n">
        <f aca="false">SUM(BR3:BR25)</f>
        <v>3.21716185850804</v>
      </c>
      <c r="BS27" s="4" t="n">
        <f aca="false">SUM(BS3:BS25)</f>
        <v>0.321716883010633</v>
      </c>
      <c r="BT27" s="4" t="n">
        <f aca="false">SUM(BT3:BT25)</f>
        <v>113.404742037606</v>
      </c>
      <c r="BU27" s="4" t="n">
        <f aca="false">SUM(BU3:BU25)</f>
        <v>11.3404742037606</v>
      </c>
      <c r="BV27" s="4" t="n">
        <f aca="false">SUM(BV3:BV25)</f>
        <v>1.13404742037606</v>
      </c>
      <c r="BW27" s="4" t="n">
        <f aca="false">SUM(BW3:BW25)</f>
        <v>30891.1951021754</v>
      </c>
      <c r="BX27" s="4" t="n">
        <f aca="false">SUM(BX3:BX25)</f>
        <v>75.2755022651733</v>
      </c>
      <c r="BY27" s="4" t="n">
        <f aca="false">SUM(BY3:BY25)</f>
        <v>1587.57255644031</v>
      </c>
      <c r="BZ27" s="4" t="n">
        <f aca="false">SUM(BZ3:BZ25)</f>
        <v>7.84493217455472</v>
      </c>
      <c r="CA27" s="4" t="n">
        <f aca="false">SUM(CA3:CA25)</f>
        <v>1.7110928687843</v>
      </c>
      <c r="CB27" s="4" t="n">
        <f aca="false">SUM(CB3:CB25)</f>
        <v>8700.06516745306</v>
      </c>
      <c r="CC27" s="4" t="n">
        <f aca="false">SUM(CC3:CC25)</f>
        <v>11640.2912783649</v>
      </c>
      <c r="CD27" s="4" t="n">
        <f aca="false">SUM(CD3:CD25)</f>
        <v>1436.39040601879</v>
      </c>
      <c r="CE27" s="4" t="n">
        <f aca="false">SUM(CE3:CE25)</f>
        <v>115.590463345279</v>
      </c>
      <c r="CF27" s="4" t="n">
        <f aca="false">SUM(CF3:CF25)</f>
        <v>12528.7765553481</v>
      </c>
      <c r="CG27" s="4" t="n">
        <f aca="false">SUM(CG3:CG25)</f>
        <v>36.1285293600575</v>
      </c>
      <c r="CH27" s="4" t="n">
        <f aca="false">SUM(CH3:CH25)</f>
        <v>45.7930027358061</v>
      </c>
      <c r="CI27" s="4" t="n">
        <f aca="false">SUM(CI3:CI25)</f>
        <v>2.6188647705304</v>
      </c>
      <c r="CJ27" s="4" t="n">
        <f aca="false">SUM(CJ3:CJ25)</f>
        <v>0.839380641281248</v>
      </c>
      <c r="CK27" s="4" t="n">
        <f aca="false">SUM(CK3:CK25)</f>
        <v>82.9622249695227</v>
      </c>
      <c r="CL27" s="7" t="s">
        <v>322</v>
      </c>
    </row>
    <row r="28" s="4" customFormat="true" ht="12.8" hidden="false" customHeight="false" outlineLevel="0" collapsed="false">
      <c r="B28" s="7" t="s">
        <v>39</v>
      </c>
      <c r="BV28" s="4" t="n">
        <f aca="false">0.8*4</f>
        <v>3.2</v>
      </c>
      <c r="BW28" s="4" t="n">
        <f aca="false">DemClcs!A38*8.34</f>
        <v>51.4161</v>
      </c>
      <c r="CL28" s="7" t="s">
        <v>322</v>
      </c>
    </row>
    <row r="29" customFormat="false" ht="12.8" hidden="false" customHeight="false" outlineLevel="0" collapsed="false">
      <c r="B29" s="7" t="s">
        <v>39</v>
      </c>
      <c r="CL29" s="7" t="s">
        <v>322</v>
      </c>
    </row>
    <row r="30" customFormat="false" ht="12.8" hidden="false" customHeight="false" outlineLevel="0" collapsed="false">
      <c r="A30" s="7" t="s">
        <v>325</v>
      </c>
      <c r="B30" s="7" t="s">
        <v>39</v>
      </c>
      <c r="C30" s="18" t="n">
        <v>1</v>
      </c>
      <c r="D30" s="18" t="n">
        <v>2</v>
      </c>
      <c r="E30" s="18" t="n">
        <v>3</v>
      </c>
      <c r="F30" s="18" t="n">
        <v>4</v>
      </c>
      <c r="G30" s="18" t="n">
        <v>5</v>
      </c>
      <c r="H30" s="18" t="n">
        <v>6</v>
      </c>
      <c r="I30" s="18" t="n">
        <v>7</v>
      </c>
      <c r="J30" s="18" t="n">
        <v>8</v>
      </c>
      <c r="K30" s="18" t="n">
        <v>9</v>
      </c>
      <c r="L30" s="18" t="n">
        <v>10</v>
      </c>
      <c r="M30" s="18" t="n">
        <v>11</v>
      </c>
      <c r="N30" s="18" t="n">
        <v>12</v>
      </c>
      <c r="O30" s="18" t="n">
        <v>13</v>
      </c>
      <c r="P30" s="18" t="n">
        <v>14</v>
      </c>
      <c r="Q30" s="18" t="n">
        <v>15</v>
      </c>
      <c r="R30" s="18" t="n">
        <v>16</v>
      </c>
      <c r="S30" s="18" t="n">
        <v>17</v>
      </c>
      <c r="T30" s="18" t="n">
        <v>18</v>
      </c>
      <c r="U30" s="18" t="n">
        <v>19</v>
      </c>
      <c r="V30" s="18" t="n">
        <v>20</v>
      </c>
      <c r="W30" s="18" t="n">
        <v>21</v>
      </c>
      <c r="X30" s="18" t="n">
        <v>22</v>
      </c>
      <c r="Y30" s="18" t="n">
        <v>23</v>
      </c>
      <c r="Z30" s="18" t="n">
        <v>24</v>
      </c>
      <c r="AA30" s="18" t="n">
        <v>25</v>
      </c>
      <c r="AB30" s="18" t="n">
        <v>26</v>
      </c>
      <c r="AC30" s="18" t="n">
        <v>27</v>
      </c>
      <c r="AD30" s="18" t="n">
        <v>28</v>
      </c>
      <c r="AE30" s="18" t="n">
        <v>29</v>
      </c>
      <c r="AF30" s="18" t="n">
        <v>30</v>
      </c>
      <c r="AG30" s="18" t="n">
        <v>31</v>
      </c>
      <c r="AH30" s="18" t="n">
        <v>32</v>
      </c>
      <c r="AI30" s="18" t="n">
        <v>33</v>
      </c>
      <c r="AJ30" s="18" t="n">
        <v>34</v>
      </c>
      <c r="AK30" s="18" t="n">
        <v>35</v>
      </c>
      <c r="AL30" s="18" t="n">
        <v>36</v>
      </c>
      <c r="AM30" s="18" t="n">
        <v>37</v>
      </c>
      <c r="AN30" s="18" t="n">
        <v>38</v>
      </c>
      <c r="AO30" s="18" t="n">
        <v>39</v>
      </c>
      <c r="AP30" s="18" t="n">
        <v>40</v>
      </c>
      <c r="AQ30" s="18" t="n">
        <v>41</v>
      </c>
      <c r="AR30" s="18" t="n">
        <v>42</v>
      </c>
      <c r="AS30" s="18" t="n">
        <v>43</v>
      </c>
      <c r="AT30" s="18" t="n">
        <v>44</v>
      </c>
      <c r="AU30" s="18" t="n">
        <v>45</v>
      </c>
      <c r="AV30" s="18" t="n">
        <v>46</v>
      </c>
      <c r="AW30" s="18" t="n">
        <v>47</v>
      </c>
      <c r="AX30" s="18" t="n">
        <v>48</v>
      </c>
      <c r="AY30" s="18" t="n">
        <v>49</v>
      </c>
      <c r="AZ30" s="18" t="n">
        <v>50</v>
      </c>
      <c r="BA30" s="18" t="n">
        <v>51</v>
      </c>
      <c r="BB30" s="18" t="n">
        <v>52</v>
      </c>
      <c r="BC30" s="18" t="n">
        <v>53</v>
      </c>
      <c r="BD30" s="18" t="n">
        <v>54</v>
      </c>
      <c r="BE30" s="18" t="n">
        <v>55</v>
      </c>
      <c r="BF30" s="18" t="n">
        <v>56</v>
      </c>
      <c r="BG30" s="18" t="n">
        <v>57</v>
      </c>
      <c r="BH30" s="18" t="n">
        <v>58</v>
      </c>
      <c r="BI30" s="18" t="n">
        <v>59</v>
      </c>
      <c r="BJ30" s="18" t="n">
        <v>60</v>
      </c>
      <c r="BK30" s="18" t="n">
        <v>61</v>
      </c>
      <c r="BL30" s="18" t="n">
        <v>62</v>
      </c>
      <c r="BM30" s="18" t="n">
        <v>63</v>
      </c>
      <c r="BN30" s="18" t="n">
        <v>64</v>
      </c>
      <c r="BO30" s="18" t="n">
        <v>65</v>
      </c>
      <c r="BP30" s="18" t="n">
        <v>66</v>
      </c>
      <c r="BQ30" s="18" t="n">
        <v>67</v>
      </c>
      <c r="BR30" s="18" t="n">
        <v>68</v>
      </c>
      <c r="BS30" s="18" t="n">
        <v>69</v>
      </c>
      <c r="BT30" s="18" t="n">
        <v>70</v>
      </c>
      <c r="BU30" s="18" t="n">
        <v>71</v>
      </c>
      <c r="BV30" s="18" t="n">
        <v>72</v>
      </c>
      <c r="BW30" s="18" t="n">
        <v>73</v>
      </c>
      <c r="BX30" s="18" t="n">
        <v>74</v>
      </c>
      <c r="BY30" s="18" t="n">
        <v>75</v>
      </c>
      <c r="BZ30" s="18" t="n">
        <v>76</v>
      </c>
      <c r="CA30" s="18" t="n">
        <v>77</v>
      </c>
      <c r="CB30" s="18" t="n">
        <v>78</v>
      </c>
      <c r="CC30" s="18" t="n">
        <v>79</v>
      </c>
      <c r="CD30" s="18" t="n">
        <v>80</v>
      </c>
      <c r="CE30" s="18" t="n">
        <v>81</v>
      </c>
      <c r="CF30" s="18" t="n">
        <v>82</v>
      </c>
      <c r="CG30" s="18" t="n">
        <v>83</v>
      </c>
      <c r="CH30" s="18" t="n">
        <v>84</v>
      </c>
      <c r="CI30" s="18" t="n">
        <v>85</v>
      </c>
      <c r="CJ30" s="18" t="n">
        <v>86</v>
      </c>
      <c r="CK30" s="18" t="n">
        <v>87</v>
      </c>
      <c r="CL30" s="7" t="s">
        <v>322</v>
      </c>
    </row>
    <row r="31" customFormat="false" ht="12.8" hidden="false" customHeight="false" outlineLevel="0" collapsed="false">
      <c r="A31" s="4" t="s">
        <v>131</v>
      </c>
      <c r="B31" s="7" t="s">
        <v>39</v>
      </c>
      <c r="C31" s="4" t="n">
        <f aca="false" t="array" ref="C31:C31">SUM(Demand!C3*Capacity!S$3:S$25*Capacity!$DH3/(TRANSPOSE(Dists!$B2:$X2)*MMULT(1/Dists!$B2:$X2,Capacity!$DH$3:$DH$25)))</f>
        <v>0.0144942513535563</v>
      </c>
      <c r="D31" s="4" t="n">
        <f aca="false" t="array" ref="D31:D31">SUM(Demand!D3*Capacity!V$3:V$25*Capacity!$DH3/(TRANSPOSE(Dists!$B2:$X2)*MMULT(1/Dists!$B2:$X2,Capacity!$DH$3:$DH$25)))</f>
        <v>675.611716636991</v>
      </c>
      <c r="E31" s="4" t="n">
        <f aca="false" t="array" ref="E31:E31">SUM(Demand!E3*Capacity!Y$3:Y$25*Capacity!$DH3/(TRANSPOSE(Dists!$B2:$X2)*MMULT(1/Dists!$B2:$X2,Capacity!$DH$3:$DH$25)))</f>
        <v>69.7078692071069</v>
      </c>
      <c r="F31" s="4" t="n">
        <f aca="false">$E3*Capacity!$M3/(2*(1-Capacity!$H$28)*Capacity!$H3)</f>
        <v>15.8239946197108</v>
      </c>
      <c r="G31" s="4" t="n">
        <f aca="false" t="array" ref="G31:G31">SUM(Demand!G3*Capacity!AA$3:AA$25*Capacity!$DH3/(TRANSPOSE(Dists!$B2:$X2)*MMULT(1/Dists!$B2:$X2,Capacity!$DH$3:$DH$25)))</f>
        <v>0.780358379364346</v>
      </c>
      <c r="H31" s="4" t="n">
        <f aca="false" t="array" ref="H31:H31">SUM(Demand!H3*Capacity!AB$3:AB$25*Capacity!$DH3/(TRANSPOSE(Dists!$B2:$X2)*MMULT(1/Dists!$B2:$X2,Capacity!$DH$3:$DH$25)))</f>
        <v>0</v>
      </c>
      <c r="I31" s="4" t="n">
        <f aca="false" t="array" ref="I31:I31">SUM(Capacity!AC$3:AC$25*Demand!I3*Capacity!$DG3/(TRANSPOSE(Dists!$B2:$X2)*MMULT(1/Dists!$B2:$X2,Capacity!$DG$3:$DG$25)))</f>
        <v>1.25190620938852</v>
      </c>
      <c r="J31" s="4" t="n">
        <f aca="false" t="array" ref="J31:J31">SUM(Demand!J3*Capacity!AD$3:AD$25*Capacity!$DG3/(TRANSPOSE(Dists!$B2:$X2)*MMULT(1/Dists!$B2:$X2,Capacity!$DG$3:$DG$25)))</f>
        <v>3.20509848655685</v>
      </c>
      <c r="K31" s="4" t="n">
        <f aca="false">5479.45205479452*$R3</f>
        <v>514360.34471678</v>
      </c>
      <c r="L31" s="4" t="n">
        <f aca="false">17142.8571428571*$S3</f>
        <v>94164.3084019827</v>
      </c>
      <c r="M31" s="4" t="n">
        <f aca="false">IF(50420.1680672269*$T3&gt;($K3/20),50420.1680672269*$T3-($K3/20),0)</f>
        <v>129072.626712626</v>
      </c>
      <c r="N31" s="4" t="n">
        <f aca="false" t="array" ref="N31:N31">SUM(Demand!N3*Capacity!AH$3:AH$25*Capacity!$DH3/(TRANSPOSE(Dists!$B2:$X2)*MMULT(1/Dists!$B2:$X2,Capacity!$DH$3:$DH$25)))</f>
        <v>69.4406435963812</v>
      </c>
      <c r="O31" s="4" t="n">
        <f aca="false">O3</f>
        <v>450.407811091328</v>
      </c>
      <c r="P31" s="4" t="n">
        <f aca="false">P3</f>
        <v>180.163124436531</v>
      </c>
      <c r="Q31" s="4" t="n">
        <f aca="false" t="array" ref="Q31:Q31">SUM(Demand!Q3*Capacity!AK$3:AK$25*Capacity!$DI3/(TRANSPOSE(Dists!$B2:$X2)*MMULT(1/Dists!$B2:$X2,Capacity!$DI$3:$DI$25)))</f>
        <v>0.0800282279555876</v>
      </c>
      <c r="R31" s="4" t="n">
        <f aca="false" t="array" ref="R31:R31">SUM(Demand!R3*Capacity!AL$3:AL$25*Capacity!$DH3/(TRANSPOSE(Dists!$B2:$X2)*MMULT(1/Dists!$B2:$X2,Capacity!$DH$3:$DH$25)))</f>
        <v>131.382143283617</v>
      </c>
      <c r="S31" s="4" t="n">
        <f aca="false">SUM($BG31,$BI31,$BK31)*Capacity!AM3/SUM(Capacity!$AM3:$AN3,Capacity!$CX3)</f>
        <v>5.49291799011567</v>
      </c>
      <c r="T31" s="4" t="n">
        <f aca="false">SUM($BG31,$BI31,$BK31)*Capacity!AN3/SUM(Capacity!$AM3:$AN3,Capacity!$CX3)</f>
        <v>3.07001443831123</v>
      </c>
      <c r="U31" s="4" t="n">
        <f aca="false">$M3*120*2/(16*1000*2000)</f>
        <v>0.968044700344697</v>
      </c>
      <c r="V31" s="4" t="n">
        <f aca="false" t="array" ref="V31:V31">SUM(Demand!V3*Capacity!AP$3:AP$25*Capacity!$DH3/(TRANSPOSE(Dists!$B2:$X2)*MMULT(1/Dists!$B2:$X2,Capacity!$DH$3:$DH$25)))</f>
        <v>24.4673654150692</v>
      </c>
      <c r="W31" s="4" t="n">
        <f aca="false" t="array" ref="W31:W31">SUM(Demand!W3*Capacity!AQ$3:AQ$25*Capacity!$DH3/(TRANSPOSE(Dists!$B2:$X2)*MMULT(1/Dists!$B2:$X2,Capacity!$DH$3:$DH$25)))</f>
        <v>69.3335029615831</v>
      </c>
      <c r="X31" s="4" t="n">
        <f aca="false" t="array" ref="X31:X31">SUM(Demand!X3*Capacity!AR$3:AR$25*Capacity!$DH3/(TRANSPOSE(Dists!$B2:$X2)*MMULT(1/Dists!$B2:$X2,Capacity!$DH$3:$DH$25)))</f>
        <v>2803.98880306708</v>
      </c>
      <c r="Y31" s="4" t="n">
        <f aca="false">$L3*600*6/(90*1000*2000)</f>
        <v>1.88328616803965</v>
      </c>
      <c r="Z31" s="4" t="n">
        <f aca="false" t="array" ref="Z31:Z31">SUM(Demand!Z3*Capacity!AT$3:AT$25*Capacity!$DI3/(TRANSPOSE(Dists!$B2:$X2)*MMULT(1/Dists!$B2:$X2,Capacity!$DI$3:$DI$25)))</f>
        <v>3.05866050183524</v>
      </c>
      <c r="AA31" s="4" t="n">
        <f aca="false" t="array" ref="AA31:AA31">SUM(Demand!AA3*Capacity!AU$3:AU$25*Capacity!$DI3/(TRANSPOSE(Dists!$B2:$X2)*MMULT(1/Dists!$B2:$X2,Capacity!$DI$3:$DI$25)))</f>
        <v>3.26582011165552</v>
      </c>
      <c r="AB31" s="4" t="n">
        <f aca="false" t="array" ref="AB31:AB31">SUM(Demand!AB3*Capacity!AV$3:AV$25*Capacity!$DI3/(TRANSPOSE(Dists!$B2:$X2)*MMULT(1/Dists!$B2:$X2,Capacity!$DI$3:$DI$25)))</f>
        <v>4.87846134181721</v>
      </c>
      <c r="AC31" s="4" t="n">
        <f aca="false" t="array" ref="AC31:AC31">SUM(Demand!AC3*Capacity!AW$3:AW$25*Capacity!$DI3/(TRANSPOSE(Dists!$B2:$X2)*MMULT(1/Dists!$B2:$X2,Capacity!$DI$3:$DI$25)))</f>
        <v>0.537272553457869</v>
      </c>
      <c r="AD31" s="4" t="n">
        <f aca="false" t="array" ref="AD31:AD31">SUM(Demand!AD3*Capacity!AX$3:AX$25*Capacity!$DI3/(TRANSPOSE(Dists!$B2:$X2)*MMULT(1/Dists!$B2:$X2,Capacity!$DI$3:$DI$25)))</f>
        <v>0.798656135717861</v>
      </c>
      <c r="AE31" s="4" t="n">
        <f aca="false" t="array" ref="AE31:AE31">SUM(Demand!AE3*Capacity!AY$3:AY$25*Capacity!$DI3/(TRANSPOSE(Dists!$B2:$X2)*MMULT(1/Dists!$B2:$X2,Capacity!$DI$3:$DI$25)))</f>
        <v>0.939031601647783</v>
      </c>
      <c r="AF31" s="4" t="n">
        <f aca="false" t="array" ref="AF31:AF31">SUM(Demand!AF3*Capacity!AZ$3:AZ$25*Capacity!$DI3/(TRANSPOSE(Dists!$B2:$X2)*MMULT(1/Dists!$B2:$X2,Capacity!$DI$3:$DI$25)))</f>
        <v>0.499405407148726</v>
      </c>
      <c r="AG31" s="4" t="n">
        <f aca="false" t="array" ref="AG31:AG31">SUM(Demand!AG3*Capacity!BA$3:BA$25*Capacity!$DI3/(TRANSPOSE(Dists!$B2:$X2)*MMULT(1/Dists!$B2:$X2,Capacity!$DI$3:$DI$25)))</f>
        <v>0.754889877161354</v>
      </c>
      <c r="AH31" s="4" t="n">
        <f aca="false" t="array" ref="AH31:AH31">SUM(Demand!AH3*Capacity!BB$3:BB$25*Capacity!$DI3/(TRANSPOSE(Dists!$B2:$X2)*MMULT(1/Dists!$B2:$X2,Capacity!$DI$3:$DI$25)))</f>
        <v>2.08121580071941</v>
      </c>
      <c r="AI31" s="4" t="n">
        <f aca="false" t="array" ref="AI31:AI31">SUM(Demand!AI3*Capacity!BC$3:BC$25*Capacity!$DI3/(TRANSPOSE(Dists!$B2:$X2)*MMULT(1/Dists!$B2:$X2,Capacity!$DI$3:$DI$25)))</f>
        <v>0.328620666910924</v>
      </c>
      <c r="AJ31" s="4" t="n">
        <f aca="false" t="array" ref="AJ31:AJ31">SUM(Demand!AJ3*Capacity!BD$3:BD$25*Capacity!$DI3/(TRANSPOSE(Dists!$B2:$X2)*MMULT(1/Dists!$B2:$X2,Capacity!$DI$3:$DI$25)))</f>
        <v>0.709073291263209</v>
      </c>
      <c r="AK31" s="4" t="n">
        <f aca="false" t="array" ref="AK31:AK31">SUM(Demand!AK3*Capacity!BE$3:BE$25*Capacity!$DI3/(TRANSPOSE(Dists!$B2:$X2)*MMULT(1/Dists!$B2:$X2,Capacity!$DI$3:$DI$25)))</f>
        <v>0.30235625394087</v>
      </c>
      <c r="AL31" s="4" t="n">
        <f aca="false" t="array" ref="AL31:AL31">SUM(Demand!AL3*Capacity!BF$3:BF$25*Capacity!$DI3/(TRANSPOSE(Dists!$B2:$X2)*MMULT(1/Dists!$B2:$X2,Capacity!$DI$3:$DI$25)))</f>
        <v>0.242543041229924</v>
      </c>
      <c r="AM31" s="4" t="n">
        <f aca="false" t="array" ref="AM31:AM31">SUM(Demand!AM3*Capacity!BG$3:BG$25*Capacity!$DI3/(TRANSPOSE(Dists!$B2:$X2)*MMULT(1/Dists!$B2:$X2,Capacity!$DI$3:$DI$25)))</f>
        <v>0.120737374070676</v>
      </c>
      <c r="AN31" s="4" t="n">
        <f aca="false" t="array" ref="AN31:AN31">SUM(Demand!AN3*Capacity!BH$3:BH$25*Capacity!$DI3/(TRANSPOSE(Dists!$B2:$X2)*MMULT(1/Dists!$B2:$X2,Capacity!$DI$3:$DI$25)))</f>
        <v>0.0432822133406975</v>
      </c>
      <c r="AO31" s="4" t="n">
        <f aca="false" t="array" ref="AO31:AO31">SUM(Demand!AO3*Capacity!BI$3:BI$25*Capacity!$DI3/(TRANSPOSE(Dists!$B2:$X2)*MMULT(1/Dists!$B2:$X2,Capacity!$DI$3:$DI$25)))</f>
        <v>0.119773555558612</v>
      </c>
      <c r="AP31" s="4" t="n">
        <f aca="false" t="array" ref="AP31:AP31">SUM(Demand!AP3*Capacity!BJ$3:BJ$25*Capacity!$DI3/(TRANSPOSE(Dists!$B2:$X2)*MMULT(1/Dists!$B2:$X2,Capacity!$DI$3:$DI$25)))</f>
        <v>0.569367448235843</v>
      </c>
      <c r="AQ31" s="4" t="n">
        <f aca="false" t="array" ref="AQ31:AQ31">SUM(Demand!AQ3*Capacity!BK$3:BK$25*Capacity!$DI3/(TRANSPOSE(Dists!$B2:$X2)*MMULT(1/Dists!$B2:$X2,Capacity!$DI$3:$DI$25)))</f>
        <v>0.0162773034754922</v>
      </c>
      <c r="AR31" s="4" t="n">
        <f aca="false" t="array" ref="AR31:AR31">SUM(Demand!AR3*Capacity!BL$3:BL$25*Capacity!$DI3/(TRANSPOSE(Dists!$B2:$X2)*MMULT(1/Dists!$B2:$X2,Capacity!$DI$3:$DI$25)))</f>
        <v>0.0496520046037647</v>
      </c>
      <c r="AS31" s="4" t="n">
        <f aca="false" t="array" ref="AS31:AS31">SUM(Demand!AS3*Capacity!BM$3:BM$25*Capacity!$DI3/(TRANSPOSE(Dists!$B2:$X2)*MMULT(1/Dists!$B2:$X2,Capacity!$DI$3:$DI$25)))</f>
        <v>0.0194892780312946</v>
      </c>
      <c r="AT31" s="4" t="n">
        <f aca="false" t="array" ref="AT31:AT31">SUM(Demand!AT3*Capacity!BN$3:BN$25*Capacity!$DI3/(TRANSPOSE(Dists!$B2:$X2)*MMULT(1/Dists!$B2:$X2,Capacity!$DI$3:$DI$25)))</f>
        <v>0.59628502035705</v>
      </c>
      <c r="AU31" s="4" t="n">
        <f aca="false" t="array" ref="AU31:AU31">SUM(Demand!AU3*Capacity!BO$3:BO$25*Capacity!$DI3/(TRANSPOSE(Dists!$B2:$X2)*MMULT(1/Dists!$B2:$X2,Capacity!$DI$3:$DI$25)))</f>
        <v>2.3879830963287</v>
      </c>
      <c r="AV31" s="4" t="n">
        <f aca="false" t="array" ref="AV31:AV31">SUM(Demand!AV3*Capacity!BP$3:BP$25*Capacity!$DI3/(TRANSPOSE(Dists!$B2:$X2)*MMULT(1/Dists!$B2:$X2,Capacity!$DI$3:$DI$25)))</f>
        <v>0.0870465425379419</v>
      </c>
      <c r="AW31" s="4" t="n">
        <f aca="false" t="array" ref="AW31:AW31">SUM(Demand!AW3*Capacity!BQ$3:BQ$25*Capacity!$DI3/(TRANSPOSE(Dists!$B2:$X2)*MMULT(1/Dists!$B2:$X2,Capacity!$DI$3:$DI$25)))</f>
        <v>0.324441865953793</v>
      </c>
      <c r="AX31" s="4" t="n">
        <f aca="false" t="array" ref="AX31:AX31">SUM(Demand!AX3*Capacity!BR$3:BR$25*Capacity!$DI3/(TRANSPOSE(Dists!$B2:$X2)*MMULT(1/Dists!$B2:$X2,Capacity!$DI$3:$DI$25)))</f>
        <v>0.248822005197042</v>
      </c>
      <c r="AY31" s="4" t="n">
        <f aca="false" t="array" ref="AY31:AY31">SUM(Demand!AY3*Capacity!BS$3:BS$25*Capacity!$DI3/(TRANSPOSE(Dists!$B2:$X2)*MMULT(1/Dists!$B2:$X2,Capacity!$DI$3:$DI$25)))</f>
        <v>0.0459296550381992</v>
      </c>
      <c r="AZ31" s="4" t="n">
        <f aca="false" t="array" ref="AZ31:AZ31">SUM(Demand!AZ3*Capacity!BT$3:BT$25*Capacity!$DI3/(TRANSPOSE(Dists!$B2:$X2)*MMULT(1/Dists!$B2:$X2,Capacity!$DI$3:$DI$25)))</f>
        <v>0.357071822896854</v>
      </c>
      <c r="BA31" s="4" t="n">
        <f aca="false">BA3</f>
        <v>0.0230794873534271</v>
      </c>
      <c r="BB31" s="4" t="n">
        <f aca="false" t="array" ref="BB31:BB31">SUM(Demand!BB3*Capacity!BV$3:BV$25*Capacity!$DI3/(TRANSPOSE(Dists!$B2:$X2)*MMULT(1/Dists!$B2:$X2,Capacity!$DI$3:$DI$25)))</f>
        <v>0.198645588358769</v>
      </c>
      <c r="BC31" s="4" t="n">
        <f aca="false" t="array" ref="BC31:BC31">SUM(Demand!BC3*Capacity!BW$3:BW$25*Capacity!$DI3/(TRANSPOSE(Dists!$B2:$X2)*MMULT(1/Dists!$B2:$X2,Capacity!$DI$3:$DI$25)))</f>
        <v>0.171305410480646</v>
      </c>
      <c r="BD31" s="4" t="n">
        <f aca="false" t="array" ref="BD31:BD31">SUM(Demand!BD3*Capacity!BX$3:BX$25*Capacity!$DI3/(TRANSPOSE(Dists!$B2:$X2)*MMULT(1/Dists!$B2:$X2,Capacity!$DI$3:$DI$25)))</f>
        <v>0.104563773028707</v>
      </c>
      <c r="BE31" s="4" t="n">
        <f aca="false" t="array" ref="BE31:BE31">SUM(Demand!BE3*Capacity!BY$3:BY$25*Capacity!$DI3/(TRANSPOSE(Dists!$B2:$X2)*MMULT(1/Dists!$B2:$X2,Capacity!$DI$3:$DI$25)))</f>
        <v>0.0230123143224815</v>
      </c>
      <c r="BF31" s="4" t="n">
        <f aca="false" t="array" ref="BF31:BF31">SUM(Demand!BF3*Capacity!BZ$3:BZ$25*Capacity!$DI3/(TRANSPOSE(Dists!$B2:$X2)*MMULT(1/Dists!$B2:$X2,Capacity!$DI$3:$DI$25)))</f>
        <v>1.54611708847324</v>
      </c>
      <c r="BG31" s="4" t="n">
        <f aca="false" t="array" ref="BG31:BG31">SUM(Demand!BG3*Capacity!CA$3:CA$25*Capacity!$DI3/(TRANSPOSE(Dists!$B2:$X2)*MMULT(1/Dists!$B2:$X2,Capacity!$DI$3:$DI$25)))</f>
        <v>3.6344040253966</v>
      </c>
      <c r="BH31" s="4" t="n">
        <f aca="false" t="array" ref="BH31:BH31">SUM(Demand!BH3*Capacity!CB$3:CB$25*Capacity!$DI3/(TRANSPOSE(Dists!$B2:$X2)*MMULT(1/Dists!$B2:$X2,Capacity!$DI$3:$DI$25)))</f>
        <v>7.26880805079321</v>
      </c>
      <c r="BI31" s="4" t="n">
        <f aca="false" t="array" ref="BI31:BI31">SUM(Demand!BI3*Capacity!CC$3:CC$25*Capacity!$DI3/(TRANSPOSE(Dists!$B2:$X2)*MMULT(1/Dists!$B2:$X2,Capacity!$DI$3:$DI$25)))</f>
        <v>9.69174406772428</v>
      </c>
      <c r="BJ31" s="4" t="n">
        <f aca="false" t="array" ref="BJ31:BJ31">SUM(Demand!BJ3*Capacity!CD$3:CD$25*Capacity!$DI3/(TRANSPOSE(Dists!$B2:$X2)*MMULT(1/Dists!$B2:$X2,Capacity!$DI$3:$DI$25)))</f>
        <v>627.24862554055</v>
      </c>
      <c r="BK31" s="4" t="n">
        <f aca="false" t="array" ref="BK31:BK31">SUM(Demand!BK3*Capacity!CE$3:CE$25*Capacity!$DI3/(TRANSPOSE(Dists!$B2:$X2)*MMULT(1/Dists!$B2:$X2,Capacity!$DI$3:$DI$25)))</f>
        <v>4.84587203386214</v>
      </c>
      <c r="BL31" s="4" t="n">
        <f aca="false" t="array" ref="BL31:BL31">SUM(Demand!BL3*Capacity!CF$3:CF$25*Capacity!$DI3/(TRANSPOSE(Dists!$B2:$X2)*MMULT(1/Dists!$B2:$X2,Capacity!$DI$3:$DI$25)))</f>
        <v>610.010191509563</v>
      </c>
      <c r="BM31" s="4" t="n">
        <f aca="false" t="array" ref="BM31:BM31">SUM(Demand!BM3*Capacity!CG$3:CG$25*Capacity!$DI3/(TRANSPOSE(Dists!$B2:$X2)*MMULT(1/Dists!$B2:$X2,Capacity!$DI$3:$DI$25)))</f>
        <v>11.9112750673493</v>
      </c>
      <c r="BN31" s="4" t="n">
        <f aca="false">BN3</f>
        <v>8.71464561552483E-005</v>
      </c>
      <c r="BO31" s="4" t="n">
        <f aca="false" t="array" ref="BO31:BO31">SUM(Demand!BO3*Capacity!CI$3:CI$25*Capacity!$DI3/(TRANSPOSE(Dists!$B2:$X2)*MMULT(1/Dists!$B2:$X2,Capacity!$DI$3:$DI$25)))</f>
        <v>0.706157863948319</v>
      </c>
      <c r="BP31" s="4" t="n">
        <f aca="false" t="array" ref="BP31:BP31">SUM(Demand!BP3*Capacity!CJ$3:CJ$25*Capacity!$DI3/(TRANSPOSE(Dists!$B2:$X2)*MMULT(1/Dists!$B2:$X2,Capacity!$DI$3:$DI$25)))</f>
        <v>1.70452604587087</v>
      </c>
      <c r="BQ31" s="4" t="n">
        <f aca="false" t="array" ref="BQ31:BQ31">SUM(Demand!BQ3*Capacity!CK$3:CK$25*Capacity!$DI3/(TRANSPOSE(Dists!$B2:$X2)*MMULT(1/Dists!$B2:$X2,Capacity!$DI$3:$DI$25)))</f>
        <v>0</v>
      </c>
      <c r="BR31" s="4" t="n">
        <f aca="false" t="array" ref="BR31:BR31">SUM(Demand!BR3*Capacity!CL$3:CL$25*Capacity!$DI3/(TRANSPOSE(Dists!$B2:$X2)*MMULT(1/Dists!$B2:$X2,Capacity!$DI$3:$DI$25)))</f>
        <v>0.0235386185175588</v>
      </c>
      <c r="BS31" s="4" t="n">
        <f aca="false" t="array" ref="BS31:BS31">SUM(Demand!BS3*Capacity!CM$3:CM$25*Capacity!$DI3/(TRANSPOSE(Dists!$B2:$X2)*MMULT(1/Dists!$B2:$X2,Capacity!$DI$3:$DI$25)))</f>
        <v>0.00235386185175588</v>
      </c>
      <c r="BT31" s="4" t="n">
        <f aca="false">BT3</f>
        <v>0.365995347824153</v>
      </c>
      <c r="BU31" s="4" t="n">
        <f aca="false">BU3</f>
        <v>0.0365995347824153</v>
      </c>
      <c r="BV31" s="4" t="n">
        <f aca="false">BV3</f>
        <v>0.00365995347824153</v>
      </c>
      <c r="BW31" s="4" t="n">
        <f aca="false">BW3</f>
        <v>301.762143292663</v>
      </c>
      <c r="BX31" s="4" t="n">
        <f aca="false" t="array" ref="BX31:BX31">SUM(Demand!BX3*Capacity!CR$3:CR$25*Capacity!$DI3/(TRANSPOSE(Dists!$B2:$X2)*MMULT(1/Dists!$B2:$X2,Capacity!$DI$3:$DI$25)))</f>
        <v>1.45901510619962</v>
      </c>
      <c r="BY31" s="4" t="n">
        <f aca="false" t="array" ref="BY31:BY31">SUM(Demand!BY3*Capacity!CS$3:CS$25*Capacity!$DI3/(TRANSPOSE(Dists!$B2:$X2)*MMULT(1/Dists!$B2:$X2,Capacity!$DI$3:$DI$25)))</f>
        <v>132.139211940628</v>
      </c>
      <c r="BZ31" s="4" t="n">
        <f aca="false" t="array" ref="BZ31:BZ31">SUM(Demand!BZ3*Capacity!CT$3:CT$25*Capacity!$DI3/(TRANSPOSE(Dists!$B2:$X2)*MMULT(1/Dists!$B2:$X2,Capacity!$DI$3:$DI$25)))</f>
        <v>0.580508823322904</v>
      </c>
      <c r="CA31" s="4" t="n">
        <f aca="false" t="array" ref="CA31:CA31">SUM(Demand!CA3*Capacity!CU$3:CU$25*Capacity!$DI3/(TRANSPOSE(Dists!$B2:$X2)*MMULT(1/Dists!$B2:$X2,Capacity!$DI$3:$DI$25)))</f>
        <v>0.224379491006108</v>
      </c>
      <c r="CB31" s="4" t="n">
        <f aca="false" t="array" ref="CB31:CB31">SUM(Demand!CB3*Capacity!CV$3:CV$25*Capacity!$DI3/(TRANSPOSE(Dists!$B2:$X2)*MMULT(1/Dists!$B2:$X2,Capacity!$DI$3:$DI$25)))</f>
        <v>245.913821603317</v>
      </c>
      <c r="CC31" s="4" t="n">
        <f aca="false" t="array" ref="CC31:CC31">SUM(Demand!CC3*Capacity!CW$3:CW$25*Capacity!$DI3/(TRANSPOSE(Dists!$B2:$X2)*MMULT(1/Dists!$B2:$X2,Capacity!$DI$3:$DI$25)))</f>
        <v>820.26974765097</v>
      </c>
      <c r="CD31" s="4" t="n">
        <f aca="false">SUM($BG31,$BI31,$BK31)*Capacity!CX3/SUM(Capacity!$AM3:$AN3,Capacity!$CX3)</f>
        <v>9.60908769855612</v>
      </c>
      <c r="CE31" s="4" t="n">
        <f aca="false" t="array" ref="CE31:CE31">SUM(Demand!CE3*Capacity!CY$3:CY$25*Capacity!$DI3/(TRANSPOSE(Dists!$B2:$X2)*MMULT(1/Dists!$B2:$X2,Capacity!$DI$3:$DI$25)))</f>
        <v>0.959394711490656</v>
      </c>
      <c r="CF31" s="4" t="n">
        <f aca="false" t="array" ref="CF31:CF31">SUM(Demand!CF3*Capacity!CZ$3:CZ$25*Capacity!$DI3/(TRANSPOSE(Dists!$B2:$X2)*MMULT(1/Dists!$B2:$X2,Capacity!$DI$3:$DI$25)))</f>
        <v>145.318945882246</v>
      </c>
      <c r="CG31" s="4" t="n">
        <f aca="false" t="array" ref="CG31:CG31">SUM(Demand!CG3*Capacity!DA$3:DA$25*Capacity!$DI3/(TRANSPOSE(Dists!$B2:$X2)*MMULT(1/Dists!$B2:$X2,Capacity!$DI$3:$DI$25)))</f>
        <v>0.0565754932523535</v>
      </c>
      <c r="CH31" s="4" t="n">
        <f aca="false" t="array" ref="CH31:CH31">SUM(Demand!CH3*Capacity!DB$3:DB$25*Capacity!$DI3/(TRANSPOSE(Dists!$B2:$X2)*MMULT(1/Dists!$B2:$X2,Capacity!$DI$3:$DI$25)))</f>
        <v>0.308304830358334</v>
      </c>
      <c r="CI31" s="4" t="n">
        <f aca="false" t="array" ref="CI31:CI31">SUM(Demand!CI3*Capacity!DC$3:DC$25*Capacity!$DI3/(TRANSPOSE(Dists!$B2:$X2)*MMULT(1/Dists!$B2:$X2,Capacity!$DI$3:$DI$25)))</f>
        <v>0.128306618976961</v>
      </c>
      <c r="CJ31" s="4" t="n">
        <f aca="false" t="array" ref="CJ31:CJ31">SUM(Demand!CJ3*Capacity!DD$3:DD$25*Capacity!$DI3/(TRANSPOSE(Dists!$B2:$X2)*MMULT(1/Dists!$B2:$X2,Capacity!$DI$3:$DI$25)))</f>
        <v>0.0316909467505075</v>
      </c>
      <c r="CK31" s="4" t="n">
        <f aca="false" t="array" ref="CK31:CK31">SUM(Demand!CK3*Capacity!DE$3:DE$25*Capacity!$DI3/(TRANSPOSE(Dists!$B2:$X2)*MMULT(1/Dists!$B2:$X2,Capacity!$DI$3:$DI$25)))</f>
        <v>3.97932939727311</v>
      </c>
      <c r="CL31" s="7" t="s">
        <v>322</v>
      </c>
    </row>
    <row r="32" customFormat="false" ht="12.8" hidden="false" customHeight="false" outlineLevel="0" collapsed="false">
      <c r="A32" s="4" t="s">
        <v>133</v>
      </c>
      <c r="B32" s="7" t="s">
        <v>39</v>
      </c>
      <c r="C32" s="4" t="n">
        <f aca="false" t="array" ref="C32:C32">SUM(Demand!C4*Capacity!S$3:S$25*Capacity!$DH4/(TRANSPOSE(Dists!$B3:$X3)*MMULT(1/Dists!$B3:$X3,Capacity!$DH$3:$DH$25)))</f>
        <v>0.0219795417439309</v>
      </c>
      <c r="D32" s="4" t="n">
        <f aca="false" t="array" ref="D32:D32">SUM(Demand!D4*Capacity!V$3:V$25*Capacity!$DH4/(TRANSPOSE(Dists!$B3:$X3)*MMULT(1/Dists!$B3:$X3,Capacity!$DH$3:$DH$25)))</f>
        <v>1368.61616869516</v>
      </c>
      <c r="E32" s="4" t="n">
        <f aca="false" t="array" ref="E32:E32">SUM(Demand!E4*Capacity!Y$3:Y$25*Capacity!$DH4/(TRANSPOSE(Dists!$B3:$X3)*MMULT(1/Dists!$B3:$X3,Capacity!$DH$3:$DH$25)))</f>
        <v>148.265433654609</v>
      </c>
      <c r="F32" s="4" t="n">
        <f aca="false">$E4*Capacity!$M4/(2*(1-Capacity!$H$28)*Capacity!$H4)</f>
        <v>82.5603970026746</v>
      </c>
      <c r="G32" s="4" t="n">
        <f aca="false" t="array" ref="G32:G32">SUM(Demand!G4*Capacity!AA$3:AA$25*Capacity!$DH4/(TRANSPOSE(Dists!$B3:$X3)*MMULT(1/Dists!$B3:$X3,Capacity!$DH$3:$DH$25)))</f>
        <v>75.535761877194</v>
      </c>
      <c r="H32" s="4" t="n">
        <f aca="false" t="array" ref="H32:H32">SUM(Demand!H4*Capacity!AB$3:AB$25*Capacity!$DH4/(TRANSPOSE(Dists!$B3:$X3)*MMULT(1/Dists!$B3:$X3,Capacity!$DH$3:$DH$25)))</f>
        <v>0</v>
      </c>
      <c r="I32" s="4" t="n">
        <f aca="false" t="array" ref="I32:I32">SUM(Demand!I4*Capacity!AC$3:AC$25*Capacity!$DG4/(TRANSPOSE(Dists!$B3:$X3)*MMULT(1/Dists!$B3:$X3,Capacity!$DG$3:$DG$25)))</f>
        <v>7.24588844324698</v>
      </c>
      <c r="J32" s="4" t="n">
        <f aca="false" t="array" ref="J32:J32">SUM(Demand!J4*Capacity!AD$3:AD$25*Capacity!$DG4/(TRANSPOSE(Dists!$B3:$X3)*MMULT(1/Dists!$B3:$X3,Capacity!$DG$3:$DG$25)))</f>
        <v>6.64639023990199</v>
      </c>
      <c r="K32" s="4" t="n">
        <f aca="false">5479.45205479452*$R4</f>
        <v>893484.469917479</v>
      </c>
      <c r="L32" s="4" t="n">
        <f aca="false">17142.8571428571*$S4</f>
        <v>247410.130162711</v>
      </c>
      <c r="M32" s="4" t="n">
        <f aca="false">IF(50420.1680672269*$T4&gt;($K4/20),50420.1680672269*$T4-($K4/20),0)</f>
        <v>362027.36033324</v>
      </c>
      <c r="N32" s="4" t="n">
        <f aca="false" t="array" ref="N32:N32">SUM(Demand!N4*Capacity!AH$3:AH$25*Capacity!$DH4/(TRANSPOSE(Dists!$B3:$X3)*MMULT(1/Dists!$B3:$X3,Capacity!$DH$3:$DH$25)))</f>
        <v>127.29887567388</v>
      </c>
      <c r="O32" s="4" t="n">
        <f aca="false">O4</f>
        <v>912.410779130107</v>
      </c>
      <c r="P32" s="4" t="n">
        <f aca="false">P4</f>
        <v>364.964311652043</v>
      </c>
      <c r="Q32" s="4" t="n">
        <f aca="false" t="array" ref="Q32:Q32">SUM(Demand!Q4*Capacity!AK$3:AK$25*Capacity!$DI4/(TRANSPOSE(Dists!$B3:$X3)*MMULT(1/Dists!$B3:$X3,Capacity!$DI$3:$DI$25)))</f>
        <v>4.33075801982433</v>
      </c>
      <c r="R32" s="4" t="n">
        <f aca="false" t="array" ref="R32:R32">SUM(Demand!R4*Capacity!AL$3:AL$25*Capacity!$DH4/(TRANSPOSE(Dists!$B3:$X3)*MMULT(1/Dists!$B3:$X3,Capacity!$DH$3:$DH$25)))</f>
        <v>182.266278634747</v>
      </c>
      <c r="S32" s="4" t="n">
        <f aca="false">SUM($BG32,$BI32,$BK32)*Capacity!AM4/SUM(Capacity!$AM4:$AN4,Capacity!$CX4)</f>
        <v>14.4322575928248</v>
      </c>
      <c r="T32" s="4" t="n">
        <f aca="false">SUM($BG32,$BI32,$BK32)*Capacity!AN4/SUM(Capacity!$AM4:$AN4,Capacity!$CX4)</f>
        <v>8.06624807927743</v>
      </c>
      <c r="U32" s="4" t="n">
        <f aca="false">$M4*120*2/(16*1000*2000)</f>
        <v>2.7152052024993</v>
      </c>
      <c r="V32" s="4" t="n">
        <f aca="false" t="array" ref="V32:V32">SUM(Demand!V4*Capacity!AP$3:AP$25*Capacity!$DH4/(TRANSPOSE(Dists!$B3:$X3)*MMULT(1/Dists!$B3:$X3,Capacity!$DH$3:$DH$25)))</f>
        <v>122.858515093415</v>
      </c>
      <c r="W32" s="4" t="n">
        <f aca="false" t="array" ref="W32:W32">SUM(Demand!W4*Capacity!AQ$3:AQ$25*Capacity!$DH4/(TRANSPOSE(Dists!$B3:$X3)*MMULT(1/Dists!$B3:$X3,Capacity!$DH$3:$DH$25)))</f>
        <v>355.113206568395</v>
      </c>
      <c r="X32" s="4" t="n">
        <f aca="false" t="array" ref="X32:X32">SUM(Demand!X4*Capacity!AR$3:AR$25*Capacity!$DH4/(TRANSPOSE(Dists!$B3:$X3)*MMULT(1/Dists!$B3:$X3,Capacity!$DH$3:$DH$25)))</f>
        <v>1425.42844936885</v>
      </c>
      <c r="Y32" s="4" t="n">
        <f aca="false">$L4*600*6/(90*1000*2000)</f>
        <v>4.94820260325421</v>
      </c>
      <c r="Z32" s="4" t="n">
        <f aca="false" t="array" ref="Z32:Z32">SUM(Demand!Z4*Capacity!AT$3:AT$25*Capacity!$DI4/(TRANSPOSE(Dists!$B3:$X3)*MMULT(1/Dists!$B3:$X3,Capacity!$DI$3:$DI$25)))</f>
        <v>2.94926382774929</v>
      </c>
      <c r="AA32" s="4" t="n">
        <f aca="false" t="array" ref="AA32:AA32">SUM(Demand!AA4*Capacity!AU$3:AU$25*Capacity!$DI4/(TRANSPOSE(Dists!$B3:$X3)*MMULT(1/Dists!$B3:$X3,Capacity!$DI$3:$DI$25)))</f>
        <v>5.24751696946819</v>
      </c>
      <c r="AB32" s="4" t="n">
        <f aca="false" t="array" ref="AB32:AB32">SUM(Demand!AB4*Capacity!AV$3:AV$25*Capacity!$DI4/(TRANSPOSE(Dists!$B3:$X3)*MMULT(1/Dists!$B3:$X3,Capacity!$DI$3:$DI$25)))</f>
        <v>10.3762630337011</v>
      </c>
      <c r="AC32" s="4" t="n">
        <f aca="false" t="array" ref="AC32:AC32">SUM(Demand!AC4*Capacity!AW$3:AW$25*Capacity!$DI4/(TRANSPOSE(Dists!$B3:$X3)*MMULT(1/Dists!$B3:$X3,Capacity!$DI$3:$DI$25)))</f>
        <v>0.576491901327583</v>
      </c>
      <c r="AD32" s="4" t="n">
        <f aca="false" t="array" ref="AD32:AD32">SUM(Demand!AD4*Capacity!AX$3:AX$25*Capacity!$DI4/(TRANSPOSE(Dists!$B3:$X3)*MMULT(1/Dists!$B3:$X3,Capacity!$DI$3:$DI$25)))</f>
        <v>1.69870489013672</v>
      </c>
      <c r="AE32" s="4" t="n">
        <f aca="false" t="array" ref="AE32:AE32">SUM(Demand!AE4*Capacity!AY$3:AY$25*Capacity!$DI4/(TRANSPOSE(Dists!$B3:$X3)*MMULT(1/Dists!$B3:$X3,Capacity!$DI$3:$DI$25)))</f>
        <v>3.16860225924155</v>
      </c>
      <c r="AF32" s="4" t="n">
        <f aca="false" t="array" ref="AF32:AF32">SUM(Demand!AF4*Capacity!AZ$3:AZ$25*Capacity!$DI4/(TRANSPOSE(Dists!$B3:$X3)*MMULT(1/Dists!$B3:$X3,Capacity!$DI$3:$DI$25)))</f>
        <v>0.237876121380139</v>
      </c>
      <c r="AG32" s="4" t="n">
        <f aca="false" t="array" ref="AG32:AG32">SUM(Demand!AG4*Capacity!BA$3:BA$25*Capacity!$DI4/(TRANSPOSE(Dists!$B3:$X3)*MMULT(1/Dists!$B3:$X3,Capacity!$DI$3:$DI$25)))</f>
        <v>2.04517907540854</v>
      </c>
      <c r="AH32" s="4" t="n">
        <f aca="false" t="array" ref="AH32:AH32">SUM(Demand!AH4*Capacity!BB$3:BB$25*Capacity!$DI4/(TRANSPOSE(Dists!$B3:$X3)*MMULT(1/Dists!$B3:$X3,Capacity!$DI$3:$DI$25)))</f>
        <v>0.916587619109899</v>
      </c>
      <c r="AI32" s="4" t="n">
        <f aca="false" t="array" ref="AI32:AI32">SUM(Demand!AI4*Capacity!BC$3:BC$25*Capacity!$DI4/(TRANSPOSE(Dists!$B3:$X3)*MMULT(1/Dists!$B3:$X3,Capacity!$DI$3:$DI$25)))</f>
        <v>0.33555914716364</v>
      </c>
      <c r="AJ32" s="4" t="n">
        <f aca="false" t="array" ref="AJ32:AJ32">SUM(Demand!AJ4*Capacity!BD$3:BD$25*Capacity!$DI4/(TRANSPOSE(Dists!$B3:$X3)*MMULT(1/Dists!$B3:$X3,Capacity!$DI$3:$DI$25)))</f>
        <v>0.143296505367439</v>
      </c>
      <c r="AK32" s="4" t="n">
        <f aca="false" t="array" ref="AK32:AK32">SUM(Demand!AK4*Capacity!BE$3:BE$25*Capacity!$DI4/(TRANSPOSE(Dists!$B3:$X3)*MMULT(1/Dists!$B3:$X3,Capacity!$DI$3:$DI$25)))</f>
        <v>0.211781944599152</v>
      </c>
      <c r="AL32" s="4" t="n">
        <f aca="false" t="array" ref="AL32:AL32">SUM(Demand!AL4*Capacity!BF$3:BF$25*Capacity!$DI4/(TRANSPOSE(Dists!$B3:$X3)*MMULT(1/Dists!$B3:$X3,Capacity!$DI$3:$DI$25)))</f>
        <v>0.0130108479060088</v>
      </c>
      <c r="AM32" s="4" t="n">
        <f aca="false" t="array" ref="AM32:AM32">SUM(Demand!AM4*Capacity!BG$3:BG$25*Capacity!$DI4/(TRANSPOSE(Dists!$B3:$X3)*MMULT(1/Dists!$B3:$X3,Capacity!$DI$3:$DI$25)))</f>
        <v>0.554484943078476</v>
      </c>
      <c r="AN32" s="4" t="n">
        <f aca="false" t="array" ref="AN32:AN32">SUM(Demand!AN4*Capacity!BH$3:BH$25*Capacity!$DI4/(TRANSPOSE(Dists!$B3:$X3)*MMULT(1/Dists!$B3:$X3,Capacity!$DI$3:$DI$25)))</f>
        <v>0.455330778137272</v>
      </c>
      <c r="AO32" s="4" t="n">
        <f aca="false" t="array" ref="AO32:AO32">SUM(Demand!AO4*Capacity!BI$3:BI$25*Capacity!$DI4/(TRANSPOSE(Dists!$B3:$X3)*MMULT(1/Dists!$B3:$X3,Capacity!$DI$3:$DI$25)))</f>
        <v>0.128997445663933</v>
      </c>
      <c r="AP32" s="4" t="n">
        <f aca="false" t="array" ref="AP32:AP32">SUM(Demand!AP4*Capacity!BJ$3:BJ$25*Capacity!$DI4/(TRANSPOSE(Dists!$B3:$X3)*MMULT(1/Dists!$B3:$X3,Capacity!$DI$3:$DI$25)))</f>
        <v>0.646723231948447</v>
      </c>
      <c r="AQ32" s="4" t="n">
        <f aca="false" t="array" ref="AQ32:AQ32">SUM(Demand!AQ4*Capacity!BK$3:BK$25*Capacity!$DI4/(TRANSPOSE(Dists!$B3:$X3)*MMULT(1/Dists!$B3:$X3,Capacity!$DI$3:$DI$25)))</f>
        <v>0.0721008287589458</v>
      </c>
      <c r="AR32" s="4" t="n">
        <f aca="false" t="array" ref="AR32:AR32">SUM(Demand!AR4*Capacity!BL$3:BL$25*Capacity!$DI4/(TRANSPOSE(Dists!$B3:$X3)*MMULT(1/Dists!$B3:$X3,Capacity!$DI$3:$DI$25)))</f>
        <v>0.0558441644818312</v>
      </c>
      <c r="AS32" s="4" t="n">
        <f aca="false" t="array" ref="AS32:AS32">SUM(Demand!AS4*Capacity!BM$3:BM$25*Capacity!$DI4/(TRANSPOSE(Dists!$B3:$X3)*MMULT(1/Dists!$B3:$X3,Capacity!$DI$3:$DI$25)))</f>
        <v>0.126268394141445</v>
      </c>
      <c r="AT32" s="4" t="n">
        <f aca="false" t="array" ref="AT32:AT32">SUM(Demand!AT4*Capacity!BN$3:BN$25*Capacity!$DI4/(TRANSPOSE(Dists!$B3:$X3)*MMULT(1/Dists!$B3:$X3,Capacity!$DI$3:$DI$25)))</f>
        <v>2.1136061586284</v>
      </c>
      <c r="AU32" s="4" t="n">
        <f aca="false" t="array" ref="AU32:AU32">SUM(Demand!AU4*Capacity!BO$3:BO$25*Capacity!$DI4/(TRANSPOSE(Dists!$B3:$X3)*MMULT(1/Dists!$B3:$X3,Capacity!$DI$3:$DI$25)))</f>
        <v>0.00524660502390867</v>
      </c>
      <c r="AV32" s="4" t="n">
        <f aca="false" t="array" ref="AV32:AV32">SUM(Demand!AV4*Capacity!BP$3:BP$25*Capacity!$DI4/(TRANSPOSE(Dists!$B3:$X3)*MMULT(1/Dists!$B3:$X3,Capacity!$DI$3:$DI$25)))</f>
        <v>0.105630902852104</v>
      </c>
      <c r="AW32" s="4" t="n">
        <f aca="false" t="array" ref="AW32:AW32">SUM(Demand!AW4*Capacity!BQ$3:BQ$25*Capacity!$DI4/(TRANSPOSE(Dists!$B3:$X3)*MMULT(1/Dists!$B3:$X3,Capacity!$DI$3:$DI$25)))</f>
        <v>0.350716938867611</v>
      </c>
      <c r="AX32" s="4" t="n">
        <f aca="false" t="array" ref="AX32:AX32">SUM(Demand!AX4*Capacity!BR$3:BR$25*Capacity!$DI4/(TRANSPOSE(Dists!$B3:$X3)*MMULT(1/Dists!$B3:$X3,Capacity!$DI$3:$DI$25)))</f>
        <v>0.137318564482126</v>
      </c>
      <c r="AY32" s="4" t="n">
        <f aca="false" t="array" ref="AY32:AY32">SUM(Demand!AY4*Capacity!BS$3:BS$25*Capacity!$DI4/(TRANSPOSE(Dists!$B3:$X3)*MMULT(1/Dists!$B3:$X3,Capacity!$DI$3:$DI$25)))</f>
        <v>0.0411649934688649</v>
      </c>
      <c r="AZ32" s="4" t="n">
        <f aca="false" t="array" ref="AZ32:AZ32">SUM(Demand!AZ4*Capacity!BT$3:BT$25*Capacity!$DI4/(TRANSPOSE(Dists!$B3:$X3)*MMULT(1/Dists!$B3:$X3,Capacity!$DI$3:$DI$25)))</f>
        <v>0.48664698214561</v>
      </c>
      <c r="BA32" s="4" t="n">
        <f aca="false">BA4</f>
        <v>0.0606397377849781</v>
      </c>
      <c r="BB32" s="4" t="n">
        <f aca="false" t="array" ref="BB32:BB32">SUM(Demand!BB4*Capacity!BV$3:BV$25*Capacity!$DI4/(TRANSPOSE(Dists!$B3:$X3)*MMULT(1/Dists!$B3:$X3,Capacity!$DI$3:$DI$25)))</f>
        <v>0.06362009762131</v>
      </c>
      <c r="BC32" s="4" t="n">
        <f aca="false" t="array" ref="BC32:BC32">SUM(Demand!BC4*Capacity!BW$3:BW$25*Capacity!$DI4/(TRANSPOSE(Dists!$B3:$X3)*MMULT(1/Dists!$B3:$X3,Capacity!$DI$3:$DI$25)))</f>
        <v>0.0628861883553938</v>
      </c>
      <c r="BD32" s="4" t="n">
        <f aca="false" t="array" ref="BD32:BD32">SUM(Demand!BD4*Capacity!BX$3:BX$25*Capacity!$DI4/(TRANSPOSE(Dists!$B3:$X3)*MMULT(1/Dists!$B3:$X3,Capacity!$DI$3:$DI$25)))</f>
        <v>0.0150553010465617</v>
      </c>
      <c r="BE32" s="4" t="n">
        <f aca="false" t="array" ref="BE32:BE32">SUM(Demand!BE4*Capacity!BY$3:BY$25*Capacity!$DI4/(TRANSPOSE(Dists!$B3:$X3)*MMULT(1/Dists!$B3:$X3,Capacity!$DI$3:$DI$25)))</f>
        <v>0.0572890510742899</v>
      </c>
      <c r="BF32" s="4" t="n">
        <f aca="false" t="array" ref="BF32:BF32">SUM(Demand!BF4*Capacity!BZ$3:BZ$25*Capacity!$DI4/(TRANSPOSE(Dists!$B3:$X3)*MMULT(1/Dists!$B3:$X3,Capacity!$DI$3:$DI$25)))</f>
        <v>4.5174146600723</v>
      </c>
      <c r="BG32" s="4" t="n">
        <f aca="false" t="array" ref="BG32:BG32">SUM(Demand!BG4*Capacity!CA$3:CA$25*Capacity!$DI4/(TRANSPOSE(Dists!$B3:$X3)*MMULT(1/Dists!$B3:$X3,Capacity!$DI$3:$DI$25)))</f>
        <v>10.8210984339515</v>
      </c>
      <c r="BH32" s="4" t="n">
        <f aca="false" t="array" ref="BH32:BH32">SUM(Demand!BH4*Capacity!CB$3:CB$25*Capacity!$DI4/(TRANSPOSE(Dists!$B3:$X3)*MMULT(1/Dists!$B3:$X3,Capacity!$DI$3:$DI$25)))</f>
        <v>0.0059799669614467</v>
      </c>
      <c r="BI32" s="4" t="n">
        <f aca="false" t="array" ref="BI32:BI32">SUM(Demand!BI4*Capacity!CC$3:CC$25*Capacity!$DI4/(TRANSPOSE(Dists!$B3:$X3)*MMULT(1/Dists!$B3:$X3,Capacity!$DI$3:$DI$25)))</f>
        <v>28.8562624905372</v>
      </c>
      <c r="BJ32" s="4" t="n">
        <f aca="false" t="array" ref="BJ32:BJ32">SUM(Demand!BJ4*Capacity!CD$3:CD$25*Capacity!$DI4/(TRANSPOSE(Dists!$B3:$X3)*MMULT(1/Dists!$B3:$X3,Capacity!$DI$3:$DI$25)))</f>
        <v>554.253794540657</v>
      </c>
      <c r="BK32" s="4" t="n">
        <f aca="false" t="array" ref="BK32:BK32">SUM(Demand!BK4*Capacity!CE$3:CE$25*Capacity!$DI4/(TRANSPOSE(Dists!$B3:$X3)*MMULT(1/Dists!$B3:$X3,Capacity!$DI$3:$DI$25)))</f>
        <v>14.4281312452686</v>
      </c>
      <c r="BL32" s="4" t="n">
        <f aca="false" t="array" ref="BL32:BL32">SUM(Demand!BL4*Capacity!CF$3:CF$25*Capacity!$DI4/(TRANSPOSE(Dists!$B3:$X3)*MMULT(1/Dists!$B3:$X3,Capacity!$DI$3:$DI$25)))</f>
        <v>388.376904372647</v>
      </c>
      <c r="BM32" s="4" t="n">
        <f aca="false" t="array" ref="BM32:BM32">SUM(Demand!BM4*Capacity!CG$3:CG$25*Capacity!$DI4/(TRANSPOSE(Dists!$B3:$X3)*MMULT(1/Dists!$B3:$X3,Capacity!$DI$3:$DI$25)))</f>
        <v>16.5296980498497</v>
      </c>
      <c r="BN32" s="4" t="n">
        <f aca="false">BN4</f>
        <v>824.289638704095</v>
      </c>
      <c r="BO32" s="4" t="n">
        <f aca="false" t="array" ref="BO32:BO32">SUM(Demand!BO4*Capacity!CI$3:CI$25*Capacity!$DI4/(TRANSPOSE(Dists!$B3:$X3)*MMULT(1/Dists!$B3:$X3,Capacity!$DI$3:$DI$25)))</f>
        <v>1.70868242531231</v>
      </c>
      <c r="BP32" s="4" t="n">
        <f aca="false" t="array" ref="BP32:BP32">SUM(Demand!BP4*Capacity!CJ$3:CJ$25*Capacity!$DI4/(TRANSPOSE(Dists!$B3:$X3)*MMULT(1/Dists!$B3:$X3,Capacity!$DI$3:$DI$25)))</f>
        <v>1.87709208643094</v>
      </c>
      <c r="BQ32" s="4" t="n">
        <f aca="false" t="array" ref="BQ32:BQ32">SUM(Demand!BQ4*Capacity!CK$3:CK$25*Capacity!$DI4/(TRANSPOSE(Dists!$B3:$X3)*MMULT(1/Dists!$B3:$X3,Capacity!$DI$3:$DI$25)))</f>
        <v>0</v>
      </c>
      <c r="BR32" s="4" t="n">
        <f aca="false" t="array" ref="BR32:BR32">SUM(Demand!BR4*Capacity!CL$3:CL$25*Capacity!$DI4/(TRANSPOSE(Dists!$B3:$X3)*MMULT(1/Dists!$B3:$X3,Capacity!$DI$3:$DI$25)))</f>
        <v>0.0569560975660285</v>
      </c>
      <c r="BS32" s="4" t="n">
        <f aca="false" t="array" ref="BS32:BS32">SUM(Demand!BS4*Capacity!CM$3:CM$25*Capacity!$DI4/(TRANSPOSE(Dists!$B3:$X3)*MMULT(1/Dists!$B3:$X3,Capacity!$DI$3:$DI$25)))</f>
        <v>0.00569560975660285</v>
      </c>
      <c r="BT32" s="4" t="n">
        <f aca="false">BT4</f>
        <v>1.32616590119391</v>
      </c>
      <c r="BU32" s="4" t="n">
        <f aca="false">BU4</f>
        <v>0.132616590119391</v>
      </c>
      <c r="BV32" s="4" t="n">
        <f aca="false">BV4</f>
        <v>0.0132616590119391</v>
      </c>
      <c r="BW32" s="4" t="n">
        <f aca="false">BW4</f>
        <v>641.834208171</v>
      </c>
      <c r="BX32" s="4" t="n">
        <f aca="false" t="array" ref="BX32:BX32">SUM(Demand!BX4*Capacity!CR$3:CR$25*Capacity!$DI4/(TRANSPOSE(Dists!$B3:$X3)*MMULT(1/Dists!$B3:$X3,Capacity!$DI$3:$DI$25)))</f>
        <v>3.07077737363372</v>
      </c>
      <c r="BY32" s="4" t="n">
        <f aca="false" t="array" ref="BY32:BY32">SUM(Demand!BY4*Capacity!CS$3:CS$25*Capacity!$DI4/(TRANSPOSE(Dists!$B3:$X3)*MMULT(1/Dists!$B3:$X3,Capacity!$DI$3:$DI$25)))</f>
        <v>45.8873174784761</v>
      </c>
      <c r="BZ32" s="4" t="n">
        <f aca="false" t="array" ref="BZ32:BZ32">SUM(Demand!BZ4*Capacity!CT$3:CT$25*Capacity!$DI4/(TRANSPOSE(Dists!$B3:$X3)*MMULT(1/Dists!$B3:$X3,Capacity!$DI$3:$DI$25)))</f>
        <v>0.577805947986615</v>
      </c>
      <c r="CA32" s="4" t="n">
        <f aca="false" t="array" ref="CA32:CA32">SUM(Demand!CA4*Capacity!CU$3:CU$25*Capacity!$DI4/(TRANSPOSE(Dists!$B3:$X3)*MMULT(1/Dists!$B3:$X3,Capacity!$DI$3:$DI$25)))</f>
        <v>0.139989119141208</v>
      </c>
      <c r="CB32" s="4" t="n">
        <f aca="false" t="array" ref="CB32:CB32">SUM(Demand!CB4*Capacity!CV$3:CV$25*Capacity!$DI4/(TRANSPOSE(Dists!$B3:$X3)*MMULT(1/Dists!$B3:$X3,Capacity!$DI$3:$DI$25)))</f>
        <v>79.815455077948</v>
      </c>
      <c r="CC32" s="4" t="n">
        <f aca="false" t="array" ref="CC32:CC32">SUM(Demand!CC4*Capacity!CW$3:CW$25*Capacity!$DI4/(TRANSPOSE(Dists!$B3:$X3)*MMULT(1/Dists!$B3:$X3,Capacity!$DI$3:$DI$25)))</f>
        <v>2.25692646067346</v>
      </c>
      <c r="CD32" s="4" t="n">
        <f aca="false">SUM($BG32,$BI32,$BK32)*Capacity!CX4/SUM(Capacity!$AM4:$AN4,Capacity!$CX4)</f>
        <v>31.606986497655</v>
      </c>
      <c r="CE32" s="4" t="n">
        <f aca="false" t="array" ref="CE32:CE32">SUM(Demand!CE4*Capacity!CY$3:CY$25*Capacity!$DI4/(TRANSPOSE(Dists!$B3:$X3)*MMULT(1/Dists!$B3:$X3,Capacity!$DI$3:$DI$25)))</f>
        <v>1.45513549061225</v>
      </c>
      <c r="CF32" s="4" t="n">
        <f aca="false" t="array" ref="CF32:CF32">SUM(Demand!CF4*Capacity!CZ$3:CZ$25*Capacity!$DI4/(TRANSPOSE(Dists!$B3:$X3)*MMULT(1/Dists!$B3:$X3,Capacity!$DI$3:$DI$25)))</f>
        <v>690.334112653502</v>
      </c>
      <c r="CG32" s="4" t="n">
        <f aca="false" t="array" ref="CG32:CG32">SUM(Demand!CG4*Capacity!DA$3:DA$25*Capacity!$DI4/(TRANSPOSE(Dists!$B3:$X3)*MMULT(1/Dists!$B3:$X3,Capacity!$DI$3:$DI$25)))</f>
        <v>2.86668613918302</v>
      </c>
      <c r="CH32" s="4" t="n">
        <f aca="false" t="array" ref="CH32:CH32">SUM(Demand!CH4*Capacity!DB$3:DB$25*Capacity!$DI4/(TRANSPOSE(Dists!$B3:$X3)*MMULT(1/Dists!$B3:$X3,Capacity!$DI$3:$DI$25)))</f>
        <v>1.22586439162495</v>
      </c>
      <c r="CI32" s="4" t="n">
        <f aca="false" t="array" ref="CI32:CI32">SUM(Demand!CI4*Capacity!DC$3:DC$25*Capacity!$DI4/(TRANSPOSE(Dists!$B3:$X3)*MMULT(1/Dists!$B3:$X3,Capacity!$DI$3:$DI$25)))</f>
        <v>0.0653927372010371</v>
      </c>
      <c r="CJ32" s="4" t="n">
        <f aca="false" t="array" ref="CJ32:CJ32">SUM(Demand!CJ4*Capacity!DD$3:DD$25*Capacity!$DI4/(TRANSPOSE(Dists!$B3:$X3)*MMULT(1/Dists!$B3:$X3,Capacity!$DI$3:$DI$25)))</f>
        <v>0.016567172520692</v>
      </c>
      <c r="CK32" s="4" t="n">
        <f aca="false" t="array" ref="CK32:CK32">SUM(Demand!CK4*Capacity!DE$3:DE$25*Capacity!$DI4/(TRANSPOSE(Dists!$B3:$X3)*MMULT(1/Dists!$B3:$X3,Capacity!$DI$3:$DI$25)))</f>
        <v>5.09543114454577</v>
      </c>
      <c r="CL32" s="7" t="s">
        <v>322</v>
      </c>
    </row>
    <row r="33" customFormat="false" ht="12.8" hidden="false" customHeight="false" outlineLevel="0" collapsed="false">
      <c r="A33" s="4" t="s">
        <v>135</v>
      </c>
      <c r="B33" s="7" t="s">
        <v>39</v>
      </c>
      <c r="C33" s="4" t="n">
        <f aca="false" t="array" ref="C33:C33">SUM(Demand!C5*Capacity!S$3:S$25*Capacity!$DH5/(TRANSPOSE(Dists!$B4:$X4)*MMULT(1/Dists!$B4:$X4,Capacity!$DH$3:$DH$25)))</f>
        <v>0.0377977969006228</v>
      </c>
      <c r="D33" s="4" t="n">
        <f aca="false" t="array" ref="D33:D33">SUM(Demand!D5*Capacity!V$3:V$25*Capacity!$DH5/(TRANSPOSE(Dists!$B4:$X4)*MMULT(1/Dists!$B4:$X4,Capacity!$DH$3:$DH$25)))</f>
        <v>2557.16858288211</v>
      </c>
      <c r="E33" s="4" t="n">
        <f aca="false" t="array" ref="E33:E33">SUM(Demand!E5*Capacity!Y$3:Y$25*Capacity!$DH5/(TRANSPOSE(Dists!$B4:$X4)*MMULT(1/Dists!$B4:$X4,Capacity!$DH$3:$DH$25)))</f>
        <v>404.472692081781</v>
      </c>
      <c r="F33" s="4" t="n">
        <f aca="false">$E5*Capacity!$M5/(2*(1-Capacity!$H$28)*Capacity!$H5)</f>
        <v>122.460355547985</v>
      </c>
      <c r="G33" s="4" t="n">
        <f aca="false" t="array" ref="G33:G33">SUM(Demand!G5*Capacity!AA$3:AA$25*Capacity!$DH5/(TRANSPOSE(Dists!$B4:$X4)*MMULT(1/Dists!$B4:$X4,Capacity!$DH$3:$DH$25)))</f>
        <v>507.64229918873</v>
      </c>
      <c r="H33" s="4" t="n">
        <f aca="false" t="array" ref="H33:H33">SUM(Demand!H5*Capacity!AB$3:AB$25*Capacity!$DH5/(TRANSPOSE(Dists!$B4:$X4)*MMULT(1/Dists!$B4:$X4,Capacity!$DH$3:$DH$25)))</f>
        <v>0</v>
      </c>
      <c r="I33" s="4" t="n">
        <f aca="false" t="array" ref="I33:I33">SUM(Demand!I5*Capacity!AC$3:AC$25*Capacity!$DG5/(TRANSPOSE(Dists!$B4:$X4)*MMULT(1/Dists!$B4:$X4,Capacity!$DG$3:$DG$25)))</f>
        <v>1.47300601627169</v>
      </c>
      <c r="J33" s="4" t="n">
        <f aca="false" t="array" ref="J33:J33">SUM(Demand!J5*Capacity!AD$3:AD$25*Capacity!$DG5/(TRANSPOSE(Dists!$B4:$X4)*MMULT(1/Dists!$B4:$X4,Capacity!$DG$3:$DG$25)))</f>
        <v>0.822265578372581</v>
      </c>
      <c r="K33" s="4" t="n">
        <f aca="false">5479.45205479452*$R5</f>
        <v>1154507.48049128</v>
      </c>
      <c r="L33" s="4" t="n">
        <f aca="false">17142.8571428571*$S5</f>
        <v>334979.459250536</v>
      </c>
      <c r="M33" s="4" t="n">
        <f aca="false">IF(50420.1680672269*$T5&gt;($K5/20),50420.1680672269*$T5-($K5/20),0)</f>
        <v>492925.79186673</v>
      </c>
      <c r="N33" s="4" t="n">
        <f aca="false" t="array" ref="N33:N33">SUM(Demand!N5*Capacity!AH$3:AH$25*Capacity!$DH5/(TRANSPOSE(Dists!$B4:$X4)*MMULT(1/Dists!$B4:$X4,Capacity!$DH$3:$DH$25)))</f>
        <v>579.518893071515</v>
      </c>
      <c r="O33" s="4" t="n">
        <f aca="false">O5</f>
        <v>1704.77905525474</v>
      </c>
      <c r="P33" s="4" t="n">
        <f aca="false">P5</f>
        <v>681.911622101896</v>
      </c>
      <c r="Q33" s="4" t="n">
        <f aca="false" t="array" ref="Q33:Q33">SUM(Demand!Q5*Capacity!AK$3:AK$25*Capacity!$DI5/(TRANSPOSE(Dists!$B4:$X4)*MMULT(1/Dists!$B4:$X4,Capacity!$DI$3:$DI$25)))</f>
        <v>14.6136542500268</v>
      </c>
      <c r="R33" s="4" t="n">
        <f aca="false" t="array" ref="R33:R33">SUM(Demand!R5*Capacity!AL$3:AL$25*Capacity!$DH5/(TRANSPOSE(Dists!$B4:$X4)*MMULT(1/Dists!$B4:$X4,Capacity!$DH$3:$DH$25)))</f>
        <v>226.340661113743</v>
      </c>
      <c r="S33" s="4" t="n">
        <f aca="false">SUM($BG33,$BI33,$BK33)*Capacity!AM5/SUM(Capacity!$AM5:$AN5,Capacity!$CX5)</f>
        <v>19.5404684562813</v>
      </c>
      <c r="T33" s="4" t="n">
        <f aca="false">SUM($BG33,$BI33,$BK33)*Capacity!AN5/SUM(Capacity!$AM5:$AN5,Capacity!$CX5)</f>
        <v>10.9212481235107</v>
      </c>
      <c r="U33" s="4" t="n">
        <f aca="false">$M5*120*2/(16*1000*2000)</f>
        <v>3.69694343900047</v>
      </c>
      <c r="V33" s="4" t="n">
        <f aca="false" t="array" ref="V33:V33">SUM(Demand!V5*Capacity!AP$3:AP$25*Capacity!$DH5/(TRANSPOSE(Dists!$B4:$X4)*MMULT(1/Dists!$B4:$X4,Capacity!$DH$3:$DH$25)))</f>
        <v>25.102671779616</v>
      </c>
      <c r="W33" s="4" t="n">
        <f aca="false" t="array" ref="W33:W33">SUM(Demand!W5*Capacity!AQ$3:AQ$25*Capacity!$DH5/(TRANSPOSE(Dists!$B4:$X4)*MMULT(1/Dists!$B4:$X4,Capacity!$DH$3:$DH$25)))</f>
        <v>716.53610340384</v>
      </c>
      <c r="X33" s="4" t="n">
        <f aca="false" t="array" ref="X33:X33">SUM(Demand!X5*Capacity!AR$3:AR$25*Capacity!$DH5/(TRANSPOSE(Dists!$B4:$X4)*MMULT(1/Dists!$B4:$X4,Capacity!$DH$3:$DH$25)))</f>
        <v>2446.453189031</v>
      </c>
      <c r="Y33" s="4" t="n">
        <f aca="false">$L5*600*6/(90*1000*2000)</f>
        <v>6.69958918501072</v>
      </c>
      <c r="Z33" s="4" t="n">
        <f aca="false" t="array" ref="Z33:Z33">SUM(Demand!Z5*Capacity!AT$3:AT$25*Capacity!$DI5/(TRANSPOSE(Dists!$B4:$X4)*MMULT(1/Dists!$B4:$X4,Capacity!$DI$3:$DI$25)))</f>
        <v>30.3300995309601</v>
      </c>
      <c r="AA33" s="4" t="n">
        <f aca="false" t="array" ref="AA33:AA33">SUM(Demand!AA5*Capacity!AU$3:AU$25*Capacity!$DI5/(TRANSPOSE(Dists!$B4:$X4)*MMULT(1/Dists!$B4:$X4,Capacity!$DI$3:$DI$25)))</f>
        <v>28.5299972097123</v>
      </c>
      <c r="AB33" s="4" t="n">
        <f aca="false" t="array" ref="AB33:AB33">SUM(Demand!AB5*Capacity!AV$3:AV$25*Capacity!$DI5/(TRANSPOSE(Dists!$B4:$X4)*MMULT(1/Dists!$B4:$X4,Capacity!$DI$3:$DI$25)))</f>
        <v>28.3067667192521</v>
      </c>
      <c r="AC33" s="4" t="n">
        <f aca="false" t="array" ref="AC33:AC33">SUM(Demand!AC5*Capacity!AW$3:AW$25*Capacity!$DI5/(TRANSPOSE(Dists!$B4:$X4)*MMULT(1/Dists!$B4:$X4,Capacity!$DI$3:$DI$25)))</f>
        <v>5.17567966074267</v>
      </c>
      <c r="AD33" s="4" t="n">
        <f aca="false" t="array" ref="AD33:AD33">SUM(Demand!AD5*Capacity!AX$3:AX$25*Capacity!$DI5/(TRANSPOSE(Dists!$B4:$X4)*MMULT(1/Dists!$B4:$X4,Capacity!$DI$3:$DI$25)))</f>
        <v>4.63411951815193</v>
      </c>
      <c r="AE33" s="4" t="n">
        <f aca="false" t="array" ref="AE33:AE33">SUM(Demand!AE5*Capacity!AY$3:AY$25*Capacity!$DI5/(TRANSPOSE(Dists!$B4:$X4)*MMULT(1/Dists!$B4:$X4,Capacity!$DI$3:$DI$25)))</f>
        <v>3.563139640928</v>
      </c>
      <c r="AF33" s="4" t="n">
        <f aca="false" t="array" ref="AF33:AF33">SUM(Demand!AF5*Capacity!AZ$3:AZ$25*Capacity!$DI5/(TRANSPOSE(Dists!$B4:$X4)*MMULT(1/Dists!$B4:$X4,Capacity!$DI$3:$DI$25)))</f>
        <v>0.201212555184763</v>
      </c>
      <c r="AG33" s="4" t="n">
        <f aca="false" t="array" ref="AG33:AG33">SUM(Demand!AG5*Capacity!BA$3:BA$25*Capacity!$DI5/(TRANSPOSE(Dists!$B4:$X4)*MMULT(1/Dists!$B4:$X4,Capacity!$DI$3:$DI$25)))</f>
        <v>4.55866180597185</v>
      </c>
      <c r="AH33" s="4" t="n">
        <f aca="false" t="array" ref="AH33:AH33">SUM(Demand!AH5*Capacity!BB$3:BB$25*Capacity!$DI5/(TRANSPOSE(Dists!$B4:$X4)*MMULT(1/Dists!$B4:$X4,Capacity!$DI$3:$DI$25)))</f>
        <v>4.1366260791597</v>
      </c>
      <c r="AI33" s="4" t="n">
        <f aca="false" t="array" ref="AI33:AI33">SUM(Demand!AI5*Capacity!BC$3:BC$25*Capacity!$DI5/(TRANSPOSE(Dists!$B4:$X4)*MMULT(1/Dists!$B4:$X4,Capacity!$DI$3:$DI$25)))</f>
        <v>0.288778056947811</v>
      </c>
      <c r="AJ33" s="4" t="n">
        <f aca="false" t="array" ref="AJ33:AJ33">SUM(Demand!AJ5*Capacity!BD$3:BD$25*Capacity!$DI5/(TRANSPOSE(Dists!$B4:$X4)*MMULT(1/Dists!$B4:$X4,Capacity!$DI$3:$DI$25)))</f>
        <v>1.07880225166237</v>
      </c>
      <c r="AK33" s="4" t="n">
        <f aca="false" t="array" ref="AK33:AK33">SUM(Demand!AK5*Capacity!BE$3:BE$25*Capacity!$DI5/(TRANSPOSE(Dists!$B4:$X4)*MMULT(1/Dists!$B4:$X4,Capacity!$DI$3:$DI$25)))</f>
        <v>0.261261714776993</v>
      </c>
      <c r="AL33" s="4" t="n">
        <f aca="false" t="array" ref="AL33:AL33">SUM(Demand!AL5*Capacity!BF$3:BF$25*Capacity!$DI5/(TRANSPOSE(Dists!$B4:$X4)*MMULT(1/Dists!$B4:$X4,Capacity!$DI$3:$DI$25)))</f>
        <v>0.0986469982539</v>
      </c>
      <c r="AM33" s="4" t="n">
        <f aca="false" t="array" ref="AM33:AM33">SUM(Demand!AM5*Capacity!BG$3:BG$25*Capacity!$DI5/(TRANSPOSE(Dists!$B4:$X4)*MMULT(1/Dists!$B4:$X4,Capacity!$DI$3:$DI$25)))</f>
        <v>0.0136396651909836</v>
      </c>
      <c r="AN33" s="4" t="n">
        <f aca="false" t="array" ref="AN33:AN33">SUM(Demand!AN5*Capacity!BH$3:BH$25*Capacity!$DI5/(TRANSPOSE(Dists!$B4:$X4)*MMULT(1/Dists!$B4:$X4,Capacity!$DI$3:$DI$25)))</f>
        <v>0.698558274863814</v>
      </c>
      <c r="AO33" s="4" t="n">
        <f aca="false" t="array" ref="AO33:AO33">SUM(Demand!AO5*Capacity!BI$3:BI$25*Capacity!$DI5/(TRANSPOSE(Dists!$B4:$X4)*MMULT(1/Dists!$B4:$X4,Capacity!$DI$3:$DI$25)))</f>
        <v>0.253625471929238</v>
      </c>
      <c r="AP33" s="4" t="n">
        <f aca="false" t="array" ref="AP33:AP33">SUM(Demand!AP5*Capacity!BJ$3:BJ$25*Capacity!$DI5/(TRANSPOSE(Dists!$B4:$X4)*MMULT(1/Dists!$B4:$X4,Capacity!$DI$3:$DI$25)))</f>
        <v>1.57277248616587</v>
      </c>
      <c r="AQ33" s="4" t="n">
        <f aca="false" t="array" ref="AQ33:AQ33">SUM(Demand!AQ5*Capacity!BK$3:BK$25*Capacity!$DI5/(TRANSPOSE(Dists!$B4:$X4)*MMULT(1/Dists!$B4:$X4,Capacity!$DI$3:$DI$25)))</f>
        <v>0.0950803043229312</v>
      </c>
      <c r="AR33" s="4" t="n">
        <f aca="false" t="array" ref="AR33:AR33">SUM(Demand!AR5*Capacity!BL$3:BL$25*Capacity!$DI5/(TRANSPOSE(Dists!$B4:$X4)*MMULT(1/Dists!$B4:$X4,Capacity!$DI$3:$DI$25)))</f>
        <v>0.0733157735049405</v>
      </c>
      <c r="AS33" s="4" t="n">
        <f aca="false" t="array" ref="AS33:AS33">SUM(Demand!AS5*Capacity!BM$3:BM$25*Capacity!$DI5/(TRANSPOSE(Dists!$B4:$X4)*MMULT(1/Dists!$B4:$X4,Capacity!$DI$3:$DI$25)))</f>
        <v>0.644506246327384</v>
      </c>
      <c r="AT33" s="4" t="n">
        <f aca="false" t="array" ref="AT33:AT33">SUM(Demand!AT5*Capacity!BN$3:BN$25*Capacity!$DI5/(TRANSPOSE(Dists!$B4:$X4)*MMULT(1/Dists!$B4:$X4,Capacity!$DI$3:$DI$25)))</f>
        <v>1.32889964967793</v>
      </c>
      <c r="AU33" s="4" t="n">
        <f aca="false" t="array" ref="AU33:AU33">SUM(Demand!AU5*Capacity!BO$3:BO$25*Capacity!$DI5/(TRANSPOSE(Dists!$B4:$X4)*MMULT(1/Dists!$B4:$X4,Capacity!$DI$3:$DI$25)))</f>
        <v>1.70182583325612</v>
      </c>
      <c r="AV33" s="4" t="n">
        <f aca="false" t="array" ref="AV33:AV33">SUM(Demand!AV5*Capacity!BP$3:BP$25*Capacity!$DI5/(TRANSPOSE(Dists!$B4:$X4)*MMULT(1/Dists!$B4:$X4,Capacity!$DI$3:$DI$25)))</f>
        <v>0.00510919070063425</v>
      </c>
      <c r="AW33" s="4" t="n">
        <f aca="false" t="array" ref="AW33:AW33">SUM(Demand!AW5*Capacity!BQ$3:BQ$25*Capacity!$DI5/(TRANSPOSE(Dists!$B4:$X4)*MMULT(1/Dists!$B4:$X4,Capacity!$DI$3:$DI$25)))</f>
        <v>2.86241777961344</v>
      </c>
      <c r="AX33" s="4" t="n">
        <f aca="false" t="array" ref="AX33:AX33">SUM(Demand!AX5*Capacity!BR$3:BR$25*Capacity!$DI5/(TRANSPOSE(Dists!$B4:$X4)*MMULT(1/Dists!$B4:$X4,Capacity!$DI$3:$DI$25)))</f>
        <v>0.370103428970626</v>
      </c>
      <c r="AY33" s="4" t="n">
        <f aca="false" t="array" ref="AY33:AY33">SUM(Demand!AY5*Capacity!BS$3:BS$25*Capacity!$DI5/(TRANSPOSE(Dists!$B4:$X4)*MMULT(1/Dists!$B4:$X4,Capacity!$DI$3:$DI$25)))</f>
        <v>0.356643988993632</v>
      </c>
      <c r="AZ33" s="4" t="n">
        <f aca="false" t="array" ref="AZ33:AZ33">SUM(Demand!AZ5*Capacity!BT$3:BT$25*Capacity!$DI5/(TRANSPOSE(Dists!$B4:$X4)*MMULT(1/Dists!$B4:$X4,Capacity!$DI$3:$DI$25)))</f>
        <v>2.28499180959342</v>
      </c>
      <c r="BA33" s="4" t="n">
        <f aca="false">BA5</f>
        <v>0.0821028086398373</v>
      </c>
      <c r="BB33" s="4" t="n">
        <f aca="false" t="array" ref="BB33:BB33">SUM(Demand!BB5*Capacity!BV$3:BV$25*Capacity!$DI5/(TRANSPOSE(Dists!$B4:$X4)*MMULT(1/Dists!$B4:$X4,Capacity!$DI$3:$DI$25)))</f>
        <v>0.498025014160616</v>
      </c>
      <c r="BC33" s="4" t="n">
        <f aca="false" t="array" ref="BC33:BC33">SUM(Demand!BC5*Capacity!BW$3:BW$25*Capacity!$DI5/(TRANSPOSE(Dists!$B4:$X4)*MMULT(1/Dists!$B4:$X4,Capacity!$DI$3:$DI$25)))</f>
        <v>0.2729969329112</v>
      </c>
      <c r="BD33" s="4" t="n">
        <f aca="false" t="array" ref="BD33:BD33">SUM(Demand!BD5*Capacity!BX$3:BX$25*Capacity!$DI5/(TRANSPOSE(Dists!$B4:$X4)*MMULT(1/Dists!$B4:$X4,Capacity!$DI$3:$DI$25)))</f>
        <v>0.141008959631898</v>
      </c>
      <c r="BE33" s="4" t="n">
        <f aca="false" t="array" ref="BE33:BE33">SUM(Demand!BE5*Capacity!BY$3:BY$25*Capacity!$DI5/(TRANSPOSE(Dists!$B4:$X4)*MMULT(1/Dists!$B4:$X4,Capacity!$DI$3:$DI$25)))</f>
        <v>0.129060431361949</v>
      </c>
      <c r="BF33" s="4" t="n">
        <f aca="false" t="array" ref="BF33:BF33">SUM(Demand!BF5*Capacity!BZ$3:BZ$25*Capacity!$DI5/(TRANSPOSE(Dists!$B4:$X4)*MMULT(1/Dists!$B4:$X4,Capacity!$DI$3:$DI$25)))</f>
        <v>22.849694908171</v>
      </c>
      <c r="BG33" s="4" t="n">
        <f aca="false" t="array" ref="BG33:BG33">SUM(Demand!BG5*Capacity!CA$3:CA$25*Capacity!$DI5/(TRANSPOSE(Dists!$B4:$X4)*MMULT(1/Dists!$B4:$X4,Capacity!$DI$3:$DI$25)))</f>
        <v>21.0882529761095</v>
      </c>
      <c r="BH33" s="4" t="n">
        <f aca="false" t="array" ref="BH33:BH33">SUM(Demand!BH5*Capacity!CB$3:CB$25*Capacity!$DI5/(TRANSPOSE(Dists!$B4:$X4)*MMULT(1/Dists!$B4:$X4,Capacity!$DI$3:$DI$25)))</f>
        <v>42.1765059522191</v>
      </c>
      <c r="BI33" s="4" t="n">
        <f aca="false" t="array" ref="BI33:BI33">SUM(Demand!BI5*Capacity!CC$3:CC$25*Capacity!$DI5/(TRANSPOSE(Dists!$B4:$X4)*MMULT(1/Dists!$B4:$X4,Capacity!$DI$3:$DI$25)))</f>
        <v>56.2353412696254</v>
      </c>
      <c r="BJ33" s="4" t="n">
        <f aca="false" t="array" ref="BJ33:BJ33">SUM(Demand!BJ5*Capacity!CD$3:CD$25*Capacity!$DI5/(TRANSPOSE(Dists!$B4:$X4)*MMULT(1/Dists!$B4:$X4,Capacity!$DI$3:$DI$25)))</f>
        <v>1162.28123325637</v>
      </c>
      <c r="BK33" s="4" t="n">
        <f aca="false" t="array" ref="BK33:BK33">SUM(Demand!BK5*Capacity!CE$3:CE$25*Capacity!$DI5/(TRANSPOSE(Dists!$B4:$X4)*MMULT(1/Dists!$B4:$X4,Capacity!$DI$3:$DI$25)))</f>
        <v>28.1176706348127</v>
      </c>
      <c r="BL33" s="4" t="n">
        <f aca="false" t="array" ref="BL33:BL33">SUM(Demand!BL5*Capacity!CF$3:CF$25*Capacity!$DI5/(TRANSPOSE(Dists!$B4:$X4)*MMULT(1/Dists!$B4:$X4,Capacity!$DI$3:$DI$25)))</f>
        <v>389.912859035561</v>
      </c>
      <c r="BM33" s="4" t="n">
        <f aca="false" t="array" ref="BM33:BM33">SUM(Demand!BM5*Capacity!CG$3:CG$25*Capacity!$DI5/(TRANSPOSE(Dists!$B4:$X4)*MMULT(1/Dists!$B4:$X4,Capacity!$DI$3:$DI$25)))</f>
        <v>116.925969295588</v>
      </c>
      <c r="BN33" s="4" t="n">
        <f aca="false">BN5</f>
        <v>0.00111787759993521</v>
      </c>
      <c r="BO33" s="4" t="n">
        <f aca="false" t="array" ref="BO33:BO33">SUM(Demand!BO5*Capacity!CI$3:CI$25*Capacity!$DI5/(TRANSPOSE(Dists!$B4:$X4)*MMULT(1/Dists!$B4:$X4,Capacity!$DI$3:$DI$25)))</f>
        <v>10.4996604692839</v>
      </c>
      <c r="BP33" s="4" t="n">
        <f aca="false" t="array" ref="BP33:BP33">SUM(Demand!BP5*Capacity!CJ$3:CJ$25*Capacity!$DI5/(TRANSPOSE(Dists!$B4:$X4)*MMULT(1/Dists!$B4:$X4,Capacity!$DI$3:$DI$25)))</f>
        <v>13.1864979619548</v>
      </c>
      <c r="BQ33" s="4" t="n">
        <f aca="false" t="array" ref="BQ33:BQ33">SUM(Demand!BQ5*Capacity!CK$3:CK$25*Capacity!$DI5/(TRANSPOSE(Dists!$B4:$X4)*MMULT(1/Dists!$B4:$X4,Capacity!$DI$3:$DI$25)))</f>
        <v>0</v>
      </c>
      <c r="BR33" s="4" t="n">
        <f aca="false" t="array" ref="BR33:BR33">SUM(Demand!BR5*Capacity!CL$3:CL$25*Capacity!$DI5/(TRANSPOSE(Dists!$B4:$X4)*MMULT(1/Dists!$B4:$X4,Capacity!$DI$3:$DI$25)))</f>
        <v>0.349989083290804</v>
      </c>
      <c r="BS33" s="4" t="n">
        <f aca="false" t="array" ref="BS33:BS33">SUM(Demand!BS5*Capacity!CM$3:CM$25*Capacity!$DI5/(TRANSPOSE(Dists!$B4:$X4)*MMULT(1/Dists!$B4:$X4,Capacity!$DI$3:$DI$25)))</f>
        <v>0.0349989083290805</v>
      </c>
      <c r="BT33" s="4" t="n">
        <f aca="false">BT5</f>
        <v>4.93498491440359</v>
      </c>
      <c r="BU33" s="4" t="n">
        <f aca="false">BU5</f>
        <v>0.493498491440359</v>
      </c>
      <c r="BV33" s="4" t="n">
        <f aca="false">BV5</f>
        <v>0.0493498491440359</v>
      </c>
      <c r="BW33" s="4" t="n">
        <f aca="false">BW5</f>
        <v>1750.94358577106</v>
      </c>
      <c r="BX33" s="4" t="n">
        <f aca="false" t="array" ref="BX33:BX33">SUM(Demand!BX5*Capacity!CR$3:CR$25*Capacity!$DI5/(TRANSPOSE(Dists!$B4:$X4)*MMULT(1/Dists!$B4:$X4,Capacity!$DI$3:$DI$25)))</f>
        <v>6.54683075104259</v>
      </c>
      <c r="BY33" s="4" t="n">
        <f aca="false" t="array" ref="BY33:BY33">SUM(Demand!BY5*Capacity!CS$3:CS$25*Capacity!$DI5/(TRANSPOSE(Dists!$B4:$X4)*MMULT(1/Dists!$B4:$X4,Capacity!$DI$3:$DI$25)))</f>
        <v>165.861572990675</v>
      </c>
      <c r="BZ33" s="4" t="n">
        <f aca="false" t="array" ref="BZ33:BZ33">SUM(Demand!BZ5*Capacity!CT$3:CT$25*Capacity!$DI5/(TRANSPOSE(Dists!$B4:$X4)*MMULT(1/Dists!$B4:$X4,Capacity!$DI$3:$DI$25)))</f>
        <v>0.0966262710428717</v>
      </c>
      <c r="CA33" s="4" t="n">
        <f aca="false" t="array" ref="CA33:CA33">SUM(Demand!CA5*Capacity!CU$3:CU$25*Capacity!$DI5/(TRANSPOSE(Dists!$B4:$X4)*MMULT(1/Dists!$B4:$X4,Capacity!$DI$3:$DI$25)))</f>
        <v>0.138357323337344</v>
      </c>
      <c r="CB33" s="4" t="n">
        <f aca="false" t="array" ref="CB33:CB33">SUM(Demand!CB5*Capacity!CV$3:CV$25*Capacity!$DI5/(TRANSPOSE(Dists!$B4:$X4)*MMULT(1/Dists!$B4:$X4,Capacity!$DI$3:$DI$25)))</f>
        <v>191.79934739147</v>
      </c>
      <c r="CC33" s="4" t="n">
        <f aca="false" t="array" ref="CC33:CC33">SUM(Demand!CC5*Capacity!CW$3:CW$25*Capacity!$DI5/(TRANSPOSE(Dists!$B4:$X4)*MMULT(1/Dists!$B4:$X4,Capacity!$DI$3:$DI$25)))</f>
        <v>219.143922212429</v>
      </c>
      <c r="CD33" s="4" t="n">
        <f aca="false">SUM($BG33,$BI33,$BK33)*Capacity!CX5/SUM(Capacity!$AM5:$AN5,Capacity!$CX5)</f>
        <v>74.9795483007557</v>
      </c>
      <c r="CE33" s="4" t="n">
        <f aca="false" t="array" ref="CE33:CE33">SUM(Demand!CE5*Capacity!CY$3:CY$25*Capacity!$DI5/(TRANSPOSE(Dists!$B4:$X4)*MMULT(1/Dists!$B4:$X4,Capacity!$DI$3:$DI$25)))</f>
        <v>6.29067380369286</v>
      </c>
      <c r="CF33" s="4" t="n">
        <f aca="false" t="array" ref="CF33:CF33">SUM(Demand!CF5*Capacity!CZ$3:CZ$25*Capacity!$DI5/(TRANSPOSE(Dists!$B4:$X4)*MMULT(1/Dists!$B4:$X4,Capacity!$DI$3:$DI$25)))</f>
        <v>1242.91483465181</v>
      </c>
      <c r="CG33" s="4" t="n">
        <f aca="false" t="array" ref="CG33:CG33">SUM(Demand!CG5*Capacity!DA$3:DA$25*Capacity!$DI5/(TRANSPOSE(Dists!$B4:$X4)*MMULT(1/Dists!$B4:$X4,Capacity!$DI$3:$DI$25)))</f>
        <v>1.70927846320954</v>
      </c>
      <c r="CH33" s="4" t="n">
        <f aca="false" t="array" ref="CH33:CH33">SUM(Demand!CH5*Capacity!DB$3:DB$25*Capacity!$DI5/(TRANSPOSE(Dists!$B4:$X4)*MMULT(1/Dists!$B4:$X4,Capacity!$DI$3:$DI$25)))</f>
        <v>0.256855986500087</v>
      </c>
      <c r="CI33" s="4" t="n">
        <f aca="false" t="array" ref="CI33:CI33">SUM(Demand!CI5*Capacity!DC$3:DC$25*Capacity!$DI5/(TRANSPOSE(Dists!$B4:$X4)*MMULT(1/Dists!$B4:$X4,Capacity!$DI$3:$DI$25)))</f>
        <v>0.170154090871309</v>
      </c>
      <c r="CJ33" s="4" t="n">
        <f aca="false" t="array" ref="CJ33:CJ33">SUM(Demand!CJ5*Capacity!DD$3:DD$25*Capacity!$DI5/(TRANSPOSE(Dists!$B4:$X4)*MMULT(1/Dists!$B4:$X4,Capacity!$DI$3:$DI$25)))</f>
        <v>0.00843967841410015</v>
      </c>
      <c r="CK33" s="4" t="n">
        <f aca="false" t="array" ref="CK33:CK33">SUM(Demand!CK5*Capacity!DE$3:DE$25*Capacity!$DI5/(TRANSPOSE(Dists!$B4:$X4)*MMULT(1/Dists!$B4:$X4,Capacity!$DI$3:$DI$25)))</f>
        <v>6.6229656472807</v>
      </c>
      <c r="CL33" s="7" t="s">
        <v>322</v>
      </c>
    </row>
    <row r="34" customFormat="false" ht="12.8" hidden="false" customHeight="false" outlineLevel="0" collapsed="false">
      <c r="A34" s="4" t="s">
        <v>137</v>
      </c>
      <c r="B34" s="7" t="s">
        <v>39</v>
      </c>
      <c r="C34" s="4" t="n">
        <f aca="false" t="array" ref="C34:C34">SUM(Demand!C6*Capacity!S$3:S$25*Capacity!$DH6/(TRANSPOSE(Dists!$B5:$X5)*MMULT(1/Dists!$B5:$X5,Capacity!$DH$3:$DH$25)))</f>
        <v>0.129836616254316</v>
      </c>
      <c r="D34" s="4" t="n">
        <f aca="false" t="array" ref="D34:D34">SUM(Demand!D6*Capacity!V$3:V$25*Capacity!$DH6/(TRANSPOSE(Dists!$B5:$X5)*MMULT(1/Dists!$B5:$X5,Capacity!$DH$3:$DH$25)))</f>
        <v>6327.15242893743</v>
      </c>
      <c r="E34" s="4" t="n">
        <f aca="false" t="array" ref="E34:E34">SUM(Demand!E6*Capacity!Y$3:Y$25*Capacity!$DH6/(TRANSPOSE(Dists!$B5:$X5)*MMULT(1/Dists!$B5:$X5,Capacity!$DH$3:$DH$25)))</f>
        <v>972.877845598194</v>
      </c>
      <c r="F34" s="4" t="n">
        <f aca="false">$E6*Capacity!$M6/(2*(1-Capacity!$H$28)*Capacity!$H6)</f>
        <v>1011.14563604602</v>
      </c>
      <c r="G34" s="4" t="n">
        <f aca="false" t="array" ref="G34:G34">SUM(Demand!G6*Capacity!AA$3:AA$25*Capacity!$DH6/(TRANSPOSE(Dists!$B5:$X5)*MMULT(1/Dists!$B5:$X5,Capacity!$DH$3:$DH$25)))</f>
        <v>1368.68340922789</v>
      </c>
      <c r="H34" s="4" t="n">
        <f aca="false" t="array" ref="H34:H34">SUM(Demand!H6*Capacity!AB$3:AB$25*Capacity!$DH6/(TRANSPOSE(Dists!$B5:$X5)*MMULT(1/Dists!$B5:$X5,Capacity!$DH$3:$DH$25)))</f>
        <v>0</v>
      </c>
      <c r="I34" s="4" t="n">
        <f aca="false" t="array" ref="I34:I34">SUM(Demand!I6*Capacity!AC$3:AC$25*Capacity!$DG6/(TRANSPOSE(Dists!$B5:$X5)*MMULT(1/Dists!$B5:$X5,Capacity!$DG$3:$DG$25)))</f>
        <v>30.0732026635816</v>
      </c>
      <c r="J34" s="4" t="n">
        <f aca="false" t="array" ref="J34:J34">SUM(Demand!J6*Capacity!AD$3:AD$25*Capacity!$DG6/(TRANSPOSE(Dists!$B5:$X5)*MMULT(1/Dists!$B5:$X5,Capacity!$DG$3:$DG$25)))</f>
        <v>15.4206266865886</v>
      </c>
      <c r="K34" s="4" t="n">
        <f aca="false">5479.45205479452*$R6</f>
        <v>3396324.89812084</v>
      </c>
      <c r="L34" s="4" t="n">
        <f aca="false">17142.8571428571*$S6</f>
        <v>1122853.0585102</v>
      </c>
      <c r="M34" s="4" t="n">
        <f aca="false">IF(50420.1680672269*$T6&gt;($K6/20),50420.1680672269*$T6-($K6/20),0)</f>
        <v>1675969.60469976</v>
      </c>
      <c r="N34" s="4" t="n">
        <f aca="false" t="array" ref="N34:N34">SUM(Demand!N6*Capacity!AH$3:AH$25*Capacity!$DH6/(TRANSPOSE(Dists!$B5:$X5)*MMULT(1/Dists!$B5:$X5,Capacity!$DH$3:$DH$25)))</f>
        <v>1390.41025905403</v>
      </c>
      <c r="O34" s="4" t="n">
        <f aca="false">O6</f>
        <v>4218.10161929162</v>
      </c>
      <c r="P34" s="4" t="n">
        <f aca="false">P6</f>
        <v>1687.24064771665</v>
      </c>
      <c r="Q34" s="4" t="n">
        <f aca="false" t="array" ref="Q34:Q34">SUM(Demand!Q6*Capacity!AK$3:AK$25*Capacity!$DI6/(TRANSPOSE(Dists!$B5:$X5)*MMULT(1/Dists!$B5:$X5,Capacity!$DI$3:$DI$25)))</f>
        <v>18.5715809355522</v>
      </c>
      <c r="R34" s="4" t="n">
        <f aca="false" t="array" ref="R34:R34">SUM(Demand!R6*Capacity!AL$3:AL$25*Capacity!$DH6/(TRANSPOSE(Dists!$B5:$X5)*MMULT(1/Dists!$B5:$X5,Capacity!$DH$3:$DH$25)))</f>
        <v>224.216823408373</v>
      </c>
      <c r="S34" s="4" t="n">
        <f aca="false">SUM($BG34,$BI34,$BK34)*Capacity!AM6/SUM(Capacity!$AM6:$AN6,Capacity!$CX6)</f>
        <v>65.4997617464282</v>
      </c>
      <c r="T34" s="4" t="n">
        <f aca="false">SUM($BG34,$BI34,$BK34)*Capacity!AN6/SUM(Capacity!$AM6:$AN6,Capacity!$CX6)</f>
        <v>36.6080860171818</v>
      </c>
      <c r="U34" s="4" t="n">
        <f aca="false">$M6*120*2/(16*1000*2000)</f>
        <v>12.5697720352482</v>
      </c>
      <c r="V34" s="4" t="n">
        <f aca="false" t="array" ref="V34:V34">SUM(Demand!V6*Capacity!AP$3:AP$25*Capacity!$DH6/(TRANSPOSE(Dists!$B5:$X5)*MMULT(1/Dists!$B5:$X5,Capacity!$DH$3:$DH$25)))</f>
        <v>33.1796092036126</v>
      </c>
      <c r="W34" s="4" t="n">
        <f aca="false" t="array" ref="W34:W34">SUM(Demand!W6*Capacity!AQ$3:AQ$25*Capacity!$DH6/(TRANSPOSE(Dists!$B5:$X5)*MMULT(1/Dists!$B5:$X5,Capacity!$DH$3:$DH$25)))</f>
        <v>492.190305871413</v>
      </c>
      <c r="X34" s="4" t="n">
        <f aca="false" t="array" ref="X34:X34">SUM(Demand!X6*Capacity!AR$3:AR$25*Capacity!$DH6/(TRANSPOSE(Dists!$B5:$X5)*MMULT(1/Dists!$B5:$X5,Capacity!$DH$3:$DH$25)))</f>
        <v>253.509867780236</v>
      </c>
      <c r="Y34" s="4" t="n">
        <f aca="false">$L6*600*6/(90*1000*2000)</f>
        <v>22.4570611702039</v>
      </c>
      <c r="Z34" s="4" t="n">
        <f aca="false" t="array" ref="Z34:Z34">SUM(Demand!Z6*Capacity!AT$3:AT$25*Capacity!$DI6/(TRANSPOSE(Dists!$B5:$X5)*MMULT(1/Dists!$B5:$X5,Capacity!$DI$3:$DI$25)))</f>
        <v>70.2127094168666</v>
      </c>
      <c r="AA34" s="4" t="n">
        <f aca="false" t="array" ref="AA34:AA34">SUM(Demand!AA6*Capacity!AU$3:AU$25*Capacity!$DI6/(TRANSPOSE(Dists!$B5:$X5)*MMULT(1/Dists!$B5:$X5,Capacity!$DI$3:$DI$25)))</f>
        <v>63.6145045573134</v>
      </c>
      <c r="AB34" s="4" t="n">
        <f aca="false" t="array" ref="AB34:AB34">SUM(Demand!AB6*Capacity!AV$3:AV$25*Capacity!$DI6/(TRANSPOSE(Dists!$B5:$X5)*MMULT(1/Dists!$B5:$X5,Capacity!$DI$3:$DI$25)))</f>
        <v>68.0862435482008</v>
      </c>
      <c r="AC34" s="4" t="n">
        <f aca="false" t="array" ref="AC34:AC34">SUM(Demand!AC6*Capacity!AW$3:AW$25*Capacity!$DI6/(TRANSPOSE(Dists!$B5:$X5)*MMULT(1/Dists!$B5:$X5,Capacity!$DI$3:$DI$25)))</f>
        <v>11.7079770859517</v>
      </c>
      <c r="AD34" s="4" t="n">
        <f aca="false" t="array" ref="AD34:AD34">SUM(Demand!AD6*Capacity!AX$3:AX$25*Capacity!$DI6/(TRANSPOSE(Dists!$B5:$X5)*MMULT(1/Dists!$B5:$X5,Capacity!$DI$3:$DI$25)))</f>
        <v>11.146444003079</v>
      </c>
      <c r="AE34" s="4" t="n">
        <f aca="false" t="array" ref="AE34:AE34">SUM(Demand!AE6*Capacity!AY$3:AY$25*Capacity!$DI6/(TRANSPOSE(Dists!$B5:$X5)*MMULT(1/Dists!$B5:$X5,Capacity!$DI$3:$DI$25)))</f>
        <v>2.2884244502265</v>
      </c>
      <c r="AF34" s="4" t="n">
        <f aca="false" t="array" ref="AF34:AF34">SUM(Demand!AF6*Capacity!AZ$3:AZ$25*Capacity!$DI6/(TRANSPOSE(Dists!$B5:$X5)*MMULT(1/Dists!$B5:$X5,Capacity!$DI$3:$DI$25)))</f>
        <v>0.66052966665462</v>
      </c>
      <c r="AG34" s="4" t="n">
        <f aca="false" t="array" ref="AG34:AG34">SUM(Demand!AG6*Capacity!BA$3:BA$25*Capacity!$DI6/(TRANSPOSE(Dists!$B5:$X5)*MMULT(1/Dists!$B5:$X5,Capacity!$DI$3:$DI$25)))</f>
        <v>0.457084205484443</v>
      </c>
      <c r="AH34" s="4" t="n">
        <f aca="false" t="array" ref="AH34:AH34">SUM(Demand!AH6*Capacity!BB$3:BB$25*Capacity!$DI6/(TRANSPOSE(Dists!$B5:$X5)*MMULT(1/Dists!$B5:$X5,Capacity!$DI$3:$DI$25)))</f>
        <v>2.02740804785474</v>
      </c>
      <c r="AI34" s="4" t="n">
        <f aca="false" t="array" ref="AI34:AI34">SUM(Demand!AI6*Capacity!BC$3:BC$25*Capacity!$DI6/(TRANSPOSE(Dists!$B5:$X5)*MMULT(1/Dists!$B5:$X5,Capacity!$DI$3:$DI$25)))</f>
        <v>0.614042507245704</v>
      </c>
      <c r="AJ34" s="4" t="n">
        <f aca="false" t="array" ref="AJ34:AJ34">SUM(Demand!AJ6*Capacity!BD$3:BD$25*Capacity!$DI6/(TRANSPOSE(Dists!$B5:$X5)*MMULT(1/Dists!$B5:$X5,Capacity!$DI$3:$DI$25)))</f>
        <v>2.12890296943468</v>
      </c>
      <c r="AK34" s="4" t="n">
        <f aca="false" t="array" ref="AK34:AK34">SUM(Demand!AK6*Capacity!BE$3:BE$25*Capacity!$DI6/(TRANSPOSE(Dists!$B5:$X5)*MMULT(1/Dists!$B5:$X5,Capacity!$DI$3:$DI$25)))</f>
        <v>1.24174399473281</v>
      </c>
      <c r="AL34" s="4" t="n">
        <f aca="false" t="array" ref="AL34:AL34">SUM(Demand!AL6*Capacity!BF$3:BF$25*Capacity!$DI6/(TRANSPOSE(Dists!$B5:$X5)*MMULT(1/Dists!$B5:$X5,Capacity!$DI$3:$DI$25)))</f>
        <v>0.56737331577962</v>
      </c>
      <c r="AM34" s="4" t="n">
        <f aca="false" t="array" ref="AM34:AM34">SUM(Demand!AM6*Capacity!BG$3:BG$25*Capacity!$DI6/(TRANSPOSE(Dists!$B5:$X5)*MMULT(1/Dists!$B5:$X5,Capacity!$DI$3:$DI$25)))</f>
        <v>1.8398798935769</v>
      </c>
      <c r="AN34" s="4" t="n">
        <f aca="false" t="array" ref="AN34:AN34">SUM(Demand!AN6*Capacity!BH$3:BH$25*Capacity!$DI6/(TRANSPOSE(Dists!$B5:$X5)*MMULT(1/Dists!$B5:$X5,Capacity!$DI$3:$DI$25)))</f>
        <v>0.982280220000319</v>
      </c>
      <c r="AO34" s="4" t="n">
        <f aca="false" t="array" ref="AO34:AO34">SUM(Demand!AO6*Capacity!BI$3:BI$25*Capacity!$DI6/(TRANSPOSE(Dists!$B5:$X5)*MMULT(1/Dists!$B5:$X5,Capacity!$DI$3:$DI$25)))</f>
        <v>1.80947361113833</v>
      </c>
      <c r="AP34" s="4" t="n">
        <f aca="false" t="array" ref="AP34:AP34">SUM(Demand!AP6*Capacity!BJ$3:BJ$25*Capacity!$DI6/(TRANSPOSE(Dists!$B5:$X5)*MMULT(1/Dists!$B5:$X5,Capacity!$DI$3:$DI$25)))</f>
        <v>1.3537846647156</v>
      </c>
      <c r="AQ34" s="4" t="n">
        <f aca="false" t="array" ref="AQ34:AQ34">SUM(Demand!AQ6*Capacity!BK$3:BK$25*Capacity!$DI6/(TRANSPOSE(Dists!$B5:$X5)*MMULT(1/Dists!$B5:$X5,Capacity!$DI$3:$DI$25)))</f>
        <v>0.0584135106984379</v>
      </c>
      <c r="AR34" s="4" t="n">
        <f aca="false" t="array" ref="AR34:AR34">SUM(Demand!AR6*Capacity!BL$3:BL$25*Capacity!$DI6/(TRANSPOSE(Dists!$B5:$X5)*MMULT(1/Dists!$B5:$X5,Capacity!$DI$3:$DI$25)))</f>
        <v>0.0053524767376943</v>
      </c>
      <c r="AS34" s="4" t="n">
        <f aca="false" t="array" ref="AS34:AS34">SUM(Demand!AS6*Capacity!BM$3:BM$25*Capacity!$DI6/(TRANSPOSE(Dists!$B5:$X5)*MMULT(1/Dists!$B5:$X5,Capacity!$DI$3:$DI$25)))</f>
        <v>0.661206352960551</v>
      </c>
      <c r="AT34" s="4" t="n">
        <f aca="false" t="array" ref="AT34:AT34">SUM(Demand!AT6*Capacity!BN$3:BN$25*Capacity!$DI6/(TRANSPOSE(Dists!$B5:$X5)*MMULT(1/Dists!$B5:$X5,Capacity!$DI$3:$DI$25)))</f>
        <v>5.03921661947983</v>
      </c>
      <c r="AU34" s="4" t="n">
        <f aca="false" t="array" ref="AU34:AU34">SUM(Demand!AU6*Capacity!BO$3:BO$25*Capacity!$DI6/(TRANSPOSE(Dists!$B5:$X5)*MMULT(1/Dists!$B5:$X5,Capacity!$DI$3:$DI$25)))</f>
        <v>3.37138874544722</v>
      </c>
      <c r="AV34" s="4" t="n">
        <f aca="false" t="array" ref="AV34:AV34">SUM(Demand!AV6*Capacity!BP$3:BP$25*Capacity!$DI6/(TRANSPOSE(Dists!$B5:$X5)*MMULT(1/Dists!$B5:$X5,Capacity!$DI$3:$DI$25)))</f>
        <v>0.34137061525996</v>
      </c>
      <c r="AW34" s="4" t="n">
        <f aca="false" t="array" ref="AW34:AW34">SUM(Demand!AW6*Capacity!BQ$3:BQ$25*Capacity!$DI6/(TRANSPOSE(Dists!$B5:$X5)*MMULT(1/Dists!$B5:$X5,Capacity!$DI$3:$DI$25)))</f>
        <v>6.62232394489587</v>
      </c>
      <c r="AX34" s="4" t="n">
        <f aca="false" t="array" ref="AX34:AX34">SUM(Demand!AX6*Capacity!BR$3:BR$25*Capacity!$DI6/(TRANSPOSE(Dists!$B5:$X5)*MMULT(1/Dists!$B5:$X5,Capacity!$DI$3:$DI$25)))</f>
        <v>0.241130044895143</v>
      </c>
      <c r="AY34" s="4" t="n">
        <f aca="false" t="array" ref="AY34:AY34">SUM(Demand!AY6*Capacity!BS$3:BS$25*Capacity!$DI6/(TRANSPOSE(Dists!$B5:$X5)*MMULT(1/Dists!$B5:$X5,Capacity!$DI$3:$DI$25)))</f>
        <v>0.83737008567024</v>
      </c>
      <c r="AZ34" s="4" t="n">
        <f aca="false" t="array" ref="AZ34:AZ34">SUM(Demand!AZ6*Capacity!BT$3:BT$25*Capacity!$DI6/(TRANSPOSE(Dists!$B5:$X5)*MMULT(1/Dists!$B5:$X5,Capacity!$DI$3:$DI$25)))</f>
        <v>5.6521780076055</v>
      </c>
      <c r="BA34" s="4" t="n">
        <f aca="false">BA6</f>
        <v>0.275209082968185</v>
      </c>
      <c r="BB34" s="4" t="n">
        <f aca="false" t="array" ref="BB34:BB34">SUM(Demand!BB6*Capacity!BV$3:BV$25*Capacity!$DI6/(TRANSPOSE(Dists!$B5:$X5)*MMULT(1/Dists!$B5:$X5,Capacity!$DI$3:$DI$25)))</f>
        <v>0.6203678442979</v>
      </c>
      <c r="BC34" s="4" t="n">
        <f aca="false" t="array" ref="BC34:BC34">SUM(Demand!BC6*Capacity!BW$3:BW$25*Capacity!$DI6/(TRANSPOSE(Dists!$B5:$X5)*MMULT(1/Dists!$B5:$X5,Capacity!$DI$3:$DI$25)))</f>
        <v>0.345763603114697</v>
      </c>
      <c r="BD34" s="4" t="n">
        <f aca="false" t="array" ref="BD34:BD34">SUM(Demand!BD6*Capacity!BX$3:BX$25*Capacity!$DI6/(TRANSPOSE(Dists!$B5:$X5)*MMULT(1/Dists!$B5:$X5,Capacity!$DI$3:$DI$25)))</f>
        <v>0.264284929618977</v>
      </c>
      <c r="BE34" s="4" t="n">
        <f aca="false" t="array" ref="BE34:BE34">SUM(Demand!BE6*Capacity!BY$3:BY$25*Capacity!$DI6/(TRANSPOSE(Dists!$B5:$X5)*MMULT(1/Dists!$B5:$X5,Capacity!$DI$3:$DI$25)))</f>
        <v>0.149292107664025</v>
      </c>
      <c r="BF34" s="4" t="n">
        <f aca="false" t="array" ref="BF34:BF34">SUM(Demand!BF6*Capacity!BZ$3:BZ$25*Capacity!$DI6/(TRANSPOSE(Dists!$B5:$X5)*MMULT(1/Dists!$B5:$X5,Capacity!$DI$3:$DI$25)))</f>
        <v>4.30240343647876</v>
      </c>
      <c r="BG34" s="4" t="n">
        <f aca="false" t="array" ref="BG34:BG34">SUM(Demand!BG6*Capacity!CA$3:CA$25*Capacity!$DI6/(TRANSPOSE(Dists!$B5:$X5)*MMULT(1/Dists!$B5:$X5,Capacity!$DI$3:$DI$25)))</f>
        <v>68.2817129139664</v>
      </c>
      <c r="BH34" s="4" t="n">
        <f aca="false" t="array" ref="BH34:BH34">SUM(Demand!BH6*Capacity!CB$3:CB$25*Capacity!$DI6/(TRANSPOSE(Dists!$B5:$X5)*MMULT(1/Dists!$B5:$X5,Capacity!$DI$3:$DI$25)))</f>
        <v>13.6563425827933</v>
      </c>
      <c r="BI34" s="4" t="n">
        <f aca="false" t="array" ref="BI34:BI34">SUM(Demand!BI6*Capacity!CC$3:CC$25*Capacity!$DI6/(TRANSPOSE(Dists!$B5:$X5)*MMULT(1/Dists!$B5:$X5,Capacity!$DI$3:$DI$25)))</f>
        <v>182.084567770577</v>
      </c>
      <c r="BJ34" s="4" t="n">
        <f aca="false" t="array" ref="BJ34:BJ34">SUM(Demand!BJ6*Capacity!CD$3:CD$25*Capacity!$DI6/(TRANSPOSE(Dists!$B5:$X5)*MMULT(1/Dists!$B5:$X5,Capacity!$DI$3:$DI$25)))</f>
        <v>876.122298526369</v>
      </c>
      <c r="BK34" s="4" t="n">
        <f aca="false" t="array" ref="BK34:BK34">SUM(Demand!BK6*Capacity!CE$3:CE$25*Capacity!$DI6/(TRANSPOSE(Dists!$B5:$X5)*MMULT(1/Dists!$B5:$X5,Capacity!$DI$3:$DI$25)))</f>
        <v>91.0422838852885</v>
      </c>
      <c r="BL34" s="4" t="n">
        <f aca="false" t="array" ref="BL34:BL34">SUM(Demand!BL6*Capacity!CF$3:CF$25*Capacity!$DI6/(TRANSPOSE(Dists!$B5:$X5)*MMULT(1/Dists!$B5:$X5,Capacity!$DI$3:$DI$25)))</f>
        <v>49.9752331468669</v>
      </c>
      <c r="BM34" s="4" t="n">
        <f aca="false" t="array" ref="BM34:BM34">SUM(Demand!BM6*Capacity!CG$3:CG$25*Capacity!$DI6/(TRANSPOSE(Dists!$B5:$X5)*MMULT(1/Dists!$B5:$X5,Capacity!$DI$3:$DI$25)))</f>
        <v>50.032924357538</v>
      </c>
      <c r="BN34" s="4" t="n">
        <f aca="false">BN6</f>
        <v>0.00374577256727415</v>
      </c>
      <c r="BO34" s="4" t="n">
        <f aca="false" t="array" ref="BO34:BO34">SUM(Demand!BO6*Capacity!CI$3:CI$25*Capacity!$DI6/(TRANSPOSE(Dists!$B5:$X5)*MMULT(1/Dists!$B5:$X5,Capacity!$DI$3:$DI$25)))</f>
        <v>55.9164460910181</v>
      </c>
      <c r="BP34" s="4" t="n">
        <f aca="false" t="array" ref="BP34:BP34">SUM(Demand!BP6*Capacity!CJ$3:CJ$25*Capacity!$DI6/(TRANSPOSE(Dists!$B5:$X5)*MMULT(1/Dists!$B5:$X5,Capacity!$DI$3:$DI$25)))</f>
        <v>31.6763129192753</v>
      </c>
      <c r="BQ34" s="4" t="n">
        <f aca="false" t="array" ref="BQ34:BQ34">SUM(Demand!BQ6*Capacity!CK$3:CK$25*Capacity!$DI6/(TRANSPOSE(Dists!$B5:$X5)*MMULT(1/Dists!$B5:$X5,Capacity!$DI$3:$DI$25)))</f>
        <v>0</v>
      </c>
      <c r="BR34" s="4" t="n">
        <f aca="false" t="array" ref="BR34:BR34">SUM(Demand!BR6*Capacity!CL$3:CL$25*Capacity!$DI6/(TRANSPOSE(Dists!$B5:$X5)*MMULT(1/Dists!$B5:$X5,Capacity!$DI$3:$DI$25)))</f>
        <v>1.86388298491054</v>
      </c>
      <c r="BS34" s="4" t="n">
        <f aca="false" t="array" ref="BS34:BS34">SUM(Demand!BS6*Capacity!CM$3:CM$25*Capacity!$DI6/(TRANSPOSE(Dists!$B5:$X5)*MMULT(1/Dists!$B5:$X5,Capacity!$DI$3:$DI$25)))</f>
        <v>0.186388298491054</v>
      </c>
      <c r="BT34" s="4" t="n">
        <f aca="false">BT6</f>
        <v>25.9053771673875</v>
      </c>
      <c r="BU34" s="4" t="n">
        <f aca="false">BU6</f>
        <v>2.59053771673875</v>
      </c>
      <c r="BV34" s="4" t="n">
        <f aca="false">BV6</f>
        <v>0.259053771673875</v>
      </c>
      <c r="BW34" s="4" t="n">
        <f aca="false">BW6</f>
        <v>4211.54321870634</v>
      </c>
      <c r="BX34" s="4" t="n">
        <f aca="false" t="array" ref="BX34:BX34">SUM(Demand!BX6*Capacity!CR$3:CR$25*Capacity!$DI6/(TRANSPOSE(Dists!$B5:$X5)*MMULT(1/Dists!$B5:$X5,Capacity!$DI$3:$DI$25)))</f>
        <v>3.97926337968624</v>
      </c>
      <c r="BY34" s="4" t="n">
        <f aca="false" t="array" ref="BY34:BY34">SUM(Demand!BY6*Capacity!CS$3:CS$25*Capacity!$DI6/(TRANSPOSE(Dists!$B5:$X5)*MMULT(1/Dists!$B5:$X5,Capacity!$DI$3:$DI$25)))</f>
        <v>16.7022924366931</v>
      </c>
      <c r="BZ34" s="4" t="n">
        <f aca="false" t="array" ref="BZ34:BZ34">SUM(Demand!BZ6*Capacity!CT$3:CT$25*Capacity!$DI6/(TRANSPOSE(Dists!$B5:$X5)*MMULT(1/Dists!$B5:$X5,Capacity!$DI$3:$DI$25)))</f>
        <v>0.214720204928778</v>
      </c>
      <c r="CA34" s="4" t="n">
        <f aca="false" t="array" ref="CA34:CA34">SUM(Demand!CA6*Capacity!CU$3:CU$25*Capacity!$DI6/(TRANSPOSE(Dists!$B5:$X5)*MMULT(1/Dists!$B5:$X5,Capacity!$DI$3:$DI$25)))</f>
        <v>0.037308296426012</v>
      </c>
      <c r="CB34" s="4" t="n">
        <f aca="false" t="array" ref="CB34:CB34">SUM(Demand!CB6*Capacity!CV$3:CV$25*Capacity!$DI6/(TRANSPOSE(Dists!$B5:$X5)*MMULT(1/Dists!$B5:$X5,Capacity!$DI$3:$DI$25)))</f>
        <v>692.583672175965</v>
      </c>
      <c r="CC34" s="4" t="n">
        <f aca="false" t="array" ref="CC34:CC34">SUM(Demand!CC6*Capacity!CW$3:CW$25*Capacity!$DI6/(TRANSPOSE(Dists!$B5:$X5)*MMULT(1/Dists!$B5:$X5,Capacity!$DI$3:$DI$25)))</f>
        <v>263.474164378164</v>
      </c>
      <c r="CD34" s="4" t="n">
        <f aca="false">SUM($BG34,$BI34,$BK34)*Capacity!CX6/SUM(Capacity!$AM6:$AN6,Capacity!$CX6)</f>
        <v>239.300716806222</v>
      </c>
      <c r="CE34" s="4" t="n">
        <f aca="false" t="array" ref="CE34:CE34">SUM(Demand!CE6*Capacity!CY$3:CY$25*Capacity!$DI6/(TRANSPOSE(Dists!$B5:$X5)*MMULT(1/Dists!$B5:$X5,Capacity!$DI$3:$DI$25)))</f>
        <v>15.7424707723759</v>
      </c>
      <c r="CF34" s="4" t="n">
        <f aca="false" t="array" ref="CF34:CF34">SUM(Demand!CF6*Capacity!CZ$3:CZ$25*Capacity!$DI6/(TRANSPOSE(Dists!$B5:$X5)*MMULT(1/Dists!$B5:$X5,Capacity!$DI$3:$DI$25)))</f>
        <v>307.110312491101</v>
      </c>
      <c r="CG34" s="4" t="n">
        <f aca="false" t="array" ref="CG34:CG34">SUM(Demand!CG6*Capacity!DA$3:DA$25*Capacity!$DI6/(TRANSPOSE(Dists!$B5:$X5)*MMULT(1/Dists!$B5:$X5,Capacity!$DI$3:$DI$25)))</f>
        <v>0.0323835003864321</v>
      </c>
      <c r="CH34" s="4" t="n">
        <f aca="false" t="array" ref="CH34:CH34">SUM(Demand!CH6*Capacity!DB$3:DB$25*Capacity!$DI6/(TRANSPOSE(Dists!$B5:$X5)*MMULT(1/Dists!$B5:$X5,Capacity!$DI$3:$DI$25)))</f>
        <v>0.0534985166004998</v>
      </c>
      <c r="CI34" s="4" t="n">
        <f aca="false" t="array" ref="CI34:CI34">SUM(Demand!CI6*Capacity!DC$3:DC$25*Capacity!$DI6/(TRANSPOSE(Dists!$B5:$X5)*MMULT(1/Dists!$B5:$X5,Capacity!$DI$3:$DI$25)))</f>
        <v>0.168452100000333</v>
      </c>
      <c r="CJ34" s="4" t="n">
        <f aca="false" t="array" ref="CJ34:CJ34">SUM(Demand!CJ6*Capacity!DD$3:DD$25*Capacity!$DI6/(TRANSPOSE(Dists!$B5:$X5)*MMULT(1/Dists!$B5:$X5,Capacity!$DI$3:$DI$25)))</f>
        <v>0.0597101742908326</v>
      </c>
      <c r="CK34" s="4" t="n">
        <f aca="false" t="array" ref="CK34:CK34">SUM(Demand!CK6*Capacity!DE$3:DE$25*Capacity!$DI6/(TRANSPOSE(Dists!$B5:$X5)*MMULT(1/Dists!$B5:$X5,Capacity!$DI$3:$DI$25)))</f>
        <v>7.68994892920149</v>
      </c>
      <c r="CL34" s="7" t="s">
        <v>322</v>
      </c>
    </row>
    <row r="35" customFormat="false" ht="12.8" hidden="false" customHeight="false" outlineLevel="0" collapsed="false">
      <c r="A35" s="4" t="s">
        <v>139</v>
      </c>
      <c r="B35" s="7" t="s">
        <v>39</v>
      </c>
      <c r="C35" s="4" t="n">
        <f aca="false" t="array" ref="C35:C35">SUM(Demand!C7*Capacity!S$3:S$25*Capacity!$DH7/(TRANSPOSE(Dists!$B6:$X6)*MMULT(1/Dists!$B6:$X6,Capacity!$DH$3:$DH$25)))</f>
        <v>0.010389434063013</v>
      </c>
      <c r="D35" s="4" t="n">
        <f aca="false" t="array" ref="D35:D35">SUM(Demand!D7*Capacity!V$3:V$25*Capacity!$DH7/(TRANSPOSE(Dists!$B6:$X6)*MMULT(1/Dists!$B6:$X6,Capacity!$DH$3:$DH$25)))</f>
        <v>723.647546103771</v>
      </c>
      <c r="E35" s="4" t="n">
        <f aca="false" t="array" ref="E35:E35">SUM(Demand!E7*Capacity!Y$3:Y$25*Capacity!$DH7/(TRANSPOSE(Dists!$B6:$X6)*MMULT(1/Dists!$B6:$X6,Capacity!$DH$3:$DH$25)))</f>
        <v>73.4126410416122</v>
      </c>
      <c r="F35" s="4" t="n">
        <f aca="false">$E7*Capacity!$M7/(2*(1-Capacity!$H$28)*Capacity!$H7)</f>
        <v>22.8858462357185</v>
      </c>
      <c r="G35" s="4" t="n">
        <f aca="false" t="array" ref="G35:G35">SUM(Demand!G7*Capacity!AA$3:AA$25*Capacity!$DH7/(TRANSPOSE(Dists!$B6:$X6)*MMULT(1/Dists!$B6:$X6,Capacity!$DH$3:$DH$25)))</f>
        <v>42.5410266443716</v>
      </c>
      <c r="H35" s="4" t="n">
        <f aca="false" t="array" ref="H35:H35">SUM(Demand!H7*Capacity!AB$3:AB$25*Capacity!$DH7/(TRANSPOSE(Dists!$B6:$X6)*MMULT(1/Dists!$B6:$X6,Capacity!$DH$3:$DH$25)))</f>
        <v>0</v>
      </c>
      <c r="I35" s="4" t="n">
        <f aca="false" t="array" ref="I35:I35">SUM(Demand!I7*Capacity!AC$3:AC$25*Capacity!$DG7/(TRANSPOSE(Dists!$B6:$X6)*MMULT(1/Dists!$B6:$X6,Capacity!$DG$3:$DG$25)))</f>
        <v>2.12558960125313</v>
      </c>
      <c r="J35" s="4" t="n">
        <f aca="false" t="array" ref="J35:J35">SUM(Demand!J7*Capacity!AD$3:AD$25*Capacity!$DG7/(TRANSPOSE(Dists!$B6:$X6)*MMULT(1/Dists!$B6:$X6,Capacity!$DG$3:$DG$25)))</f>
        <v>1.22477315001056</v>
      </c>
      <c r="K35" s="4" t="n">
        <f aca="false">5479.45205479452*$R7</f>
        <v>494209.407687297</v>
      </c>
      <c r="L35" s="4" t="n">
        <f aca="false">17142.8571428571*$S7</f>
        <v>123085.209574735</v>
      </c>
      <c r="M35" s="4" t="n">
        <f aca="false">IF(50420.1680672269*$T7&gt;($K7/20),50420.1680672269*$T7-($K7/20),0)</f>
        <v>177621.380971365</v>
      </c>
      <c r="N35" s="4" t="n">
        <f aca="false" t="array" ref="N35:N35">SUM(Demand!N7*Capacity!AH$3:AH$25*Capacity!$DH7/(TRANSPOSE(Dists!$B6:$X6)*MMULT(1/Dists!$B6:$X6,Capacity!$DH$3:$DH$25)))</f>
        <v>65.4469027742355</v>
      </c>
      <c r="O35" s="4" t="n">
        <f aca="false">O7</f>
        <v>482.431697402514</v>
      </c>
      <c r="P35" s="4" t="n">
        <f aca="false">P7</f>
        <v>192.972678961006</v>
      </c>
      <c r="Q35" s="4" t="n">
        <f aca="false" t="array" ref="Q35:Q35">SUM(Demand!Q7*Capacity!AK$3:AK$25*Capacity!$DI7/(TRANSPOSE(Dists!$B6:$X6)*MMULT(1/Dists!$B6:$X6,Capacity!$DI$3:$DI$25)))</f>
        <v>3.72171586450351</v>
      </c>
      <c r="R35" s="4" t="n">
        <f aca="false" t="array" ref="R35:R35">SUM(Demand!R7*Capacity!AL$3:AL$25*Capacity!$DH7/(TRANSPOSE(Dists!$B6:$X6)*MMULT(1/Dists!$B6:$X6,Capacity!$DH$3:$DH$25)))</f>
        <v>181.381993830667</v>
      </c>
      <c r="S35" s="4" t="n">
        <f aca="false">SUM($BG35,$BI35,$BK35)*Capacity!AM7/SUM(Capacity!$AM7:$AN7,Capacity!$CX7)</f>
        <v>7.17997055852624</v>
      </c>
      <c r="T35" s="4" t="n">
        <f aca="false">SUM($BG35,$BI35,$BK35)*Capacity!AN7/SUM(Capacity!$AM7:$AN7,Capacity!$CX7)</f>
        <v>4.01291505188864</v>
      </c>
      <c r="U35" s="4" t="n">
        <f aca="false">$M7*120*2/(16*1000*2000)</f>
        <v>1.33216035728524</v>
      </c>
      <c r="V35" s="4" t="n">
        <f aca="false" t="array" ref="V35:V35">SUM(Demand!V7*Capacity!AP$3:AP$25*Capacity!$DH7/(TRANSPOSE(Dists!$B6:$X6)*MMULT(1/Dists!$B6:$X6,Capacity!$DH$3:$DH$25)))</f>
        <v>9.14945730608831</v>
      </c>
      <c r="W35" s="4" t="n">
        <f aca="false" t="array" ref="W35:W35">SUM(Demand!W7*Capacity!AQ$3:AQ$25*Capacity!$DH7/(TRANSPOSE(Dists!$B6:$X6)*MMULT(1/Dists!$B6:$X6,Capacity!$DH$3:$DH$25)))</f>
        <v>235.039582888741</v>
      </c>
      <c r="X35" s="4" t="n">
        <f aca="false" t="array" ref="X35:X35">SUM(Demand!X7*Capacity!AR$3:AR$25*Capacity!$DH7/(TRANSPOSE(Dists!$B6:$X6)*MMULT(1/Dists!$B6:$X6,Capacity!$DH$3:$DH$25)))</f>
        <v>543.421512525138</v>
      </c>
      <c r="Y35" s="4" t="n">
        <f aca="false">$L7*600*6/(90*1000*2000)</f>
        <v>2.46170419149471</v>
      </c>
      <c r="Z35" s="4" t="n">
        <f aca="false" t="array" ref="Z35:Z35">SUM(Demand!Z7*Capacity!AT$3:AT$25*Capacity!$DI7/(TRANSPOSE(Dists!$B6:$X6)*MMULT(1/Dists!$B6:$X6,Capacity!$DI$3:$DI$25)))</f>
        <v>1.5995264139394</v>
      </c>
      <c r="AA35" s="4" t="n">
        <f aca="false" t="array" ref="AA35:AA35">SUM(Demand!AA7*Capacity!AU$3:AU$25*Capacity!$DI7/(TRANSPOSE(Dists!$B6:$X6)*MMULT(1/Dists!$B6:$X6,Capacity!$DI$3:$DI$25)))</f>
        <v>2.86816976949095</v>
      </c>
      <c r="AB35" s="4" t="n">
        <f aca="false" t="array" ref="AB35:AB35">SUM(Demand!AB7*Capacity!AV$3:AV$25*Capacity!$DI7/(TRANSPOSE(Dists!$B6:$X6)*MMULT(1/Dists!$B6:$X6,Capacity!$DI$3:$DI$25)))</f>
        <v>5.13773746631314</v>
      </c>
      <c r="AC35" s="4" t="n">
        <f aca="false" t="array" ref="AC35:AC35">SUM(Demand!AC7*Capacity!AW$3:AW$25*Capacity!$DI7/(TRANSPOSE(Dists!$B6:$X6)*MMULT(1/Dists!$B6:$X6,Capacity!$DI$3:$DI$25)))</f>
        <v>0.308061581779895</v>
      </c>
      <c r="AD35" s="4" t="n">
        <f aca="false" t="array" ref="AD35:AD35">SUM(Demand!AD7*Capacity!AX$3:AX$25*Capacity!$DI7/(TRANSPOSE(Dists!$B6:$X6)*MMULT(1/Dists!$B6:$X6,Capacity!$DI$3:$DI$25)))</f>
        <v>0.84110240169497</v>
      </c>
      <c r="AE35" s="4" t="n">
        <f aca="false" t="array" ref="AE35:AE35">SUM(Demand!AE7*Capacity!AY$3:AY$25*Capacity!$DI7/(TRANSPOSE(Dists!$B6:$X6)*MMULT(1/Dists!$B6:$X6,Capacity!$DI$3:$DI$25)))</f>
        <v>1.21913901417657</v>
      </c>
      <c r="AF35" s="4" t="n">
        <f aca="false" t="array" ref="AF35:AF35">SUM(Demand!AF7*Capacity!AZ$3:AZ$25*Capacity!$DI7/(TRANSPOSE(Dists!$B6:$X6)*MMULT(1/Dists!$B6:$X6,Capacity!$DI$3:$DI$25)))</f>
        <v>0.092563176498827</v>
      </c>
      <c r="AG35" s="4" t="n">
        <f aca="false" t="array" ref="AG35:AG35">SUM(Demand!AG7*Capacity!BA$3:BA$25*Capacity!$DI7/(TRANSPOSE(Dists!$B6:$X6)*MMULT(1/Dists!$B6:$X6,Capacity!$DI$3:$DI$25)))</f>
        <v>1.40990416108699</v>
      </c>
      <c r="AH35" s="4" t="n">
        <f aca="false" t="array" ref="AH35:AH35">SUM(Demand!AH7*Capacity!BB$3:BB$25*Capacity!$DI7/(TRANSPOSE(Dists!$B6:$X6)*MMULT(1/Dists!$B6:$X6,Capacity!$DI$3:$DI$25)))</f>
        <v>0.702489676995539</v>
      </c>
      <c r="AI35" s="4" t="n">
        <f aca="false" t="array" ref="AI35:AI35">SUM(Demand!AI7*Capacity!BC$3:BC$25*Capacity!$DI7/(TRANSPOSE(Dists!$B6:$X6)*MMULT(1/Dists!$B6:$X6,Capacity!$DI$3:$DI$25)))</f>
        <v>0.27113378053824</v>
      </c>
      <c r="AJ35" s="4" t="n">
        <f aca="false" t="array" ref="AJ35:AJ35">SUM(Demand!AJ7*Capacity!BD$3:BD$25*Capacity!$DI7/(TRANSPOSE(Dists!$B6:$X6)*MMULT(1/Dists!$B6:$X6,Capacity!$DI$3:$DI$25)))</f>
        <v>0.543997018923634</v>
      </c>
      <c r="AK35" s="4" t="n">
        <f aca="false" t="array" ref="AK35:AK35">SUM(Demand!AK7*Capacity!BE$3:BE$25*Capacity!$DI7/(TRANSPOSE(Dists!$B6:$X6)*MMULT(1/Dists!$B6:$X6,Capacity!$DI$3:$DI$25)))</f>
        <v>0.017938803628084</v>
      </c>
      <c r="AL35" s="4" t="n">
        <f aca="false" t="array" ref="AL35:AL35">SUM(Demand!AL7*Capacity!BF$3:BF$25*Capacity!$DI7/(TRANSPOSE(Dists!$B6:$X6)*MMULT(1/Dists!$B6:$X6,Capacity!$DI$3:$DI$25)))</f>
        <v>0.190395302631021</v>
      </c>
      <c r="AM35" s="4" t="n">
        <f aca="false" t="array" ref="AM35:AM35">SUM(Demand!AM7*Capacity!BG$3:BG$25*Capacity!$DI7/(TRANSPOSE(Dists!$B6:$X6)*MMULT(1/Dists!$B6:$X6,Capacity!$DI$3:$DI$25)))</f>
        <v>0.807638818983003</v>
      </c>
      <c r="AN35" s="4" t="n">
        <f aca="false" t="array" ref="AN35:AN35">SUM(Demand!AN7*Capacity!BH$3:BH$25*Capacity!$DI7/(TRANSPOSE(Dists!$B6:$X6)*MMULT(1/Dists!$B6:$X6,Capacity!$DI$3:$DI$25)))</f>
        <v>0.0893924760215297</v>
      </c>
      <c r="AO35" s="4" t="n">
        <f aca="false" t="array" ref="AO35:AO35">SUM(Demand!AO7*Capacity!BI$3:BI$25*Capacity!$DI7/(TRANSPOSE(Dists!$B6:$X6)*MMULT(1/Dists!$B6:$X6,Capacity!$DI$3:$DI$25)))</f>
        <v>0.542433021735134</v>
      </c>
      <c r="AP35" s="4" t="n">
        <f aca="false" t="array" ref="AP35:AP35">SUM(Demand!AP7*Capacity!BJ$3:BJ$25*Capacity!$DI7/(TRANSPOSE(Dists!$B6:$X6)*MMULT(1/Dists!$B6:$X6,Capacity!$DI$3:$DI$25)))</f>
        <v>0.579370637966868</v>
      </c>
      <c r="AQ35" s="4" t="n">
        <f aca="false" t="array" ref="AQ35:AQ35">SUM(Demand!AQ7*Capacity!BK$3:BK$25*Capacity!$DI7/(TRANSPOSE(Dists!$B6:$X6)*MMULT(1/Dists!$B6:$X6,Capacity!$DI$3:$DI$25)))</f>
        <v>0.0144366774424508</v>
      </c>
      <c r="AR35" s="4" t="n">
        <f aca="false" t="array" ref="AR35:AR35">SUM(Demand!AR7*Capacity!BL$3:BL$25*Capacity!$DI7/(TRANSPOSE(Dists!$B6:$X6)*MMULT(1/Dists!$B6:$X6,Capacity!$DI$3:$DI$25)))</f>
        <v>0.0438080783945034</v>
      </c>
      <c r="AS35" s="4" t="n">
        <f aca="false" t="array" ref="AS35:AS35">SUM(Demand!AS7*Capacity!BM$3:BM$25*Capacity!$DI7/(TRANSPOSE(Dists!$B6:$X6)*MMULT(1/Dists!$B6:$X6,Capacity!$DI$3:$DI$25)))</f>
        <v>0.251119245729077</v>
      </c>
      <c r="AT35" s="4" t="n">
        <f aca="false" t="array" ref="AT35:AT35">SUM(Demand!AT7*Capacity!BN$3:BN$25*Capacity!$DI7/(TRANSPOSE(Dists!$B6:$X6)*MMULT(1/Dists!$B6:$X6,Capacity!$DI$3:$DI$25)))</f>
        <v>0.402847257412696</v>
      </c>
      <c r="AU35" s="4" t="n">
        <f aca="false" t="array" ref="AU35:AU35">SUM(Demand!AU7*Capacity!BO$3:BO$25*Capacity!$DI7/(TRANSPOSE(Dists!$B6:$X6)*MMULT(1/Dists!$B6:$X6,Capacity!$DI$3:$DI$25)))</f>
        <v>2.37838494078777</v>
      </c>
      <c r="AV35" s="4" t="n">
        <f aca="false" t="array" ref="AV35:AV35">SUM(Demand!AV7*Capacity!BP$3:BP$25*Capacity!$DI7/(TRANSPOSE(Dists!$B6:$X6)*MMULT(1/Dists!$B6:$X6,Capacity!$DI$3:$DI$25)))</f>
        <v>0.10971383528822</v>
      </c>
      <c r="AW35" s="4" t="n">
        <f aca="false" t="array" ref="AW35:AW35">SUM(Demand!AW7*Capacity!BQ$3:BQ$25*Capacity!$DI7/(TRANSPOSE(Dists!$B6:$X6)*MMULT(1/Dists!$B6:$X6,Capacity!$DI$3:$DI$25)))</f>
        <v>0.180427335067189</v>
      </c>
      <c r="AX35" s="4" t="n">
        <f aca="false" t="array" ref="AX35:AX35">SUM(Demand!AX7*Capacity!BR$3:BR$25*Capacity!$DI7/(TRANSPOSE(Dists!$B6:$X6)*MMULT(1/Dists!$B6:$X6,Capacity!$DI$3:$DI$25)))</f>
        <v>0.0206421716663039</v>
      </c>
      <c r="AY35" s="4" t="n">
        <f aca="false" t="array" ref="AY35:AY35">SUM(Demand!AY7*Capacity!BS$3:BS$25*Capacity!$DI7/(TRANSPOSE(Dists!$B6:$X6)*MMULT(1/Dists!$B6:$X6,Capacity!$DI$3:$DI$25)))</f>
        <v>0.0255954091450007</v>
      </c>
      <c r="AZ35" s="4" t="n">
        <f aca="false" t="array" ref="AZ35:AZ35">SUM(Demand!AZ7*Capacity!BT$3:BT$25*Capacity!$DI7/(TRANSPOSE(Dists!$B6:$X6)*MMULT(1/Dists!$B6:$X6,Capacity!$DI$3:$DI$25)))</f>
        <v>0.24061957763717</v>
      </c>
      <c r="BA35" s="4" t="n">
        <f aca="false">BA7</f>
        <v>0.0301679435232194</v>
      </c>
      <c r="BB35" s="4" t="n">
        <f aca="false" t="array" ref="BB35:BB35">SUM(Demand!BB7*Capacity!BV$3:BV$25*Capacity!$DI7/(TRANSPOSE(Dists!$B6:$X6)*MMULT(1/Dists!$B6:$X6,Capacity!$DI$3:$DI$25)))</f>
        <v>0.155187633269631</v>
      </c>
      <c r="BC35" s="4" t="n">
        <f aca="false" t="array" ref="BC35:BC35">SUM(Demand!BC7*Capacity!BW$3:BW$25*Capacity!$DI7/(TRANSPOSE(Dists!$B6:$X6)*MMULT(1/Dists!$B6:$X6,Capacity!$DI$3:$DI$25)))</f>
        <v>0.183571604400055</v>
      </c>
      <c r="BD35" s="4" t="n">
        <f aca="false" t="array" ref="BD35:BD35">SUM(Demand!BD7*Capacity!BX$3:BX$25*Capacity!$DI7/(TRANSPOSE(Dists!$B6:$X6)*MMULT(1/Dists!$B6:$X6,Capacity!$DI$3:$DI$25)))</f>
        <v>0.0587960431005242</v>
      </c>
      <c r="BE35" s="4" t="n">
        <f aca="false" t="array" ref="BE35:BE35">SUM(Demand!BE7*Capacity!BY$3:BY$25*Capacity!$DI7/(TRANSPOSE(Dists!$B6:$X6)*MMULT(1/Dists!$B6:$X6,Capacity!$DI$3:$DI$25)))</f>
        <v>0.0439196426629908</v>
      </c>
      <c r="BF35" s="4" t="n">
        <f aca="false" t="array" ref="BF35:BF35">SUM(Demand!BF7*Capacity!BZ$3:BZ$25*Capacity!$DI7/(TRANSPOSE(Dists!$B6:$X6)*MMULT(1/Dists!$B6:$X6,Capacity!$DI$3:$DI$25)))</f>
        <v>1.84223359532298</v>
      </c>
      <c r="BG35" s="4" t="n">
        <f aca="false" t="array" ref="BG35:BG35">SUM(Demand!BG7*Capacity!CA$3:CA$25*Capacity!$DI7/(TRANSPOSE(Dists!$B6:$X6)*MMULT(1/Dists!$B6:$X6,Capacity!$DI$3:$DI$25)))</f>
        <v>5.35736381581952</v>
      </c>
      <c r="BH35" s="4" t="n">
        <f aca="false" t="array" ref="BH35:BH35">SUM(Demand!BH7*Capacity!CB$3:CB$25*Capacity!$DI7/(TRANSPOSE(Dists!$B6:$X6)*MMULT(1/Dists!$B6:$X6,Capacity!$DI$3:$DI$25)))</f>
        <v>0.00611560762216544</v>
      </c>
      <c r="BI35" s="4" t="n">
        <f aca="false" t="array" ref="BI35:BI35">SUM(Demand!BI7*Capacity!CC$3:CC$25*Capacity!$DI7/(TRANSPOSE(Dists!$B6:$X6)*MMULT(1/Dists!$B6:$X6,Capacity!$DI$3:$DI$25)))</f>
        <v>14.2863035088521</v>
      </c>
      <c r="BJ35" s="4" t="n">
        <f aca="false" t="array" ref="BJ35:BJ35">SUM(Demand!BJ7*Capacity!CD$3:CD$25*Capacity!$DI7/(TRANSPOSE(Dists!$B6:$X6)*MMULT(1/Dists!$B6:$X6,Capacity!$DI$3:$DI$25)))</f>
        <v>285.179378143518</v>
      </c>
      <c r="BK35" s="4" t="n">
        <f aca="false" t="array" ref="BK35:BK35">SUM(Demand!BK7*Capacity!CE$3:CE$25*Capacity!$DI7/(TRANSPOSE(Dists!$B6:$X6)*MMULT(1/Dists!$B6:$X6,Capacity!$DI$3:$DI$25)))</f>
        <v>7.14315175442603</v>
      </c>
      <c r="BL35" s="4" t="n">
        <f aca="false" t="array" ref="BL35:BL35">SUM(Demand!BL7*Capacity!CF$3:CF$25*Capacity!$DI7/(TRANSPOSE(Dists!$B6:$X6)*MMULT(1/Dists!$B6:$X6,Capacity!$DI$3:$DI$25)))</f>
        <v>400.957607414921</v>
      </c>
      <c r="BM35" s="4" t="n">
        <f aca="false" t="array" ref="BM35:BM35">SUM(Demand!BM7*Capacity!CG$3:CG$25*Capacity!$DI7/(TRANSPOSE(Dists!$B6:$X6)*MMULT(1/Dists!$B6:$X6,Capacity!$DI$3:$DI$25)))</f>
        <v>37.3221497267586</v>
      </c>
      <c r="BN35" s="4" t="n">
        <f aca="false">BN7</f>
        <v>178.295450021778</v>
      </c>
      <c r="BO35" s="4" t="n">
        <f aca="false" t="array" ref="BO35:BO35">SUM(Demand!BO7*Capacity!CI$3:CI$25*Capacity!$DI7/(TRANSPOSE(Dists!$B6:$X6)*MMULT(1/Dists!$B6:$X6,Capacity!$DI$3:$DI$25)))</f>
        <v>0.578863474161398</v>
      </c>
      <c r="BP35" s="4" t="n">
        <f aca="false" t="array" ref="BP35:BP35">SUM(Demand!BP7*Capacity!CJ$3:CJ$25*Capacity!$DI7/(TRANSPOSE(Dists!$B6:$X6)*MMULT(1/Dists!$B6:$X6,Capacity!$DI$3:$DI$25)))</f>
        <v>1.04286201583675</v>
      </c>
      <c r="BQ35" s="4" t="n">
        <f aca="false" t="array" ref="BQ35:BQ35">SUM(Demand!BQ7*Capacity!CK$3:CK$25*Capacity!$DI7/(TRANSPOSE(Dists!$B6:$X6)*MMULT(1/Dists!$B6:$X6,Capacity!$DI$3:$DI$25)))</f>
        <v>0</v>
      </c>
      <c r="BR35" s="4" t="n">
        <f aca="false" t="array" ref="BR35:BR35">SUM(Demand!BR7*Capacity!CL$3:CL$25*Capacity!$DI7/(TRANSPOSE(Dists!$B6:$X6)*MMULT(1/Dists!$B6:$X6,Capacity!$DI$3:$DI$25)))</f>
        <v>0.0192954556147805</v>
      </c>
      <c r="BS35" s="4" t="n">
        <f aca="false" t="array" ref="BS35:BS35">SUM(Demand!BS7*Capacity!CM$3:CM$25*Capacity!$DI7/(TRANSPOSE(Dists!$B6:$X6)*MMULT(1/Dists!$B6:$X6,Capacity!$DI$3:$DI$25)))</f>
        <v>0.00192954556147805</v>
      </c>
      <c r="BT35" s="4" t="n">
        <f aca="false">BT7</f>
        <v>0.459535790310966</v>
      </c>
      <c r="BU35" s="4" t="n">
        <f aca="false">BU7</f>
        <v>0.0459535790310966</v>
      </c>
      <c r="BV35" s="4" t="n">
        <f aca="false">BV7</f>
        <v>0.00459535790310966</v>
      </c>
      <c r="BW35" s="4" t="n">
        <f aca="false">BW7</f>
        <v>317.799929297412</v>
      </c>
      <c r="BX35" s="4" t="n">
        <f aca="false" t="array" ref="BX35:BX35">SUM(Demand!BX7*Capacity!CR$3:CR$25*Capacity!$DI7/(TRANSPOSE(Dists!$B6:$X6)*MMULT(1/Dists!$B6:$X6,Capacity!$DI$3:$DI$25)))</f>
        <v>2.23598301238155</v>
      </c>
      <c r="BY35" s="4" t="n">
        <f aca="false" t="array" ref="BY35:BY35">SUM(Demand!BY7*Capacity!CS$3:CS$25*Capacity!$DI7/(TRANSPOSE(Dists!$B6:$X6)*MMULT(1/Dists!$B6:$X6,Capacity!$DI$3:$DI$25)))</f>
        <v>56.9928005347437</v>
      </c>
      <c r="BZ35" s="4" t="n">
        <f aca="false" t="array" ref="BZ35:BZ35">SUM(Demand!BZ7*Capacity!CT$3:CT$25*Capacity!$DI7/(TRANSPOSE(Dists!$B6:$X6)*MMULT(1/Dists!$B6:$X6,Capacity!$DI$3:$DI$25)))</f>
        <v>0.340980319727186</v>
      </c>
      <c r="CA35" s="4" t="n">
        <f aca="false" t="array" ref="CA35:CA35">SUM(Demand!CA7*Capacity!CU$3:CU$25*Capacity!$DI7/(TRANSPOSE(Dists!$B6:$X6)*MMULT(1/Dists!$B6:$X6,Capacity!$DI$3:$DI$25)))</f>
        <v>0.140907923488621</v>
      </c>
      <c r="CB35" s="4" t="n">
        <f aca="false" t="array" ref="CB35:CB35">SUM(Demand!CB7*Capacity!CV$3:CV$25*Capacity!$DI7/(TRANSPOSE(Dists!$B6:$X6)*MMULT(1/Dists!$B6:$X6,Capacity!$DI$3:$DI$25)))</f>
        <v>86.3619620416242</v>
      </c>
      <c r="CC35" s="4" t="n">
        <f aca="false" t="array" ref="CC35:CC35">SUM(Demand!CC7*Capacity!CW$3:CW$25*Capacity!$DI7/(TRANSPOSE(Dists!$B6:$X6)*MMULT(1/Dists!$B6:$X6,Capacity!$DI$3:$DI$25)))</f>
        <v>665.045423111944</v>
      </c>
      <c r="CD35" s="4" t="n">
        <f aca="false">SUM($BG35,$BI35,$BK35)*Capacity!CX7/SUM(Capacity!$AM7:$AN7,Capacity!$CX7)</f>
        <v>15.5939334686827</v>
      </c>
      <c r="CE35" s="4" t="n">
        <f aca="false" t="array" ref="CE35:CE35">SUM(Demand!CE7*Capacity!CY$3:CY$25*Capacity!$DI7/(TRANSPOSE(Dists!$B6:$X6)*MMULT(1/Dists!$B6:$X6,Capacity!$DI$3:$DI$25)))</f>
        <v>0.134257301953686</v>
      </c>
      <c r="CF35" s="4" t="n">
        <f aca="false" t="array" ref="CF35:CF35">SUM(Demand!CF7*Capacity!CZ$3:CZ$25*Capacity!$DI7/(TRANSPOSE(Dists!$B6:$X6)*MMULT(1/Dists!$B6:$X6,Capacity!$DI$3:$DI$25)))</f>
        <v>765.947589075623</v>
      </c>
      <c r="CG35" s="4" t="n">
        <f aca="false" t="array" ref="CG35:CG35">SUM(Demand!CG7*Capacity!DA$3:DA$25*Capacity!$DI7/(TRANSPOSE(Dists!$B6:$X6)*MMULT(1/Dists!$B6:$X6,Capacity!$DI$3:$DI$25)))</f>
        <v>1.19304703963153</v>
      </c>
      <c r="CH35" s="4" t="n">
        <f aca="false" t="array" ref="CH35:CH35">SUM(Demand!CH7*Capacity!DB$3:DB$25*Capacity!$DI7/(TRANSPOSE(Dists!$B6:$X6)*MMULT(1/Dists!$B6:$X6,Capacity!$DI$3:$DI$25)))</f>
        <v>1.96429993635515</v>
      </c>
      <c r="CI35" s="4" t="n">
        <f aca="false" t="array" ref="CI35:CI35">SUM(Demand!CI7*Capacity!DC$3:DC$25*Capacity!$DI7/(TRANSPOSE(Dists!$B6:$X6)*MMULT(1/Dists!$B6:$X6,Capacity!$DI$3:$DI$25)))</f>
        <v>0.0579447715369168</v>
      </c>
      <c r="CJ35" s="4" t="n">
        <f aca="false" t="array" ref="CJ35:CJ35">SUM(Demand!CJ7*Capacity!DD$3:DD$25*Capacity!$DI7/(TRANSPOSE(Dists!$B6:$X6)*MMULT(1/Dists!$B6:$X6,Capacity!$DI$3:$DI$25)))</f>
        <v>0.00295681702965193</v>
      </c>
      <c r="CK35" s="4" t="n">
        <f aca="false" t="array" ref="CK35:CK35">SUM(Demand!CK7*Capacity!DE$3:DE$25*Capacity!$DI7/(TRANSPOSE(Dists!$B6:$X6)*MMULT(1/Dists!$B6:$X6,Capacity!$DI$3:$DI$25)))</f>
        <v>0.818719481937147</v>
      </c>
      <c r="CL35" s="7" t="s">
        <v>322</v>
      </c>
    </row>
    <row r="36" customFormat="false" ht="12.8" hidden="false" customHeight="false" outlineLevel="0" collapsed="false">
      <c r="A36" s="4" t="s">
        <v>140</v>
      </c>
      <c r="B36" s="7" t="s">
        <v>39</v>
      </c>
      <c r="C36" s="4" t="n">
        <f aca="false" t="array" ref="C36:C36">SUM(Demand!C8*Capacity!S$3:S$25*Capacity!$DH8/(TRANSPOSE(Dists!$B7:$X7)*MMULT(1/Dists!$B7:$X7,Capacity!$DH$3:$DH$25)))</f>
        <v>0.0176669909853283</v>
      </c>
      <c r="D36" s="4" t="n">
        <f aca="false" t="array" ref="D36:D36">SUM(Demand!D8*Capacity!V$3:V$25*Capacity!$DH8/(TRANSPOSE(Dists!$B7:$X7)*MMULT(1/Dists!$B7:$X7,Capacity!$DH$3:$DH$25)))</f>
        <v>1529.14981028985</v>
      </c>
      <c r="E36" s="4" t="n">
        <f aca="false" t="array" ref="E36:E36">SUM(Demand!E8*Capacity!Y$3:Y$25*Capacity!$DH8/(TRANSPOSE(Dists!$B7:$X7)*MMULT(1/Dists!$B7:$X7,Capacity!$DH$3:$DH$25)))</f>
        <v>248.122713928905</v>
      </c>
      <c r="F36" s="4" t="n">
        <f aca="false">$E8*Capacity!$M8/(2*(1-Capacity!$H$28)*Capacity!$H8)</f>
        <v>84.1635872972985</v>
      </c>
      <c r="G36" s="4" t="n">
        <f aca="false" t="array" ref="G36:G36">SUM(Demand!G8*Capacity!AA$3:AA$25*Capacity!$DH8/(TRANSPOSE(Dists!$B7:$X7)*MMULT(1/Dists!$B7:$X7,Capacity!$DH$3:$DH$25)))</f>
        <v>205.084713355899</v>
      </c>
      <c r="H36" s="4" t="n">
        <f aca="false" t="array" ref="H36:H36">SUM(Demand!H8*Capacity!AB$3:AB$25*Capacity!$DH8/(TRANSPOSE(Dists!$B7:$X7)*MMULT(1/Dists!$B7:$X7,Capacity!$DH$3:$DH$25)))</f>
        <v>0</v>
      </c>
      <c r="I36" s="4" t="n">
        <f aca="false" t="array" ref="I36:I36">SUM(Demand!I8*Capacity!AC$3:AC$25*Capacity!$DG8/(TRANSPOSE(Dists!$B7:$X7)*MMULT(1/Dists!$B7:$X7,Capacity!$DG$3:$DG$25)))</f>
        <v>0.760942586210836</v>
      </c>
      <c r="J36" s="4" t="n">
        <f aca="false" t="array" ref="J36:J36">SUM(Demand!J8*Capacity!AD$3:AD$25*Capacity!$DG8/(TRANSPOSE(Dists!$B7:$X7)*MMULT(1/Dists!$B7:$X7,Capacity!$DG$3:$DG$25)))</f>
        <v>0.641140771878741</v>
      </c>
      <c r="K36" s="4" t="n">
        <f aca="false">5479.45205479452*$R8</f>
        <v>650260.540687554</v>
      </c>
      <c r="L36" s="4" t="n">
        <f aca="false">17142.8571428571*$S8</f>
        <v>205299.602034576</v>
      </c>
      <c r="M36" s="4" t="n">
        <f aca="false">IF(50420.1680672269*$T8&gt;($K8/20),50420.1680672269*$T8-($K8/20),0)</f>
        <v>304965.770830679</v>
      </c>
      <c r="N36" s="4" t="n">
        <f aca="false" t="array" ref="N36:N36">SUM(Demand!N8*Capacity!AH$3:AH$25*Capacity!$DH8/(TRANSPOSE(Dists!$B7:$X7)*MMULT(1/Dists!$B7:$X7,Capacity!$DH$3:$DH$25)))</f>
        <v>311.998132800076</v>
      </c>
      <c r="O36" s="4" t="n">
        <f aca="false">O8</f>
        <v>1019.4332068599</v>
      </c>
      <c r="P36" s="4" t="n">
        <f aca="false">P8</f>
        <v>407.773282743961</v>
      </c>
      <c r="Q36" s="4" t="n">
        <f aca="false" t="array" ref="Q36:Q36">SUM(Demand!Q8*Capacity!AK$3:AK$25*Capacity!$DI8/(TRANSPOSE(Dists!$B7:$X7)*MMULT(1/Dists!$B7:$X7,Capacity!$DI$3:$DI$25)))</f>
        <v>5.67359014297896</v>
      </c>
      <c r="R36" s="4" t="n">
        <f aca="false" t="array" ref="R36:R36">SUM(Demand!R8*Capacity!AL$3:AL$25*Capacity!$DH8/(TRANSPOSE(Dists!$B7:$X7)*MMULT(1/Dists!$B7:$X7,Capacity!$DH$3:$DH$25)))</f>
        <v>108.26642385169</v>
      </c>
      <c r="S36" s="4" t="n">
        <f aca="false">SUM($BG36,$BI36,$BK36)*Capacity!AM8/SUM(Capacity!$AM8:$AN8,Capacity!$CX8)</f>
        <v>11.9758101186836</v>
      </c>
      <c r="T36" s="4" t="n">
        <f aca="false">SUM($BG36,$BI36,$BK36)*Capacity!AN8/SUM(Capacity!$AM8:$AN8,Capacity!$CX8)</f>
        <v>6.69332949099029</v>
      </c>
      <c r="U36" s="4" t="n">
        <f aca="false">$M8*120*2/(16*1000*2000)</f>
        <v>2.28724328123009</v>
      </c>
      <c r="V36" s="4" t="n">
        <f aca="false" t="array" ref="V36:V36">SUM(Demand!V8*Capacity!AP$3:AP$25*Capacity!$DH8/(TRANSPOSE(Dists!$B7:$X7)*MMULT(1/Dists!$B7:$X7,Capacity!$DH$3:$DH$25)))</f>
        <v>62.8937491114769</v>
      </c>
      <c r="W36" s="4" t="n">
        <f aca="false" t="array" ref="W36:W36">SUM(Demand!W8*Capacity!AQ$3:AQ$25*Capacity!$DH8/(TRANSPOSE(Dists!$B7:$X7)*MMULT(1/Dists!$B7:$X7,Capacity!$DH$3:$DH$25)))</f>
        <v>170.036970844551</v>
      </c>
      <c r="X36" s="4" t="n">
        <f aca="false" t="array" ref="X36:X36">SUM(Demand!X8*Capacity!AR$3:AR$25*Capacity!$DH8/(TRANSPOSE(Dists!$B7:$X7)*MMULT(1/Dists!$B7:$X7,Capacity!$DH$3:$DH$25)))</f>
        <v>1369.61895026191</v>
      </c>
      <c r="Y36" s="4" t="n">
        <f aca="false">$L8*600*6/(90*1000*2000)</f>
        <v>4.10599204069152</v>
      </c>
      <c r="Z36" s="4" t="n">
        <f aca="false" t="array" ref="Z36:Z36">SUM(Demand!Z8*Capacity!AT$3:AT$25*Capacity!$DI8/(TRANSPOSE(Dists!$B7:$X7)*MMULT(1/Dists!$B7:$X7,Capacity!$DI$3:$DI$25)))</f>
        <v>15.3705704036881</v>
      </c>
      <c r="AA36" s="4" t="n">
        <f aca="false" t="array" ref="AA36:AA36">SUM(Demand!AA8*Capacity!AU$3:AU$25*Capacity!$DI8/(TRANSPOSE(Dists!$B7:$X7)*MMULT(1/Dists!$B7:$X7,Capacity!$DI$3:$DI$25)))</f>
        <v>13.6101827781009</v>
      </c>
      <c r="AB36" s="4" t="n">
        <f aca="false" t="array" ref="AB36:AB36">SUM(Demand!AB8*Capacity!AV$3:AV$25*Capacity!$DI8/(TRANSPOSE(Dists!$B7:$X7)*MMULT(1/Dists!$B7:$X7,Capacity!$DI$3:$DI$25)))</f>
        <v>17.3647119284708</v>
      </c>
      <c r="AC36" s="4" t="n">
        <f aca="false" t="array" ref="AC36:AC36">SUM(Demand!AC8*Capacity!AW$3:AW$25*Capacity!$DI8/(TRANSPOSE(Dists!$B7:$X7)*MMULT(1/Dists!$B7:$X7,Capacity!$DI$3:$DI$25)))</f>
        <v>3.01284496692138</v>
      </c>
      <c r="AD36" s="4" t="n">
        <f aca="false" t="array" ref="AD36:AD36">SUM(Demand!AD8*Capacity!AX$3:AX$25*Capacity!$DI8/(TRANSPOSE(Dists!$B7:$X7)*MMULT(1/Dists!$B7:$X7,Capacity!$DI$3:$DI$25)))</f>
        <v>2.84278848492021</v>
      </c>
      <c r="AE36" s="4" t="n">
        <f aca="false" t="array" ref="AE36:AE36">SUM(Demand!AE8*Capacity!AY$3:AY$25*Capacity!$DI8/(TRANSPOSE(Dists!$B7:$X7)*MMULT(1/Dists!$B7:$X7,Capacity!$DI$3:$DI$25)))</f>
        <v>0.220624158220236</v>
      </c>
      <c r="AF36" s="4" t="n">
        <f aca="false" t="array" ref="AF36:AF36">SUM(Demand!AF8*Capacity!AZ$3:AZ$25*Capacity!$DI8/(TRANSPOSE(Dists!$B7:$X7)*MMULT(1/Dists!$B7:$X7,Capacity!$DI$3:$DI$25)))</f>
        <v>0.592538436562982</v>
      </c>
      <c r="AG36" s="4" t="n">
        <f aca="false" t="array" ref="AG36:AG36">SUM(Demand!AG8*Capacity!BA$3:BA$25*Capacity!$DI8/(TRANSPOSE(Dists!$B7:$X7)*MMULT(1/Dists!$B7:$X7,Capacity!$DI$3:$DI$25)))</f>
        <v>0.829464044800596</v>
      </c>
      <c r="AH36" s="4" t="n">
        <f aca="false" t="array" ref="AH36:AH36">SUM(Demand!AH8*Capacity!BB$3:BB$25*Capacity!$DI8/(TRANSPOSE(Dists!$B7:$X7)*MMULT(1/Dists!$B7:$X7,Capacity!$DI$3:$DI$25)))</f>
        <v>1.74603654552878</v>
      </c>
      <c r="AI36" s="4" t="n">
        <f aca="false" t="array" ref="AI36:AI36">SUM(Demand!AI8*Capacity!BC$3:BC$25*Capacity!$DI8/(TRANSPOSE(Dists!$B7:$X7)*MMULT(1/Dists!$B7:$X7,Capacity!$DI$3:$DI$25)))</f>
        <v>0.23759579471751</v>
      </c>
      <c r="AJ36" s="4" t="n">
        <f aca="false" t="array" ref="AJ36:AJ36">SUM(Demand!AJ8*Capacity!BD$3:BD$25*Capacity!$DI8/(TRANSPOSE(Dists!$B7:$X7)*MMULT(1/Dists!$B7:$X7,Capacity!$DI$3:$DI$25)))</f>
        <v>0.718825264714461</v>
      </c>
      <c r="AK36" s="4" t="n">
        <f aca="false" t="array" ref="AK36:AK36">SUM(Demand!AK8*Capacity!BE$3:BE$25*Capacity!$DI8/(TRANSPOSE(Dists!$B7:$X7)*MMULT(1/Dists!$B7:$X7,Capacity!$DI$3:$DI$25)))</f>
        <v>0.0973939356297499</v>
      </c>
      <c r="AL36" s="4" t="n">
        <f aca="false" t="array" ref="AL36:AL36">SUM(Demand!AL8*Capacity!BF$3:BF$25*Capacity!$DI8/(TRANSPOSE(Dists!$B7:$X7)*MMULT(1/Dists!$B7:$X7,Capacity!$DI$3:$DI$25)))</f>
        <v>0.467710654253511</v>
      </c>
      <c r="AM36" s="4" t="n">
        <f aca="false" t="array" ref="AM36:AM36">SUM(Demand!AM8*Capacity!BG$3:BG$25*Capacity!$DI8/(TRANSPOSE(Dists!$B7:$X7)*MMULT(1/Dists!$B7:$X7,Capacity!$DI$3:$DI$25)))</f>
        <v>0.393190412619317</v>
      </c>
      <c r="AN36" s="4" t="n">
        <f aca="false" t="array" ref="AN36:AN36">SUM(Demand!AN8*Capacity!BH$3:BH$25*Capacity!$DI8/(TRANSPOSE(Dists!$B7:$X7)*MMULT(1/Dists!$B7:$X7,Capacity!$DI$3:$DI$25)))</f>
        <v>0.079681627606788</v>
      </c>
      <c r="AO36" s="4" t="n">
        <f aca="false" t="array" ref="AO36:AO36">SUM(Demand!AO8*Capacity!BI$3:BI$25*Capacity!$DI8/(TRANSPOSE(Dists!$B7:$X7)*MMULT(1/Dists!$B7:$X7,Capacity!$DI$3:$DI$25)))</f>
        <v>1.52647776905463</v>
      </c>
      <c r="AP36" s="4" t="n">
        <f aca="false" t="array" ref="AP36:AP36">SUM(Demand!AP8*Capacity!BJ$3:BJ$25*Capacity!$DI8/(TRANSPOSE(Dists!$B7:$X7)*MMULT(1/Dists!$B7:$X7,Capacity!$DI$3:$DI$25)))</f>
        <v>0.476844770958975</v>
      </c>
      <c r="AQ36" s="4" t="n">
        <f aca="false" t="array" ref="AQ36:AQ36">SUM(Demand!AQ8*Capacity!BK$3:BK$25*Capacity!$DI8/(TRANSPOSE(Dists!$B7:$X7)*MMULT(1/Dists!$B7:$X7,Capacity!$DI$3:$DI$25)))</f>
        <v>0.00780998554945992</v>
      </c>
      <c r="AR36" s="4" t="n">
        <f aca="false" t="array" ref="AR36:AR36">SUM(Demand!AR8*Capacity!BL$3:BL$25*Capacity!$DI8/(TRANSPOSE(Dists!$B7:$X7)*MMULT(1/Dists!$B7:$X7,Capacity!$DI$3:$DI$25)))</f>
        <v>0.17268752578386</v>
      </c>
      <c r="AS36" s="4" t="n">
        <f aca="false" t="array" ref="AS36:AS36">SUM(Demand!AS8*Capacity!BM$3:BM$25*Capacity!$DI8/(TRANSPOSE(Dists!$B7:$X7)*MMULT(1/Dists!$B7:$X7,Capacity!$DI$3:$DI$25)))</f>
        <v>0.179582839462486</v>
      </c>
      <c r="AT36" s="4" t="n">
        <f aca="false" t="array" ref="AT36:AT36">SUM(Demand!AT8*Capacity!BN$3:BN$25*Capacity!$DI8/(TRANSPOSE(Dists!$B7:$X7)*MMULT(1/Dists!$B7:$X7,Capacity!$DI$3:$DI$25)))</f>
        <v>2.69375798108545</v>
      </c>
      <c r="AU36" s="4" t="n">
        <f aca="false" t="array" ref="AU36:AU36">SUM(Demand!AU8*Capacity!BO$3:BO$25*Capacity!$DI8/(TRANSPOSE(Dists!$B7:$X7)*MMULT(1/Dists!$B7:$X7,Capacity!$DI$3:$DI$25)))</f>
        <v>0.405599114008675</v>
      </c>
      <c r="AV36" s="4" t="n">
        <f aca="false" t="array" ref="AV36:AV36">SUM(Demand!AV8*Capacity!BP$3:BP$25*Capacity!$DI8/(TRANSPOSE(Dists!$B7:$X7)*MMULT(1/Dists!$B7:$X7,Capacity!$DI$3:$DI$25)))</f>
        <v>0.00275352746099732</v>
      </c>
      <c r="AW36" s="4" t="n">
        <f aca="false" t="array" ref="AW36:AW36">SUM(Demand!AW8*Capacity!BQ$3:BQ$25*Capacity!$DI8/(TRANSPOSE(Dists!$B7:$X7)*MMULT(1/Dists!$B7:$X7,Capacity!$DI$3:$DI$25)))</f>
        <v>1.67740114339314</v>
      </c>
      <c r="AX36" s="4" t="n">
        <f aca="false" t="array" ref="AX36:AX36">SUM(Demand!AX8*Capacity!BR$3:BR$25*Capacity!$DI8/(TRANSPOSE(Dists!$B7:$X7)*MMULT(1/Dists!$B7:$X7,Capacity!$DI$3:$DI$25)))</f>
        <v>0.186779950882482</v>
      </c>
      <c r="AY36" s="4" t="n">
        <f aca="false" t="array" ref="AY36:AY36">SUM(Demand!AY8*Capacity!BS$3:BS$25*Capacity!$DI8/(TRANSPOSE(Dists!$B7:$X7)*MMULT(1/Dists!$B7:$X7,Capacity!$DI$3:$DI$25)))</f>
        <v>0.216400904691354</v>
      </c>
      <c r="AZ36" s="4" t="n">
        <f aca="false" t="array" ref="AZ36:AZ36">SUM(Demand!AZ8*Capacity!BT$3:BT$25*Capacity!$DI8/(TRANSPOSE(Dists!$B7:$X7)*MMULT(1/Dists!$B7:$X7,Capacity!$DI$3:$DI$25)))</f>
        <v>1.64201519456762</v>
      </c>
      <c r="BA36" s="4" t="n">
        <f aca="false">BA8</f>
        <v>0.0503185299104352</v>
      </c>
      <c r="BB36" s="4" t="n">
        <f aca="false" t="array" ref="BB36:BB36">SUM(Demand!BB8*Capacity!BV$3:BV$25*Capacity!$DI8/(TRANSPOSE(Dists!$B7:$X7)*MMULT(1/Dists!$B7:$X7,Capacity!$DI$3:$DI$25)))</f>
        <v>0.101892820327321</v>
      </c>
      <c r="BC36" s="4" t="n">
        <f aca="false" t="array" ref="BC36:BC36">SUM(Demand!BC8*Capacity!BW$3:BW$25*Capacity!$DI8/(TRANSPOSE(Dists!$B7:$X7)*MMULT(1/Dists!$B7:$X7,Capacity!$DI$3:$DI$25)))</f>
        <v>0.0586441579117683</v>
      </c>
      <c r="BD36" s="4" t="n">
        <f aca="false" t="array" ref="BD36:BD36">SUM(Demand!BD8*Capacity!BX$3:BX$25*Capacity!$DI8/(TRANSPOSE(Dists!$B7:$X7)*MMULT(1/Dists!$B7:$X7,Capacity!$DI$3:$DI$25)))</f>
        <v>0.114988054856916</v>
      </c>
      <c r="BE36" s="4" t="n">
        <f aca="false" t="array" ref="BE36:BE36">SUM(Demand!BE8*Capacity!BY$3:BY$25*Capacity!$DI8/(TRANSPOSE(Dists!$B7:$X7)*MMULT(1/Dists!$B7:$X7,Capacity!$DI$3:$DI$25)))</f>
        <v>0.005411938562131</v>
      </c>
      <c r="BF36" s="4" t="n">
        <f aca="false" t="array" ref="BF36:BF36">SUM(Demand!BF8*Capacity!BZ$3:BZ$25*Capacity!$DI8/(TRANSPOSE(Dists!$B7:$X7)*MMULT(1/Dists!$B7:$X7,Capacity!$DI$3:$DI$25)))</f>
        <v>6.91795576110719</v>
      </c>
      <c r="BG36" s="4" t="n">
        <f aca="false" t="array" ref="BG36:BG36">SUM(Demand!BG8*Capacity!CA$3:CA$25*Capacity!$DI8/(TRANSPOSE(Dists!$B7:$X7)*MMULT(1/Dists!$B7:$X7,Capacity!$DI$3:$DI$25)))</f>
        <v>12.9365335729356</v>
      </c>
      <c r="BH36" s="4" t="n">
        <f aca="false" t="array" ref="BH36:BH36">SUM(Demand!BH8*Capacity!CB$3:CB$25*Capacity!$DI8/(TRANSPOSE(Dists!$B7:$X7)*MMULT(1/Dists!$B7:$X7,Capacity!$DI$3:$DI$25)))</f>
        <v>25.8730671458712</v>
      </c>
      <c r="BI36" s="4" t="n">
        <f aca="false" t="array" ref="BI36:BI36">SUM(Demand!BI8*Capacity!CC$3:CC$25*Capacity!$DI8/(TRANSPOSE(Dists!$B7:$X7)*MMULT(1/Dists!$B7:$X7,Capacity!$DI$3:$DI$25)))</f>
        <v>34.4974228611616</v>
      </c>
      <c r="BJ36" s="4" t="n">
        <f aca="false" t="array" ref="BJ36:BJ36">SUM(Demand!BJ8*Capacity!CD$3:CD$25*Capacity!$DI8/(TRANSPOSE(Dists!$B7:$X7)*MMULT(1/Dists!$B7:$X7,Capacity!$DI$3:$DI$25)))</f>
        <v>413.641354952191</v>
      </c>
      <c r="BK36" s="4" t="n">
        <f aca="false" t="array" ref="BK36:BK36">SUM(Demand!BK8*Capacity!CE$3:CE$25*Capacity!$DI8/(TRANSPOSE(Dists!$B7:$X7)*MMULT(1/Dists!$B7:$X7,Capacity!$DI$3:$DI$25)))</f>
        <v>17.2487114305808</v>
      </c>
      <c r="BL36" s="4" t="n">
        <f aca="false" t="array" ref="BL36:BL36">SUM(Demand!BL8*Capacity!CF$3:CF$25*Capacity!$DI8/(TRANSPOSE(Dists!$B7:$X7)*MMULT(1/Dists!$B7:$X7,Capacity!$DI$3:$DI$25)))</f>
        <v>483.335306251804</v>
      </c>
      <c r="BM36" s="4" t="n">
        <f aca="false" t="array" ref="BM36:BM36">SUM(Demand!BM8*Capacity!CG$3:CG$25*Capacity!$DI8/(TRANSPOSE(Dists!$B7:$X7)*MMULT(1/Dists!$B7:$X7,Capacity!$DI$3:$DI$25)))</f>
        <v>23.2714266985762</v>
      </c>
      <c r="BN36" s="4" t="n">
        <f aca="false">BN8</f>
        <v>0.000398059448510501</v>
      </c>
      <c r="BO36" s="4" t="n">
        <f aca="false" t="array" ref="BO36:BO36">SUM(Demand!BO8*Capacity!CI$3:CI$25*Capacity!$DI8/(TRANSPOSE(Dists!$B7:$X7)*MMULT(1/Dists!$B7:$X7,Capacity!$DI$3:$DI$25)))</f>
        <v>7.97241289336359</v>
      </c>
      <c r="BP36" s="4" t="n">
        <f aca="false" t="array" ref="BP36:BP36">SUM(Demand!BP8*Capacity!CJ$3:CJ$25*Capacity!$DI8/(TRANSPOSE(Dists!$B7:$X7)*MMULT(1/Dists!$B7:$X7,Capacity!$DI$3:$DI$25)))</f>
        <v>9.58653728329863</v>
      </c>
      <c r="BQ36" s="4" t="n">
        <f aca="false" t="array" ref="BQ36:BQ36">SUM(Demand!BQ8*Capacity!CK$3:CK$25*Capacity!$DI8/(TRANSPOSE(Dists!$B7:$X7)*MMULT(1/Dists!$B7:$X7,Capacity!$DI$3:$DI$25)))</f>
        <v>0</v>
      </c>
      <c r="BR36" s="4" t="n">
        <f aca="false" t="array" ref="BR36:BR36">SUM(Demand!BR8*Capacity!CL$3:CL$25*Capacity!$DI8/(TRANSPOSE(Dists!$B7:$X7)*MMULT(1/Dists!$B7:$X7,Capacity!$DI$3:$DI$25)))</f>
        <v>0.265747199835047</v>
      </c>
      <c r="BS36" s="4" t="n">
        <f aca="false" t="array" ref="BS36:BS36">SUM(Demand!BS8*Capacity!CM$3:CM$25*Capacity!$DI8/(TRANSPOSE(Dists!$B7:$X7)*MMULT(1/Dists!$B7:$X7,Capacity!$DI$3:$DI$25)))</f>
        <v>0.0265747199835047</v>
      </c>
      <c r="BT36" s="4" t="n">
        <f aca="false">BT8</f>
        <v>3.07080939560334</v>
      </c>
      <c r="BU36" s="4" t="n">
        <f aca="false">BU8</f>
        <v>0.307080939560334</v>
      </c>
      <c r="BV36" s="4" t="n">
        <f aca="false">BV8</f>
        <v>0.0307080939560334</v>
      </c>
      <c r="BW36" s="4" t="n">
        <f aca="false">BW8</f>
        <v>1074.11175820513</v>
      </c>
      <c r="BX36" s="4" t="n">
        <f aca="false" t="array" ref="BX36:BX36">SUM(Demand!BX8*Capacity!CR$3:CR$25*Capacity!$DI8/(TRANSPOSE(Dists!$B7:$X7)*MMULT(1/Dists!$B7:$X7,Capacity!$DI$3:$DI$25)))</f>
        <v>4.2853827096602</v>
      </c>
      <c r="BY36" s="4" t="n">
        <f aca="false" t="array" ref="BY36:BY36">SUM(Demand!BY8*Capacity!CS$3:CS$25*Capacity!$DI8/(TRANSPOSE(Dists!$B7:$X7)*MMULT(1/Dists!$B7:$X7,Capacity!$DI$3:$DI$25)))</f>
        <v>62.6064125604299</v>
      </c>
      <c r="BZ36" s="4" t="n">
        <f aca="false" t="array" ref="BZ36:BZ36">SUM(Demand!BZ8*Capacity!CT$3:CT$25*Capacity!$DI8/(TRANSPOSE(Dists!$B7:$X7)*MMULT(1/Dists!$B7:$X7,Capacity!$DI$3:$DI$25)))</f>
        <v>0.529481877953561</v>
      </c>
      <c r="CA36" s="4" t="n">
        <f aca="false" t="array" ref="CA36:CA36">SUM(Demand!CA8*Capacity!CU$3:CU$25*Capacity!$DI8/(TRANSPOSE(Dists!$B7:$X7)*MMULT(1/Dists!$B7:$X7,Capacity!$DI$3:$DI$25)))</f>
        <v>0.024414264465565</v>
      </c>
      <c r="CB36" s="4" t="n">
        <f aca="false" t="array" ref="CB36:CB36">SUM(Demand!CB8*Capacity!CV$3:CV$25*Capacity!$DI8/(TRANSPOSE(Dists!$B7:$X7)*MMULT(1/Dists!$B7:$X7,Capacity!$DI$3:$DI$25)))</f>
        <v>318.512696680077</v>
      </c>
      <c r="CC36" s="4" t="n">
        <f aca="false" t="array" ref="CC36:CC36">SUM(Demand!CC8*Capacity!CW$3:CW$25*Capacity!$DI8/(TRANSPOSE(Dists!$B7:$X7)*MMULT(1/Dists!$B7:$X7,Capacity!$DI$3:$DI$25)))</f>
        <v>234.929564383265</v>
      </c>
      <c r="CD36" s="4" t="n">
        <f aca="false">SUM($BG36,$BI36,$BK36)*Capacity!CX8/SUM(Capacity!$AM8:$AN8,Capacity!$CX8)</f>
        <v>46.013528255004</v>
      </c>
      <c r="CE36" s="4" t="n">
        <f aca="false" t="array" ref="CE36:CE36">SUM(Demand!CE8*Capacity!CY$3:CY$25*Capacity!$DI8/(TRANSPOSE(Dists!$B7:$X7)*MMULT(1/Dists!$B7:$X7,Capacity!$DI$3:$DI$25)))</f>
        <v>6.40354999054324</v>
      </c>
      <c r="CF36" s="4" t="n">
        <f aca="false" t="array" ref="CF36:CF36">SUM(Demand!CF8*Capacity!CZ$3:CZ$25*Capacity!$DI8/(TRANSPOSE(Dists!$B7:$X7)*MMULT(1/Dists!$B7:$X7,Capacity!$DI$3:$DI$25)))</f>
        <v>629.796513685699</v>
      </c>
      <c r="CG36" s="4" t="n">
        <f aca="false" t="array" ref="CG36:CG36">SUM(Demand!CG8*Capacity!DA$3:DA$25*Capacity!$DI8/(TRANSPOSE(Dists!$B7:$X7)*MMULT(1/Dists!$B7:$X7,Capacity!$DI$3:$DI$25)))</f>
        <v>1.38073596412071</v>
      </c>
      <c r="CH36" s="4" t="n">
        <f aca="false" t="array" ref="CH36:CH36">SUM(Demand!CH8*Capacity!DB$3:DB$25*Capacity!$DI8/(TRANSPOSE(Dists!$B7:$X7)*MMULT(1/Dists!$B7:$X7,Capacity!$DI$3:$DI$25)))</f>
        <v>0.106773923928081</v>
      </c>
      <c r="CI36" s="4" t="n">
        <f aca="false" t="array" ref="CI36:CI36">SUM(Demand!CI8*Capacity!DC$3:DC$25*Capacity!$DI8/(TRANSPOSE(Dists!$B7:$X7)*MMULT(1/Dists!$B7:$X7,Capacity!$DI$3:$DI$25)))</f>
        <v>0.151301492428174</v>
      </c>
      <c r="CJ36" s="4" t="n">
        <f aca="false" t="array" ref="CJ36:CJ36">SUM(Demand!CJ8*Capacity!DD$3:DD$25*Capacity!$DI8/(TRANSPOSE(Dists!$B7:$X7)*MMULT(1/Dists!$B7:$X7,Capacity!$DI$3:$DI$25)))</f>
        <v>0.00830901082797981</v>
      </c>
      <c r="CK36" s="4" t="n">
        <f aca="false" t="array" ref="CK36:CK36">SUM(Demand!CK8*Capacity!DE$3:DE$25*Capacity!$DI8/(TRANSPOSE(Dists!$B7:$X7)*MMULT(1/Dists!$B7:$X7,Capacity!$DI$3:$DI$25)))</f>
        <v>5.28783502346302</v>
      </c>
      <c r="CL36" s="7" t="s">
        <v>322</v>
      </c>
    </row>
    <row r="37" customFormat="false" ht="12.8" hidden="false" customHeight="false" outlineLevel="0" collapsed="false">
      <c r="A37" s="4" t="s">
        <v>141</v>
      </c>
      <c r="B37" s="7" t="s">
        <v>39</v>
      </c>
      <c r="C37" s="4" t="n">
        <f aca="false" t="array" ref="C37:C37">SUM(Demand!C9*Capacity!S$3:S$25*Capacity!$DH9/(TRANSPOSE(Dists!$B8:$X8)*MMULT(1/Dists!$B8:$X8,Capacity!$DH$3:$DH$25)))</f>
        <v>0.0238144388118111</v>
      </c>
      <c r="D37" s="4" t="n">
        <f aca="false" t="array" ref="D37:D37">SUM(Demand!D9*Capacity!V$3:V$25*Capacity!$DH9/(TRANSPOSE(Dists!$B8:$X8)*MMULT(1/Dists!$B8:$X8,Capacity!$DH$3:$DH$25)))</f>
        <v>1828.19961648135</v>
      </c>
      <c r="E37" s="4" t="n">
        <f aca="false" t="array" ref="E37:E37">SUM(Demand!E9*Capacity!Y$3:Y$25*Capacity!$DH9/(TRANSPOSE(Dists!$B8:$X8)*MMULT(1/Dists!$B8:$X8,Capacity!$DH$3:$DH$25)))</f>
        <v>295.999910984045</v>
      </c>
      <c r="F37" s="4" t="n">
        <f aca="false">$E9*Capacity!$M9/(2*(1-Capacity!$H$28)*Capacity!$H9)</f>
        <v>86.6619556740144</v>
      </c>
      <c r="G37" s="4" t="n">
        <f aca="false" t="array" ref="G37:G37">SUM(Demand!G9*Capacity!AA$3:AA$25*Capacity!$DH9/(TRANSPOSE(Dists!$B8:$X8)*MMULT(1/Dists!$B8:$X8,Capacity!$DH$3:$DH$25)))</f>
        <v>143.619805970347</v>
      </c>
      <c r="H37" s="4" t="n">
        <f aca="false" t="array" ref="H37:H37">SUM(Demand!H9*Capacity!AB$3:AB$25*Capacity!$DH9/(TRANSPOSE(Dists!$B8:$X8)*MMULT(1/Dists!$B8:$X8,Capacity!$DH$3:$DH$25)))</f>
        <v>0</v>
      </c>
      <c r="I37" s="4" t="n">
        <f aca="false" t="array" ref="I37:I37">SUM(Demand!I9*Capacity!AC$3:AC$25*Capacity!$DG9/(TRANSPOSE(Dists!$B8:$X8)*MMULT(1/Dists!$B8:$X8,Capacity!$DG$3:$DG$25)))</f>
        <v>1.18765148288711</v>
      </c>
      <c r="J37" s="4" t="n">
        <f aca="false" t="array" ref="J37:J37">SUM(Demand!J9*Capacity!AD$3:AD$25*Capacity!$DG9/(TRANSPOSE(Dists!$B8:$X8)*MMULT(1/Dists!$B8:$X8,Capacity!$DG$3:$DG$25)))</f>
        <v>0.490059148602792</v>
      </c>
      <c r="K37" s="4" t="n">
        <f aca="false">5479.45205479452*$R9</f>
        <v>762187.312162602</v>
      </c>
      <c r="L37" s="4" t="n">
        <f aca="false">17142.8571428571*$S9</f>
        <v>243409.58354359</v>
      </c>
      <c r="M37" s="4" t="n">
        <f aca="false">IF(50420.1680672269*$T9&gt;($K9/20),50420.1680672269*$T9-($K9/20),0)</f>
        <v>362015.977203251</v>
      </c>
      <c r="N37" s="4" t="n">
        <f aca="false" t="array" ref="N37:N37">SUM(Demand!N9*Capacity!AH$3:AH$25*Capacity!$DH9/(TRANSPOSE(Dists!$B8:$X8)*MMULT(1/Dists!$B8:$X8,Capacity!$DH$3:$DH$25)))</f>
        <v>410.369588629348</v>
      </c>
      <c r="O37" s="4" t="n">
        <f aca="false">O9</f>
        <v>1218.7997443209</v>
      </c>
      <c r="P37" s="4" t="n">
        <f aca="false">P9</f>
        <v>487.519897728359</v>
      </c>
      <c r="Q37" s="4" t="n">
        <f aca="false" t="array" ref="Q37:Q37">SUM(Demand!Q9*Capacity!AK$3:AK$25*Capacity!$DI9/(TRANSPOSE(Dists!$B8:$X8)*MMULT(1/Dists!$B8:$X8,Capacity!$DI$3:$DI$25)))</f>
        <v>4.80677762470912</v>
      </c>
      <c r="R37" s="4" t="n">
        <f aca="false" t="array" ref="R37:R37">SUM(Demand!R9*Capacity!AL$3:AL$25*Capacity!$DH9/(TRANSPOSE(Dists!$B8:$X8)*MMULT(1/Dists!$B8:$X8,Capacity!$DH$3:$DH$25)))</f>
        <v>157.519858785713</v>
      </c>
      <c r="S37" s="4" t="n">
        <f aca="false">SUM($BG37,$BI37,$BK37)*Capacity!AM9/SUM(Capacity!$AM9:$AN9,Capacity!$CX9)</f>
        <v>14.1988923733761</v>
      </c>
      <c r="T37" s="4" t="n">
        <f aca="false">SUM($BG37,$BI37,$BK37)*Capacity!AN9/SUM(Capacity!$AM9:$AN9,Capacity!$CX9)</f>
        <v>7.9358192990924</v>
      </c>
      <c r="U37" s="4" t="n">
        <f aca="false">$M9*120*2/(16*1000*2000)</f>
        <v>2.71511982902438</v>
      </c>
      <c r="V37" s="4" t="n">
        <f aca="false" t="array" ref="V37:V37">SUM(Demand!V9*Capacity!AP$3:AP$25*Capacity!$DH9/(TRANSPOSE(Dists!$B8:$X8)*MMULT(1/Dists!$B8:$X8,Capacity!$DH$3:$DH$25)))</f>
        <v>134.151103360369</v>
      </c>
      <c r="W37" s="4" t="n">
        <f aca="false" t="array" ref="W37:W37">SUM(Demand!W9*Capacity!AQ$3:AQ$25*Capacity!$DH9/(TRANSPOSE(Dists!$B8:$X8)*MMULT(1/Dists!$B8:$X8,Capacity!$DH$3:$DH$25)))</f>
        <v>625.295842591965</v>
      </c>
      <c r="X37" s="4" t="n">
        <f aca="false" t="array" ref="X37:X37">SUM(Demand!X9*Capacity!AR$3:AR$25*Capacity!$DH9/(TRANSPOSE(Dists!$B8:$X8)*MMULT(1/Dists!$B8:$X8,Capacity!$DH$3:$DH$25)))</f>
        <v>702.279277746237</v>
      </c>
      <c r="Y37" s="4" t="n">
        <f aca="false">$L9*600*6/(90*1000*2000)</f>
        <v>4.86819167087179</v>
      </c>
      <c r="Z37" s="4" t="n">
        <f aca="false" t="array" ref="Z37:Z37">SUM(Demand!Z9*Capacity!AT$3:AT$25*Capacity!$DI9/(TRANSPOSE(Dists!$B8:$X8)*MMULT(1/Dists!$B8:$X8,Capacity!$DI$3:$DI$25)))</f>
        <v>17.0519938041698</v>
      </c>
      <c r="AA37" s="4" t="n">
        <f aca="false" t="array" ref="AA37:AA37">SUM(Demand!AA9*Capacity!AU$3:AU$25*Capacity!$DI9/(TRANSPOSE(Dists!$B8:$X8)*MMULT(1/Dists!$B8:$X8,Capacity!$DI$3:$DI$25)))</f>
        <v>17.1237994941517</v>
      </c>
      <c r="AB37" s="4" t="n">
        <f aca="false" t="array" ref="AB37:AB37">SUM(Demand!AB9*Capacity!AV$3:AV$25*Capacity!$DI9/(TRANSPOSE(Dists!$B8:$X8)*MMULT(1/Dists!$B8:$X8,Capacity!$DI$3:$DI$25)))</f>
        <v>20.715367423249</v>
      </c>
      <c r="AC37" s="4" t="n">
        <f aca="false" t="array" ref="AC37:AC37">SUM(Demand!AC9*Capacity!AW$3:AW$25*Capacity!$DI9/(TRANSPOSE(Dists!$B8:$X8)*MMULT(1/Dists!$B8:$X8,Capacity!$DI$3:$DI$25)))</f>
        <v>3.05192577248431</v>
      </c>
      <c r="AD37" s="4" t="n">
        <f aca="false" t="array" ref="AD37:AD37">SUM(Demand!AD9*Capacity!AX$3:AX$25*Capacity!$DI9/(TRANSPOSE(Dists!$B8:$X8)*MMULT(1/Dists!$B8:$X8,Capacity!$DI$3:$DI$25)))</f>
        <v>3.39132651404078</v>
      </c>
      <c r="AE37" s="4" t="n">
        <f aca="false" t="array" ref="AE37:AE37">SUM(Demand!AE9*Capacity!AY$3:AY$25*Capacity!$DI9/(TRANSPOSE(Dists!$B8:$X8)*MMULT(1/Dists!$B8:$X8,Capacity!$DI$3:$DI$25)))</f>
        <v>3.41749981229843</v>
      </c>
      <c r="AF37" s="4" t="n">
        <f aca="false" t="array" ref="AF37:AF37">SUM(Demand!AF9*Capacity!AZ$3:AZ$25*Capacity!$DI9/(TRANSPOSE(Dists!$B8:$X8)*MMULT(1/Dists!$B8:$X8,Capacity!$DI$3:$DI$25)))</f>
        <v>0.275823989755882</v>
      </c>
      <c r="AG37" s="4" t="n">
        <f aca="false" t="array" ref="AG37:AG37">SUM(Demand!AG9*Capacity!BA$3:BA$25*Capacity!$DI9/(TRANSPOSE(Dists!$B8:$X8)*MMULT(1/Dists!$B8:$X8,Capacity!$DI$3:$DI$25)))</f>
        <v>2.55874426510732</v>
      </c>
      <c r="AH37" s="4" t="n">
        <f aca="false" t="array" ref="AH37:AH37">SUM(Demand!AH9*Capacity!BB$3:BB$25*Capacity!$DI9/(TRANSPOSE(Dists!$B8:$X8)*MMULT(1/Dists!$B8:$X8,Capacity!$DI$3:$DI$25)))</f>
        <v>3.15956139511492</v>
      </c>
      <c r="AI37" s="4" t="n">
        <f aca="false" t="array" ref="AI37:AI37">SUM(Demand!AI9*Capacity!BC$3:BC$25*Capacity!$DI9/(TRANSPOSE(Dists!$B8:$X8)*MMULT(1/Dists!$B8:$X8,Capacity!$DI$3:$DI$25)))</f>
        <v>0.150989740864401</v>
      </c>
      <c r="AJ37" s="4" t="n">
        <f aca="false" t="array" ref="AJ37:AJ37">SUM(Demand!AJ9*Capacity!BD$3:BD$25*Capacity!$DI9/(TRANSPOSE(Dists!$B8:$X8)*MMULT(1/Dists!$B8:$X8,Capacity!$DI$3:$DI$25)))</f>
        <v>0.485069502829239</v>
      </c>
      <c r="AK37" s="4" t="n">
        <f aca="false" t="array" ref="AK37:AK37">SUM(Demand!AK9*Capacity!BE$3:BE$25*Capacity!$DI9/(TRANSPOSE(Dists!$B8:$X8)*MMULT(1/Dists!$B8:$X8,Capacity!$DI$3:$DI$25)))</f>
        <v>0.279883322777152</v>
      </c>
      <c r="AL37" s="4" t="n">
        <f aca="false" t="array" ref="AL37:AL37">SUM(Demand!AL9*Capacity!BF$3:BF$25*Capacity!$DI9/(TRANSPOSE(Dists!$B8:$X8)*MMULT(1/Dists!$B8:$X8,Capacity!$DI$3:$DI$25)))</f>
        <v>0.140553850177754</v>
      </c>
      <c r="AM37" s="4" t="n">
        <f aca="false" t="array" ref="AM37:AM37">SUM(Demand!AM9*Capacity!BG$3:BG$25*Capacity!$DI9/(TRANSPOSE(Dists!$B8:$X8)*MMULT(1/Dists!$B8:$X8,Capacity!$DI$3:$DI$25)))</f>
        <v>1.54903738395423</v>
      </c>
      <c r="AN37" s="4" t="n">
        <f aca="false" t="array" ref="AN37:AN37">SUM(Demand!AN9*Capacity!BH$3:BH$25*Capacity!$DI9/(TRANSPOSE(Dists!$B8:$X8)*MMULT(1/Dists!$B8:$X8,Capacity!$DI$3:$DI$25)))</f>
        <v>0.31071245146308</v>
      </c>
      <c r="AO37" s="4" t="n">
        <f aca="false" t="array" ref="AO37:AO37">SUM(Demand!AO9*Capacity!BI$3:BI$25*Capacity!$DI9/(TRANSPOSE(Dists!$B8:$X8)*MMULT(1/Dists!$B8:$X8,Capacity!$DI$3:$DI$25)))</f>
        <v>0.18254485771515</v>
      </c>
      <c r="AP37" s="4" t="n">
        <f aca="false" t="array" ref="AP37:AP37">SUM(Demand!AP9*Capacity!BJ$3:BJ$25*Capacity!$DI9/(TRANSPOSE(Dists!$B8:$X8)*MMULT(1/Dists!$B8:$X8,Capacity!$DI$3:$DI$25)))</f>
        <v>1.19250413898986</v>
      </c>
      <c r="AQ37" s="4" t="n">
        <f aca="false" t="array" ref="AQ37:AQ37">SUM(Demand!AQ9*Capacity!BK$3:BK$25*Capacity!$DI9/(TRANSPOSE(Dists!$B8:$X8)*MMULT(1/Dists!$B8:$X8,Capacity!$DI$3:$DI$25)))</f>
        <v>0.0932116191385599</v>
      </c>
      <c r="AR37" s="4" t="n">
        <f aca="false" t="array" ref="AR37:AR37">SUM(Demand!AR9*Capacity!BL$3:BL$25*Capacity!$DI9/(TRANSPOSE(Dists!$B8:$X8)*MMULT(1/Dists!$B8:$X8,Capacity!$DI$3:$DI$25)))</f>
        <v>0.119010120019696</v>
      </c>
      <c r="AS37" s="4" t="n">
        <f aca="false" t="array" ref="AS37:AS37">SUM(Demand!AS9*Capacity!BM$3:BM$25*Capacity!$DI9/(TRANSPOSE(Dists!$B8:$X8)*MMULT(1/Dists!$B8:$X8,Capacity!$DI$3:$DI$25)))</f>
        <v>0.0956983536232293</v>
      </c>
      <c r="AT37" s="4" t="n">
        <f aca="false" t="array" ref="AT37:AT37">SUM(Demand!AT9*Capacity!BN$3:BN$25*Capacity!$DI9/(TRANSPOSE(Dists!$B8:$X8)*MMULT(1/Dists!$B8:$X8,Capacity!$DI$3:$DI$25)))</f>
        <v>1.38973911397086</v>
      </c>
      <c r="AU37" s="4" t="n">
        <f aca="false" t="array" ref="AU37:AU37">SUM(Demand!AU9*Capacity!BO$3:BO$25*Capacity!$DI9/(TRANSPOSE(Dists!$B8:$X8)*MMULT(1/Dists!$B8:$X8,Capacity!$DI$3:$DI$25)))</f>
        <v>2.95344881572736</v>
      </c>
      <c r="AV37" s="4" t="n">
        <f aca="false" t="array" ref="AV37:AV37">SUM(Demand!AV9*Capacity!BP$3:BP$25*Capacity!$DI9/(TRANSPOSE(Dists!$B8:$X8)*MMULT(1/Dists!$B8:$X8,Capacity!$DI$3:$DI$25)))</f>
        <v>0.0956062593703118</v>
      </c>
      <c r="AW37" s="4" t="n">
        <f aca="false" t="array" ref="AW37:AW37">SUM(Demand!AW9*Capacity!BQ$3:BQ$25*Capacity!$DI9/(TRANSPOSE(Dists!$B8:$X8)*MMULT(1/Dists!$B8:$X8,Capacity!$DI$3:$DI$25)))</f>
        <v>1.73561787731133</v>
      </c>
      <c r="AX37" s="4" t="n">
        <f aca="false" t="array" ref="AX37:AX37">SUM(Demand!AX9*Capacity!BR$3:BR$25*Capacity!$DI9/(TRANSPOSE(Dists!$B8:$X8)*MMULT(1/Dists!$B8:$X8,Capacity!$DI$3:$DI$25)))</f>
        <v>0.432954382618329</v>
      </c>
      <c r="AY37" s="4" t="n">
        <f aca="false" t="array" ref="AY37:AY37">SUM(Demand!AY9*Capacity!BS$3:BS$25*Capacity!$DI9/(TRANSPOSE(Dists!$B8:$X8)*MMULT(1/Dists!$B8:$X8,Capacity!$DI$3:$DI$25)))</f>
        <v>0.202597077084184</v>
      </c>
      <c r="AZ37" s="4" t="n">
        <f aca="false" t="array" ref="AZ37:AZ37">SUM(Demand!AZ9*Capacity!BT$3:BT$25*Capacity!$DI9/(TRANSPOSE(Dists!$B8:$X8)*MMULT(1/Dists!$B8:$X8,Capacity!$DI$3:$DI$25)))</f>
        <v>1.58696055439706</v>
      </c>
      <c r="BA37" s="4" t="n">
        <f aca="false">BA9</f>
        <v>0.0596592116528406</v>
      </c>
      <c r="BB37" s="4" t="n">
        <f aca="false" t="array" ref="BB37:BB37">SUM(Demand!BB9*Capacity!BV$3:BV$25*Capacity!$DI9/(TRANSPOSE(Dists!$B8:$X8)*MMULT(1/Dists!$B8:$X8,Capacity!$DI$3:$DI$25)))</f>
        <v>0.22224480556469</v>
      </c>
      <c r="BC37" s="4" t="n">
        <f aca="false" t="array" ref="BC37:BC37">SUM(Demand!BC9*Capacity!BW$3:BW$25*Capacity!$DI9/(TRANSPOSE(Dists!$B8:$X8)*MMULT(1/Dists!$B8:$X8,Capacity!$DI$3:$DI$25)))</f>
        <v>0.0335987547346969</v>
      </c>
      <c r="BD37" s="4" t="n">
        <f aca="false" t="array" ref="BD37:BD37">SUM(Demand!BD9*Capacity!BX$3:BX$25*Capacity!$DI9/(TRANSPOSE(Dists!$B8:$X8)*MMULT(1/Dists!$B8:$X8,Capacity!$DI$3:$DI$25)))</f>
        <v>0.0675457300085044</v>
      </c>
      <c r="BE37" s="4" t="n">
        <f aca="false" t="array" ref="BE37:BE37">SUM(Demand!BE9*Capacity!BY$3:BY$25*Capacity!$DI9/(TRANSPOSE(Dists!$B8:$X8)*MMULT(1/Dists!$B8:$X8,Capacity!$DI$3:$DI$25)))</f>
        <v>0.0118566741510515</v>
      </c>
      <c r="BF37" s="4" t="n">
        <f aca="false" t="array" ref="BF37:BF37">SUM(Demand!BF9*Capacity!BZ$3:BZ$25*Capacity!$DI9/(TRANSPOSE(Dists!$B8:$X8)*MMULT(1/Dists!$B8:$X8,Capacity!$DI$3:$DI$25)))</f>
        <v>2.24853786747316</v>
      </c>
      <c r="BG37" s="4" t="n">
        <f aca="false" t="array" ref="BG37:BG37">SUM(Demand!BG9*Capacity!CA$3:CA$25*Capacity!$DI9/(TRANSPOSE(Dists!$B8:$X8)*MMULT(1/Dists!$B8:$X8,Capacity!$DI$3:$DI$25)))</f>
        <v>15.4327377989596</v>
      </c>
      <c r="BH37" s="4" t="n">
        <f aca="false" t="array" ref="BH37:BH37">SUM(Demand!BH9*Capacity!CB$3:CB$25*Capacity!$DI9/(TRANSPOSE(Dists!$B8:$X8)*MMULT(1/Dists!$B8:$X8,Capacity!$DI$3:$DI$25)))</f>
        <v>30.8654755979192</v>
      </c>
      <c r="BI37" s="4" t="n">
        <f aca="false" t="array" ref="BI37:BI37">SUM(Demand!BI9*Capacity!CC$3:CC$25*Capacity!$DI9/(TRANSPOSE(Dists!$B8:$X8)*MMULT(1/Dists!$B8:$X8,Capacity!$DI$3:$DI$25)))</f>
        <v>41.1539674638922</v>
      </c>
      <c r="BJ37" s="4" t="n">
        <f aca="false" t="array" ref="BJ37:BJ37">SUM(Demand!BJ9*Capacity!CD$3:CD$25*Capacity!$DI9/(TRANSPOSE(Dists!$B8:$X8)*MMULT(1/Dists!$B8:$X8,Capacity!$DI$3:$DI$25)))</f>
        <v>935.30277593491</v>
      </c>
      <c r="BK37" s="4" t="n">
        <f aca="false" t="array" ref="BK37:BK37">SUM(Demand!BK9*Capacity!CE$3:CE$25*Capacity!$DI9/(TRANSPOSE(Dists!$B8:$X8)*MMULT(1/Dists!$B8:$X8,Capacity!$DI$3:$DI$25)))</f>
        <v>20.5769837319461</v>
      </c>
      <c r="BL37" s="4" t="n">
        <f aca="false" t="array" ref="BL37:BL37">SUM(Demand!BL9*Capacity!CF$3:CF$25*Capacity!$DI9/(TRANSPOSE(Dists!$B8:$X8)*MMULT(1/Dists!$B8:$X8,Capacity!$DI$3:$DI$25)))</f>
        <v>582.078119100866</v>
      </c>
      <c r="BM37" s="4" t="n">
        <f aca="false" t="array" ref="BM37:BM37">SUM(Demand!BM9*Capacity!CG$3:CG$25*Capacity!$DI9/(TRANSPOSE(Dists!$B8:$X8)*MMULT(1/Dists!$B8:$X8,Capacity!$DI$3:$DI$25)))</f>
        <v>18.0563541799902</v>
      </c>
      <c r="BN37" s="4" t="n">
        <f aca="false">BN9</f>
        <v>0.000854286670912121</v>
      </c>
      <c r="BO37" s="4" t="n">
        <f aca="false" t="array" ref="BO37:BO37">SUM(Demand!BO9*Capacity!CI$3:CI$25*Capacity!$DI9/(TRANSPOSE(Dists!$B8:$X8)*MMULT(1/Dists!$B8:$X8,Capacity!$DI$3:$DI$25)))</f>
        <v>6.34320713603132</v>
      </c>
      <c r="BP37" s="4" t="n">
        <f aca="false" t="array" ref="BP37:BP37">SUM(Demand!BP9*Capacity!CJ$3:CJ$25*Capacity!$DI9/(TRANSPOSE(Dists!$B8:$X8)*MMULT(1/Dists!$B8:$X8,Capacity!$DI$3:$DI$25)))</f>
        <v>8.71377679407448</v>
      </c>
      <c r="BQ37" s="4" t="n">
        <f aca="false" t="array" ref="BQ37:BQ37">SUM(Demand!BQ9*Capacity!CK$3:CK$25*Capacity!$DI9/(TRANSPOSE(Dists!$B8:$X8)*MMULT(1/Dists!$B8:$X8,Capacity!$DI$3:$DI$25)))</f>
        <v>0</v>
      </c>
      <c r="BR37" s="4" t="n">
        <f aca="false" t="array" ref="BR37:BR37">SUM(Demand!BR9*Capacity!CL$3:CL$25*Capacity!$DI9/(TRANSPOSE(Dists!$B8:$X8)*MMULT(1/Dists!$B8:$X8,Capacity!$DI$3:$DI$25)))</f>
        <v>0.211440538056786</v>
      </c>
      <c r="BS37" s="4" t="n">
        <f aca="false" t="array" ref="BS37:BS37">SUM(Demand!BS9*Capacity!CM$3:CM$25*Capacity!$DI9/(TRANSPOSE(Dists!$B8:$X8)*MMULT(1/Dists!$B8:$X8,Capacity!$DI$3:$DI$25)))</f>
        <v>0.0211440538056786</v>
      </c>
      <c r="BT37" s="4" t="n">
        <f aca="false">BT9</f>
        <v>3.0346695933444</v>
      </c>
      <c r="BU37" s="4" t="n">
        <f aca="false">BU9</f>
        <v>0.30346695933444</v>
      </c>
      <c r="BV37" s="4" t="n">
        <f aca="false">BV9</f>
        <v>0.030346695933444</v>
      </c>
      <c r="BW37" s="4" t="n">
        <f aca="false">BW9</f>
        <v>1281.36993095575</v>
      </c>
      <c r="BX37" s="4" t="n">
        <f aca="false" t="array" ref="BX37:BX37">SUM(Demand!BX9*Capacity!CR$3:CR$25*Capacity!$DI9/(TRANSPOSE(Dists!$B8:$X8)*MMULT(1/Dists!$B8:$X8,Capacity!$DI$3:$DI$25)))</f>
        <v>6.29192546701195</v>
      </c>
      <c r="BY37" s="4" t="n">
        <f aca="false" t="array" ref="BY37:BY37">SUM(Demand!BY9*Capacity!CS$3:CS$25*Capacity!$DI9/(TRANSPOSE(Dists!$B8:$X8)*MMULT(1/Dists!$B8:$X8,Capacity!$DI$3:$DI$25)))</f>
        <v>96.0353140820126</v>
      </c>
      <c r="BZ37" s="4" t="n">
        <f aca="false" t="array" ref="BZ37:BZ37">SUM(Demand!BZ9*Capacity!CT$3:CT$25*Capacity!$DI9/(TRANSPOSE(Dists!$B8:$X8)*MMULT(1/Dists!$B8:$X8,Capacity!$DI$3:$DI$25)))</f>
        <v>0.954090061889733</v>
      </c>
      <c r="CA37" s="4" t="n">
        <f aca="false" t="array" ref="CA37:CA37">SUM(Demand!CA9*Capacity!CU$3:CU$25*Capacity!$DI9/(TRANSPOSE(Dists!$B8:$X8)*MMULT(1/Dists!$B8:$X8,Capacity!$DI$3:$DI$25)))</f>
        <v>0.0866831661161799</v>
      </c>
      <c r="CB37" s="4" t="n">
        <f aca="false" t="array" ref="CB37:CB37">SUM(Demand!CB9*Capacity!CV$3:CV$25*Capacity!$DI9/(TRANSPOSE(Dists!$B8:$X8)*MMULT(1/Dists!$B8:$X8,Capacity!$DI$3:$DI$25)))</f>
        <v>240.025185874136</v>
      </c>
      <c r="CC37" s="4" t="n">
        <f aca="false" t="array" ref="CC37:CC37">SUM(Demand!CC9*Capacity!CW$3:CW$25*Capacity!$DI9/(TRANSPOSE(Dists!$B8:$X8)*MMULT(1/Dists!$B8:$X8,Capacity!$DI$3:$DI$25)))</f>
        <v>1493.19571576447</v>
      </c>
      <c r="CD37" s="4" t="n">
        <f aca="false">SUM($BG37,$BI37,$BK37)*Capacity!CX9/SUM(Capacity!$AM9:$AN9,Capacity!$CX9)</f>
        <v>55.0289773223294</v>
      </c>
      <c r="CE37" s="4" t="n">
        <f aca="false" t="array" ref="CE37:CE37">SUM(Demand!CE9*Capacity!CY$3:CY$25*Capacity!$DI9/(TRANSPOSE(Dists!$B8:$X8)*MMULT(1/Dists!$B8:$X8,Capacity!$DI$3:$DI$25)))</f>
        <v>7.09154475580229</v>
      </c>
      <c r="CF37" s="4" t="n">
        <f aca="false" t="array" ref="CF37:CF37">SUM(Demand!CF9*Capacity!CZ$3:CZ$25*Capacity!$DI9/(TRANSPOSE(Dists!$B8:$X8)*MMULT(1/Dists!$B8:$X8,Capacity!$DI$3:$DI$25)))</f>
        <v>950.399938232612</v>
      </c>
      <c r="CG37" s="4" t="n">
        <f aca="false" t="array" ref="CG37:CG37">SUM(Demand!CG9*Capacity!DA$3:DA$25*Capacity!$DI9/(TRANSPOSE(Dists!$B8:$X8)*MMULT(1/Dists!$B8:$X8,Capacity!$DI$3:$DI$25)))</f>
        <v>0.0114515994711633</v>
      </c>
      <c r="CH37" s="4" t="n">
        <f aca="false" t="array" ref="CH37:CH37">SUM(Demand!CH9*Capacity!DB$3:DB$25*Capacity!$DI9/(TRANSPOSE(Dists!$B8:$X8)*MMULT(1/Dists!$B8:$X8,Capacity!$DI$3:$DI$25)))</f>
        <v>0.567431480762373</v>
      </c>
      <c r="CI37" s="4" t="n">
        <f aca="false" t="array" ref="CI37:CI37">SUM(Demand!CI9*Capacity!DC$3:DC$25*Capacity!$DI9/(TRANSPOSE(Dists!$B8:$X8)*MMULT(1/Dists!$B8:$X8,Capacity!$DI$3:$DI$25)))</f>
        <v>0.0363964686323791</v>
      </c>
      <c r="CJ37" s="4" t="n">
        <f aca="false" t="array" ref="CJ37:CJ37">SUM(Demand!CJ9*Capacity!DD$3:DD$25*Capacity!$DI9/(TRANSPOSE(Dists!$B8:$X8)*MMULT(1/Dists!$B8:$X8,Capacity!$DI$3:$DI$25)))</f>
        <v>0.00801886040132741</v>
      </c>
      <c r="CK37" s="4" t="n">
        <f aca="false" t="array" ref="CK37:CK37">SUM(Demand!CK9*Capacity!DE$3:DE$25*Capacity!$DI9/(TRANSPOSE(Dists!$B8:$X8)*MMULT(1/Dists!$B8:$X8,Capacity!$DI$3:$DI$25)))</f>
        <v>8.79239573108166</v>
      </c>
      <c r="CL37" s="7" t="s">
        <v>322</v>
      </c>
    </row>
    <row r="38" customFormat="false" ht="12.8" hidden="false" customHeight="false" outlineLevel="0" collapsed="false">
      <c r="A38" s="4" t="s">
        <v>142</v>
      </c>
      <c r="B38" s="7" t="s">
        <v>39</v>
      </c>
      <c r="C38" s="4" t="n">
        <f aca="false" t="array" ref="C38:C38">SUM(Demand!C10*Capacity!S$3:S$25*Capacity!$DH10/(TRANSPOSE(Dists!$B9:$X9)*MMULT(1/Dists!$B9:$X9,Capacity!$DH$3:$DH$25)))</f>
        <v>0.0162797628066635</v>
      </c>
      <c r="D38" s="4" t="n">
        <f aca="false" t="array" ref="D38:D38">SUM(Demand!D10*Capacity!V$3:V$25*Capacity!$DH10/(TRANSPOSE(Dists!$B9:$X9)*MMULT(1/Dists!$B9:$X9,Capacity!$DH$3:$DH$25)))</f>
        <v>985.12467104687</v>
      </c>
      <c r="E38" s="4" t="n">
        <f aca="false" t="array" ref="E38:E38">SUM(Demand!E10*Capacity!Y$3:Y$25*Capacity!$DH10/(TRANSPOSE(Dists!$B9:$X9)*MMULT(1/Dists!$B9:$X9,Capacity!$DH$3:$DH$25)))</f>
        <v>105.722306027681</v>
      </c>
      <c r="F38" s="4" t="n">
        <f aca="false">$E10*Capacity!$M10/(2*(1-Capacity!$H$28)*Capacity!$H10)</f>
        <v>38.0691204005559</v>
      </c>
      <c r="G38" s="4" t="n">
        <f aca="false" t="array" ref="G38:G38">SUM(Demand!G10*Capacity!AA$3:AA$25*Capacity!$DH10/(TRANSPOSE(Dists!$B9:$X9)*MMULT(1/Dists!$B9:$X9,Capacity!$DH$3:$DH$25)))</f>
        <v>3.7963144805494</v>
      </c>
      <c r="H38" s="4" t="n">
        <f aca="false" t="array" ref="H38:H38">SUM(Demand!H10*Capacity!AB$3:AB$25*Capacity!$DH10/(TRANSPOSE(Dists!$B9:$X9)*MMULT(1/Dists!$B9:$X9,Capacity!$DH$3:$DH$25)))</f>
        <v>0</v>
      </c>
      <c r="I38" s="4" t="n">
        <f aca="false" t="array" ref="I38:I38">SUM(Demand!I10*Capacity!AC$3:AC$25*Capacity!$DG10/(TRANSPOSE(Dists!$B9:$X9)*MMULT(1/Dists!$B9:$X9,Capacity!$DG$3:$DG$25)))</f>
        <v>5.5688487226958</v>
      </c>
      <c r="J38" s="4" t="n">
        <f aca="false" t="array" ref="J38:J38">SUM(Demand!J10*Capacity!AD$3:AD$25*Capacity!$DG10/(TRANSPOSE(Dists!$B9:$X9)*MMULT(1/Dists!$B9:$X9,Capacity!$DG$3:$DG$25)))</f>
        <v>0.426671933747337</v>
      </c>
      <c r="K38" s="4" t="n">
        <f aca="false">5479.45205479452*$R10</f>
        <v>605472.555635031</v>
      </c>
      <c r="L38" s="4" t="n">
        <f aca="false">17142.8571428571*$S10</f>
        <v>179124.747858211</v>
      </c>
      <c r="M38" s="4" t="n">
        <f aca="false">IF(50420.1680672269*$T10&gt;($K10/20),50420.1680672269*$T10-($K10/20),0)</f>
        <v>264178.012533117</v>
      </c>
      <c r="N38" s="4" t="n">
        <f aca="false" t="array" ref="N38:N38">SUM(Demand!N10*Capacity!AH$3:AH$25*Capacity!$DH10/(TRANSPOSE(Dists!$B9:$X9)*MMULT(1/Dists!$B9:$X9,Capacity!$DH$3:$DH$25)))</f>
        <v>146.042165510057</v>
      </c>
      <c r="O38" s="4" t="n">
        <f aca="false">O10</f>
        <v>656.749780697913</v>
      </c>
      <c r="P38" s="4" t="n">
        <f aca="false">P10</f>
        <v>262.699912279165</v>
      </c>
      <c r="Q38" s="4" t="n">
        <f aca="false" t="array" ref="Q38:Q38">SUM(Demand!Q10*Capacity!AK$3:AK$25*Capacity!$DI10/(TRANSPOSE(Dists!$B9:$X9)*MMULT(1/Dists!$B9:$X9,Capacity!$DI$3:$DI$25)))</f>
        <v>0.285985541570793</v>
      </c>
      <c r="R38" s="4" t="n">
        <f aca="false" t="array" ref="R38:R38">SUM(Demand!R10*Capacity!AL$3:AL$25*Capacity!$DH10/(TRANSPOSE(Dists!$B9:$X9)*MMULT(1/Dists!$B9:$X9,Capacity!$DH$3:$DH$25)))</f>
        <v>199.637242958635</v>
      </c>
      <c r="S38" s="4" t="n">
        <f aca="false">SUM($BG38,$BI38,$BK38)*Capacity!AM10/SUM(Capacity!$AM10:$AN10,Capacity!$CX10)</f>
        <v>10.4489436250624</v>
      </c>
      <c r="T38" s="4" t="n">
        <f aca="false">SUM($BG38,$BI38,$BK38)*Capacity!AN10/SUM(Capacity!$AM10:$AN10,Capacity!$CX10)</f>
        <v>5.83995753291156</v>
      </c>
      <c r="U38" s="4" t="n">
        <f aca="false">$M10*120*2/(16*1000*2000)</f>
        <v>1.98133509399838</v>
      </c>
      <c r="V38" s="4" t="n">
        <f aca="false" t="array" ref="V38:V38">SUM(Demand!V10*Capacity!AP$3:AP$25*Capacity!$DH10/(TRANSPOSE(Dists!$B9:$X9)*MMULT(1/Dists!$B9:$X9,Capacity!$DH$3:$DH$25)))</f>
        <v>74.064813407961</v>
      </c>
      <c r="W38" s="4" t="n">
        <f aca="false" t="array" ref="W38:W38">SUM(Demand!W10*Capacity!AQ$3:AQ$25*Capacity!$DH10/(TRANSPOSE(Dists!$B9:$X9)*MMULT(1/Dists!$B9:$X9,Capacity!$DH$3:$DH$25)))</f>
        <v>793.987230634516</v>
      </c>
      <c r="X38" s="4" t="n">
        <f aca="false" t="array" ref="X38:X38">SUM(Demand!X10*Capacity!AR$3:AR$25*Capacity!$DH10/(TRANSPOSE(Dists!$B9:$X9)*MMULT(1/Dists!$B9:$X9,Capacity!$DH$3:$DH$25)))</f>
        <v>1014.41653576892</v>
      </c>
      <c r="Y38" s="4" t="n">
        <f aca="false">$L10*600*6/(90*1000*2000)</f>
        <v>3.58249495716423</v>
      </c>
      <c r="Z38" s="4" t="n">
        <f aca="false" t="array" ref="Z38:Z38">SUM(Demand!Z10*Capacity!AT$3:AT$25*Capacity!$DI10/(TRANSPOSE(Dists!$B9:$X9)*MMULT(1/Dists!$B9:$X9,Capacity!$DI$3:$DI$25)))</f>
        <v>3.56168109346442</v>
      </c>
      <c r="AA38" s="4" t="n">
        <f aca="false" t="array" ref="AA38:AA38">SUM(Demand!AA10*Capacity!AU$3:AU$25*Capacity!$DI10/(TRANSPOSE(Dists!$B9:$X9)*MMULT(1/Dists!$B9:$X9,Capacity!$DI$3:$DI$25)))</f>
        <v>5.58181893406563</v>
      </c>
      <c r="AB38" s="4" t="n">
        <f aca="false" t="array" ref="AB38:AB38">SUM(Demand!AB10*Capacity!AV$3:AV$25*Capacity!$DI10/(TRANSPOSE(Dists!$B9:$X9)*MMULT(1/Dists!$B9:$X9,Capacity!$DI$3:$DI$25)))</f>
        <v>7.39890902978896</v>
      </c>
      <c r="AC38" s="4" t="n">
        <f aca="false" t="array" ref="AC38:AC38">SUM(Demand!AC10*Capacity!AW$3:AW$25*Capacity!$DI10/(TRANSPOSE(Dists!$B9:$X9)*MMULT(1/Dists!$B9:$X9,Capacity!$DI$3:$DI$25)))</f>
        <v>0.594724580515686</v>
      </c>
      <c r="AD38" s="4" t="n">
        <f aca="false" t="array" ref="AD38:AD38">SUM(Demand!AD10*Capacity!AX$3:AX$25*Capacity!$DI10/(TRANSPOSE(Dists!$B9:$X9)*MMULT(1/Dists!$B9:$X9,Capacity!$DI$3:$DI$25)))</f>
        <v>1.21128029520432</v>
      </c>
      <c r="AE38" s="4" t="n">
        <f aca="false" t="array" ref="AE38:AE38">SUM(Demand!AE10*Capacity!AY$3:AY$25*Capacity!$DI10/(TRANSPOSE(Dists!$B9:$X9)*MMULT(1/Dists!$B9:$X9,Capacity!$DI$3:$DI$25)))</f>
        <v>0.905704286605013</v>
      </c>
      <c r="AF38" s="4" t="n">
        <f aca="false" t="array" ref="AF38:AF38">SUM(Demand!AF10*Capacity!AZ$3:AZ$25*Capacity!$DI10/(TRANSPOSE(Dists!$B9:$X9)*MMULT(1/Dists!$B9:$X9,Capacity!$DI$3:$DI$25)))</f>
        <v>0.424364562165801</v>
      </c>
      <c r="AG38" s="4" t="n">
        <f aca="false" t="array" ref="AG38:AG38">SUM(Demand!AG10*Capacity!BA$3:BA$25*Capacity!$DI10/(TRANSPOSE(Dists!$B9:$X9)*MMULT(1/Dists!$B9:$X9,Capacity!$DI$3:$DI$25)))</f>
        <v>0.665381979708421</v>
      </c>
      <c r="AH38" s="4" t="n">
        <f aca="false" t="array" ref="AH38:AH38">SUM(Demand!AH10*Capacity!BB$3:BB$25*Capacity!$DI10/(TRANSPOSE(Dists!$B9:$X9)*MMULT(1/Dists!$B9:$X9,Capacity!$DI$3:$DI$25)))</f>
        <v>1.18135501353383</v>
      </c>
      <c r="AI38" s="4" t="n">
        <f aca="false" t="array" ref="AI38:AI38">SUM(Demand!AI10*Capacity!BC$3:BC$25*Capacity!$DI10/(TRANSPOSE(Dists!$B9:$X9)*MMULT(1/Dists!$B9:$X9,Capacity!$DI$3:$DI$25)))</f>
        <v>0.0472784762478409</v>
      </c>
      <c r="AJ38" s="4" t="n">
        <f aca="false" t="array" ref="AJ38:AJ38">SUM(Demand!AJ10*Capacity!BD$3:BD$25*Capacity!$DI10/(TRANSPOSE(Dists!$B9:$X9)*MMULT(1/Dists!$B9:$X9,Capacity!$DI$3:$DI$25)))</f>
        <v>0.891878269210237</v>
      </c>
      <c r="AK38" s="4" t="n">
        <f aca="false" t="array" ref="AK38:AK38">SUM(Demand!AK10*Capacity!BE$3:BE$25*Capacity!$DI10/(TRANSPOSE(Dists!$B9:$X9)*MMULT(1/Dists!$B9:$X9,Capacity!$DI$3:$DI$25)))</f>
        <v>0.518633303598661</v>
      </c>
      <c r="AL38" s="4" t="n">
        <f aca="false" t="array" ref="AL38:AL38">SUM(Demand!AL10*Capacity!BF$3:BF$25*Capacity!$DI10/(TRANSPOSE(Dists!$B9:$X9)*MMULT(1/Dists!$B9:$X9,Capacity!$DI$3:$DI$25)))</f>
        <v>0.27379236108164</v>
      </c>
      <c r="AM38" s="4" t="n">
        <f aca="false" t="array" ref="AM38:AM38">SUM(Demand!AM10*Capacity!BG$3:BG$25*Capacity!$DI10/(TRANSPOSE(Dists!$B9:$X9)*MMULT(1/Dists!$B9:$X9,Capacity!$DI$3:$DI$25)))</f>
        <v>0.328757053265393</v>
      </c>
      <c r="AN38" s="4" t="n">
        <f aca="false" t="array" ref="AN38:AN38">SUM(Demand!AN10*Capacity!BH$3:BH$25*Capacity!$DI10/(TRANSPOSE(Dists!$B9:$X9)*MMULT(1/Dists!$B9:$X9,Capacity!$DI$3:$DI$25)))</f>
        <v>0.145780837584669</v>
      </c>
      <c r="AO38" s="4" t="n">
        <f aca="false" t="array" ref="AO38:AO38">SUM(Demand!AO10*Capacity!BI$3:BI$25*Capacity!$DI10/(TRANSPOSE(Dists!$B9:$X9)*MMULT(1/Dists!$B9:$X9,Capacity!$DI$3:$DI$25)))</f>
        <v>1.09270616408664</v>
      </c>
      <c r="AP38" s="4" t="n">
        <f aca="false" t="array" ref="AP38:AP38">SUM(Demand!AP10*Capacity!BJ$3:BJ$25*Capacity!$DI10/(TRANSPOSE(Dists!$B9:$X9)*MMULT(1/Dists!$B9:$X9,Capacity!$DI$3:$DI$25)))</f>
        <v>0.816281485836094</v>
      </c>
      <c r="AQ38" s="4" t="n">
        <f aca="false" t="array" ref="AQ38:AQ38">SUM(Demand!AQ10*Capacity!BK$3:BK$25*Capacity!$DI10/(TRANSPOSE(Dists!$B9:$X9)*MMULT(1/Dists!$B9:$X9,Capacity!$DI$3:$DI$25)))</f>
        <v>0.118919318013164</v>
      </c>
      <c r="AR38" s="4" t="n">
        <f aca="false" t="array" ref="AR38:AR38">SUM(Demand!AR10*Capacity!BL$3:BL$25*Capacity!$DI10/(TRANSPOSE(Dists!$B9:$X9)*MMULT(1/Dists!$B9:$X9,Capacity!$DI$3:$DI$25)))</f>
        <v>0.122729508866465</v>
      </c>
      <c r="AS38" s="4" t="n">
        <f aca="false" t="array" ref="AS38:AS38">SUM(Demand!AS10*Capacity!BM$3:BM$25*Capacity!$DI10/(TRANSPOSE(Dists!$B9:$X9)*MMULT(1/Dists!$B9:$X9,Capacity!$DI$3:$DI$25)))</f>
        <v>0.0877496392185226</v>
      </c>
      <c r="AT38" s="4" t="n">
        <f aca="false" t="array" ref="AT38:AT38">SUM(Demand!AT10*Capacity!BN$3:BN$25*Capacity!$DI10/(TRANSPOSE(Dists!$B9:$X9)*MMULT(1/Dists!$B9:$X9,Capacity!$DI$3:$DI$25)))</f>
        <v>1.32070721953344</v>
      </c>
      <c r="AU38" s="4" t="n">
        <f aca="false" t="array" ref="AU38:AU38">SUM(Demand!AU10*Capacity!BO$3:BO$25*Capacity!$DI10/(TRANSPOSE(Dists!$B9:$X9)*MMULT(1/Dists!$B9:$X9,Capacity!$DI$3:$DI$25)))</f>
        <v>2.04486512847397</v>
      </c>
      <c r="AV38" s="4" t="n">
        <f aca="false" t="array" ref="AV38:AV38">SUM(Demand!AV10*Capacity!BP$3:BP$25*Capacity!$DI10/(TRANSPOSE(Dists!$B9:$X9)*MMULT(1/Dists!$B9:$X9,Capacity!$DI$3:$DI$25)))</f>
        <v>0.182700759103426</v>
      </c>
      <c r="AW38" s="4" t="n">
        <f aca="false" t="array" ref="AW38:AW38">SUM(Demand!AW10*Capacity!BQ$3:BQ$25*Capacity!$DI10/(TRANSPOSE(Dists!$B9:$X9)*MMULT(1/Dists!$B9:$X9,Capacity!$DI$3:$DI$25)))</f>
        <v>0.325776722839521</v>
      </c>
      <c r="AX38" s="4" t="n">
        <f aca="false" t="array" ref="AX38:AX38">SUM(Demand!AX10*Capacity!BR$3:BR$25*Capacity!$DI10/(TRANSPOSE(Dists!$B9:$X9)*MMULT(1/Dists!$B9:$X9,Capacity!$DI$3:$DI$25)))</f>
        <v>0.120911987045426</v>
      </c>
      <c r="AY38" s="4" t="n">
        <f aca="false" t="array" ref="AY38:AY38">SUM(Demand!AY10*Capacity!BS$3:BS$25*Capacity!$DI10/(TRANSPOSE(Dists!$B9:$X9)*MMULT(1/Dists!$B9:$X9,Capacity!$DI$3:$DI$25)))</f>
        <v>0.0481831376249035</v>
      </c>
      <c r="AZ38" s="4" t="n">
        <f aca="false" t="array" ref="AZ38:AZ38">SUM(Demand!AZ10*Capacity!BT$3:BT$25*Capacity!$DI10/(TRANSPOSE(Dists!$B9:$X9)*MMULT(1/Dists!$B9:$X9,Capacity!$DI$3:$DI$25)))</f>
        <v>0.351545189089725</v>
      </c>
      <c r="BA38" s="4" t="n">
        <f aca="false">BA10</f>
        <v>0.0439031244750518</v>
      </c>
      <c r="BB38" s="4" t="n">
        <f aca="false" t="array" ref="BB38:BB38">SUM(Demand!BB10*Capacity!BV$3:BV$25*Capacity!$DI10/(TRANSPOSE(Dists!$B9:$X9)*MMULT(1/Dists!$B9:$X9,Capacity!$DI$3:$DI$25)))</f>
        <v>0.366563678706216</v>
      </c>
      <c r="BC38" s="4" t="n">
        <f aca="false" t="array" ref="BC38:BC38">SUM(Demand!BC10*Capacity!BW$3:BW$25*Capacity!$DI10/(TRANSPOSE(Dists!$B9:$X9)*MMULT(1/Dists!$B9:$X9,Capacity!$DI$3:$DI$25)))</f>
        <v>0.109238763176211</v>
      </c>
      <c r="BD38" s="4" t="n">
        <f aca="false" t="array" ref="BD38:BD38">SUM(Demand!BD10*Capacity!BX$3:BX$25*Capacity!$DI10/(TRANSPOSE(Dists!$B9:$X9)*MMULT(1/Dists!$B9:$X9,Capacity!$DI$3:$DI$25)))</f>
        <v>0.0328405113111857</v>
      </c>
      <c r="BE38" s="4" t="n">
        <f aca="false" t="array" ref="BE38:BE38">SUM(Demand!BE10*Capacity!BY$3:BY$25*Capacity!$DI10/(TRANSPOSE(Dists!$B9:$X9)*MMULT(1/Dists!$B9:$X9,Capacity!$DI$3:$DI$25)))</f>
        <v>0.0867229071135653</v>
      </c>
      <c r="BF38" s="4" t="n">
        <f aca="false" t="array" ref="BF38:BF38">SUM(Demand!BF10*Capacity!BZ$3:BZ$25*Capacity!$DI10/(TRANSPOSE(Dists!$B9:$X9)*MMULT(1/Dists!$B9:$X9,Capacity!$DI$3:$DI$25)))</f>
        <v>4.07964222852783</v>
      </c>
      <c r="BG38" s="4" t="n">
        <f aca="false" t="array" ref="BG38:BG38">SUM(Demand!BG10*Capacity!CA$3:CA$25*Capacity!$DI10/(TRANSPOSE(Dists!$B9:$X9)*MMULT(1/Dists!$B9:$X9,Capacity!$DI$3:$DI$25)))</f>
        <v>7.71567380356955</v>
      </c>
      <c r="BH38" s="4" t="n">
        <f aca="false" t="array" ref="BH38:BH38">SUM(Demand!BH10*Capacity!CB$3:CB$25*Capacity!$DI10/(TRANSPOSE(Dists!$B9:$X9)*MMULT(1/Dists!$B9:$X9,Capacity!$DI$3:$DI$25)))</f>
        <v>0.00641420393365458</v>
      </c>
      <c r="BI38" s="4" t="n">
        <f aca="false" t="array" ref="BI38:BI38">SUM(Demand!BI10*Capacity!CC$3:CC$25*Capacity!$DI10/(TRANSPOSE(Dists!$B9:$X9)*MMULT(1/Dists!$B9:$X9,Capacity!$DI$3:$DI$25)))</f>
        <v>20.5751301428521</v>
      </c>
      <c r="BJ38" s="4" t="n">
        <f aca="false" t="array" ref="BJ38:BJ38">SUM(Demand!BJ10*Capacity!CD$3:CD$25*Capacity!$DI10/(TRANSPOSE(Dists!$B9:$X9)*MMULT(1/Dists!$B9:$X9,Capacity!$DI$3:$DI$25)))</f>
        <v>831.167709630785</v>
      </c>
      <c r="BK38" s="4" t="n">
        <f aca="false" t="array" ref="BK38:BK38">SUM(Demand!BK10*Capacity!CE$3:CE$25*Capacity!$DI10/(TRANSPOSE(Dists!$B9:$X9)*MMULT(1/Dists!$B9:$X9,Capacity!$DI$3:$DI$25)))</f>
        <v>10.2875650714261</v>
      </c>
      <c r="BL38" s="4" t="n">
        <f aca="false" t="array" ref="BL38:BL38">SUM(Demand!BL10*Capacity!CF$3:CF$25*Capacity!$DI10/(TRANSPOSE(Dists!$B9:$X9)*MMULT(1/Dists!$B9:$X9,Capacity!$DI$3:$DI$25)))</f>
        <v>548.69191180834</v>
      </c>
      <c r="BM38" s="4" t="n">
        <f aca="false" t="array" ref="BM38:BM38">SUM(Demand!BM10*Capacity!CG$3:CG$25*Capacity!$DI10/(TRANSPOSE(Dists!$B9:$X9)*MMULT(1/Dists!$B9:$X9,Capacity!$DI$3:$DI$25)))</f>
        <v>55.9096861927258</v>
      </c>
      <c r="BN38" s="4" t="n">
        <f aca="false">BN10</f>
        <v>287.399959024028</v>
      </c>
      <c r="BO38" s="4" t="n">
        <f aca="false" t="array" ref="BO38:BO38">SUM(Demand!BO10*Capacity!CI$3:CI$25*Capacity!$DI10/(TRANSPOSE(Dists!$B9:$X9)*MMULT(1/Dists!$B9:$X9,Capacity!$DI$3:$DI$25)))</f>
        <v>0.907822776422655</v>
      </c>
      <c r="BP38" s="4" t="n">
        <f aca="false" t="array" ref="BP38:BP38">SUM(Demand!BP10*Capacity!CJ$3:CJ$25*Capacity!$DI10/(TRANSPOSE(Dists!$B9:$X9)*MMULT(1/Dists!$B9:$X9,Capacity!$DI$3:$DI$25)))</f>
        <v>1.87815706657793</v>
      </c>
      <c r="BQ38" s="4" t="n">
        <f aca="false" t="array" ref="BQ38:BQ38">SUM(Demand!BQ10*Capacity!CK$3:CK$25*Capacity!$DI10/(TRANSPOSE(Dists!$B9:$X9)*MMULT(1/Dists!$B9:$X9,Capacity!$DI$3:$DI$25)))</f>
        <v>0</v>
      </c>
      <c r="BR38" s="4" t="n">
        <f aca="false" t="array" ref="BR38:BR38">SUM(Demand!BR10*Capacity!CL$3:CL$25*Capacity!$DI10/(TRANSPOSE(Dists!$B9:$X9)*MMULT(1/Dists!$B9:$X9,Capacity!$DI$3:$DI$25)))</f>
        <v>0.0302607681511732</v>
      </c>
      <c r="BS38" s="4" t="n">
        <f aca="false" t="array" ref="BS38:BS38">SUM(Demand!BS10*Capacity!CM$3:CM$25*Capacity!$DI10/(TRANSPOSE(Dists!$B9:$X9)*MMULT(1/Dists!$B9:$X9,Capacity!$DI$3:$DI$25)))</f>
        <v>0.00302607681511732</v>
      </c>
      <c r="BT38" s="4" t="n">
        <f aca="false">BT10</f>
        <v>0.726501967216861</v>
      </c>
      <c r="BU38" s="4" t="n">
        <f aca="false">BU10</f>
        <v>0.0726501967216862</v>
      </c>
      <c r="BV38" s="4" t="n">
        <f aca="false">BV10</f>
        <v>0.00726501967216861</v>
      </c>
      <c r="BW38" s="4" t="n">
        <f aca="false">BW10</f>
        <v>457.666975387956</v>
      </c>
      <c r="BX38" s="4" t="n">
        <f aca="false" t="array" ref="BX38:BX38">SUM(Demand!BX10*Capacity!CR$3:CR$25*Capacity!$DI10/(TRANSPOSE(Dists!$B9:$X9)*MMULT(1/Dists!$B9:$X9,Capacity!$DI$3:$DI$25)))</f>
        <v>0.251761777599187</v>
      </c>
      <c r="BY38" s="4" t="n">
        <f aca="false" t="array" ref="BY38:BY38">SUM(Demand!BY10*Capacity!CS$3:CS$25*Capacity!$DI10/(TRANSPOSE(Dists!$B9:$X9)*MMULT(1/Dists!$B9:$X9,Capacity!$DI$3:$DI$25)))</f>
        <v>68.5172347503389</v>
      </c>
      <c r="BZ38" s="4" t="n">
        <f aca="false" t="array" ref="BZ38:BZ38">SUM(Demand!BZ10*Capacity!CT$3:CT$25*Capacity!$DI10/(TRANSPOSE(Dists!$B9:$X9)*MMULT(1/Dists!$B9:$X9,Capacity!$DI$3:$DI$25)))</f>
        <v>0.0727458930457247</v>
      </c>
      <c r="CA38" s="4" t="n">
        <f aca="false" t="array" ref="CA38:CA38">SUM(Demand!CA10*Capacity!CU$3:CU$25*Capacity!$DI10/(TRANSPOSE(Dists!$B9:$X9)*MMULT(1/Dists!$B9:$X9,Capacity!$DI$3:$DI$25)))</f>
        <v>0.12038701685907</v>
      </c>
      <c r="CB38" s="4" t="n">
        <f aca="false" t="array" ref="CB38:CB38">SUM(Demand!CB10*Capacity!CV$3:CV$25*Capacity!$DI10/(TRANSPOSE(Dists!$B9:$X9)*MMULT(1/Dists!$B9:$X9,Capacity!$DI$3:$DI$25)))</f>
        <v>302.219214732467</v>
      </c>
      <c r="CC38" s="4" t="n">
        <f aca="false" t="array" ref="CC38:CC38">SUM(Demand!CC10*Capacity!CW$3:CW$25*Capacity!$DI10/(TRANSPOSE(Dists!$B9:$X9)*MMULT(1/Dists!$B9:$X9,Capacity!$DI$3:$DI$25)))</f>
        <v>125.419441690587</v>
      </c>
      <c r="CD38" s="4" t="n">
        <f aca="false">SUM($BG38,$BI38,$BK38)*Capacity!CX10/SUM(Capacity!$AM10:$AN10,Capacity!$CX10)</f>
        <v>22.2894678598738</v>
      </c>
      <c r="CE38" s="4" t="n">
        <f aca="false" t="array" ref="CE38:CE38">SUM(Demand!CE10*Capacity!CY$3:CY$25*Capacity!$DI10/(TRANSPOSE(Dists!$B9:$X9)*MMULT(1/Dists!$B9:$X9,Capacity!$DI$3:$DI$25)))</f>
        <v>0.611483846929867</v>
      </c>
      <c r="CF38" s="4" t="n">
        <f aca="false" t="array" ref="CF38:CF38">SUM(Demand!CF10*Capacity!CZ$3:CZ$25*Capacity!$DI10/(TRANSPOSE(Dists!$B9:$X9)*MMULT(1/Dists!$B9:$X9,Capacity!$DI$3:$DI$25)))</f>
        <v>1377.60491667581</v>
      </c>
      <c r="CG38" s="4" t="n">
        <f aca="false" t="array" ref="CG38:CG38">SUM(Demand!CG10*Capacity!DA$3:DA$25*Capacity!$DI10/(TRANSPOSE(Dists!$B9:$X9)*MMULT(1/Dists!$B9:$X9,Capacity!$DI$3:$DI$25)))</f>
        <v>3.2305142758324</v>
      </c>
      <c r="CH38" s="4" t="n">
        <f aca="false" t="array" ref="CH38:CH38">SUM(Demand!CH10*Capacity!DB$3:DB$25*Capacity!$DI10/(TRANSPOSE(Dists!$B9:$X9)*MMULT(1/Dists!$B9:$X9,Capacity!$DI$3:$DI$25)))</f>
        <v>4.04820479435399</v>
      </c>
      <c r="CI38" s="4" t="n">
        <f aca="false" t="array" ref="CI38:CI38">SUM(Demand!CI10*Capacity!DC$3:DC$25*Capacity!$DI10/(TRANSPOSE(Dists!$B9:$X9)*MMULT(1/Dists!$B9:$X9,Capacity!$DI$3:$DI$25)))</f>
        <v>0.193938653687394</v>
      </c>
      <c r="CJ38" s="4" t="n">
        <f aca="false" t="array" ref="CJ38:CJ38">SUM(Demand!CJ10*Capacity!DD$3:DD$25*Capacity!$DI10/(TRANSPOSE(Dists!$B9:$X9)*MMULT(1/Dists!$B9:$X9,Capacity!$DI$3:$DI$25)))</f>
        <v>0.0379733796975287</v>
      </c>
      <c r="CK38" s="4" t="n">
        <f aca="false" t="array" ref="CK38:CK38">SUM(Demand!CK10*Capacity!DE$3:DE$25*Capacity!$DI10/(TRANSPOSE(Dists!$B9:$X9)*MMULT(1/Dists!$B9:$X9,Capacity!$DI$3:$DI$25)))</f>
        <v>2.92547508323494</v>
      </c>
      <c r="CL38" s="7" t="s">
        <v>322</v>
      </c>
    </row>
    <row r="39" customFormat="false" ht="12.8" hidden="false" customHeight="false" outlineLevel="0" collapsed="false">
      <c r="A39" s="4" t="s">
        <v>143</v>
      </c>
      <c r="B39" s="7" t="s">
        <v>39</v>
      </c>
      <c r="C39" s="4" t="n">
        <f aca="false" t="array" ref="C39:C39">SUM(Demand!C11*Capacity!S$3:S$25*Capacity!$DH11/(TRANSPOSE(Dists!$B10:$X10)*MMULT(1/Dists!$B10:$X10,Capacity!$DH$3:$DH$25)))</f>
        <v>0.0457492455238994</v>
      </c>
      <c r="D39" s="4" t="n">
        <f aca="false" t="array" ref="D39:D39">SUM(Demand!D11*Capacity!V$3:V$25*Capacity!$DH11/(TRANSPOSE(Dists!$B10:$X10)*MMULT(1/Dists!$B10:$X10,Capacity!$DH$3:$DH$25)))</f>
        <v>3340.40931225865</v>
      </c>
      <c r="E39" s="4" t="n">
        <f aca="false" t="array" ref="E39:E39">SUM(Demand!E11*Capacity!Y$3:Y$25*Capacity!$DH11/(TRANSPOSE(Dists!$B10:$X10)*MMULT(1/Dists!$B10:$X10,Capacity!$DH$3:$DH$25)))</f>
        <v>558.158896438588</v>
      </c>
      <c r="F39" s="4" t="n">
        <f aca="false">$E11*Capacity!$M11/(2*(1-Capacity!$H$28)*Capacity!$H11)</f>
        <v>268.756249757672</v>
      </c>
      <c r="G39" s="4" t="n">
        <f aca="false" t="array" ref="G39:G39">SUM(Demand!G11*Capacity!AA$3:AA$25*Capacity!$DH11/(TRANSPOSE(Dists!$B10:$X10)*MMULT(1/Dists!$B10:$X10,Capacity!$DH$3:$DH$25)))</f>
        <v>561.399935207955</v>
      </c>
      <c r="H39" s="4" t="n">
        <f aca="false" t="array" ref="H39:H39">SUM(Demand!H11*Capacity!AB$3:AB$25*Capacity!$DH11/(TRANSPOSE(Dists!$B10:$X10)*MMULT(1/Dists!$B10:$X10,Capacity!$DH$3:$DH$25)))</f>
        <v>0</v>
      </c>
      <c r="I39" s="4" t="n">
        <f aca="false" t="array" ref="I39:I39">SUM(Demand!I11*Capacity!AC$3:AC$25*Capacity!$DG11/(TRANSPOSE(Dists!$B10:$X10)*MMULT(1/Dists!$B10:$X10,Capacity!$DG$3:$DG$25)))</f>
        <v>2.03656824187355</v>
      </c>
      <c r="J39" s="4" t="n">
        <f aca="false" t="array" ref="J39:J39">SUM(Demand!J11*Capacity!AD$3:AD$25*Capacity!$DG11/(TRANSPOSE(Dists!$B10:$X10)*MMULT(1/Dists!$B10:$X10,Capacity!$DG$3:$DG$25)))</f>
        <v>3.05145454640262</v>
      </c>
      <c r="K39" s="4" t="n">
        <f aca="false">5479.45205479452*$R11</f>
        <v>1382948.85308113</v>
      </c>
      <c r="L39" s="4" t="n">
        <f aca="false">17142.8571428571*$S11</f>
        <v>473768.34734685</v>
      </c>
      <c r="M39" s="4" t="n">
        <f aca="false">IF(50420.1680672269*$T11&gt;($K11/20),50420.1680672269*$T11-($K11/20),0)</f>
        <v>709649.840655836</v>
      </c>
      <c r="N39" s="4" t="n">
        <f aca="false" t="array" ref="N39:N39">SUM(Demand!N11*Capacity!AH$3:AH$25*Capacity!$DH11/(TRANSPOSE(Dists!$B10:$X10)*MMULT(1/Dists!$B10:$X10,Capacity!$DH$3:$DH$25)))</f>
        <v>1027.98246905609</v>
      </c>
      <c r="O39" s="4" t="n">
        <f aca="false">O11</f>
        <v>2226.93954150577</v>
      </c>
      <c r="P39" s="4" t="n">
        <f aca="false">P11</f>
        <v>890.775816602308</v>
      </c>
      <c r="Q39" s="4" t="n">
        <f aca="false" t="array" ref="Q39:Q39">SUM(Demand!Q11*Capacity!AK$3:AK$25*Capacity!$DI11/(TRANSPOSE(Dists!$B10:$X10)*MMULT(1/Dists!$B10:$X10,Capacity!$DI$3:$DI$25)))</f>
        <v>10.1779930926169</v>
      </c>
      <c r="R39" s="4" t="n">
        <f aca="false" t="array" ref="R39:R39">SUM(Demand!R11*Capacity!AL$3:AL$25*Capacity!$DH11/(TRANSPOSE(Dists!$B10:$X10)*MMULT(1/Dists!$B10:$X10,Capacity!$DH$3:$DH$25)))</f>
        <v>172.371162446831</v>
      </c>
      <c r="S39" s="4" t="n">
        <f aca="false">SUM($BG39,$BI39,$BK39)*Capacity!AM11/SUM(Capacity!$AM11:$AN11,Capacity!$CX11)</f>
        <v>27.6364869285663</v>
      </c>
      <c r="T39" s="4" t="n">
        <f aca="false">SUM($BG39,$BI39,$BK39)*Capacity!AN11/SUM(Capacity!$AM11:$AN11,Capacity!$CX11)</f>
        <v>15.4461461189795</v>
      </c>
      <c r="U39" s="4" t="n">
        <f aca="false">$M11*120*2/(16*1000*2000)</f>
        <v>5.32237380491877</v>
      </c>
      <c r="V39" s="4" t="n">
        <f aca="false" t="array" ref="V39:V39">SUM(Demand!V11*Capacity!AP$3:AP$25*Capacity!$DH11/(TRANSPOSE(Dists!$B10:$X10)*MMULT(1/Dists!$B10:$X10,Capacity!$DH$3:$DH$25)))</f>
        <v>113.363710872695</v>
      </c>
      <c r="W39" s="4" t="n">
        <f aca="false" t="array" ref="W39:W39">SUM(Demand!W11*Capacity!AQ$3:AQ$25*Capacity!$DH11/(TRANSPOSE(Dists!$B10:$X10)*MMULT(1/Dists!$B10:$X10,Capacity!$DH$3:$DH$25)))</f>
        <v>658.282466435931</v>
      </c>
      <c r="X39" s="4" t="n">
        <f aca="false" t="array" ref="X39:X39">SUM(Demand!X11*Capacity!AR$3:AR$25*Capacity!$DH11/(TRANSPOSE(Dists!$B10:$X10)*MMULT(1/Dists!$B10:$X10,Capacity!$DH$3:$DH$25)))</f>
        <v>2326.07291526711</v>
      </c>
      <c r="Y39" s="4" t="n">
        <f aca="false">$L11*600*6/(90*1000*2000)</f>
        <v>9.475366946937</v>
      </c>
      <c r="Z39" s="4" t="n">
        <f aca="false" t="array" ref="Z39:Z39">SUM(Demand!Z11*Capacity!AT$3:AT$25*Capacity!$DI11/(TRANSPOSE(Dists!$B10:$X10)*MMULT(1/Dists!$B10:$X10,Capacity!$DI$3:$DI$25)))</f>
        <v>55.7229083498986</v>
      </c>
      <c r="AA39" s="4" t="n">
        <f aca="false" t="array" ref="AA39:AA39">SUM(Demand!AA11*Capacity!AU$3:AU$25*Capacity!$DI11/(TRANSPOSE(Dists!$B10:$X10)*MMULT(1/Dists!$B10:$X10,Capacity!$DI$3:$DI$25)))</f>
        <v>45.0814226310732</v>
      </c>
      <c r="AB39" s="4" t="n">
        <f aca="false" t="array" ref="AB39:AB39">SUM(Demand!AB11*Capacity!AV$3:AV$25*Capacity!$DI11/(TRANSPOSE(Dists!$B10:$X10)*MMULT(1/Dists!$B10:$X10,Capacity!$DI$3:$DI$25)))</f>
        <v>39.0623989778961</v>
      </c>
      <c r="AC39" s="4" t="n">
        <f aca="false" t="array" ref="AC39:AC39">SUM(Demand!AC11*Capacity!AW$3:AW$25*Capacity!$DI11/(TRANSPOSE(Dists!$B10:$X10)*MMULT(1/Dists!$B10:$X10,Capacity!$DI$3:$DI$25)))</f>
        <v>8.97083239769521</v>
      </c>
      <c r="AD39" s="4" t="n">
        <f aca="false" t="array" ref="AD39:AD39">SUM(Demand!AD11*Capacity!AX$3:AX$25*Capacity!$DI11/(TRANSPOSE(Dists!$B10:$X10)*MMULT(1/Dists!$B10:$X10,Capacity!$DI$3:$DI$25)))</f>
        <v>6.3949311952393</v>
      </c>
      <c r="AE39" s="4" t="n">
        <f aca="false" t="array" ref="AE39:AE39">SUM(Demand!AE11*Capacity!AY$3:AY$25*Capacity!$DI11/(TRANSPOSE(Dists!$B10:$X10)*MMULT(1/Dists!$B10:$X10,Capacity!$DI$3:$DI$25)))</f>
        <v>5.01915428789701</v>
      </c>
      <c r="AF39" s="4" t="n">
        <f aca="false" t="array" ref="AF39:AF39">SUM(Demand!AF11*Capacity!AZ$3:AZ$25*Capacity!$DI11/(TRANSPOSE(Dists!$B10:$X10)*MMULT(1/Dists!$B10:$X10,Capacity!$DI$3:$DI$25)))</f>
        <v>0.542120052305404</v>
      </c>
      <c r="AG39" s="4" t="n">
        <f aca="false" t="array" ref="AG39:AG39">SUM(Demand!AG11*Capacity!BA$3:BA$25*Capacity!$DI11/(TRANSPOSE(Dists!$B10:$X10)*MMULT(1/Dists!$B10:$X10,Capacity!$DI$3:$DI$25)))</f>
        <v>1.61792769902649</v>
      </c>
      <c r="AH39" s="4" t="n">
        <f aca="false" t="array" ref="AH39:AH39">SUM(Demand!AH11*Capacity!BB$3:BB$25*Capacity!$DI11/(TRANSPOSE(Dists!$B10:$X10)*MMULT(1/Dists!$B10:$X10,Capacity!$DI$3:$DI$25)))</f>
        <v>3.3124999084238</v>
      </c>
      <c r="AI39" s="4" t="n">
        <f aca="false" t="array" ref="AI39:AI39">SUM(Demand!AI11*Capacity!BC$3:BC$25*Capacity!$DI11/(TRANSPOSE(Dists!$B10:$X10)*MMULT(1/Dists!$B10:$X10,Capacity!$DI$3:$DI$25)))</f>
        <v>0.317085805548292</v>
      </c>
      <c r="AJ39" s="4" t="n">
        <f aca="false" t="array" ref="AJ39:AJ39">SUM(Demand!AJ11*Capacity!BD$3:BD$25*Capacity!$DI11/(TRANSPOSE(Dists!$B10:$X10)*MMULT(1/Dists!$B10:$X10,Capacity!$DI$3:$DI$25)))</f>
        <v>0.761052219427505</v>
      </c>
      <c r="AK39" s="4" t="n">
        <f aca="false" t="array" ref="AK39:AK39">SUM(Demand!AK11*Capacity!BE$3:BE$25*Capacity!$DI11/(TRANSPOSE(Dists!$B10:$X10)*MMULT(1/Dists!$B10:$X10,Capacity!$DI$3:$DI$25)))</f>
        <v>0.97577766590541</v>
      </c>
      <c r="AL39" s="4" t="n">
        <f aca="false" t="array" ref="AL39:AL39">SUM(Demand!AL11*Capacity!BF$3:BF$25*Capacity!$DI11/(TRANSPOSE(Dists!$B10:$X10)*MMULT(1/Dists!$B10:$X10,Capacity!$DI$3:$DI$25)))</f>
        <v>0.500005379341251</v>
      </c>
      <c r="AM39" s="4" t="n">
        <f aca="false" t="array" ref="AM39:AM39">SUM(Demand!AM11*Capacity!BG$3:BG$25*Capacity!$DI11/(TRANSPOSE(Dists!$B10:$X10)*MMULT(1/Dists!$B10:$X10,Capacity!$DI$3:$DI$25)))</f>
        <v>0.0791997427481657</v>
      </c>
      <c r="AN39" s="4" t="n">
        <f aca="false" t="array" ref="AN39:AN39">SUM(Demand!AN11*Capacity!BH$3:BH$25*Capacity!$DI11/(TRANSPOSE(Dists!$B10:$X10)*MMULT(1/Dists!$B10:$X10,Capacity!$DI$3:$DI$25)))</f>
        <v>1.24809693027962</v>
      </c>
      <c r="AO39" s="4" t="n">
        <f aca="false" t="array" ref="AO39:AO39">SUM(Demand!AO11*Capacity!BI$3:BI$25*Capacity!$DI11/(TRANSPOSE(Dists!$B10:$X10)*MMULT(1/Dists!$B10:$X10,Capacity!$DI$3:$DI$25)))</f>
        <v>2.84140218248676</v>
      </c>
      <c r="AP39" s="4" t="n">
        <f aca="false" t="array" ref="AP39:AP39">SUM(Demand!AP11*Capacity!BJ$3:BJ$25*Capacity!$DI11/(TRANSPOSE(Dists!$B10:$X10)*MMULT(1/Dists!$B10:$X10,Capacity!$DI$3:$DI$25)))</f>
        <v>0.184085098638346</v>
      </c>
      <c r="AQ39" s="4" t="n">
        <f aca="false" t="array" ref="AQ39:AQ39">SUM(Demand!AQ11*Capacity!BK$3:BK$25*Capacity!$DI11/(TRANSPOSE(Dists!$B10:$X10)*MMULT(1/Dists!$B10:$X10,Capacity!$DI$3:$DI$25)))</f>
        <v>0.138046109463584</v>
      </c>
      <c r="AR39" s="4" t="n">
        <f aca="false" t="array" ref="AR39:AR39">SUM(Demand!AR11*Capacity!BL$3:BL$25*Capacity!$DI11/(TRANSPOSE(Dists!$B10:$X10)*MMULT(1/Dists!$B10:$X10,Capacity!$DI$3:$DI$25)))</f>
        <v>0.239627316893735</v>
      </c>
      <c r="AS39" s="4" t="n">
        <f aca="false" t="array" ref="AS39:AS39">SUM(Demand!AS11*Capacity!BM$3:BM$25*Capacity!$DI11/(TRANSPOSE(Dists!$B10:$X10)*MMULT(1/Dists!$B10:$X10,Capacity!$DI$3:$DI$25)))</f>
        <v>0.245502257028671</v>
      </c>
      <c r="AT39" s="4" t="n">
        <f aca="false" t="array" ref="AT39:AT39">SUM(Demand!AT11*Capacity!BN$3:BN$25*Capacity!$DI11/(TRANSPOSE(Dists!$B10:$X10)*MMULT(1/Dists!$B10:$X10,Capacity!$DI$3:$DI$25)))</f>
        <v>5.00425549623103</v>
      </c>
      <c r="AU39" s="4" t="n">
        <f aca="false" t="array" ref="AU39:AU39">SUM(Demand!AU11*Capacity!BO$3:BO$25*Capacity!$DI11/(TRANSPOSE(Dists!$B10:$X10)*MMULT(1/Dists!$B10:$X10,Capacity!$DI$3:$DI$25)))</f>
        <v>0.606159542097417</v>
      </c>
      <c r="AV39" s="4" t="n">
        <f aca="false" t="array" ref="AV39:AV39">SUM(Demand!AV11*Capacity!BP$3:BP$25*Capacity!$DI11/(TRANSPOSE(Dists!$B10:$X10)*MMULT(1/Dists!$B10:$X10,Capacity!$DI$3:$DI$25)))</f>
        <v>0.0145834448769132</v>
      </c>
      <c r="AW39" s="4" t="n">
        <f aca="false" t="array" ref="AW39:AW39">SUM(Demand!AW11*Capacity!BQ$3:BQ$25*Capacity!$DI11/(TRANSPOSE(Dists!$B10:$X10)*MMULT(1/Dists!$B10:$X10,Capacity!$DI$3:$DI$25)))</f>
        <v>4.78819073677461</v>
      </c>
      <c r="AX39" s="4" t="n">
        <f aca="false" t="array" ref="AX39:AX39">SUM(Demand!AX11*Capacity!BR$3:BR$25*Capacity!$DI11/(TRANSPOSE(Dists!$B10:$X10)*MMULT(1/Dists!$B10:$X10,Capacity!$DI$3:$DI$25)))</f>
        <v>0.13722247130035</v>
      </c>
      <c r="AY39" s="4" t="n">
        <f aca="false" t="array" ref="AY39:AY39">SUM(Demand!AY11*Capacity!BS$3:BS$25*Capacity!$DI11/(TRANSPOSE(Dists!$B10:$X10)*MMULT(1/Dists!$B10:$X10,Capacity!$DI$3:$DI$25)))</f>
        <v>0.643229017799612</v>
      </c>
      <c r="AZ39" s="4" t="n">
        <f aca="false" t="array" ref="AZ39:AZ39">SUM(Demand!AZ11*Capacity!BT$3:BT$25*Capacity!$DI11/(TRANSPOSE(Dists!$B10:$X10)*MMULT(1/Dists!$B10:$X10,Capacity!$DI$3:$DI$25)))</f>
        <v>3.47104989562286</v>
      </c>
      <c r="BA39" s="4" t="n">
        <f aca="false">BA11</f>
        <v>0.116119692977169</v>
      </c>
      <c r="BB39" s="4" t="n">
        <f aca="false" t="array" ref="BB39:BB39">SUM(Demand!BB11*Capacity!BV$3:BV$25*Capacity!$DI11/(TRANSPOSE(Dists!$B10:$X10)*MMULT(1/Dists!$B10:$X10,Capacity!$DI$3:$DI$25)))</f>
        <v>0.523299014756421</v>
      </c>
      <c r="BC39" s="4" t="n">
        <f aca="false" t="array" ref="BC39:BC39">SUM(Demand!BC11*Capacity!BW$3:BW$25*Capacity!$DI11/(TRANSPOSE(Dists!$B10:$X10)*MMULT(1/Dists!$B10:$X10,Capacity!$DI$3:$DI$25)))</f>
        <v>0.119863092678747</v>
      </c>
      <c r="BD39" s="4" t="n">
        <f aca="false" t="array" ref="BD39:BD39">SUM(Demand!BD11*Capacity!BX$3:BX$25*Capacity!$DI11/(TRANSPOSE(Dists!$B10:$X10)*MMULT(1/Dists!$B10:$X10,Capacity!$DI$3:$DI$25)))</f>
        <v>0.162354375160748</v>
      </c>
      <c r="BE39" s="4" t="n">
        <f aca="false" t="array" ref="BE39:BE39">SUM(Demand!BE11*Capacity!BY$3:BY$25*Capacity!$DI11/(TRANSPOSE(Dists!$B10:$X10)*MMULT(1/Dists!$B10:$X10,Capacity!$DI$3:$DI$25)))</f>
        <v>0.118536873834987</v>
      </c>
      <c r="BF39" s="4" t="n">
        <f aca="false" t="array" ref="BF39:BF39">SUM(Demand!BF11*Capacity!BZ$3:BZ$25*Capacity!$DI11/(TRANSPOSE(Dists!$B10:$X10)*MMULT(1/Dists!$B10:$X10,Capacity!$DI$3:$DI$25)))</f>
        <v>3.78635136158675</v>
      </c>
      <c r="BG39" s="4" t="n">
        <f aca="false" t="array" ref="BG39:BG39">SUM(Demand!BG11*Capacity!CA$3:CA$25*Capacity!$DI11/(TRANSPOSE(Dists!$B10:$X10)*MMULT(1/Dists!$B10:$X10,Capacity!$DI$3:$DI$25)))</f>
        <v>29.101089491063</v>
      </c>
      <c r="BH39" s="4" t="n">
        <f aca="false" t="array" ref="BH39:BH39">SUM(Demand!BH11*Capacity!CB$3:CB$25*Capacity!$DI11/(TRANSPOSE(Dists!$B10:$X10)*MMULT(1/Dists!$B10:$X10,Capacity!$DI$3:$DI$25)))</f>
        <v>58.2021789821259</v>
      </c>
      <c r="BI39" s="4" t="n">
        <f aca="false" t="array" ref="BI39:BI39">SUM(Demand!BI11*Capacity!CC$3:CC$25*Capacity!$DI11/(TRANSPOSE(Dists!$B10:$X10)*MMULT(1/Dists!$B10:$X10,Capacity!$DI$3:$DI$25)))</f>
        <v>77.6029053095012</v>
      </c>
      <c r="BJ39" s="4" t="n">
        <f aca="false" t="array" ref="BJ39:BJ39">SUM(Demand!BJ11*Capacity!CD$3:CD$25*Capacity!$DI11/(TRANSPOSE(Dists!$B10:$X10)*MMULT(1/Dists!$B10:$X10,Capacity!$DI$3:$DI$25)))</f>
        <v>56.539740982306</v>
      </c>
      <c r="BK39" s="4" t="n">
        <f aca="false" t="array" ref="BK39:BK39">SUM(Demand!BK11*Capacity!CE$3:CE$25*Capacity!$DI11/(TRANSPOSE(Dists!$B10:$X10)*MMULT(1/Dists!$B10:$X10,Capacity!$DI$3:$DI$25)))</f>
        <v>38.8014526547506</v>
      </c>
      <c r="BL39" s="4" t="n">
        <f aca="false" t="array" ref="BL39:BL39">SUM(Demand!BL11*Capacity!CF$3:CF$25*Capacity!$DI11/(TRANSPOSE(Dists!$B10:$X10)*MMULT(1/Dists!$B10:$X10,Capacity!$DI$3:$DI$25)))</f>
        <v>411.366287725748</v>
      </c>
      <c r="BM39" s="4" t="n">
        <f aca="false" t="array" ref="BM39:BM39">SUM(Demand!BM11*Capacity!CG$3:CG$25*Capacity!$DI11/(TRANSPOSE(Dists!$B10:$X10)*MMULT(1/Dists!$B10:$X10,Capacity!$DI$3:$DI$25)))</f>
        <v>61.4074967842215</v>
      </c>
      <c r="BN39" s="4" t="n">
        <f aca="false">BN11</f>
        <v>0.00112013464958184</v>
      </c>
      <c r="BO39" s="4" t="n">
        <f aca="false" t="array" ref="BO39:BO39">SUM(Demand!BO11*Capacity!CI$3:CI$25*Capacity!$DI11/(TRANSPOSE(Dists!$B10:$X10)*MMULT(1/Dists!$B10:$X10,Capacity!$DI$3:$DI$25)))</f>
        <v>23.8889231813535</v>
      </c>
      <c r="BP39" s="4" t="n">
        <f aca="false" t="array" ref="BP39:BP39">SUM(Demand!BP11*Capacity!CJ$3:CJ$25*Capacity!$DI11/(TRANSPOSE(Dists!$B10:$X10)*MMULT(1/Dists!$B10:$X10,Capacity!$DI$3:$DI$25)))</f>
        <v>25.4453156657021</v>
      </c>
      <c r="BQ39" s="4" t="n">
        <f aca="false" t="array" ref="BQ39:BQ39">SUM(Demand!BQ11*Capacity!CK$3:CK$25*Capacity!$DI11/(TRANSPOSE(Dists!$B10:$X10)*MMULT(1/Dists!$B10:$X10,Capacity!$DI$3:$DI$25)))</f>
        <v>0</v>
      </c>
      <c r="BR39" s="4" t="n">
        <f aca="false" t="array" ref="BR39:BR39">SUM(Demand!BR11*Capacity!CL$3:CL$25*Capacity!$DI11/(TRANSPOSE(Dists!$B10:$X10)*MMULT(1/Dists!$B10:$X10,Capacity!$DI$3:$DI$25)))</f>
        <v>0.7962978196561</v>
      </c>
      <c r="BS39" s="4" t="n">
        <f aca="false" t="array" ref="BS39:BS39">SUM(Demand!BS11*Capacity!CM$3:CM$25*Capacity!$DI11/(TRANSPOSE(Dists!$B10:$X10)*MMULT(1/Dists!$B10:$X10,Capacity!$DI$3:$DI$25)))</f>
        <v>0.0796297819656101</v>
      </c>
      <c r="BT39" s="4" t="n">
        <f aca="false">BT11</f>
        <v>10.236167573647</v>
      </c>
      <c r="BU39" s="4" t="n">
        <f aca="false">BU11</f>
        <v>1.0236167573647</v>
      </c>
      <c r="BV39" s="4" t="n">
        <f aca="false">BV11</f>
        <v>0.10236167573647</v>
      </c>
      <c r="BW39" s="4" t="n">
        <f aca="false">BW11</f>
        <v>2416.24405971663</v>
      </c>
      <c r="BX39" s="4" t="n">
        <f aca="false" t="array" ref="BX39:BX39">SUM(Demand!BX11*Capacity!CR$3:CR$25*Capacity!$DI11/(TRANSPOSE(Dists!$B10:$X10)*MMULT(1/Dists!$B10:$X10,Capacity!$DI$3:$DI$25)))</f>
        <v>8.13327208618787</v>
      </c>
      <c r="BY39" s="4" t="n">
        <f aca="false" t="array" ref="BY39:BY39">SUM(Demand!BY11*Capacity!CS$3:CS$25*Capacity!$DI11/(TRANSPOSE(Dists!$B10:$X10)*MMULT(1/Dists!$B10:$X10,Capacity!$DI$3:$DI$25)))</f>
        <v>211.605247297574</v>
      </c>
      <c r="BZ39" s="4" t="n">
        <f aca="false" t="array" ref="BZ39:BZ39">SUM(Demand!BZ11*Capacity!CT$3:CT$25*Capacity!$DI11/(TRANSPOSE(Dists!$B10:$X10)*MMULT(1/Dists!$B10:$X10,Capacity!$DI$3:$DI$25)))</f>
        <v>0.242996860731935</v>
      </c>
      <c r="CA39" s="4" t="n">
        <f aca="false" t="array" ref="CA39:CA39">SUM(Demand!CA11*Capacity!CU$3:CU$25*Capacity!$DI11/(TRANSPOSE(Dists!$B10:$X10)*MMULT(1/Dists!$B10:$X10,Capacity!$DI$3:$DI$25)))</f>
        <v>0.0643760914424873</v>
      </c>
      <c r="CB39" s="4" t="n">
        <f aca="false" t="array" ref="CB39:CB39">SUM(Demand!CB11*Capacity!CV$3:CV$25*Capacity!$DI11/(TRANSPOSE(Dists!$B10:$X10)*MMULT(1/Dists!$B10:$X10,Capacity!$DI$3:$DI$25)))</f>
        <v>721.031159689953</v>
      </c>
      <c r="CC39" s="4" t="n">
        <f aca="false" t="array" ref="CC39:CC39">SUM(Demand!CC11*Capacity!CW$3:CW$25*Capacity!$DI11/(TRANSPOSE(Dists!$B10:$X10)*MMULT(1/Dists!$B10:$X10,Capacity!$DI$3:$DI$25)))</f>
        <v>340.997629363986</v>
      </c>
      <c r="CD39" s="4" t="n">
        <f aca="false">SUM($BG39,$BI39,$BK39)*Capacity!CX11/SUM(Capacity!$AM11:$AN11,Capacity!$CX11)</f>
        <v>102.422814407769</v>
      </c>
      <c r="CE39" s="4" t="n">
        <f aca="false" t="array" ref="CE39:CE39">SUM(Demand!CE11*Capacity!CY$3:CY$25*Capacity!$DI11/(TRANSPOSE(Dists!$B10:$X10)*MMULT(1/Dists!$B10:$X10,Capacity!$DI$3:$DI$25)))</f>
        <v>2.01079772902836</v>
      </c>
      <c r="CF39" s="4" t="n">
        <f aca="false" t="array" ref="CF39:CF39">SUM(Demand!CF11*Capacity!CZ$3:CZ$25*Capacity!$DI11/(TRANSPOSE(Dists!$B10:$X10)*MMULT(1/Dists!$B10:$X10,Capacity!$DI$3:$DI$25)))</f>
        <v>481.463587919222</v>
      </c>
      <c r="CG39" s="4" t="n">
        <f aca="false" t="array" ref="CG39:CG39">SUM(Demand!CG11*Capacity!DA$3:DA$25*Capacity!$DI11/(TRANSPOSE(Dists!$B10:$X10)*MMULT(1/Dists!$B10:$X10,Capacity!$DI$3:$DI$25)))</f>
        <v>2.30889674303944</v>
      </c>
      <c r="CH39" s="4" t="n">
        <f aca="false" t="array" ref="CH39:CH39">SUM(Demand!CH11*Capacity!DB$3:DB$25*Capacity!$DI11/(TRANSPOSE(Dists!$B10:$X10)*MMULT(1/Dists!$B10:$X10,Capacity!$DI$3:$DI$25)))</f>
        <v>0.332368719753977</v>
      </c>
      <c r="CI39" s="4" t="n">
        <f aca="false" t="array" ref="CI39:CI39">SUM(Demand!CI11*Capacity!DC$3:DC$25*Capacity!$DI11/(TRANSPOSE(Dists!$B10:$X10)*MMULT(1/Dists!$B10:$X10,Capacity!$DI$3:$DI$25)))</f>
        <v>0.109298973006186</v>
      </c>
      <c r="CJ39" s="4" t="n">
        <f aca="false" t="array" ref="CJ39:CJ39">SUM(Demand!CJ11*Capacity!DD$3:DD$25*Capacity!$DI11/(TRANSPOSE(Dists!$B10:$X10)*MMULT(1/Dists!$B10:$X10,Capacity!$DI$3:$DI$25)))</f>
        <v>0.0573482974881489</v>
      </c>
      <c r="CK39" s="4" t="n">
        <f aca="false" t="array" ref="CK39:CK39">SUM(Demand!CK11*Capacity!DE$3:DE$25*Capacity!$DI11/(TRANSPOSE(Dists!$B10:$X10)*MMULT(1/Dists!$B10:$X10,Capacity!$DI$3:$DI$25)))</f>
        <v>1.22652519714513</v>
      </c>
      <c r="CL39" s="7" t="s">
        <v>322</v>
      </c>
    </row>
    <row r="40" customFormat="false" ht="12.8" hidden="false" customHeight="false" outlineLevel="0" collapsed="false">
      <c r="A40" s="4" t="s">
        <v>144</v>
      </c>
      <c r="B40" s="7" t="s">
        <v>39</v>
      </c>
      <c r="C40" s="4" t="n">
        <f aca="false" t="array" ref="C40:C40">SUM(Demand!C12*Capacity!S$3:S$25*Capacity!$DH12/(TRANSPOSE(Dists!$B11:$X11)*MMULT(1/Dists!$B11:$X11,Capacity!$DH$3:$DH$25)))</f>
        <v>0.0173686029440461</v>
      </c>
      <c r="D40" s="4" t="n">
        <f aca="false" t="array" ref="D40:D40">SUM(Demand!D12*Capacity!V$3:V$25*Capacity!$DH12/(TRANSPOSE(Dists!$B11:$X11)*MMULT(1/Dists!$B11:$X11,Capacity!$DH$3:$DH$25)))</f>
        <v>1073.5424656277</v>
      </c>
      <c r="E40" s="4" t="n">
        <f aca="false" t="array" ref="E40:E40">SUM(Demand!E12*Capacity!Y$3:Y$25*Capacity!$DH12/(TRANSPOSE(Dists!$B11:$X11)*MMULT(1/Dists!$B11:$X11,Capacity!$DH$3:$DH$25)))</f>
        <v>115.860558141075</v>
      </c>
      <c r="F40" s="4" t="n">
        <f aca="false">$E12*Capacity!$M12/(2*(1-Capacity!$H$28)*Capacity!$H12)</f>
        <v>44.5730239925925</v>
      </c>
      <c r="G40" s="4" t="n">
        <f aca="false" t="array" ref="G40:G40">SUM(Demand!G12*Capacity!AA$3:AA$25*Capacity!$DH12/(TRANSPOSE(Dists!$B11:$X11)*MMULT(1/Dists!$B11:$X11,Capacity!$DH$3:$DH$25)))</f>
        <v>138.769737630778</v>
      </c>
      <c r="H40" s="4" t="n">
        <f aca="false" t="array" ref="H40:H40">SUM(Demand!H12*Capacity!AB$3:AB$25*Capacity!$DH12/(TRANSPOSE(Dists!$B11:$X11)*MMULT(1/Dists!$B11:$X11,Capacity!$DH$3:$DH$25)))</f>
        <v>0</v>
      </c>
      <c r="I40" s="4" t="n">
        <f aca="false" t="array" ref="I40:I40">SUM(Demand!I12*Capacity!AC$3:AC$25*Capacity!$DG12/(TRANSPOSE(Dists!$B11:$X11)*MMULT(1/Dists!$B11:$X11,Capacity!$DG$3:$DG$25)))</f>
        <v>3.10604258046833</v>
      </c>
      <c r="J40" s="4" t="n">
        <f aca="false" t="array" ref="J40:J40">SUM(Demand!J12*Capacity!AD$3:AD$25*Capacity!$DG12/(TRANSPOSE(Dists!$B11:$X11)*MMULT(1/Dists!$B11:$X11,Capacity!$DG$3:$DG$25)))</f>
        <v>3.89678161840745</v>
      </c>
      <c r="K40" s="4" t="n">
        <f aca="false">5479.45205479452*$R12</f>
        <v>652933.319059042</v>
      </c>
      <c r="L40" s="4" t="n">
        <f aca="false">17142.8571428571*$S12</f>
        <v>197588.77478456</v>
      </c>
      <c r="M40" s="4" t="n">
        <f aca="false">IF(50420.1680672269*$T12&gt;($K12/20),50420.1680672269*$T12-($K12/20),0)</f>
        <v>292156.799446326</v>
      </c>
      <c r="N40" s="4" t="n">
        <f aca="false" t="array" ref="N40:N40">SUM(Demand!N12*Capacity!AH$3:AH$25*Capacity!$DH12/(TRANSPOSE(Dists!$B11:$X11)*MMULT(1/Dists!$B11:$X11,Capacity!$DH$3:$DH$25)))</f>
        <v>183.522495146268</v>
      </c>
      <c r="O40" s="4" t="n">
        <f aca="false">O12</f>
        <v>715.694977085134</v>
      </c>
      <c r="P40" s="4" t="n">
        <f aca="false">P12</f>
        <v>286.277990834053</v>
      </c>
      <c r="Q40" s="4" t="n">
        <f aca="false" t="array" ref="Q40:Q40">SUM(Demand!Q12*Capacity!AK$3:AK$25*Capacity!$DI12/(TRANSPOSE(Dists!$B11:$X11)*MMULT(1/Dists!$B11:$X11,Capacity!$DI$3:$DI$25)))</f>
        <v>8.75386734055739</v>
      </c>
      <c r="R40" s="4" t="n">
        <f aca="false" t="array" ref="R40:R40">SUM(Demand!R12*Capacity!AL$3:AL$25*Capacity!$DH12/(TRANSPOSE(Dists!$B11:$X11)*MMULT(1/Dists!$B11:$X11,Capacity!$DH$3:$DH$25)))</f>
        <v>202.232242353062</v>
      </c>
      <c r="S40" s="4" t="n">
        <f aca="false">SUM($BG40,$BI40,$BK40)*Capacity!AM12/SUM(Capacity!$AM12:$AN12,Capacity!$CX12)</f>
        <v>11.5260118624327</v>
      </c>
      <c r="T40" s="4" t="n">
        <f aca="false">SUM($BG40,$BI40,$BK40)*Capacity!AN12/SUM(Capacity!$AM12:$AN12,Capacity!$CX12)</f>
        <v>6.44193539708569</v>
      </c>
      <c r="U40" s="4" t="n">
        <f aca="false">$M12*120*2/(16*1000*2000)</f>
        <v>2.19117599584745</v>
      </c>
      <c r="V40" s="4" t="n">
        <f aca="false" t="array" ref="V40:V40">SUM(Demand!V12*Capacity!AP$3:AP$25*Capacity!$DH12/(TRANSPOSE(Dists!$B11:$X11)*MMULT(1/Dists!$B11:$X11,Capacity!$DH$3:$DH$25)))</f>
        <v>187.948171074584</v>
      </c>
      <c r="W40" s="4" t="n">
        <f aca="false" t="array" ref="W40:W40">SUM(Demand!W12*Capacity!AQ$3:AQ$25*Capacity!$DH12/(TRANSPOSE(Dists!$B11:$X11)*MMULT(1/Dists!$B11:$X11,Capacity!$DH$3:$DH$25)))</f>
        <v>799.071040683767</v>
      </c>
      <c r="X40" s="4" t="n">
        <f aca="false" t="array" ref="X40:X40">SUM(Demand!X12*Capacity!AR$3:AR$25*Capacity!$DH12/(TRANSPOSE(Dists!$B11:$X11)*MMULT(1/Dists!$B11:$X11,Capacity!$DH$3:$DH$25)))</f>
        <v>1497.75506466692</v>
      </c>
      <c r="Y40" s="4" t="n">
        <f aca="false">$L12*600*6/(90*1000*2000)</f>
        <v>3.95177549569121</v>
      </c>
      <c r="Z40" s="4" t="n">
        <f aca="false" t="array" ref="Z40:Z40">SUM(Demand!Z12*Capacity!AT$3:AT$25*Capacity!$DI12/(TRANSPOSE(Dists!$B11:$X11)*MMULT(1/Dists!$B11:$X11,Capacity!$DI$3:$DI$25)))</f>
        <v>4.36489696433784</v>
      </c>
      <c r="AA40" s="4" t="n">
        <f aca="false" t="array" ref="AA40:AA40">SUM(Demand!AA12*Capacity!AU$3:AU$25*Capacity!$DI12/(TRANSPOSE(Dists!$B11:$X11)*MMULT(1/Dists!$B11:$X11,Capacity!$DI$3:$DI$25)))</f>
        <v>6.88670972898289</v>
      </c>
      <c r="AB40" s="4" t="n">
        <f aca="false" t="array" ref="AB40:AB40">SUM(Demand!AB12*Capacity!AV$3:AV$25*Capacity!$DI12/(TRANSPOSE(Dists!$B11:$X11)*MMULT(1/Dists!$B11:$X11,Capacity!$DI$3:$DI$25)))</f>
        <v>8.10842822140048</v>
      </c>
      <c r="AC40" s="4" t="n">
        <f aca="false" t="array" ref="AC40:AC40">SUM(Demand!AC12*Capacity!AW$3:AW$25*Capacity!$DI12/(TRANSPOSE(Dists!$B11:$X11)*MMULT(1/Dists!$B11:$X11,Capacity!$DI$3:$DI$25)))</f>
        <v>0.734459718677723</v>
      </c>
      <c r="AD40" s="4" t="n">
        <f aca="false" t="array" ref="AD40:AD40">SUM(Demand!AD12*Capacity!AX$3:AX$25*Capacity!$DI12/(TRANSPOSE(Dists!$B11:$X11)*MMULT(1/Dists!$B11:$X11,Capacity!$DI$3:$DI$25)))</f>
        <v>1.32743615175131</v>
      </c>
      <c r="AE40" s="4" t="n">
        <f aca="false" t="array" ref="AE40:AE40">SUM(Demand!AE12*Capacity!AY$3:AY$25*Capacity!$DI12/(TRANSPOSE(Dists!$B11:$X11)*MMULT(1/Dists!$B11:$X11,Capacity!$DI$3:$DI$25)))</f>
        <v>1.13648192019073</v>
      </c>
      <c r="AF40" s="4" t="n">
        <f aca="false" t="array" ref="AF40:AF40">SUM(Demand!AF12*Capacity!AZ$3:AZ$25*Capacity!$DI12/(TRANSPOSE(Dists!$B11:$X11)*MMULT(1/Dists!$B11:$X11,Capacity!$DI$3:$DI$25)))</f>
        <v>0.741123077966836</v>
      </c>
      <c r="AG40" s="4" t="n">
        <f aca="false" t="array" ref="AG40:AG40">SUM(Demand!AG12*Capacity!BA$3:BA$25*Capacity!$DI12/(TRANSPOSE(Dists!$B11:$X11)*MMULT(1/Dists!$B11:$X11,Capacity!$DI$3:$DI$25)))</f>
        <v>0.87021246746539</v>
      </c>
      <c r="AH40" s="4" t="n">
        <f aca="false" t="array" ref="AH40:AH40">SUM(Demand!AH12*Capacity!BB$3:BB$25*Capacity!$DI12/(TRANSPOSE(Dists!$B11:$X11)*MMULT(1/Dists!$B11:$X11,Capacity!$DI$3:$DI$25)))</f>
        <v>0.453854625158664</v>
      </c>
      <c r="AI40" s="4" t="n">
        <f aca="false" t="array" ref="AI40:AI40">SUM(Demand!AI12*Capacity!BC$3:BC$25*Capacity!$DI12/(TRANSPOSE(Dists!$B11:$X11)*MMULT(1/Dists!$B11:$X11,Capacity!$DI$3:$DI$25)))</f>
        <v>0.311560396969913</v>
      </c>
      <c r="AJ40" s="4" t="n">
        <f aca="false" t="array" ref="AJ40:AJ40">SUM(Demand!AJ12*Capacity!BD$3:BD$25*Capacity!$DI12/(TRANSPOSE(Dists!$B11:$X11)*MMULT(1/Dists!$B11:$X11,Capacity!$DI$3:$DI$25)))</f>
        <v>0.431498402806273</v>
      </c>
      <c r="AK40" s="4" t="n">
        <f aca="false" t="array" ref="AK40:AK40">SUM(Demand!AK12*Capacity!BE$3:BE$25*Capacity!$DI12/(TRANSPOSE(Dists!$B11:$X11)*MMULT(1/Dists!$B11:$X11,Capacity!$DI$3:$DI$25)))</f>
        <v>0.567221759208487</v>
      </c>
      <c r="AL40" s="4" t="n">
        <f aca="false" t="array" ref="AL40:AL40">SUM(Demand!AL12*Capacity!BF$3:BF$25*Capacity!$DI12/(TRANSPOSE(Dists!$B11:$X11)*MMULT(1/Dists!$B11:$X11,Capacity!$DI$3:$DI$25)))</f>
        <v>0.513949676717074</v>
      </c>
      <c r="AM40" s="4" t="n">
        <f aca="false" t="array" ref="AM40:AM40">SUM(Demand!AM12*Capacity!BG$3:BG$25*Capacity!$DI12/(TRANSPOSE(Dists!$B11:$X11)*MMULT(1/Dists!$B11:$X11,Capacity!$DI$3:$DI$25)))</f>
        <v>0.940348975039191</v>
      </c>
      <c r="AN40" s="4" t="n">
        <f aca="false" t="array" ref="AN40:AN40">SUM(Demand!AN12*Capacity!BH$3:BH$25*Capacity!$DI12/(TRANSPOSE(Dists!$B11:$X11)*MMULT(1/Dists!$B11:$X11,Capacity!$DI$3:$DI$25)))</f>
        <v>0.649286804455637</v>
      </c>
      <c r="AO40" s="4" t="n">
        <f aca="false" t="array" ref="AO40:AO40">SUM(Demand!AO12*Capacity!BI$3:BI$25*Capacity!$DI12/(TRANSPOSE(Dists!$B11:$X11)*MMULT(1/Dists!$B11:$X11,Capacity!$DI$3:$DI$25)))</f>
        <v>2.17291417961729</v>
      </c>
      <c r="AP40" s="4" t="n">
        <f aca="false" t="array" ref="AP40:AP40">SUM(Demand!AP12*Capacity!BJ$3:BJ$25*Capacity!$DI12/(TRANSPOSE(Dists!$B11:$X11)*MMULT(1/Dists!$B11:$X11,Capacity!$DI$3:$DI$25)))</f>
        <v>0.855756317227407</v>
      </c>
      <c r="AQ40" s="4" t="n">
        <f aca="false" t="array" ref="AQ40:AQ40">SUM(Demand!AQ12*Capacity!BK$3:BK$25*Capacity!$DI12/(TRANSPOSE(Dists!$B11:$X11)*MMULT(1/Dists!$B11:$X11,Capacity!$DI$3:$DI$25)))</f>
        <v>0.00354834680198487</v>
      </c>
      <c r="AR40" s="4" t="n">
        <f aca="false" t="array" ref="AR40:AR40">SUM(Demand!AR12*Capacity!BL$3:BL$25*Capacity!$DI12/(TRANSPOSE(Dists!$B11:$X11)*MMULT(1/Dists!$B11:$X11,Capacity!$DI$3:$DI$25)))</f>
        <v>0.035974381750197</v>
      </c>
      <c r="AS40" s="4" t="n">
        <f aca="false" t="array" ref="AS40:AS40">SUM(Demand!AS12*Capacity!BM$3:BM$25*Capacity!$DI12/(TRANSPOSE(Dists!$B11:$X11)*MMULT(1/Dists!$B11:$X11,Capacity!$DI$3:$DI$25)))</f>
        <v>0.142754404067686</v>
      </c>
      <c r="AT40" s="4" t="n">
        <f aca="false" t="array" ref="AT40:AT40">SUM(Demand!AT12*Capacity!BN$3:BN$25*Capacity!$DI12/(TRANSPOSE(Dists!$B11:$X11)*MMULT(1/Dists!$B11:$X11,Capacity!$DI$3:$DI$25)))</f>
        <v>1.89160312328209</v>
      </c>
      <c r="AU40" s="4" t="n">
        <f aca="false" t="array" ref="AU40:AU40">SUM(Demand!AU12*Capacity!BO$3:BO$25*Capacity!$DI12/(TRANSPOSE(Dists!$B11:$X11)*MMULT(1/Dists!$B11:$X11,Capacity!$DI$3:$DI$25)))</f>
        <v>1.46948054758014</v>
      </c>
      <c r="AV40" s="4" t="n">
        <f aca="false" t="array" ref="AV40:AV40">SUM(Demand!AV12*Capacity!BP$3:BP$25*Capacity!$DI12/(TRANSPOSE(Dists!$B11:$X11)*MMULT(1/Dists!$B11:$X11,Capacity!$DI$3:$DI$25)))</f>
        <v>0.0180136862393576</v>
      </c>
      <c r="AW40" s="4" t="n">
        <f aca="false" t="array" ref="AW40:AW40">SUM(Demand!AW12*Capacity!BQ$3:BQ$25*Capacity!$DI12/(TRANSPOSE(Dists!$B11:$X11)*MMULT(1/Dists!$B11:$X11,Capacity!$DI$3:$DI$25)))</f>
        <v>0.414817155312016</v>
      </c>
      <c r="AX40" s="4" t="n">
        <f aca="false" t="array" ref="AX40:AX40">SUM(Demand!AX12*Capacity!BR$3:BR$25*Capacity!$DI12/(TRANSPOSE(Dists!$B11:$X11)*MMULT(1/Dists!$B11:$X11,Capacity!$DI$3:$DI$25)))</f>
        <v>0.128817892966565</v>
      </c>
      <c r="AY40" s="4" t="n">
        <f aca="false" t="array" ref="AY40:AY40">SUM(Demand!AY12*Capacity!BS$3:BS$25*Capacity!$DI12/(TRANSPOSE(Dists!$B11:$X11)*MMULT(1/Dists!$B11:$X11,Capacity!$DI$3:$DI$25)))</f>
        <v>0.0549859905995159</v>
      </c>
      <c r="AZ40" s="4" t="n">
        <f aca="false" t="array" ref="AZ40:AZ40">SUM(Demand!AZ12*Capacity!BT$3:BT$25*Capacity!$DI12/(TRANSPOSE(Dists!$B11:$X11)*MMULT(1/Dists!$B11:$X11,Capacity!$DI$3:$DI$25)))</f>
        <v>0.383082542099496</v>
      </c>
      <c r="BA40" s="4" t="n">
        <f aca="false">BA12</f>
        <v>0.0484286212707256</v>
      </c>
      <c r="BB40" s="4" t="n">
        <f aca="false" t="array" ref="BB40:BB40">SUM(Demand!BB12*Capacity!BV$3:BV$25*Capacity!$DI12/(TRANSPOSE(Dists!$B11:$X11)*MMULT(1/Dists!$B11:$X11,Capacity!$DI$3:$DI$25)))</f>
        <v>0.0502426964057163</v>
      </c>
      <c r="BC40" s="4" t="n">
        <f aca="false" t="array" ref="BC40:BC40">SUM(Demand!BC12*Capacity!BW$3:BW$25*Capacity!$DI12/(TRANSPOSE(Dists!$B11:$X11)*MMULT(1/Dists!$B11:$X11,Capacity!$DI$3:$DI$25)))</f>
        <v>0.183063012851933</v>
      </c>
      <c r="BD40" s="4" t="n">
        <f aca="false" t="array" ref="BD40:BD40">SUM(Demand!BD12*Capacity!BX$3:BX$25*Capacity!$DI12/(TRANSPOSE(Dists!$B11:$X11)*MMULT(1/Dists!$B11:$X11,Capacity!$DI$3:$DI$25)))</f>
        <v>0.0843665921380458</v>
      </c>
      <c r="BE40" s="4" t="n">
        <f aca="false" t="array" ref="BE40:BE40">SUM(Demand!BE12*Capacity!BY$3:BY$25*Capacity!$DI12/(TRANSPOSE(Dists!$B11:$X11)*MMULT(1/Dists!$B11:$X11,Capacity!$DI$3:$DI$25)))</f>
        <v>0.0455300182576946</v>
      </c>
      <c r="BF40" s="4" t="n">
        <f aca="false" t="array" ref="BF40:BF40">SUM(Demand!BF12*Capacity!BZ$3:BZ$25*Capacity!$DI12/(TRANSPOSE(Dists!$B11:$X11)*MMULT(1/Dists!$B11:$X11,Capacity!$DI$3:$DI$25)))</f>
        <v>2.05568722670982</v>
      </c>
      <c r="BG40" s="4" t="n">
        <f aca="false" t="array" ref="BG40:BG40">SUM(Demand!BG12*Capacity!CA$3:CA$25*Capacity!$DI12/(TRANSPOSE(Dists!$B11:$X11)*MMULT(1/Dists!$B11:$X11,Capacity!$DI$3:$DI$25)))</f>
        <v>8.45565407803282</v>
      </c>
      <c r="BH40" s="4" t="n">
        <f aca="false" t="array" ref="BH40:BH40">SUM(Demand!BH12*Capacity!CB$3:CB$25*Capacity!$DI12/(TRANSPOSE(Dists!$B11:$X11)*MMULT(1/Dists!$B11:$X11,Capacity!$DI$3:$DI$25)))</f>
        <v>0.00660484380470911</v>
      </c>
      <c r="BI40" s="4" t="n">
        <f aca="false" t="array" ref="BI40:BI40">SUM(Demand!BI12*Capacity!CC$3:CC$25*Capacity!$DI12/(TRANSPOSE(Dists!$B11:$X11)*MMULT(1/Dists!$B11:$X11,Capacity!$DI$3:$DI$25)))</f>
        <v>22.5484108747542</v>
      </c>
      <c r="BJ40" s="4" t="n">
        <f aca="false" t="array" ref="BJ40:BJ40">SUM(Demand!BJ12*Capacity!CD$3:CD$25*Capacity!$DI12/(TRANSPOSE(Dists!$B11:$X11)*MMULT(1/Dists!$B11:$X11,Capacity!$DI$3:$DI$25)))</f>
        <v>374.023577985885</v>
      </c>
      <c r="BK40" s="4" t="n">
        <f aca="false" t="array" ref="BK40:BK40">SUM(Demand!BK12*Capacity!CE$3:CE$25*Capacity!$DI12/(TRANSPOSE(Dists!$B11:$X11)*MMULT(1/Dists!$B11:$X11,Capacity!$DI$3:$DI$25)))</f>
        <v>11.2742054373771</v>
      </c>
      <c r="BL40" s="4" t="n">
        <f aca="false" t="array" ref="BL40:BL40">SUM(Demand!BL12*Capacity!CF$3:CF$25*Capacity!$DI12/(TRANSPOSE(Dists!$B11:$X11)*MMULT(1/Dists!$B11:$X11,Capacity!$DI$3:$DI$25)))</f>
        <v>416.582634759875</v>
      </c>
      <c r="BM40" s="4" t="n">
        <f aca="false" t="array" ref="BM40:BM40">SUM(Demand!BM12*Capacity!CG$3:CG$25*Capacity!$DI12/(TRANSPOSE(Dists!$B11:$X11)*MMULT(1/Dists!$B11:$X11,Capacity!$DI$3:$DI$25)))</f>
        <v>36.9504453369515</v>
      </c>
      <c r="BN40" s="4" t="n">
        <f aca="false">BN12</f>
        <v>485.971462296731</v>
      </c>
      <c r="BO40" s="4" t="n">
        <f aca="false" t="array" ref="BO40:BO40">SUM(Demand!BO12*Capacity!CI$3:CI$25*Capacity!$DI12/(TRANSPOSE(Dists!$B11:$X11)*MMULT(1/Dists!$B11:$X11,Capacity!$DI$3:$DI$25)))</f>
        <v>1.18255629043367</v>
      </c>
      <c r="BP40" s="4" t="n">
        <f aca="false" t="array" ref="BP40:BP40">SUM(Demand!BP12*Capacity!CJ$3:CJ$25*Capacity!$DI12/(TRANSPOSE(Dists!$B11:$X11)*MMULT(1/Dists!$B11:$X11,Capacity!$DI$3:$DI$25)))</f>
        <v>2.36020034681287</v>
      </c>
      <c r="BQ40" s="4" t="n">
        <f aca="false" t="array" ref="BQ40:BQ40">SUM(Demand!BQ12*Capacity!CK$3:CK$25*Capacity!$DI12/(TRANSPOSE(Dists!$B11:$X11)*MMULT(1/Dists!$B11:$X11,Capacity!$DI$3:$DI$25)))</f>
        <v>0</v>
      </c>
      <c r="BR40" s="4" t="n">
        <f aca="false" t="array" ref="BR40:BR40">SUM(Demand!BR12*Capacity!CL$3:CL$25*Capacity!$DI12/(TRANSPOSE(Dists!$B11:$X11)*MMULT(1/Dists!$B11:$X11,Capacity!$DI$3:$DI$25)))</f>
        <v>0.0394185588864936</v>
      </c>
      <c r="BS40" s="4" t="n">
        <f aca="false" t="array" ref="BS40:BS40">SUM(Demand!BS12*Capacity!CM$3:CM$25*Capacity!$DI12/(TRANSPOSE(Dists!$B11:$X11)*MMULT(1/Dists!$B11:$X11,Capacity!$DI$3:$DI$25)))</f>
        <v>0.00394185588864936</v>
      </c>
      <c r="BT40" s="4" t="n">
        <f aca="false">BT12</f>
        <v>0.945456451131667</v>
      </c>
      <c r="BU40" s="4" t="n">
        <f aca="false">BU12</f>
        <v>0.0945456451131667</v>
      </c>
      <c r="BV40" s="4" t="n">
        <f aca="false">BV12</f>
        <v>0.00945456451131667</v>
      </c>
      <c r="BW40" s="4" t="n">
        <f aca="false">BW12</f>
        <v>501.555000108516</v>
      </c>
      <c r="BX40" s="4" t="n">
        <f aca="false" t="array" ref="BX40:BX40">SUM(Demand!BX12*Capacity!CR$3:CR$25*Capacity!$DI12/(TRANSPOSE(Dists!$B11:$X11)*MMULT(1/Dists!$B11:$X11,Capacity!$DI$3:$DI$25)))</f>
        <v>3.42846850514731</v>
      </c>
      <c r="BY40" s="4" t="n">
        <f aca="false" t="array" ref="BY40:BY40">SUM(Demand!BY12*Capacity!CS$3:CS$25*Capacity!$DI12/(TRANSPOSE(Dists!$B11:$X11)*MMULT(1/Dists!$B11:$X11,Capacity!$DI$3:$DI$25)))</f>
        <v>104.167254538963</v>
      </c>
      <c r="BZ40" s="4" t="n">
        <f aca="false" t="array" ref="BZ40:BZ40">SUM(Demand!BZ12*Capacity!CT$3:CT$25*Capacity!$DI12/(TRANSPOSE(Dists!$B11:$X11)*MMULT(1/Dists!$B11:$X11,Capacity!$DI$3:$DI$25)))</f>
        <v>0.545224424798985</v>
      </c>
      <c r="CA40" s="4" t="n">
        <f aca="false" t="array" ref="CA40:CA40">SUM(Demand!CA12*Capacity!CU$3:CU$25*Capacity!$DI12/(TRANSPOSE(Dists!$B11:$X11)*MMULT(1/Dists!$B11:$X11,Capacity!$DI$3:$DI$25)))</f>
        <v>0.0297742351083659</v>
      </c>
      <c r="CB40" s="4" t="n">
        <f aca="false" t="array" ref="CB40:CB40">SUM(Demand!CB12*Capacity!CV$3:CV$25*Capacity!$DI12/(TRANSPOSE(Dists!$B11:$X11)*MMULT(1/Dists!$B11:$X11,Capacity!$DI$3:$DI$25)))</f>
        <v>439.197061041513</v>
      </c>
      <c r="CC40" s="4" t="n">
        <f aca="false" t="array" ref="CC40:CC40">SUM(Demand!CC12*Capacity!CW$3:CW$25*Capacity!$DI12/(TRANSPOSE(Dists!$B11:$X11)*MMULT(1/Dists!$B11:$X11,Capacity!$DI$3:$DI$25)))</f>
        <v>183.054026148292</v>
      </c>
      <c r="CD40" s="4" t="n">
        <f aca="false">SUM($BG40,$BI40,$BK40)*Capacity!CX12/SUM(Capacity!$AM12:$AN12,Capacity!$CX12)</f>
        <v>24.3103231306457</v>
      </c>
      <c r="CE40" s="4" t="n">
        <f aca="false" t="array" ref="CE40:CE40">SUM(Demand!CE12*Capacity!CY$3:CY$25*Capacity!$DI12/(TRANSPOSE(Dists!$B11:$X11)*MMULT(1/Dists!$B11:$X11,Capacity!$DI$3:$DI$25)))</f>
        <v>2.08446607647133</v>
      </c>
      <c r="CF40" s="4" t="n">
        <f aca="false" t="array" ref="CF40:CF40">SUM(Demand!CF12*Capacity!CZ$3:CZ$25*Capacity!$DI12/(TRANSPOSE(Dists!$B11:$X11)*MMULT(1/Dists!$B11:$X11,Capacity!$DI$3:$DI$25)))</f>
        <v>1522.90596337829</v>
      </c>
      <c r="CG40" s="4" t="n">
        <f aca="false" t="array" ref="CG40:CG40">SUM(Demand!CG12*Capacity!DA$3:DA$25*Capacity!$DI12/(TRANSPOSE(Dists!$B11:$X11)*MMULT(1/Dists!$B11:$X11,Capacity!$DI$3:$DI$25)))</f>
        <v>1.9722865051002</v>
      </c>
      <c r="CH40" s="4" t="n">
        <f aca="false" t="array" ref="CH40:CH40">SUM(Demand!CH12*Capacity!DB$3:DB$25*Capacity!$DI12/(TRANSPOSE(Dists!$B11:$X11)*MMULT(1/Dists!$B11:$X11,Capacity!$DI$3:$DI$25)))</f>
        <v>2.57300378666839</v>
      </c>
      <c r="CI40" s="4" t="n">
        <f aca="false" t="array" ref="CI40:CI40">SUM(Demand!CI12*Capacity!DC$3:DC$25*Capacity!$DI12/(TRANSPOSE(Dists!$B11:$X11)*MMULT(1/Dists!$B11:$X11,Capacity!$DI$3:$DI$25)))</f>
        <v>0.147770313274332</v>
      </c>
      <c r="CJ40" s="4" t="n">
        <f aca="false" t="array" ref="CJ40:CJ40">SUM(Demand!CJ12*Capacity!DD$3:DD$25*Capacity!$DI12/(TRANSPOSE(Dists!$B11:$X11)*MMULT(1/Dists!$B11:$X11,Capacity!$DI$3:$DI$25)))</f>
        <v>0.0502044245423536</v>
      </c>
      <c r="CK40" s="4" t="n">
        <f aca="false" t="array" ref="CK40:CK40">SUM(Demand!CK12*Capacity!DE$3:DE$25*Capacity!$DI12/(TRANSPOSE(Dists!$B11:$X11)*MMULT(1/Dists!$B11:$X11,Capacity!$DI$3:$DI$25)))</f>
        <v>8.14584634704387</v>
      </c>
      <c r="CL40" s="7" t="s">
        <v>322</v>
      </c>
    </row>
    <row r="41" customFormat="false" ht="12.8" hidden="false" customHeight="false" outlineLevel="0" collapsed="false">
      <c r="A41" s="4" t="s">
        <v>145</v>
      </c>
      <c r="B41" s="7" t="s">
        <v>39</v>
      </c>
      <c r="C41" s="4" t="n">
        <f aca="false" t="array" ref="C41:C41">SUM(Demand!C13*Capacity!S$3:S$25*Capacity!$DH13/(TRANSPOSE(Dists!$B12:$X12)*MMULT(1/Dists!$B12:$X12,Capacity!$DH$3:$DH$25)))</f>
        <v>0.0158405420384505</v>
      </c>
      <c r="D41" s="4" t="n">
        <f aca="false" t="array" ref="D41:D41">SUM(Demand!D13*Capacity!V$3:V$25*Capacity!$DH13/(TRANSPOSE(Dists!$B12:$X12)*MMULT(1/Dists!$B12:$X12,Capacity!$DH$3:$DH$25)))</f>
        <v>1745.31643623404</v>
      </c>
      <c r="E41" s="4" t="n">
        <f aca="false" t="array" ref="E41:E41">SUM(Demand!E13*Capacity!Y$3:Y$25*Capacity!$DH13/(TRANSPOSE(Dists!$B12:$X12)*MMULT(1/Dists!$B12:$X12,Capacity!$DH$3:$DH$25)))</f>
        <v>321.929383912169</v>
      </c>
      <c r="F41" s="4" t="n">
        <f aca="false">$E13*Capacity!$M13/(2*(1-Capacity!$H$28)*Capacity!$H13)</f>
        <v>96.5054182346341</v>
      </c>
      <c r="G41" s="4" t="n">
        <f aca="false" t="array" ref="G41:G41">SUM(Demand!G13*Capacity!AA$3:AA$25*Capacity!$DH13/(TRANSPOSE(Dists!$B12:$X12)*MMULT(1/Dists!$B12:$X12,Capacity!$DH$3:$DH$25)))</f>
        <v>404.047341893717</v>
      </c>
      <c r="H41" s="4" t="n">
        <f aca="false" t="array" ref="H41:H41">SUM(Demand!H13*Capacity!AB$3:AB$25*Capacity!$DH13/(TRANSPOSE(Dists!$B12:$X12)*MMULT(1/Dists!$B12:$X12,Capacity!$DH$3:$DH$25)))</f>
        <v>0</v>
      </c>
      <c r="I41" s="4" t="n">
        <f aca="false" t="array" ref="I41:I41">SUM(Demand!I13*Capacity!AC$3:AC$25*Capacity!$DG13/(TRANSPOSE(Dists!$B12:$X12)*MMULT(1/Dists!$B12:$X12,Capacity!$DG$3:$DG$25)))</f>
        <v>1.73571320509752</v>
      </c>
      <c r="J41" s="4" t="n">
        <f aca="false" t="array" ref="J41:J41">SUM(Demand!J13*Capacity!AD$3:AD$25*Capacity!$DG13/(TRANSPOSE(Dists!$B12:$X12)*MMULT(1/Dists!$B12:$X12,Capacity!$DG$3:$DG$25)))</f>
        <v>3.19288725193782</v>
      </c>
      <c r="K41" s="4" t="n">
        <f aca="false">5479.45205479452*$R13</f>
        <v>517527.971157345</v>
      </c>
      <c r="L41" s="4" t="n">
        <f aca="false">17142.8571428571*$S13</f>
        <v>220954.366432873</v>
      </c>
      <c r="M41" s="4" t="n">
        <f aca="false">IF(50420.1680672269*$T13&gt;($K13/20),50420.1680672269*$T13-($K13/20),0)</f>
        <v>337336.258592062</v>
      </c>
      <c r="N41" s="4" t="n">
        <f aca="false" t="array" ref="N41:N41">SUM(Demand!N13*Capacity!AH$3:AH$25*Capacity!$DH13/(TRANSPOSE(Dists!$B12:$X12)*MMULT(1/Dists!$B12:$X12,Capacity!$DH$3:$DH$25)))</f>
        <v>365.778096106465</v>
      </c>
      <c r="O41" s="4" t="n">
        <f aca="false">O13</f>
        <v>1163.54429082269</v>
      </c>
      <c r="P41" s="4" t="n">
        <f aca="false">P13</f>
        <v>465.417716329077</v>
      </c>
      <c r="Q41" s="4" t="n">
        <f aca="false" t="array" ref="Q41:Q41">SUM(Demand!Q13*Capacity!AK$3:AK$25*Capacity!$DI13/(TRANSPOSE(Dists!$B12:$X12)*MMULT(1/Dists!$B12:$X12,Capacity!$DI$3:$DI$25)))</f>
        <v>11.9685545950885</v>
      </c>
      <c r="R41" s="4" t="n">
        <f aca="false" t="array" ref="R41:R41">SUM(Demand!R13*Capacity!AL$3:AL$25*Capacity!$DH13/(TRANSPOSE(Dists!$B12:$X12)*MMULT(1/Dists!$B12:$X12,Capacity!$DH$3:$DH$25)))</f>
        <v>113.425830837721</v>
      </c>
      <c r="S41" s="4" t="n">
        <f aca="false">SUM($BG41,$BI41,$BK41)*Capacity!AM13/SUM(Capacity!$AM13:$AN13,Capacity!$CX13)</f>
        <v>12.8890047085843</v>
      </c>
      <c r="T41" s="4" t="n">
        <f aca="false">SUM($BG41,$BI41,$BK41)*Capacity!AN13/SUM(Capacity!$AM13:$AN13,Capacity!$CX13)</f>
        <v>7.20371770014027</v>
      </c>
      <c r="U41" s="4" t="n">
        <f aca="false">$M13*120*2/(16*1000*2000)</f>
        <v>2.53002193944047</v>
      </c>
      <c r="V41" s="4" t="n">
        <f aca="false" t="array" ref="V41:V41">SUM(Demand!V13*Capacity!AP$3:AP$25*Capacity!$DH13/(TRANSPOSE(Dists!$B12:$X12)*MMULT(1/Dists!$B12:$X12,Capacity!$DH$3:$DH$25)))</f>
        <v>81.6413171448157</v>
      </c>
      <c r="W41" s="4" t="n">
        <f aca="false" t="array" ref="W41:W41">SUM(Demand!W13*Capacity!AQ$3:AQ$25*Capacity!$DH13/(TRANSPOSE(Dists!$B12:$X12)*MMULT(1/Dists!$B12:$X12,Capacity!$DH$3:$DH$25)))</f>
        <v>343.490615188175</v>
      </c>
      <c r="X41" s="4" t="n">
        <f aca="false" t="array" ref="X41:X41">SUM(Demand!X13*Capacity!AR$3:AR$25*Capacity!$DH13/(TRANSPOSE(Dists!$B12:$X12)*MMULT(1/Dists!$B12:$X12,Capacity!$DH$3:$DH$25)))</f>
        <v>668.01691835466</v>
      </c>
      <c r="Y41" s="4" t="n">
        <f aca="false">$L13*600*6/(90*1000*2000)</f>
        <v>4.41908732865747</v>
      </c>
      <c r="Z41" s="4" t="n">
        <f aca="false" t="array" ref="Z41:Z41">SUM(Demand!Z13*Capacity!AT$3:AT$25*Capacity!$DI13/(TRANSPOSE(Dists!$B12:$X12)*MMULT(1/Dists!$B12:$X12,Capacity!$DI$3:$DI$25)))</f>
        <v>17.6382116506559</v>
      </c>
      <c r="AA41" s="4" t="n">
        <f aca="false" t="array" ref="AA41:AA41">SUM(Demand!AA13*Capacity!AU$3:AU$25*Capacity!$DI13/(TRANSPOSE(Dists!$B12:$X12)*MMULT(1/Dists!$B12:$X12,Capacity!$DI$3:$DI$25)))</f>
        <v>14.8828610735209</v>
      </c>
      <c r="AB41" s="4" t="n">
        <f aca="false" t="array" ref="AB41:AB41">SUM(Demand!AB13*Capacity!AV$3:AV$25*Capacity!$DI13/(TRANSPOSE(Dists!$B12:$X12)*MMULT(1/Dists!$B12:$X12,Capacity!$DI$3:$DI$25)))</f>
        <v>22.5300252622043</v>
      </c>
      <c r="AC41" s="4" t="n">
        <f aca="false" t="array" ref="AC41:AC41">SUM(Demand!AC13*Capacity!AW$3:AW$25*Capacity!$DI13/(TRANSPOSE(Dists!$B12:$X12)*MMULT(1/Dists!$B12:$X12,Capacity!$DI$3:$DI$25)))</f>
        <v>3.27296158505853</v>
      </c>
      <c r="AD41" s="4" t="n">
        <f aca="false" t="array" ref="AD41:AD41">SUM(Demand!AD13*Capacity!AX$3:AX$25*Capacity!$DI13/(TRANSPOSE(Dists!$B12:$X12)*MMULT(1/Dists!$B12:$X12,Capacity!$DI$3:$DI$25)))</f>
        <v>3.68840535012526</v>
      </c>
      <c r="AE41" s="4" t="n">
        <f aca="false" t="array" ref="AE41:AE41">SUM(Demand!AE13*Capacity!AY$3:AY$25*Capacity!$DI13/(TRANSPOSE(Dists!$B12:$X12)*MMULT(1/Dists!$B12:$X12,Capacity!$DI$3:$DI$25)))</f>
        <v>2.58336796611989</v>
      </c>
      <c r="AF41" s="4" t="n">
        <f aca="false" t="array" ref="AF41:AF41">SUM(Demand!AF13*Capacity!AZ$3:AZ$25*Capacity!$DI13/(TRANSPOSE(Dists!$B12:$X12)*MMULT(1/Dists!$B12:$X12,Capacity!$DI$3:$DI$25)))</f>
        <v>0.475061810807939</v>
      </c>
      <c r="AG41" s="4" t="n">
        <f aca="false" t="array" ref="AG41:AG41">SUM(Demand!AG13*Capacity!BA$3:BA$25*Capacity!$DI13/(TRANSPOSE(Dists!$B12:$X12)*MMULT(1/Dists!$B12:$X12,Capacity!$DI$3:$DI$25)))</f>
        <v>0.562735395971939</v>
      </c>
      <c r="AH41" s="4" t="n">
        <f aca="false" t="array" ref="AH41:AH41">SUM(Demand!AH13*Capacity!BB$3:BB$25*Capacity!$DI13/(TRANSPOSE(Dists!$B12:$X12)*MMULT(1/Dists!$B12:$X12,Capacity!$DI$3:$DI$25)))</f>
        <v>1.44637816555225</v>
      </c>
      <c r="AI41" s="4" t="n">
        <f aca="false" t="array" ref="AI41:AI41">SUM(Demand!AI13*Capacity!BC$3:BC$25*Capacity!$DI13/(TRANSPOSE(Dists!$B12:$X12)*MMULT(1/Dists!$B12:$X12,Capacity!$DI$3:$DI$25)))</f>
        <v>0.000362998668150086</v>
      </c>
      <c r="AJ41" s="4" t="n">
        <f aca="false" t="array" ref="AJ41:AJ41">SUM(Demand!AJ13*Capacity!BD$3:BD$25*Capacity!$DI13/(TRANSPOSE(Dists!$B12:$X12)*MMULT(1/Dists!$B12:$X12,Capacity!$DI$3:$DI$25)))</f>
        <v>1.03031999466128</v>
      </c>
      <c r="AK41" s="4" t="n">
        <f aca="false" t="array" ref="AK41:AK41">SUM(Demand!AK13*Capacity!BE$3:BE$25*Capacity!$DI13/(TRANSPOSE(Dists!$B12:$X12)*MMULT(1/Dists!$B12:$X12,Capacity!$DI$3:$DI$25)))</f>
        <v>0.718847525942334</v>
      </c>
      <c r="AL41" s="4" t="n">
        <f aca="false" t="array" ref="AL41:AL41">SUM(Demand!AL13*Capacity!BF$3:BF$25*Capacity!$DI13/(TRANSPOSE(Dists!$B12:$X12)*MMULT(1/Dists!$B12:$X12,Capacity!$DI$3:$DI$25)))</f>
        <v>0.284862342214444</v>
      </c>
      <c r="AM41" s="4" t="n">
        <f aca="false" t="array" ref="AM41:AM41">SUM(Demand!AM13*Capacity!BG$3:BG$25*Capacity!$DI13/(TRANSPOSE(Dists!$B12:$X12)*MMULT(1/Dists!$B12:$X12,Capacity!$DI$3:$DI$25)))</f>
        <v>1.25561624353948</v>
      </c>
      <c r="AN41" s="4" t="n">
        <f aca="false" t="array" ref="AN41:AN41">SUM(Demand!AN13*Capacity!BH$3:BH$25*Capacity!$DI13/(TRANSPOSE(Dists!$B12:$X12)*MMULT(1/Dists!$B12:$X12,Capacity!$DI$3:$DI$25)))</f>
        <v>0.669783085688408</v>
      </c>
      <c r="AO41" s="4" t="n">
        <f aca="false" t="array" ref="AO41:AO41">SUM(Demand!AO13*Capacity!BI$3:BI$25*Capacity!$DI13/(TRANSPOSE(Dists!$B12:$X12)*MMULT(1/Dists!$B12:$X12,Capacity!$DI$3:$DI$25)))</f>
        <v>1.65301388816958</v>
      </c>
      <c r="AP41" s="4" t="n">
        <f aca="false" t="array" ref="AP41:AP41">SUM(Demand!AP13*Capacity!BJ$3:BJ$25*Capacity!$DI13/(TRANSPOSE(Dists!$B12:$X12)*MMULT(1/Dists!$B12:$X12,Capacity!$DI$3:$DI$25)))</f>
        <v>0.926579131612198</v>
      </c>
      <c r="AQ41" s="4" t="n">
        <f aca="false" t="array" ref="AQ41:AQ41">SUM(Demand!AQ13*Capacity!BK$3:BK$25*Capacity!$DI13/(TRANSPOSE(Dists!$B12:$X12)*MMULT(1/Dists!$B12:$X12,Capacity!$DI$3:$DI$25)))</f>
        <v>0.0281386159721002</v>
      </c>
      <c r="AR41" s="4" t="n">
        <f aca="false" t="array" ref="AR41:AR41">SUM(Demand!AR13*Capacity!BL$3:BL$25*Capacity!$DI13/(TRANSPOSE(Dists!$B12:$X12)*MMULT(1/Dists!$B12:$X12,Capacity!$DI$3:$DI$25)))</f>
        <v>0.0800762815409257</v>
      </c>
      <c r="AS41" s="4" t="n">
        <f aca="false" t="array" ref="AS41:AS41">SUM(Demand!AS13*Capacity!BM$3:BM$25*Capacity!$DI13/(TRANSPOSE(Dists!$B12:$X12)*MMULT(1/Dists!$B12:$X12,Capacity!$DI$3:$DI$25)))</f>
        <v>0.275225166400442</v>
      </c>
      <c r="AT41" s="4" t="n">
        <f aca="false" t="array" ref="AT41:AT41">SUM(Demand!AT13*Capacity!BN$3:BN$25*Capacity!$DI13/(TRANSPOSE(Dists!$B12:$X12)*MMULT(1/Dists!$B12:$X12,Capacity!$DI$3:$DI$25)))</f>
        <v>2.0720813939186</v>
      </c>
      <c r="AU41" s="4" t="n">
        <f aca="false" t="array" ref="AU41:AU41">SUM(Demand!AU13*Capacity!BO$3:BO$25*Capacity!$DI13/(TRANSPOSE(Dists!$B12:$X12)*MMULT(1/Dists!$B12:$X12,Capacity!$DI$3:$DI$25)))</f>
        <v>0.245061534372043</v>
      </c>
      <c r="AV41" s="4" t="n">
        <f aca="false" t="array" ref="AV41:AV41">SUM(Demand!AV13*Capacity!BP$3:BP$25*Capacity!$DI13/(TRANSPOSE(Dists!$B12:$X12)*MMULT(1/Dists!$B12:$X12,Capacity!$DI$3:$DI$25)))</f>
        <v>0.0837519367266047</v>
      </c>
      <c r="AW41" s="4" t="n">
        <f aca="false" t="array" ref="AW41:AW41">SUM(Demand!AW13*Capacity!BQ$3:BQ$25*Capacity!$DI13/(TRANSPOSE(Dists!$B12:$X12)*MMULT(1/Dists!$B12:$X12,Capacity!$DI$3:$DI$25)))</f>
        <v>1.81624935106643</v>
      </c>
      <c r="AX41" s="4" t="n">
        <f aca="false" t="array" ref="AX41:AX41">SUM(Demand!AX13*Capacity!BR$3:BR$25*Capacity!$DI13/(TRANSPOSE(Dists!$B12:$X12)*MMULT(1/Dists!$B12:$X12,Capacity!$DI$3:$DI$25)))</f>
        <v>0.138635977514662</v>
      </c>
      <c r="AY41" s="4" t="n">
        <f aca="false" t="array" ref="AY41:AY41">SUM(Demand!AY13*Capacity!BS$3:BS$25*Capacity!$DI13/(TRANSPOSE(Dists!$B12:$X12)*MMULT(1/Dists!$B12:$X12,Capacity!$DI$3:$DI$25)))</f>
        <v>0.257105295660229</v>
      </c>
      <c r="AZ41" s="4" t="n">
        <f aca="false" t="array" ref="AZ41:AZ41">SUM(Demand!AZ13*Capacity!BT$3:BT$25*Capacity!$DI13/(TRANSPOSE(Dists!$B12:$X12)*MMULT(1/Dists!$B12:$X12,Capacity!$DI$3:$DI$25)))</f>
        <v>2.0672361292305</v>
      </c>
      <c r="BA41" s="4" t="n">
        <f aca="false">BA13</f>
        <v>0.0541554819688415</v>
      </c>
      <c r="BB41" s="4" t="n">
        <f aca="false" t="array" ref="BB41:BB41">SUM(Demand!BB13*Capacity!BV$3:BV$25*Capacity!$DI13/(TRANSPOSE(Dists!$B12:$X12)*MMULT(1/Dists!$B12:$X12,Capacity!$DI$3:$DI$25)))</f>
        <v>0.311572812310113</v>
      </c>
      <c r="BC41" s="4" t="n">
        <f aca="false" t="array" ref="BC41:BC41">SUM(Demand!BC13*Capacity!BW$3:BW$25*Capacity!$DI13/(TRANSPOSE(Dists!$B12:$X12)*MMULT(1/Dists!$B12:$X12,Capacity!$DI$3:$DI$25)))</f>
        <v>0.069816355622647</v>
      </c>
      <c r="BD41" s="4" t="n">
        <f aca="false" t="array" ref="BD41:BD41">SUM(Demand!BD13*Capacity!BX$3:BX$25*Capacity!$DI13/(TRANSPOSE(Dists!$B12:$X12)*MMULT(1/Dists!$B12:$X12,Capacity!$DI$3:$DI$25)))</f>
        <v>0.152400520849155</v>
      </c>
      <c r="BE41" s="4" t="n">
        <f aca="false" t="array" ref="BE41:BE41">SUM(Demand!BE13*Capacity!BY$3:BY$25*Capacity!$DI13/(TRANSPOSE(Dists!$B12:$X12)*MMULT(1/Dists!$B12:$X12,Capacity!$DI$3:$DI$25)))</f>
        <v>0.056243393674234</v>
      </c>
      <c r="BF41" s="4" t="n">
        <f aca="false" t="array" ref="BF41:BF41">SUM(Demand!BF13*Capacity!BZ$3:BZ$25*Capacity!$DI13/(TRANSPOSE(Dists!$B12:$X12)*MMULT(1/Dists!$B12:$X12,Capacity!$DI$3:$DI$25)))</f>
        <v>5.26741250492889</v>
      </c>
      <c r="BG41" s="4" t="n">
        <f aca="false" t="array" ref="BG41:BG41">SUM(Demand!BG13*Capacity!CA$3:CA$25*Capacity!$DI13/(TRANSPOSE(Dists!$B12:$X12)*MMULT(1/Dists!$B12:$X12,Capacity!$DI$3:$DI$25)))</f>
        <v>16.7846394114791</v>
      </c>
      <c r="BH41" s="4" t="n">
        <f aca="false" t="array" ref="BH41:BH41">SUM(Demand!BH13*Capacity!CB$3:CB$25*Capacity!$DI13/(TRANSPOSE(Dists!$B12:$X12)*MMULT(1/Dists!$B12:$X12,Capacity!$DI$3:$DI$25)))</f>
        <v>33.5692788229582</v>
      </c>
      <c r="BI41" s="4" t="n">
        <f aca="false" t="array" ref="BI41:BI41">SUM(Demand!BI13*Capacity!CC$3:CC$25*Capacity!$DI13/(TRANSPOSE(Dists!$B12:$X12)*MMULT(1/Dists!$B12:$X12,Capacity!$DI$3:$DI$25)))</f>
        <v>44.7590384306109</v>
      </c>
      <c r="BJ41" s="4" t="n">
        <f aca="false" t="array" ref="BJ41:BJ41">SUM(Demand!BJ13*Capacity!CD$3:CD$25*Capacity!$DI13/(TRANSPOSE(Dists!$B12:$X12)*MMULT(1/Dists!$B12:$X12,Capacity!$DI$3:$DI$25)))</f>
        <v>341.674458326656</v>
      </c>
      <c r="BK41" s="4" t="n">
        <f aca="false" t="array" ref="BK41:BK41">SUM(Demand!BK13*Capacity!CE$3:CE$25*Capacity!$DI13/(TRANSPOSE(Dists!$B12:$X12)*MMULT(1/Dists!$B12:$X12,Capacity!$DI$3:$DI$25)))</f>
        <v>22.3795192153054</v>
      </c>
      <c r="BL41" s="4" t="n">
        <f aca="false" t="array" ref="BL41:BL41">SUM(Demand!BL13*Capacity!CF$3:CF$25*Capacity!$DI13/(TRANSPOSE(Dists!$B12:$X12)*MMULT(1/Dists!$B12:$X12,Capacity!$DI$3:$DI$25)))</f>
        <v>505.746864756945</v>
      </c>
      <c r="BM41" s="4" t="n">
        <f aca="false" t="array" ref="BM41:BM41">SUM(Demand!BM13*Capacity!CG$3:CG$25*Capacity!$DI13/(TRANSPOSE(Dists!$B12:$X12)*MMULT(1/Dists!$B12:$X12,Capacity!$DI$3:$DI$25)))</f>
        <v>48.7904770028263</v>
      </c>
      <c r="BN41" s="4" t="n">
        <f aca="false">BN13</f>
        <v>0.000460071780721392</v>
      </c>
      <c r="BO41" s="4" t="n">
        <f aca="false" t="array" ref="BO41:BO41">SUM(Demand!BO13*Capacity!CI$3:CI$25*Capacity!$DI13/(TRANSPOSE(Dists!$B12:$X12)*MMULT(1/Dists!$B12:$X12,Capacity!$DI$3:$DI$25)))</f>
        <v>8.44249422671525</v>
      </c>
      <c r="BP41" s="4" t="n">
        <f aca="false" t="array" ref="BP41:BP41">SUM(Demand!BP13*Capacity!CJ$3:CJ$25*Capacity!$DI13/(TRANSPOSE(Dists!$B12:$X12)*MMULT(1/Dists!$B12:$X12,Capacity!$DI$3:$DI$25)))</f>
        <v>10.4054659847288</v>
      </c>
      <c r="BQ41" s="4" t="n">
        <f aca="false" t="array" ref="BQ41:BQ41">SUM(Demand!BQ13*Capacity!CK$3:CK$25*Capacity!$DI13/(TRANSPOSE(Dists!$B12:$X12)*MMULT(1/Dists!$B12:$X12,Capacity!$DI$3:$DI$25)))</f>
        <v>0</v>
      </c>
      <c r="BR41" s="4" t="n">
        <f aca="false" t="array" ref="BR41:BR41">SUM(Demand!BR13*Capacity!CL$3:CL$25*Capacity!$DI13/(TRANSPOSE(Dists!$B12:$X12)*MMULT(1/Dists!$B12:$X12,Capacity!$DI$3:$DI$25)))</f>
        <v>0.281416600132371</v>
      </c>
      <c r="BS41" s="4" t="n">
        <f aca="false" t="array" ref="BS41:BS41">SUM(Demand!BS13*Capacity!CM$3:CM$25*Capacity!$DI13/(TRANSPOSE(Dists!$B12:$X12)*MMULT(1/Dists!$B12:$X12,Capacity!$DI$3:$DI$25)))</f>
        <v>0.0281416600132371</v>
      </c>
      <c r="BT41" s="4" t="n">
        <f aca="false">BT13</f>
        <v>3.27334832670219</v>
      </c>
      <c r="BU41" s="4" t="n">
        <f aca="false">BU13</f>
        <v>0.327334832670219</v>
      </c>
      <c r="BV41" s="4" t="n">
        <f aca="false">BV13</f>
        <v>0.0327334832670218</v>
      </c>
      <c r="BW41" s="4" t="n">
        <f aca="false">BW13</f>
        <v>1393.6174205755</v>
      </c>
      <c r="BX41" s="4" t="n">
        <f aca="false" t="array" ref="BX41:BX41">SUM(Demand!BX13*Capacity!CR$3:CR$25*Capacity!$DI13/(TRANSPOSE(Dists!$B12:$X12)*MMULT(1/Dists!$B12:$X12,Capacity!$DI$3:$DI$25)))</f>
        <v>0.731931685344568</v>
      </c>
      <c r="BY41" s="4" t="n">
        <f aca="false" t="array" ref="BY41:BY41">SUM(Demand!BY13*Capacity!CS$3:CS$25*Capacity!$DI13/(TRANSPOSE(Dists!$B12:$X12)*MMULT(1/Dists!$B12:$X12,Capacity!$DI$3:$DI$25)))</f>
        <v>46.2668497745417</v>
      </c>
      <c r="BZ41" s="4" t="n">
        <f aca="false" t="array" ref="BZ41:BZ41">SUM(Demand!BZ13*Capacity!CT$3:CT$25*Capacity!$DI13/(TRANSPOSE(Dists!$B12:$X12)*MMULT(1/Dists!$B12:$X12,Capacity!$DI$3:$DI$25)))</f>
        <v>0.196358734450138</v>
      </c>
      <c r="CA41" s="4" t="n">
        <f aca="false" t="array" ref="CA41:CA41">SUM(Demand!CA13*Capacity!CU$3:CU$25*Capacity!$DI13/(TRANSPOSE(Dists!$B12:$X12)*MMULT(1/Dists!$B12:$X12,Capacity!$DI$3:$DI$25)))</f>
        <v>0.0828743182902936</v>
      </c>
      <c r="CB41" s="4" t="n">
        <f aca="false" t="array" ref="CB41:CB41">SUM(Demand!CB13*Capacity!CV$3:CV$25*Capacity!$DI13/(TRANSPOSE(Dists!$B12:$X12)*MMULT(1/Dists!$B12:$X12,Capacity!$DI$3:$DI$25)))</f>
        <v>471.090837604381</v>
      </c>
      <c r="CC41" s="4" t="n">
        <f aca="false" t="array" ref="CC41:CC41">SUM(Demand!CC13*Capacity!CW$3:CW$25*Capacity!$DI13/(TRANSPOSE(Dists!$B12:$X12)*MMULT(1/Dists!$B12:$X12,Capacity!$DI$3:$DI$25)))</f>
        <v>725.963445362227</v>
      </c>
      <c r="CD41" s="4" t="n">
        <f aca="false">SUM($BG41,$BI41,$BK41)*Capacity!CX13/SUM(Capacity!$AM13:$AN13,Capacity!$CX13)</f>
        <v>63.8304746486709</v>
      </c>
      <c r="CE41" s="4" t="n">
        <f aca="false" t="array" ref="CE41:CE41">SUM(Demand!CE13*Capacity!CY$3:CY$25*Capacity!$DI13/(TRANSPOSE(Dists!$B12:$X12)*MMULT(1/Dists!$B12:$X12,Capacity!$DI$3:$DI$25)))</f>
        <v>5.13571369313203</v>
      </c>
      <c r="CF41" s="4" t="n">
        <f aca="false" t="array" ref="CF41:CF41">SUM(Demand!CF13*Capacity!CZ$3:CZ$25*Capacity!$DI13/(TRANSPOSE(Dists!$B12:$X12)*MMULT(1/Dists!$B12:$X12,Capacity!$DI$3:$DI$25)))</f>
        <v>607.273890394178</v>
      </c>
      <c r="CG41" s="4" t="n">
        <f aca="false" t="array" ref="CG41:CG41">SUM(Demand!CG13*Capacity!DA$3:DA$25*Capacity!$DI13/(TRANSPOSE(Dists!$B12:$X12)*MMULT(1/Dists!$B12:$X12,Capacity!$DI$3:$DI$25)))</f>
        <v>0.909335775913017</v>
      </c>
      <c r="CH41" s="4" t="n">
        <f aca="false" t="array" ref="CH41:CH41">SUM(Demand!CH13*Capacity!DB$3:DB$25*Capacity!$DI13/(TRANSPOSE(Dists!$B12:$X12)*MMULT(1/Dists!$B12:$X12,Capacity!$DI$3:$DI$25)))</f>
        <v>0.983668981845348</v>
      </c>
      <c r="CI41" s="4" t="n">
        <f aca="false" t="array" ref="CI41:CI41">SUM(Demand!CI13*Capacity!DC$3:DC$25*Capacity!$DI13/(TRANSPOSE(Dists!$B12:$X12)*MMULT(1/Dists!$B12:$X12,Capacity!$DI$3:$DI$25)))</f>
        <v>0.169361953763404</v>
      </c>
      <c r="CJ41" s="4" t="n">
        <f aca="false" t="array" ref="CJ41:CJ41">SUM(Demand!CJ13*Capacity!DD$3:DD$25*Capacity!$DI13/(TRANSPOSE(Dists!$B12:$X12)*MMULT(1/Dists!$B12:$X12,Capacity!$DI$3:$DI$25)))</f>
        <v>0.0684365791303483</v>
      </c>
      <c r="CK41" s="4" t="n">
        <f aca="false" t="array" ref="CK41:CK41">SUM(Demand!CK13*Capacity!DE$3:DE$25*Capacity!$DI13/(TRANSPOSE(Dists!$B12:$X12)*MMULT(1/Dists!$B12:$X12,Capacity!$DI$3:$DI$25)))</f>
        <v>4.52567337943969</v>
      </c>
      <c r="CL41" s="7" t="s">
        <v>322</v>
      </c>
    </row>
    <row r="42" customFormat="false" ht="12.8" hidden="false" customHeight="false" outlineLevel="0" collapsed="false">
      <c r="A42" s="4" t="s">
        <v>147</v>
      </c>
      <c r="B42" s="7" t="s">
        <v>39</v>
      </c>
      <c r="C42" s="4" t="n">
        <f aca="false" t="array" ref="C42:C42">SUM(Demand!C14*Capacity!S$3:S$25*Capacity!$DH14/(TRANSPOSE(Dists!$B13:$X13)*MMULT(1/Dists!$B13:$X13,Capacity!$DH$3:$DH$25)))</f>
        <v>0.013005483933271</v>
      </c>
      <c r="D42" s="4" t="n">
        <f aca="false" t="array" ref="D42:D42">SUM(Demand!D14*Capacity!V$3:V$25*Capacity!$DH14/(TRANSPOSE(Dists!$B13:$X13)*MMULT(1/Dists!$B13:$X13,Capacity!$DH$3:$DH$25)))</f>
        <v>1349.88552406553</v>
      </c>
      <c r="E42" s="4" t="n">
        <f aca="false" t="array" ref="E42:E42">SUM(Demand!E14*Capacity!Y$3:Y$25*Capacity!$DH14/(TRANSPOSE(Dists!$B13:$X13)*MMULT(1/Dists!$B13:$X13,Capacity!$DH$3:$DH$25)))</f>
        <v>243.946976038714</v>
      </c>
      <c r="F42" s="4" t="n">
        <f aca="false">$E14*Capacity!$M14/(2*(1-Capacity!$H$28)*Capacity!$H14)</f>
        <v>50.5933548439656</v>
      </c>
      <c r="G42" s="4" t="n">
        <f aca="false" t="array" ref="G42:G42">SUM(Demand!G14*Capacity!AA$3:AA$25*Capacity!$DH14/(TRANSPOSE(Dists!$B13:$X13)*MMULT(1/Dists!$B13:$X13,Capacity!$DH$3:$DH$25)))</f>
        <v>224.167374450443</v>
      </c>
      <c r="H42" s="4" t="n">
        <f aca="false" t="array" ref="H42:H42">SUM(Demand!H14*Capacity!AB$3:AB$25*Capacity!$DH14/(TRANSPOSE(Dists!$B13:$X13)*MMULT(1/Dists!$B13:$X13,Capacity!$DH$3:$DH$25)))</f>
        <v>0</v>
      </c>
      <c r="I42" s="4" t="n">
        <f aca="false" t="array" ref="I42:I42">SUM(Demand!I14*Capacity!AC$3:AC$25*Capacity!$DG14/(TRANSPOSE(Dists!$B13:$X13)*MMULT(1/Dists!$B13:$X13,Capacity!$DG$3:$DG$25)))</f>
        <v>1.93155763021741</v>
      </c>
      <c r="J42" s="4" t="n">
        <f aca="false" t="array" ref="J42:J42">SUM(Demand!J14*Capacity!AD$3:AD$25*Capacity!$DG14/(TRANSPOSE(Dists!$B13:$X13)*MMULT(1/Dists!$B13:$X13,Capacity!$DG$3:$DG$25)))</f>
        <v>0.878770474508953</v>
      </c>
      <c r="K42" s="4" t="n">
        <f aca="false">5479.45205479452*$R14</f>
        <v>409519.917269902</v>
      </c>
      <c r="L42" s="4" t="n">
        <f aca="false">17142.8571428571*$S14</f>
        <v>165088.833929986</v>
      </c>
      <c r="M42" s="4" t="n">
        <f aca="false">IF(50420.1680672269*$T14&gt;($K14/20),50420.1680672269*$T14-($K14/20),0)</f>
        <v>250902.909226893</v>
      </c>
      <c r="N42" s="4" t="n">
        <f aca="false" t="array" ref="N42:N42">SUM(Demand!N14*Capacity!AH$3:AH$25*Capacity!$DH14/(TRANSPOSE(Dists!$B13:$X13)*MMULT(1/Dists!$B13:$X13,Capacity!$DH$3:$DH$25)))</f>
        <v>210.745463527459</v>
      </c>
      <c r="O42" s="4" t="n">
        <f aca="false">O14</f>
        <v>899.923682710354</v>
      </c>
      <c r="P42" s="4" t="n">
        <f aca="false">P14</f>
        <v>359.969473084142</v>
      </c>
      <c r="Q42" s="4" t="n">
        <f aca="false" t="array" ref="Q42:Q42">SUM(Demand!Q14*Capacity!AK$3:AK$25*Capacity!$DI14/(TRANSPOSE(Dists!$B13:$X13)*MMULT(1/Dists!$B13:$X13,Capacity!$DI$3:$DI$25)))</f>
        <v>10.4730070186961</v>
      </c>
      <c r="R42" s="4" t="n">
        <f aca="false" t="array" ref="R42:R42">SUM(Demand!R14*Capacity!AL$3:AL$25*Capacity!$DH14/(TRANSPOSE(Dists!$B13:$X13)*MMULT(1/Dists!$B13:$X13,Capacity!$DH$3:$DH$25)))</f>
        <v>136.401911657299</v>
      </c>
      <c r="S42" s="4" t="n">
        <f aca="false">SUM($BG42,$BI42,$BK42)*Capacity!AM14/SUM(Capacity!$AM14:$AN14,Capacity!$CX14)</f>
        <v>9.63018197924918</v>
      </c>
      <c r="T42" s="4" t="n">
        <f aca="false">SUM($BG42,$BI42,$BK42)*Capacity!AN14/SUM(Capacity!$AM14:$AN14,Capacity!$CX14)</f>
        <v>5.38234828429269</v>
      </c>
      <c r="U42" s="4" t="n">
        <f aca="false">$M14*120*2/(16*1000*2000)</f>
        <v>1.8817718192017</v>
      </c>
      <c r="V42" s="4" t="n">
        <f aca="false" t="array" ref="V42:V42">SUM(Demand!V14*Capacity!AP$3:AP$25*Capacity!$DH14/(TRANSPOSE(Dists!$B13:$X13)*MMULT(1/Dists!$B13:$X13,Capacity!$DH$3:$DH$25)))</f>
        <v>104.321550082898</v>
      </c>
      <c r="W42" s="4" t="n">
        <f aca="false" t="array" ref="W42:W42">SUM(Demand!W14*Capacity!AQ$3:AQ$25*Capacity!$DH14/(TRANSPOSE(Dists!$B13:$X13)*MMULT(1/Dists!$B13:$X13,Capacity!$DH$3:$DH$25)))</f>
        <v>51.3179015572893</v>
      </c>
      <c r="X42" s="4" t="n">
        <f aca="false" t="array" ref="X42:X42">SUM(Demand!X14*Capacity!AR$3:AR$25*Capacity!$DH14/(TRANSPOSE(Dists!$B13:$X13)*MMULT(1/Dists!$B13:$X13,Capacity!$DH$3:$DH$25)))</f>
        <v>1524.3696747985</v>
      </c>
      <c r="Y42" s="4" t="n">
        <f aca="false">$L14*600*6/(90*1000*2000)</f>
        <v>3.30177667859971</v>
      </c>
      <c r="Z42" s="4" t="n">
        <f aca="false" t="array" ref="Z42:Z42">SUM(Demand!Z14*Capacity!AT$3:AT$25*Capacity!$DI14/(TRANSPOSE(Dists!$B13:$X13)*MMULT(1/Dists!$B13:$X13,Capacity!$DI$3:$DI$25)))</f>
        <v>10.6414319429726</v>
      </c>
      <c r="AA42" s="4" t="n">
        <f aca="false" t="array" ref="AA42:AA42">SUM(Demand!AA14*Capacity!AU$3:AU$25*Capacity!$DI14/(TRANSPOSE(Dists!$B13:$X13)*MMULT(1/Dists!$B13:$X13,Capacity!$DI$3:$DI$25)))</f>
        <v>10.5164901793664</v>
      </c>
      <c r="AB42" s="4" t="n">
        <f aca="false" t="array" ref="AB42:AB42">SUM(Demand!AB14*Capacity!AV$3:AV$25*Capacity!$DI14/(TRANSPOSE(Dists!$B13:$X13)*MMULT(1/Dists!$B13:$X13,Capacity!$DI$3:$DI$25)))</f>
        <v>17.0724755410648</v>
      </c>
      <c r="AC42" s="4" t="n">
        <f aca="false" t="array" ref="AC42:AC42">SUM(Demand!AC14*Capacity!AW$3:AW$25*Capacity!$DI14/(TRANSPOSE(Dists!$B13:$X13)*MMULT(1/Dists!$B13:$X13,Capacity!$DI$3:$DI$25)))</f>
        <v>1.95248248987935</v>
      </c>
      <c r="AD42" s="4" t="n">
        <f aca="false" t="array" ref="AD42:AD42">SUM(Demand!AD14*Capacity!AX$3:AX$25*Capacity!$DI14/(TRANSPOSE(Dists!$B13:$X13)*MMULT(1/Dists!$B13:$X13,Capacity!$DI$3:$DI$25)))</f>
        <v>2.79494627248302</v>
      </c>
      <c r="AE42" s="4" t="n">
        <f aca="false" t="array" ref="AE42:AE42">SUM(Demand!AE14*Capacity!AY$3:AY$25*Capacity!$DI14/(TRANSPOSE(Dists!$B13:$X13)*MMULT(1/Dists!$B13:$X13,Capacity!$DI$3:$DI$25)))</f>
        <v>4.2999376376861</v>
      </c>
      <c r="AF42" s="4" t="n">
        <f aca="false" t="array" ref="AF42:AF42">SUM(Demand!AF14*Capacity!AZ$3:AZ$25*Capacity!$DI14/(TRANSPOSE(Dists!$B13:$X13)*MMULT(1/Dists!$B13:$X13,Capacity!$DI$3:$DI$25)))</f>
        <v>0.457672844311699</v>
      </c>
      <c r="AG42" s="4" t="n">
        <f aca="false" t="array" ref="AG42:AG42">SUM(Demand!AG14*Capacity!BA$3:BA$25*Capacity!$DI14/(TRANSPOSE(Dists!$B13:$X13)*MMULT(1/Dists!$B13:$X13,Capacity!$DI$3:$DI$25)))</f>
        <v>2.95440196035566</v>
      </c>
      <c r="AH42" s="4" t="n">
        <f aca="false" t="array" ref="AH42:AH42">SUM(Demand!AH14*Capacity!BB$3:BB$25*Capacity!$DI14/(TRANSPOSE(Dists!$B13:$X13)*MMULT(1/Dists!$B13:$X13,Capacity!$DI$3:$DI$25)))</f>
        <v>1.50822377163781</v>
      </c>
      <c r="AI42" s="4" t="n">
        <f aca="false" t="array" ref="AI42:AI42">SUM(Demand!AI14*Capacity!BC$3:BC$25*Capacity!$DI14/(TRANSPOSE(Dists!$B13:$X13)*MMULT(1/Dists!$B13:$X13,Capacity!$DI$3:$DI$25)))</f>
        <v>0.124318605938624</v>
      </c>
      <c r="AJ42" s="4" t="n">
        <f aca="false" t="array" ref="AJ42:AJ42">SUM(Demand!AJ14*Capacity!BD$3:BD$25*Capacity!$DI14/(TRANSPOSE(Dists!$B13:$X13)*MMULT(1/Dists!$B13:$X13,Capacity!$DI$3:$DI$25)))</f>
        <v>0.352933198372897</v>
      </c>
      <c r="AK42" s="4" t="n">
        <f aca="false" t="array" ref="AK42:AK42">SUM(Demand!AK14*Capacity!BE$3:BE$25*Capacity!$DI14/(TRANSPOSE(Dists!$B13:$X13)*MMULT(1/Dists!$B13:$X13,Capacity!$DI$3:$DI$25)))</f>
        <v>0.640343580320794</v>
      </c>
      <c r="AL42" s="4" t="n">
        <f aca="false" t="array" ref="AL42:AL42">SUM(Demand!AL14*Capacity!BF$3:BF$25*Capacity!$DI14/(TRANSPOSE(Dists!$B13:$X13)*MMULT(1/Dists!$B13:$X13,Capacity!$DI$3:$DI$25)))</f>
        <v>0.280679522883917</v>
      </c>
      <c r="AM42" s="4" t="n">
        <f aca="false" t="array" ref="AM42:AM42">SUM(Demand!AM14*Capacity!BG$3:BG$25*Capacity!$DI14/(TRANSPOSE(Dists!$B13:$X13)*MMULT(1/Dists!$B13:$X13,Capacity!$DI$3:$DI$25)))</f>
        <v>0.438138760466428</v>
      </c>
      <c r="AN42" s="4" t="n">
        <f aca="false" t="array" ref="AN42:AN42">SUM(Demand!AN14*Capacity!BH$3:BH$25*Capacity!$DI14/(TRANSPOSE(Dists!$B13:$X13)*MMULT(1/Dists!$B13:$X13,Capacity!$DI$3:$DI$25)))</f>
        <v>0.743998679748586</v>
      </c>
      <c r="AO42" s="4" t="n">
        <f aca="false" t="array" ref="AO42:AO42">SUM(Demand!AO14*Capacity!BI$3:BI$25*Capacity!$DI14/(TRANSPOSE(Dists!$B13:$X13)*MMULT(1/Dists!$B13:$X13,Capacity!$DI$3:$DI$25)))</f>
        <v>0.802112972108219</v>
      </c>
      <c r="AP42" s="4" t="n">
        <f aca="false" t="array" ref="AP42:AP42">SUM(Demand!AP14*Capacity!BJ$3:BJ$25*Capacity!$DI14/(TRANSPOSE(Dists!$B13:$X13)*MMULT(1/Dists!$B13:$X13,Capacity!$DI$3:$DI$25)))</f>
        <v>0.298881266922568</v>
      </c>
      <c r="AQ42" s="4" t="n">
        <f aca="false" t="array" ref="AQ42:AQ42">SUM(Demand!AQ14*Capacity!BK$3:BK$25*Capacity!$DI14/(TRANSPOSE(Dists!$B13:$X13)*MMULT(1/Dists!$B13:$X13,Capacity!$DI$3:$DI$25)))</f>
        <v>0.0497338856007378</v>
      </c>
      <c r="AR42" s="4" t="n">
        <f aca="false" t="array" ref="AR42:AR42">SUM(Demand!AR14*Capacity!BL$3:BL$25*Capacity!$DI14/(TRANSPOSE(Dists!$B13:$X13)*MMULT(1/Dists!$B13:$X13,Capacity!$DI$3:$DI$25)))</f>
        <v>0.107497850267236</v>
      </c>
      <c r="AS42" s="4" t="n">
        <f aca="false" t="array" ref="AS42:AS42">SUM(Demand!AS14*Capacity!BM$3:BM$25*Capacity!$DI14/(TRANSPOSE(Dists!$B13:$X13)*MMULT(1/Dists!$B13:$X13,Capacity!$DI$3:$DI$25)))</f>
        <v>0.49203304040845</v>
      </c>
      <c r="AT42" s="4" t="n">
        <f aca="false" t="array" ref="AT42:AT42">SUM(Demand!AT14*Capacity!BN$3:BN$25*Capacity!$DI14/(TRANSPOSE(Dists!$B13:$X13)*MMULT(1/Dists!$B13:$X13,Capacity!$DI$3:$DI$25)))</f>
        <v>1.06170882436856</v>
      </c>
      <c r="AU42" s="4" t="n">
        <f aca="false" t="array" ref="AU42:AU42">SUM(Demand!AU14*Capacity!BO$3:BO$25*Capacity!$DI14/(TRANSPOSE(Dists!$B13:$X13)*MMULT(1/Dists!$B13:$X13,Capacity!$DI$3:$DI$25)))</f>
        <v>3.31702651695109</v>
      </c>
      <c r="AV42" s="4" t="n">
        <f aca="false" t="array" ref="AV42:AV42">SUM(Demand!AV14*Capacity!BP$3:BP$25*Capacity!$DI14/(TRANSPOSE(Dists!$B13:$X13)*MMULT(1/Dists!$B13:$X13,Capacity!$DI$3:$DI$25)))</f>
        <v>0.0212325120455825</v>
      </c>
      <c r="AW42" s="4" t="n">
        <f aca="false" t="array" ref="AW42:AW42">SUM(Demand!AW14*Capacity!BQ$3:BQ$25*Capacity!$DI14/(TRANSPOSE(Dists!$B13:$X13)*MMULT(1/Dists!$B13:$X13,Capacity!$DI$3:$DI$25)))</f>
        <v>1.09516326788767</v>
      </c>
      <c r="AX42" s="4" t="n">
        <f aca="false" t="array" ref="AX42:AX42">SUM(Demand!AX14*Capacity!BR$3:BR$25*Capacity!$DI14/(TRANSPOSE(Dists!$B13:$X13)*MMULT(1/Dists!$B13:$X13,Capacity!$DI$3:$DI$25)))</f>
        <v>0.145145125676823</v>
      </c>
      <c r="AY42" s="4" t="n">
        <f aca="false" t="array" ref="AY42:AY42">SUM(Demand!AY14*Capacity!BS$3:BS$25*Capacity!$DI14/(TRANSPOSE(Dists!$B13:$X13)*MMULT(1/Dists!$B13:$X13,Capacity!$DI$3:$DI$25)))</f>
        <v>0.13535957791941</v>
      </c>
      <c r="AZ42" s="4" t="n">
        <f aca="false" t="array" ref="AZ42:AZ42">SUM(Demand!AZ14*Capacity!BT$3:BT$25*Capacity!$DI14/(TRANSPOSE(Dists!$B13:$X13)*MMULT(1/Dists!$B13:$X13,Capacity!$DI$3:$DI$25)))</f>
        <v>1.31286194208706</v>
      </c>
      <c r="BA42" s="4" t="n">
        <f aca="false">BA14</f>
        <v>0.0404629494926435</v>
      </c>
      <c r="BB42" s="4" t="n">
        <f aca="false" t="array" ref="BB42:BB42">SUM(Demand!BB14*Capacity!BV$3:BV$25*Capacity!$DI14/(TRANSPOSE(Dists!$B13:$X13)*MMULT(1/Dists!$B13:$X13,Capacity!$DI$3:$DI$25)))</f>
        <v>0.276909462088899</v>
      </c>
      <c r="BC42" s="4" t="n">
        <f aca="false" t="array" ref="BC42:BC42">SUM(Demand!BC14*Capacity!BW$3:BW$25*Capacity!$DI14/(TRANSPOSE(Dists!$B13:$X13)*MMULT(1/Dists!$B13:$X13,Capacity!$DI$3:$DI$25)))</f>
        <v>0.102675471605751</v>
      </c>
      <c r="BD42" s="4" t="n">
        <f aca="false" t="array" ref="BD42:BD42">SUM(Demand!BD14*Capacity!BX$3:BX$25*Capacity!$DI14/(TRANSPOSE(Dists!$B13:$X13)*MMULT(1/Dists!$B13:$X13,Capacity!$DI$3:$DI$25)))</f>
        <v>0.112104356798555</v>
      </c>
      <c r="BE42" s="4" t="n">
        <f aca="false" t="array" ref="BE42:BE42">SUM(Demand!BE14*Capacity!BY$3:BY$25*Capacity!$DI14/(TRANSPOSE(Dists!$B13:$X13)*MMULT(1/Dists!$B13:$X13,Capacity!$DI$3:$DI$25)))</f>
        <v>0.0549124056638395</v>
      </c>
      <c r="BF42" s="4" t="n">
        <f aca="false" t="array" ref="BF42:BF42">SUM(Demand!BF14*Capacity!BZ$3:BZ$25*Capacity!$DI14/(TRANSPOSE(Dists!$B13:$X13)*MMULT(1/Dists!$B13:$X13,Capacity!$DI$3:$DI$25)))</f>
        <v>6.27536802068446</v>
      </c>
      <c r="BG42" s="4" t="n">
        <f aca="false" t="array" ref="BG42:BG42">SUM(Demand!BG14*Capacity!CA$3:CA$25*Capacity!$DI14/(TRANSPOSE(Dists!$B13:$X13)*MMULT(1/Dists!$B13:$X13,Capacity!$DI$3:$DI$25)))</f>
        <v>12.7188204399747</v>
      </c>
      <c r="BH42" s="4" t="n">
        <f aca="false" t="array" ref="BH42:BH42">SUM(Demand!BH14*Capacity!CB$3:CB$25*Capacity!$DI14/(TRANSPOSE(Dists!$B13:$X13)*MMULT(1/Dists!$B13:$X13,Capacity!$DI$3:$DI$25)))</f>
        <v>25.4376408799493</v>
      </c>
      <c r="BI42" s="4" t="n">
        <f aca="false" t="array" ref="BI42:BI42">SUM(Demand!BI14*Capacity!CC$3:CC$25*Capacity!$DI14/(TRANSPOSE(Dists!$B13:$X13)*MMULT(1/Dists!$B13:$X13,Capacity!$DI$3:$DI$25)))</f>
        <v>33.9168545065991</v>
      </c>
      <c r="BJ42" s="4" t="n">
        <f aca="false" t="array" ref="BJ42:BJ42">SUM(Demand!BJ14*Capacity!CD$3:CD$25*Capacity!$DI14/(TRANSPOSE(Dists!$B13:$X13)*MMULT(1/Dists!$B13:$X13,Capacity!$DI$3:$DI$25)))</f>
        <v>732.492976481277</v>
      </c>
      <c r="BK42" s="4" t="n">
        <f aca="false" t="array" ref="BK42:BK42">SUM(Demand!BK14*Capacity!CE$3:CE$25*Capacity!$DI14/(TRANSPOSE(Dists!$B13:$X13)*MMULT(1/Dists!$B13:$X13,Capacity!$DI$3:$DI$25)))</f>
        <v>16.9584272532996</v>
      </c>
      <c r="BL42" s="4" t="n">
        <f aca="false" t="array" ref="BL42:BL42">SUM(Demand!BL14*Capacity!CF$3:CF$25*Capacity!$DI14/(TRANSPOSE(Dists!$B13:$X13)*MMULT(1/Dists!$B13:$X13,Capacity!$DI$3:$DI$25)))</f>
        <v>34.7079170707894</v>
      </c>
      <c r="BM42" s="4" t="n">
        <f aca="false" t="array" ref="BM42:BM42">SUM(Demand!BM14*Capacity!CG$3:CG$25*Capacity!$DI14/(TRANSPOSE(Dists!$B13:$X13)*MMULT(1/Dists!$B13:$X13,Capacity!$DI$3:$DI$25)))</f>
        <v>97.1835652986795</v>
      </c>
      <c r="BN42" s="4" t="n">
        <f aca="false">BN14</f>
        <v>0.00040845654082719</v>
      </c>
      <c r="BO42" s="4" t="n">
        <f aca="false" t="array" ref="BO42:BO42">SUM(Demand!BO14*Capacity!CI$3:CI$25*Capacity!$DI14/(TRANSPOSE(Dists!$B13:$X13)*MMULT(1/Dists!$B13:$X13,Capacity!$DI$3:$DI$25)))</f>
        <v>3.49514782257346</v>
      </c>
      <c r="BP42" s="4" t="n">
        <f aca="false" t="array" ref="BP42:BP42">SUM(Demand!BP14*Capacity!CJ$3:CJ$25*Capacity!$DI14/(TRANSPOSE(Dists!$B13:$X13)*MMULT(1/Dists!$B13:$X13,Capacity!$DI$3:$DI$25)))</f>
        <v>5.71932662158888</v>
      </c>
      <c r="BQ42" s="4" t="n">
        <f aca="false" t="array" ref="BQ42:BQ42">SUM(Demand!BQ14*Capacity!CK$3:CK$25*Capacity!$DI14/(TRANSPOSE(Dists!$B13:$X13)*MMULT(1/Dists!$B13:$X13,Capacity!$DI$3:$DI$25)))</f>
        <v>0</v>
      </c>
      <c r="BR42" s="4" t="n">
        <f aca="false" t="array" ref="BR42:BR42">SUM(Demand!BR14*Capacity!CL$3:CL$25*Capacity!$DI14/(TRANSPOSE(Dists!$B13:$X13)*MMULT(1/Dists!$B13:$X13,Capacity!$DI$3:$DI$25)))</f>
        <v>0.11650505844752</v>
      </c>
      <c r="BS42" s="4" t="n">
        <f aca="false" t="array" ref="BS42:BS42">SUM(Demand!BS14*Capacity!CM$3:CM$25*Capacity!$DI14/(TRANSPOSE(Dists!$B13:$X13)*MMULT(1/Dists!$B13:$X13,Capacity!$DI$3:$DI$25)))</f>
        <v>0.011650505844752</v>
      </c>
      <c r="BT42" s="4" t="n">
        <f aca="false">BT14</f>
        <v>1.60518630417244</v>
      </c>
      <c r="BU42" s="4" t="n">
        <f aca="false">BU14</f>
        <v>0.160518630417244</v>
      </c>
      <c r="BV42" s="4" t="n">
        <f aca="false">BV14</f>
        <v>0.0160518630417244</v>
      </c>
      <c r="BW42" s="4" t="n">
        <f aca="false">BW14</f>
        <v>1056.03518191747</v>
      </c>
      <c r="BX42" s="4" t="n">
        <f aca="false" t="array" ref="BX42:BX42">SUM(Demand!BX14*Capacity!CR$3:CR$25*Capacity!$DI14/(TRANSPOSE(Dists!$B13:$X13)*MMULT(1/Dists!$B13:$X13,Capacity!$DI$3:$DI$25)))</f>
        <v>0.323377076877242</v>
      </c>
      <c r="BY42" s="4" t="n">
        <f aca="false" t="array" ref="BY42:BY42">SUM(Demand!BY14*Capacity!CS$3:CS$25*Capacity!$DI14/(TRANSPOSE(Dists!$B13:$X13)*MMULT(1/Dists!$B13:$X13,Capacity!$DI$3:$DI$25)))</f>
        <v>157.270340491095</v>
      </c>
      <c r="BZ42" s="4" t="n">
        <f aca="false" t="array" ref="BZ42:BZ42">SUM(Demand!BZ14*Capacity!CT$3:CT$25*Capacity!$DI14/(TRANSPOSE(Dists!$B13:$X13)*MMULT(1/Dists!$B13:$X13,Capacity!$DI$3:$DI$25)))</f>
        <v>0.8156198635707</v>
      </c>
      <c r="CA42" s="4" t="n">
        <f aca="false" t="array" ref="CA42:CA42">SUM(Demand!CA14*Capacity!CU$3:CU$25*Capacity!$DI14/(TRANSPOSE(Dists!$B13:$X13)*MMULT(1/Dists!$B13:$X13,Capacity!$DI$3:$DI$25)))</f>
        <v>0.00320653332428589</v>
      </c>
      <c r="CB42" s="4" t="n">
        <f aca="false" t="array" ref="CB42:CB42">SUM(Demand!CB14*Capacity!CV$3:CV$25*Capacity!$DI14/(TRANSPOSE(Dists!$B13:$X13)*MMULT(1/Dists!$B13:$X13,Capacity!$DI$3:$DI$25)))</f>
        <v>250.464177793936</v>
      </c>
      <c r="CC42" s="4" t="n">
        <f aca="false" t="array" ref="CC42:CC42">SUM(Demand!CC14*Capacity!CW$3:CW$25*Capacity!$DI14/(TRANSPOSE(Dists!$B13:$X13)*MMULT(1/Dists!$B13:$X13,Capacity!$DI$3:$DI$25)))</f>
        <v>1144.97153010377</v>
      </c>
      <c r="CD42" s="4" t="n">
        <f aca="false">SUM($BG42,$BI42,$BK42)*Capacity!CX14/SUM(Capacity!$AM14:$AN14,Capacity!$CX14)</f>
        <v>48.5815719363315</v>
      </c>
      <c r="CE42" s="4" t="n">
        <f aca="false" t="array" ref="CE42:CE42">SUM(Demand!CE14*Capacity!CY$3:CY$25*Capacity!$DI14/(TRANSPOSE(Dists!$B13:$X13)*MMULT(1/Dists!$B13:$X13,Capacity!$DI$3:$DI$25)))</f>
        <v>0.552787432576619</v>
      </c>
      <c r="CF42" s="4" t="n">
        <f aca="false" t="array" ref="CF42:CF42">SUM(Demand!CF14*Capacity!CZ$3:CZ$25*Capacity!$DI14/(TRANSPOSE(Dists!$B13:$X13)*MMULT(1/Dists!$B13:$X13,Capacity!$DI$3:$DI$25)))</f>
        <v>793.723417640822</v>
      </c>
      <c r="CG42" s="4" t="n">
        <f aca="false" t="array" ref="CG42:CG42">SUM(Demand!CG14*Capacity!DA$3:DA$25*Capacity!$DI14/(TRANSPOSE(Dists!$B13:$X13)*MMULT(1/Dists!$B13:$X13,Capacity!$DI$3:$DI$25)))</f>
        <v>0.0922611816746552</v>
      </c>
      <c r="CH42" s="4" t="n">
        <f aca="false" t="array" ref="CH42:CH42">SUM(Demand!CH14*Capacity!DB$3:DB$25*Capacity!$DI14/(TRANSPOSE(Dists!$B13:$X13)*MMULT(1/Dists!$B13:$X13,Capacity!$DI$3:$DI$25)))</f>
        <v>1.07487095481063</v>
      </c>
      <c r="CI42" s="4" t="n">
        <f aca="false" t="array" ref="CI42:CI42">SUM(Demand!CI14*Capacity!DC$3:DC$25*Capacity!$DI14/(TRANSPOSE(Dists!$B13:$X13)*MMULT(1/Dists!$B13:$X13,Capacity!$DI$3:$DI$25)))</f>
        <v>0.0230653708746447</v>
      </c>
      <c r="CJ42" s="4" t="n">
        <f aca="false" t="array" ref="CJ42:CJ42">SUM(Demand!CJ14*Capacity!DD$3:DD$25*Capacity!$DI14/(TRANSPOSE(Dists!$B13:$X13)*MMULT(1/Dists!$B13:$X13,Capacity!$DI$3:$DI$25)))</f>
        <v>0.0516161486076379</v>
      </c>
      <c r="CK42" s="4" t="n">
        <f aca="false" t="array" ref="CK42:CK42">SUM(Demand!CK14*Capacity!DE$3:DE$25*Capacity!$DI14/(TRANSPOSE(Dists!$B13:$X13)*MMULT(1/Dists!$B13:$X13,Capacity!$DI$3:$DI$25)))</f>
        <v>0.934915185723726</v>
      </c>
      <c r="CL42" s="7" t="s">
        <v>322</v>
      </c>
    </row>
    <row r="43" customFormat="false" ht="12.8" hidden="false" customHeight="false" outlineLevel="0" collapsed="false">
      <c r="A43" s="4" t="s">
        <v>148</v>
      </c>
      <c r="B43" s="7" t="s">
        <v>39</v>
      </c>
      <c r="C43" s="4" t="n">
        <f aca="false" t="array" ref="C43:C43">SUM(Demand!C15*Capacity!S$3:S$25*Capacity!$DH15/(TRANSPOSE(Dists!$B14:$X14)*MMULT(1/Dists!$B14:$X14,Capacity!$DH$3:$DH$25)))</f>
        <v>0.0282823018508689</v>
      </c>
      <c r="D43" s="4" t="n">
        <f aca="false" t="array" ref="D43:D43">SUM(Demand!D15*Capacity!V$3:V$25*Capacity!$DH15/(TRANSPOSE(Dists!$B14:$X14)*MMULT(1/Dists!$B14:$X14,Capacity!$DH$3:$DH$25)))</f>
        <v>2138.41167772645</v>
      </c>
      <c r="E43" s="4" t="n">
        <f aca="false" t="array" ref="E43:E43">SUM(Demand!E15*Capacity!Y$3:Y$25*Capacity!$DH15/(TRANSPOSE(Dists!$B14:$X14)*MMULT(1/Dists!$B14:$X14,Capacity!$DH$3:$DH$25)))</f>
        <v>318.133730037914</v>
      </c>
      <c r="F43" s="4" t="n">
        <f aca="false">$E15*Capacity!$M15/(2*(1-Capacity!$H$28)*Capacity!$H15)</f>
        <v>128.941645370582</v>
      </c>
      <c r="G43" s="4" t="n">
        <f aca="false" t="array" ref="G43:G43">SUM(Demand!G15*Capacity!AA$3:AA$25*Capacity!$DH15/(TRANSPOSE(Dists!$B14:$X14)*MMULT(1/Dists!$B14:$X14,Capacity!$DH$3:$DH$25)))</f>
        <v>382.298641425471</v>
      </c>
      <c r="H43" s="4" t="n">
        <f aca="false" t="array" ref="H43:H43">SUM(Demand!H15*Capacity!AB$3:AB$25*Capacity!$DH15/(TRANSPOSE(Dists!$B14:$X14)*MMULT(1/Dists!$B14:$X14,Capacity!$DH$3:$DH$25)))</f>
        <v>0</v>
      </c>
      <c r="I43" s="4" t="n">
        <f aca="false" t="array" ref="I43:I43">SUM(Demand!I15*Capacity!AC$3:AC$25*Capacity!$DG15/(TRANSPOSE(Dists!$B14:$X14)*MMULT(1/Dists!$B14:$X14,Capacity!$DG$3:$DG$25)))</f>
        <v>1.65200490309188</v>
      </c>
      <c r="J43" s="4" t="n">
        <f aca="false" t="array" ref="J43:J43">SUM(Demand!J15*Capacity!AD$3:AD$25*Capacity!$DG15/(TRANSPOSE(Dists!$B14:$X14)*MMULT(1/Dists!$B14:$X14,Capacity!$DG$3:$DG$25)))</f>
        <v>0.465475257797904</v>
      </c>
      <c r="K43" s="4" t="n">
        <f aca="false">5479.45205479452*$R15</f>
        <v>935258.300861097</v>
      </c>
      <c r="L43" s="4" t="n">
        <f aca="false">17142.8571428571*$S15</f>
        <v>344350.050987527</v>
      </c>
      <c r="M43" s="4" t="n">
        <f aca="false">IF(50420.1680672269*$T15&gt;($K15/20),50420.1680672269*$T15-($K15/20),0)</f>
        <v>519291.963292608</v>
      </c>
      <c r="N43" s="4" t="n">
        <f aca="false" t="array" ref="N43:N43">SUM(Demand!N15*Capacity!AH$3:AH$25*Capacity!$DH15/(TRANSPOSE(Dists!$B14:$X14)*MMULT(1/Dists!$B14:$X14,Capacity!$DH$3:$DH$25)))</f>
        <v>315.357644635182</v>
      </c>
      <c r="O43" s="4" t="n">
        <f aca="false">O15</f>
        <v>1425.60778515097</v>
      </c>
      <c r="P43" s="4" t="n">
        <f aca="false">P15</f>
        <v>570.243114060387</v>
      </c>
      <c r="Q43" s="4" t="n">
        <f aca="false" t="array" ref="Q43:Q43">SUM(Demand!Q15*Capacity!AK$3:AK$25*Capacity!$DI15/(TRANSPOSE(Dists!$B14:$X14)*MMULT(1/Dists!$B14:$X14,Capacity!$DI$3:$DI$25)))</f>
        <v>12.0192544479656</v>
      </c>
      <c r="R43" s="4" t="n">
        <f aca="false" t="array" ref="R43:R43">SUM(Demand!R15*Capacity!AL$3:AL$25*Capacity!$DH15/(TRANSPOSE(Dists!$B14:$X14)*MMULT(1/Dists!$B14:$X14,Capacity!$DH$3:$DH$25)))</f>
        <v>160.969889860109</v>
      </c>
      <c r="S43" s="4" t="n">
        <f aca="false">SUM($BG43,$BI43,$BK43)*Capacity!AM15/SUM(Capacity!$AM15:$AN15,Capacity!$CX15)</f>
        <v>20.0870863076058</v>
      </c>
      <c r="T43" s="4" t="n">
        <f aca="false">SUM($BG43,$BI43,$BK43)*Capacity!AN15/SUM(Capacity!$AM15:$AN15,Capacity!$CX15)</f>
        <v>11.2267550869906</v>
      </c>
      <c r="U43" s="4" t="n">
        <f aca="false">$M15*120*2/(16*1000*2000)</f>
        <v>3.89468972469456</v>
      </c>
      <c r="V43" s="4" t="n">
        <f aca="false" t="array" ref="V43:V43">SUM(Demand!V15*Capacity!AP$3:AP$25*Capacity!$DH15/(TRANSPOSE(Dists!$B14:$X14)*MMULT(1/Dists!$B14:$X14,Capacity!$DH$3:$DH$25)))</f>
        <v>110.151237361583</v>
      </c>
      <c r="W43" s="4" t="n">
        <f aca="false" t="array" ref="W43:W43">SUM(Demand!W15*Capacity!AQ$3:AQ$25*Capacity!$DH15/(TRANSPOSE(Dists!$B14:$X14)*MMULT(1/Dists!$B14:$X14,Capacity!$DH$3:$DH$25)))</f>
        <v>141.26258672866</v>
      </c>
      <c r="X43" s="4" t="n">
        <f aca="false" t="array" ref="X43:X43">SUM(Demand!X15*Capacity!AR$3:AR$25*Capacity!$DH15/(TRANSPOSE(Dists!$B14:$X14)*MMULT(1/Dists!$B14:$X14,Capacity!$DH$3:$DH$25)))</f>
        <v>38.9550316886871</v>
      </c>
      <c r="Y43" s="4" t="n">
        <f aca="false">$L15*600*6/(90*1000*2000)</f>
        <v>6.88700101975054</v>
      </c>
      <c r="Z43" s="4" t="n">
        <f aca="false" t="array" ref="Z43:Z43">SUM(Demand!Z15*Capacity!AT$3:AT$25*Capacity!$DI15/(TRANSPOSE(Dists!$B14:$X14)*MMULT(1/Dists!$B14:$X14,Capacity!$DI$3:$DI$25)))</f>
        <v>15.9759334297234</v>
      </c>
      <c r="AA43" s="4" t="n">
        <f aca="false" t="array" ref="AA43:AA43">SUM(Demand!AA15*Capacity!AU$3:AU$25*Capacity!$DI15/(TRANSPOSE(Dists!$B14:$X14)*MMULT(1/Dists!$B14:$X14,Capacity!$DI$3:$DI$25)))</f>
        <v>16.3886077905473</v>
      </c>
      <c r="AB43" s="4" t="n">
        <f aca="false" t="array" ref="AB43:AB43">SUM(Demand!AB15*Capacity!AV$3:AV$25*Capacity!$DI15/(TRANSPOSE(Dists!$B14:$X14)*MMULT(1/Dists!$B14:$X14,Capacity!$DI$3:$DI$25)))</f>
        <v>22.2643888153713</v>
      </c>
      <c r="AC43" s="4" t="n">
        <f aca="false" t="array" ref="AC43:AC43">SUM(Demand!AC15*Capacity!AW$3:AW$25*Capacity!$DI15/(TRANSPOSE(Dists!$B14:$X14)*MMULT(1/Dists!$B14:$X14,Capacity!$DI$3:$DI$25)))</f>
        <v>2.95686775532099</v>
      </c>
      <c r="AD43" s="4" t="n">
        <f aca="false" t="array" ref="AD43:AD43">SUM(Demand!AD15*Capacity!AX$3:AX$25*Capacity!$DI15/(TRANSPOSE(Dists!$B14:$X14)*MMULT(1/Dists!$B14:$X14,Capacity!$DI$3:$DI$25)))</f>
        <v>3.64491783156794</v>
      </c>
      <c r="AE43" s="4" t="n">
        <f aca="false" t="array" ref="AE43:AE43">SUM(Demand!AE15*Capacity!AY$3:AY$25*Capacity!$DI15/(TRANSPOSE(Dists!$B14:$X14)*MMULT(1/Dists!$B14:$X14,Capacity!$DI$3:$DI$25)))</f>
        <v>2.3322838322473</v>
      </c>
      <c r="AF43" s="4" t="n">
        <f aca="false" t="array" ref="AF43:AF43">SUM(Demand!AF15*Capacity!AZ$3:AZ$25*Capacity!$DI15/(TRANSPOSE(Dists!$B14:$X14)*MMULT(1/Dists!$B14:$X14,Capacity!$DI$3:$DI$25)))</f>
        <v>0.436010427355966</v>
      </c>
      <c r="AG43" s="4" t="n">
        <f aca="false" t="array" ref="AG43:AG43">SUM(Demand!AG15*Capacity!BA$3:BA$25*Capacity!$DI15/(TRANSPOSE(Dists!$B14:$X14)*MMULT(1/Dists!$B14:$X14,Capacity!$DI$3:$DI$25)))</f>
        <v>3.59811819770836</v>
      </c>
      <c r="AH43" s="4" t="n">
        <f aca="false" t="array" ref="AH43:AH43">SUM(Demand!AH15*Capacity!BB$3:BB$25*Capacity!$DI15/(TRANSPOSE(Dists!$B14:$X14)*MMULT(1/Dists!$B14:$X14,Capacity!$DI$3:$DI$25)))</f>
        <v>2.32665850757461</v>
      </c>
      <c r="AI43" s="4" t="n">
        <f aca="false" t="array" ref="AI43:AI43">SUM(Demand!AI15*Capacity!BC$3:BC$25*Capacity!$DI15/(TRANSPOSE(Dists!$B14:$X14)*MMULT(1/Dists!$B14:$X14,Capacity!$DI$3:$DI$25)))</f>
        <v>0.384866940770385</v>
      </c>
      <c r="AJ43" s="4" t="n">
        <f aca="false" t="array" ref="AJ43:AJ43">SUM(Demand!AJ15*Capacity!BD$3:BD$25*Capacity!$DI15/(TRANSPOSE(Dists!$B14:$X14)*MMULT(1/Dists!$B14:$X14,Capacity!$DI$3:$DI$25)))</f>
        <v>0.480202890315026</v>
      </c>
      <c r="AK43" s="4" t="n">
        <f aca="false" t="array" ref="AK43:AK43">SUM(Demand!AK15*Capacity!BE$3:BE$25*Capacity!$DI15/(TRANSPOSE(Dists!$B14:$X14)*MMULT(1/Dists!$B14:$X14,Capacity!$DI$3:$DI$25)))</f>
        <v>0.0701899555065768</v>
      </c>
      <c r="AL43" s="4" t="n">
        <f aca="false" t="array" ref="AL43:AL43">SUM(Demand!AL15*Capacity!BF$3:BF$25*Capacity!$DI15/(TRANSPOSE(Dists!$B14:$X14)*MMULT(1/Dists!$B14:$X14,Capacity!$DI$3:$DI$25)))</f>
        <v>0.205208750142819</v>
      </c>
      <c r="AM43" s="4" t="n">
        <f aca="false" t="array" ref="AM43:AM43">SUM(Demand!AM15*Capacity!BG$3:BG$25*Capacity!$DI15/(TRANSPOSE(Dists!$B14:$X14)*MMULT(1/Dists!$B14:$X14,Capacity!$DI$3:$DI$25)))</f>
        <v>0.500283391546549</v>
      </c>
      <c r="AN43" s="4" t="n">
        <f aca="false" t="array" ref="AN43:AN43">SUM(Demand!AN15*Capacity!BH$3:BH$25*Capacity!$DI15/(TRANSPOSE(Dists!$B14:$X14)*MMULT(1/Dists!$B14:$X14,Capacity!$DI$3:$DI$25)))</f>
        <v>0.537197354502043</v>
      </c>
      <c r="AO43" s="4" t="n">
        <f aca="false" t="array" ref="AO43:AO43">SUM(Demand!AO15*Capacity!BI$3:BI$25*Capacity!$DI15/(TRANSPOSE(Dists!$B14:$X14)*MMULT(1/Dists!$B14:$X14,Capacity!$DI$3:$DI$25)))</f>
        <v>0.864670289881265</v>
      </c>
      <c r="AP43" s="4" t="n">
        <f aca="false" t="array" ref="AP43:AP43">SUM(Demand!AP15*Capacity!BJ$3:BJ$25*Capacity!$DI15/(TRANSPOSE(Dists!$B14:$X14)*MMULT(1/Dists!$B14:$X14,Capacity!$DI$3:$DI$25)))</f>
        <v>0.958887877538352</v>
      </c>
      <c r="AQ43" s="4" t="n">
        <f aca="false" t="array" ref="AQ43:AQ43">SUM(Demand!AQ15*Capacity!BK$3:BK$25*Capacity!$DI15/(TRANSPOSE(Dists!$B14:$X14)*MMULT(1/Dists!$B14:$X14,Capacity!$DI$3:$DI$25)))</f>
        <v>0.0228700394386207</v>
      </c>
      <c r="AR43" s="4" t="n">
        <f aca="false" t="array" ref="AR43:AR43">SUM(Demand!AR15*Capacity!BL$3:BL$25*Capacity!$DI15/(TRANSPOSE(Dists!$B14:$X14)*MMULT(1/Dists!$B14:$X14,Capacity!$DI$3:$DI$25)))</f>
        <v>0.208453532077802</v>
      </c>
      <c r="AS43" s="4" t="n">
        <f aca="false" t="array" ref="AS43:AS43">SUM(Demand!AS15*Capacity!BM$3:BM$25*Capacity!$DI15/(TRANSPOSE(Dists!$B14:$X14)*MMULT(1/Dists!$B14:$X14,Capacity!$DI$3:$DI$25)))</f>
        <v>0.0765608355826878</v>
      </c>
      <c r="AT43" s="4" t="n">
        <f aca="false" t="array" ref="AT43:AT43">SUM(Demand!AT15*Capacity!BN$3:BN$25*Capacity!$DI15/(TRANSPOSE(Dists!$B14:$X14)*MMULT(1/Dists!$B14:$X14,Capacity!$DI$3:$DI$25)))</f>
        <v>3.54655017410348</v>
      </c>
      <c r="AU43" s="4" t="n">
        <f aca="false" t="array" ref="AU43:AU43">SUM(Demand!AU15*Capacity!BO$3:BO$25*Capacity!$DI15/(TRANSPOSE(Dists!$B14:$X14)*MMULT(1/Dists!$B14:$X14,Capacity!$DI$3:$DI$25)))</f>
        <v>0.365363794085653</v>
      </c>
      <c r="AV43" s="4" t="n">
        <f aca="false" t="array" ref="AV43:AV43">SUM(Demand!AV15*Capacity!BP$3:BP$25*Capacity!$DI15/(TRANSPOSE(Dists!$B14:$X14)*MMULT(1/Dists!$B14:$X14,Capacity!$DI$3:$DI$25)))</f>
        <v>0.0849047201065326</v>
      </c>
      <c r="AW43" s="4" t="n">
        <f aca="false" t="array" ref="AW43:AW43">SUM(Demand!AW15*Capacity!BQ$3:BQ$25*Capacity!$DI15/(TRANSPOSE(Dists!$B14:$X14)*MMULT(1/Dists!$B14:$X14,Capacity!$DI$3:$DI$25)))</f>
        <v>1.6624030211608</v>
      </c>
      <c r="AX43" s="4" t="n">
        <f aca="false" t="array" ref="AX43:AX43">SUM(Demand!AX15*Capacity!BR$3:BR$25*Capacity!$DI15/(TRANSPOSE(Dists!$B14:$X14)*MMULT(1/Dists!$B14:$X14,Capacity!$DI$3:$DI$25)))</f>
        <v>0.158748515166477</v>
      </c>
      <c r="AY43" s="4" t="n">
        <f aca="false" t="array" ref="AY43:AY43">SUM(Demand!AY15*Capacity!BS$3:BS$25*Capacity!$DI15/(TRANSPOSE(Dists!$B14:$X14)*MMULT(1/Dists!$B14:$X14,Capacity!$DI$3:$DI$25)))</f>
        <v>0.225110807920087</v>
      </c>
      <c r="AZ43" s="4" t="n">
        <f aca="false" t="array" ref="AZ43:AZ43">SUM(Demand!AZ15*Capacity!BT$3:BT$25*Capacity!$DI15/(TRANSPOSE(Dists!$B14:$X14)*MMULT(1/Dists!$B14:$X14,Capacity!$DI$3:$DI$25)))</f>
        <v>1.76585522931478</v>
      </c>
      <c r="BA43" s="4" t="n">
        <f aca="false">BA15</f>
        <v>0.0843995223008645</v>
      </c>
      <c r="BB43" s="4" t="n">
        <f aca="false" t="array" ref="BB43:BB43">SUM(Demand!BB15*Capacity!BV$3:BV$25*Capacity!$DI15/(TRANSPOSE(Dists!$B14:$X14)*MMULT(1/Dists!$B14:$X14,Capacity!$DI$3:$DI$25)))</f>
        <v>0.340187265973595</v>
      </c>
      <c r="BC43" s="4" t="n">
        <f aca="false" t="array" ref="BC43:BC43">SUM(Demand!BC15*Capacity!BW$3:BW$25*Capacity!$DI15/(TRANSPOSE(Dists!$B14:$X14)*MMULT(1/Dists!$B14:$X14,Capacity!$DI$3:$DI$25)))</f>
        <v>0.1501565181215</v>
      </c>
      <c r="BD43" s="4" t="n">
        <f aca="false" t="array" ref="BD43:BD43">SUM(Demand!BD15*Capacity!BX$3:BX$25*Capacity!$DI15/(TRANSPOSE(Dists!$B14:$X14)*MMULT(1/Dists!$B14:$X14,Capacity!$DI$3:$DI$25)))</f>
        <v>0.157592988753505</v>
      </c>
      <c r="BE43" s="4" t="n">
        <f aca="false" t="array" ref="BE43:BE43">SUM(Demand!BE15*Capacity!BY$3:BY$25*Capacity!$DI15/(TRANSPOSE(Dists!$B14:$X14)*MMULT(1/Dists!$B14:$X14,Capacity!$DI$3:$DI$25)))</f>
        <v>0.0714123895109264</v>
      </c>
      <c r="BF43" s="4" t="n">
        <f aca="false" t="array" ref="BF43:BF43">SUM(Demand!BF15*Capacity!BZ$3:BZ$25*Capacity!$DI15/(TRANSPOSE(Dists!$B14:$X14)*MMULT(1/Dists!$B14:$X14,Capacity!$DI$3:$DI$25)))</f>
        <v>5.66501402164243</v>
      </c>
      <c r="BG43" s="4" t="n">
        <f aca="false" t="array" ref="BG43:BG43">SUM(Demand!BG15*Capacity!CA$3:CA$25*Capacity!$DI15/(TRANSPOSE(Dists!$B14:$X14)*MMULT(1/Dists!$B14:$X14,Capacity!$DI$3:$DI$25)))</f>
        <v>23.2200286457575</v>
      </c>
      <c r="BH43" s="4" t="n">
        <f aca="false" t="array" ref="BH43:BH43">SUM(Demand!BH15*Capacity!CB$3:CB$25*Capacity!$DI15/(TRANSPOSE(Dists!$B14:$X14)*MMULT(1/Dists!$B14:$X14,Capacity!$DI$3:$DI$25)))</f>
        <v>0.0070575149763978</v>
      </c>
      <c r="BI43" s="4" t="n">
        <f aca="false" t="array" ref="BI43:BI43">SUM(Demand!BI15*Capacity!CC$3:CC$25*Capacity!$DI15/(TRANSPOSE(Dists!$B14:$X14)*MMULT(1/Dists!$B14:$X14,Capacity!$DI$3:$DI$25)))</f>
        <v>61.9200763886868</v>
      </c>
      <c r="BJ43" s="4" t="n">
        <f aca="false" t="array" ref="BJ43:BJ43">SUM(Demand!BJ15*Capacity!CD$3:CD$25*Capacity!$DI15/(TRANSPOSE(Dists!$B14:$X14)*MMULT(1/Dists!$B14:$X14,Capacity!$DI$3:$DI$25)))</f>
        <v>80.5084947388509</v>
      </c>
      <c r="BK43" s="4" t="n">
        <f aca="false" t="array" ref="BK43:BK43">SUM(Demand!BK15*Capacity!CE$3:CE$25*Capacity!$DI15/(TRANSPOSE(Dists!$B14:$X14)*MMULT(1/Dists!$B14:$X14,Capacity!$DI$3:$DI$25)))</f>
        <v>30.9600381943434</v>
      </c>
      <c r="BL43" s="4" t="n">
        <f aca="false" t="array" ref="BL43:BL43">SUM(Demand!BL15*Capacity!CF$3:CF$25*Capacity!$DI15/(TRANSPOSE(Dists!$B14:$X14)*MMULT(1/Dists!$B14:$X14,Capacity!$DI$3:$DI$25)))</f>
        <v>487.779328153393</v>
      </c>
      <c r="BM43" s="4" t="n">
        <f aca="false" t="array" ref="BM43:BM43">SUM(Demand!BM15*Capacity!CG$3:CG$25*Capacity!$DI15/(TRANSPOSE(Dists!$B14:$X14)*MMULT(1/Dists!$B14:$X14,Capacity!$DI$3:$DI$25)))</f>
        <v>8.1662991443288</v>
      </c>
      <c r="BN43" s="4" t="n">
        <f aca="false">BN15</f>
        <v>0.000802359025221115</v>
      </c>
      <c r="BO43" s="4" t="n">
        <f aca="false" t="array" ref="BO43:BO43">SUM(Demand!BO15*Capacity!CI$3:CI$25*Capacity!$DI15/(TRANSPOSE(Dists!$B14:$X14)*MMULT(1/Dists!$B14:$X14,Capacity!$DI$3:$DI$25)))</f>
        <v>7.99572248190522</v>
      </c>
      <c r="BP43" s="4" t="n">
        <f aca="false" t="array" ref="BP43:BP43">SUM(Demand!BP15*Capacity!CJ$3:CJ$25*Capacity!$DI15/(TRANSPOSE(Dists!$B14:$X14)*MMULT(1/Dists!$B14:$X14,Capacity!$DI$3:$DI$25)))</f>
        <v>8.88944750693588</v>
      </c>
      <c r="BQ43" s="4" t="n">
        <f aca="false" t="array" ref="BQ43:BQ43">SUM(Demand!BQ15*Capacity!CK$3:CK$25*Capacity!$DI15/(TRANSPOSE(Dists!$B14:$X14)*MMULT(1/Dists!$B14:$X14,Capacity!$DI$3:$DI$25)))</f>
        <v>0</v>
      </c>
      <c r="BR43" s="4" t="n">
        <f aca="false" t="array" ref="BR43:BR43">SUM(Demand!BR15*Capacity!CL$3:CL$25*Capacity!$DI15/(TRANSPOSE(Dists!$B14:$X14)*MMULT(1/Dists!$B14:$X14,Capacity!$DI$3:$DI$25)))</f>
        <v>0.266524346071563</v>
      </c>
      <c r="BS43" s="4" t="n">
        <f aca="false" t="array" ref="BS43:BS43">SUM(Demand!BS15*Capacity!CM$3:CM$25*Capacity!$DI15/(TRANSPOSE(Dists!$B14:$X14)*MMULT(1/Dists!$B14:$X14,Capacity!$DI$3:$DI$25)))</f>
        <v>0.0266524346071563</v>
      </c>
      <c r="BT43" s="4" t="n">
        <f aca="false">BT15</f>
        <v>3.77871413064949</v>
      </c>
      <c r="BU43" s="4" t="n">
        <f aca="false">BU15</f>
        <v>0.377871413064949</v>
      </c>
      <c r="BV43" s="4" t="n">
        <f aca="false">BV15</f>
        <v>0.0377871413064949</v>
      </c>
      <c r="BW43" s="4" t="n">
        <f aca="false">BW15</f>
        <v>1377.18621042203</v>
      </c>
      <c r="BX43" s="4" t="n">
        <f aca="false" t="array" ref="BX43:BX43">SUM(Demand!BX15*Capacity!CR$3:CR$25*Capacity!$DI15/(TRANSPOSE(Dists!$B14:$X14)*MMULT(1/Dists!$B14:$X14,Capacity!$DI$3:$DI$25)))</f>
        <v>4.91462682031268</v>
      </c>
      <c r="BY43" s="4" t="n">
        <f aca="false" t="array" ref="BY43:BY43">SUM(Demand!BY15*Capacity!CS$3:CS$25*Capacity!$DI15/(TRANSPOSE(Dists!$B14:$X14)*MMULT(1/Dists!$B14:$X14,Capacity!$DI$3:$DI$25)))</f>
        <v>90.7481268131977</v>
      </c>
      <c r="BZ43" s="4" t="n">
        <f aca="false" t="array" ref="BZ43:BZ43">SUM(Demand!BZ15*Capacity!CT$3:CT$25*Capacity!$DI15/(TRANSPOSE(Dists!$B14:$X14)*MMULT(1/Dists!$B14:$X14,Capacity!$DI$3:$DI$25)))</f>
        <v>0.621419733680741</v>
      </c>
      <c r="CA43" s="4" t="n">
        <f aca="false" t="array" ref="CA43:CA43">SUM(Demand!CA15*Capacity!CU$3:CU$25*Capacity!$DI15/(TRANSPOSE(Dists!$B14:$X14)*MMULT(1/Dists!$B14:$X14,Capacity!$DI$3:$DI$25)))</f>
        <v>0.207423691547196</v>
      </c>
      <c r="CB43" s="4" t="n">
        <f aca="false" t="array" ref="CB43:CB43">SUM(Demand!CB15*Capacity!CV$3:CV$25*Capacity!$DI15/(TRANSPOSE(Dists!$B14:$X14)*MMULT(1/Dists!$B14:$X14,Capacity!$DI$3:$DI$25)))</f>
        <v>979.070178563807</v>
      </c>
      <c r="CC43" s="4" t="n">
        <f aca="false" t="array" ref="CC43:CC43">SUM(Demand!CC15*Capacity!CW$3:CW$25*Capacity!$DI15/(TRANSPOSE(Dists!$B14:$X14)*MMULT(1/Dists!$B14:$X14,Capacity!$DI$3:$DI$25)))</f>
        <v>1165.20405869762</v>
      </c>
      <c r="CD43" s="4" t="n">
        <f aca="false">SUM($BG43,$BI43,$BK43)*Capacity!CX15/SUM(Capacity!$AM15:$AN15,Capacity!$CX15)</f>
        <v>84.7863018341912</v>
      </c>
      <c r="CE43" s="4" t="n">
        <f aca="false" t="array" ref="CE43:CE43">SUM(Demand!CE15*Capacity!CY$3:CY$25*Capacity!$DI15/(TRANSPOSE(Dists!$B14:$X14)*MMULT(1/Dists!$B14:$X14,Capacity!$DI$3:$DI$25)))</f>
        <v>2.50093022989226</v>
      </c>
      <c r="CF43" s="4" t="n">
        <f aca="false" t="array" ref="CF43:CF43">SUM(Demand!CF15*Capacity!CZ$3:CZ$25*Capacity!$DI15/(TRANSPOSE(Dists!$B14:$X14)*MMULT(1/Dists!$B14:$X14,Capacity!$DI$3:$DI$25)))</f>
        <v>335.484819030433</v>
      </c>
      <c r="CG43" s="4" t="n">
        <f aca="false" t="array" ref="CG43:CG43">SUM(Demand!CG15*Capacity!DA$3:DA$25*Capacity!$DI15/(TRANSPOSE(Dists!$B14:$X14)*MMULT(1/Dists!$B14:$X14,Capacity!$DI$3:$DI$25)))</f>
        <v>1.24639656073718</v>
      </c>
      <c r="CH43" s="4" t="n">
        <f aca="false" t="array" ref="CH43:CH43">SUM(Demand!CH15*Capacity!DB$3:DB$25*Capacity!$DI15/(TRANSPOSE(Dists!$B14:$X14)*MMULT(1/Dists!$B14:$X14,Capacity!$DI$3:$DI$25)))</f>
        <v>0.0124999684773444</v>
      </c>
      <c r="CI43" s="4" t="n">
        <f aca="false" t="array" ref="CI43:CI43">SUM(Demand!CI15*Capacity!DC$3:DC$25*Capacity!$DI15/(TRANSPOSE(Dists!$B14:$X14)*MMULT(1/Dists!$B14:$X14,Capacity!$DI$3:$DI$25)))</f>
        <v>0.0444392839294341</v>
      </c>
      <c r="CJ43" s="4" t="n">
        <f aca="false" t="array" ref="CJ43:CJ43">SUM(Demand!CJ15*Capacity!DD$3:DD$25*Capacity!$DI15/(TRANSPOSE(Dists!$B14:$X14)*MMULT(1/Dists!$B14:$X14,Capacity!$DI$3:$DI$25)))</f>
        <v>0.0146932406592372</v>
      </c>
      <c r="CK43" s="4" t="n">
        <f aca="false" t="array" ref="CK43:CK43">SUM(Demand!CK15*Capacity!DE$3:DE$25*Capacity!$DI15/(TRANSPOSE(Dists!$B14:$X14)*MMULT(1/Dists!$B14:$X14,Capacity!$DI$3:$DI$25)))</f>
        <v>2.94524526528221</v>
      </c>
      <c r="CL43" s="7" t="s">
        <v>322</v>
      </c>
    </row>
    <row r="44" customFormat="false" ht="12.8" hidden="false" customHeight="false" outlineLevel="0" collapsed="false">
      <c r="A44" s="4" t="s">
        <v>150</v>
      </c>
      <c r="B44" s="7" t="s">
        <v>39</v>
      </c>
      <c r="C44" s="4" t="n">
        <f aca="false" t="array" ref="C44:C44">SUM(Demand!C16*Capacity!S$3:S$25*Capacity!$DH16/(TRANSPOSE(Dists!$B15:$X15)*MMULT(1/Dists!$B15:$X15,Capacity!$DH$3:$DH$25)))</f>
        <v>0.0162641023539964</v>
      </c>
      <c r="D44" s="4" t="n">
        <f aca="false" t="array" ref="D44:D44">SUM(Demand!D16*Capacity!V$3:V$25*Capacity!$DH16/(TRANSPOSE(Dists!$B15:$X15)*MMULT(1/Dists!$B15:$X15,Capacity!$DH$3:$DH$25)))</f>
        <v>1675.40612071419</v>
      </c>
      <c r="E44" s="4" t="n">
        <f aca="false" t="array" ref="E44:E44">SUM(Demand!E16*Capacity!Y$3:Y$25*Capacity!$DH16/(TRANSPOSE(Dists!$B15:$X15)*MMULT(1/Dists!$B15:$X15,Capacity!$DH$3:$DH$25)))</f>
        <v>299.959958547653</v>
      </c>
      <c r="F44" s="4" t="n">
        <f aca="false">$E16*Capacity!$M16/(2*(1-Capacity!$H$28)*Capacity!$H16)</f>
        <v>70.495740652856</v>
      </c>
      <c r="G44" s="4" t="n">
        <f aca="false" t="array" ref="G44:G44">SUM(Demand!G16*Capacity!AA$3:AA$25*Capacity!$DH16/(TRANSPOSE(Dists!$B15:$X15)*MMULT(1/Dists!$B15:$X15,Capacity!$DH$3:$DH$25)))</f>
        <v>184.0406297827</v>
      </c>
      <c r="H44" s="4" t="n">
        <f aca="false" t="array" ref="H44:H44">SUM(Demand!H16*Capacity!AB$3:AB$25*Capacity!$DH16/(TRANSPOSE(Dists!$B15:$X15)*MMULT(1/Dists!$B15:$X15,Capacity!$DH$3:$DH$25)))</f>
        <v>0</v>
      </c>
      <c r="I44" s="4" t="n">
        <f aca="false" t="array" ref="I44:I44">SUM(Demand!I16*Capacity!AC$3:AC$25*Capacity!$DG16/(TRANSPOSE(Dists!$B15:$X15)*MMULT(1/Dists!$B15:$X15,Capacity!$DG$3:$DG$25)))</f>
        <v>1.63920391111006</v>
      </c>
      <c r="J44" s="4" t="n">
        <f aca="false" t="array" ref="J44:J44">SUM(Demand!J16*Capacity!AD$3:AD$25*Capacity!$DG16/(TRANSPOSE(Dists!$B15:$X15)*MMULT(1/Dists!$B15:$X15,Capacity!$DG$3:$DG$25)))</f>
        <v>2.09052655699263</v>
      </c>
      <c r="K44" s="4" t="n">
        <f aca="false">5479.45205479452*$R16</f>
        <v>528794.946587882</v>
      </c>
      <c r="L44" s="4" t="n">
        <f aca="false">17142.8571428571*$S16</f>
        <v>208954.453014201</v>
      </c>
      <c r="M44" s="4" t="n">
        <f aca="false">IF(50420.1680672269*$T16&gt;($K16/20),50420.1680672269*$T16-($K16/20),0)</f>
        <v>317047.024748746</v>
      </c>
      <c r="N44" s="4" t="n">
        <f aca="false" t="array" ref="N44:N44">SUM(Demand!N16*Capacity!AH$3:AH$25*Capacity!$DH16/(TRANSPOSE(Dists!$B15:$X15)*MMULT(1/Dists!$B15:$X15,Capacity!$DH$3:$DH$25)))</f>
        <v>403.033007135256</v>
      </c>
      <c r="O44" s="4" t="n">
        <f aca="false">O16</f>
        <v>1116.93741380946</v>
      </c>
      <c r="P44" s="4" t="n">
        <f aca="false">P16</f>
        <v>446.774965523784</v>
      </c>
      <c r="Q44" s="4" t="n">
        <f aca="false" t="array" ref="Q44:Q44">SUM(Demand!Q16*Capacity!AK$3:AK$25*Capacity!$DI16/(TRANSPOSE(Dists!$B15:$X15)*MMULT(1/Dists!$B15:$X15,Capacity!$DI$3:$DI$25)))</f>
        <v>7.21409137098402</v>
      </c>
      <c r="R44" s="4" t="n">
        <f aca="false" t="array" ref="R44:R44">SUM(Demand!R16*Capacity!AL$3:AL$25*Capacity!$DH16/(TRANSPOSE(Dists!$B15:$X15)*MMULT(1/Dists!$B15:$X15,Capacity!$DH$3:$DH$25)))</f>
        <v>155.649615555841</v>
      </c>
      <c r="S44" s="4" t="n">
        <f aca="false">SUM($BG44,$BI44,$BK44)*Capacity!AM16/SUM(Capacity!$AM16:$AN16,Capacity!$CX16)</f>
        <v>12.1890097591618</v>
      </c>
      <c r="T44" s="4" t="n">
        <f aca="false">SUM($BG44,$BI44,$BK44)*Capacity!AN16/SUM(Capacity!$AM16:$AN16,Capacity!$CX16)</f>
        <v>6.81248764621644</v>
      </c>
      <c r="U44" s="4" t="n">
        <f aca="false">$M16*120*2/(16*1000*2000)</f>
        <v>2.37785268561559</v>
      </c>
      <c r="V44" s="4" t="n">
        <f aca="false" t="array" ref="V44:V44">SUM(Demand!V16*Capacity!AP$3:AP$25*Capacity!$DH16/(TRANSPOSE(Dists!$B15:$X15)*MMULT(1/Dists!$B15:$X15,Capacity!$DH$3:$DH$25)))</f>
        <v>115.187743206202</v>
      </c>
      <c r="W44" s="4" t="n">
        <f aca="false" t="array" ref="W44:W44">SUM(Demand!W16*Capacity!AQ$3:AQ$25*Capacity!$DH16/(TRANSPOSE(Dists!$B15:$X15)*MMULT(1/Dists!$B15:$X15,Capacity!$DH$3:$DH$25)))</f>
        <v>440.500536686878</v>
      </c>
      <c r="X44" s="4" t="n">
        <f aca="false" t="array" ref="X44:X44">SUM(Demand!X16*Capacity!AR$3:AR$25*Capacity!$DH16/(TRANSPOSE(Dists!$B15:$X15)*MMULT(1/Dists!$B15:$X15,Capacity!$DH$3:$DH$25)))</f>
        <v>2092.0571848465</v>
      </c>
      <c r="Y44" s="4" t="n">
        <f aca="false">$L16*600*6/(90*1000*2000)</f>
        <v>4.17908906028403</v>
      </c>
      <c r="Z44" s="4" t="n">
        <f aca="false" t="array" ref="Z44:Z44">SUM(Demand!Z16*Capacity!AT$3:AT$25*Capacity!$DI16/(TRANSPOSE(Dists!$B15:$X15)*MMULT(1/Dists!$B15:$X15,Capacity!$DI$3:$DI$25)))</f>
        <v>23.5139214077599</v>
      </c>
      <c r="AA44" s="4" t="n">
        <f aca="false" t="array" ref="AA44:AA44">SUM(Demand!AA16*Capacity!AU$3:AU$25*Capacity!$DI16/(TRANSPOSE(Dists!$B15:$X15)*MMULT(1/Dists!$B15:$X15,Capacity!$DI$3:$DI$25)))</f>
        <v>17.4539640774065</v>
      </c>
      <c r="AB44" s="4" t="n">
        <f aca="false" t="array" ref="AB44:AB44">SUM(Demand!AB16*Capacity!AV$3:AV$25*Capacity!$DI16/(TRANSPOSE(Dists!$B15:$X15)*MMULT(1/Dists!$B15:$X15,Capacity!$DI$3:$DI$25)))</f>
        <v>20.9925088589371</v>
      </c>
      <c r="AC44" s="4" t="n">
        <f aca="false" t="array" ref="AC44:AC44">SUM(Demand!AC16*Capacity!AW$3:AW$25*Capacity!$DI16/(TRANSPOSE(Dists!$B15:$X15)*MMULT(1/Dists!$B15:$X15,Capacity!$DI$3:$DI$25)))</f>
        <v>3.72337096514335</v>
      </c>
      <c r="AD44" s="4" t="n">
        <f aca="false" t="array" ref="AD44:AD44">SUM(Demand!AD16*Capacity!AX$3:AX$25*Capacity!$DI16/(TRANSPOSE(Dists!$B15:$X15)*MMULT(1/Dists!$B15:$X15,Capacity!$DI$3:$DI$25)))</f>
        <v>3.43669752193966</v>
      </c>
      <c r="AE44" s="4" t="n">
        <f aca="false" t="array" ref="AE44:AE44">SUM(Demand!AE16*Capacity!AY$3:AY$25*Capacity!$DI16/(TRANSPOSE(Dists!$B15:$X15)*MMULT(1/Dists!$B15:$X15,Capacity!$DI$3:$DI$25)))</f>
        <v>2.56330406448226</v>
      </c>
      <c r="AF44" s="4" t="n">
        <f aca="false" t="array" ref="AF44:AF44">SUM(Demand!AF16*Capacity!AZ$3:AZ$25*Capacity!$DI16/(TRANSPOSE(Dists!$B15:$X15)*MMULT(1/Dists!$B15:$X15,Capacity!$DI$3:$DI$25)))</f>
        <v>0.246154526497639</v>
      </c>
      <c r="AG44" s="4" t="n">
        <f aca="false" t="array" ref="AG44:AG44">SUM(Demand!AG16*Capacity!BA$3:BA$25*Capacity!$DI16/(TRANSPOSE(Dists!$B15:$X15)*MMULT(1/Dists!$B15:$X15,Capacity!$DI$3:$DI$25)))</f>
        <v>4.01023281662194</v>
      </c>
      <c r="AH44" s="4" t="n">
        <f aca="false" t="array" ref="AH44:AH44">SUM(Demand!AH16*Capacity!BB$3:BB$25*Capacity!$DI16/(TRANSPOSE(Dists!$B15:$X15)*MMULT(1/Dists!$B15:$X15,Capacity!$DI$3:$DI$25)))</f>
        <v>2.95743421912302</v>
      </c>
      <c r="AI44" s="4" t="n">
        <f aca="false" t="array" ref="AI44:AI44">SUM(Demand!AI16*Capacity!BC$3:BC$25*Capacity!$DI16/(TRANSPOSE(Dists!$B15:$X15)*MMULT(1/Dists!$B15:$X15,Capacity!$DI$3:$DI$25)))</f>
        <v>0.387169596098514</v>
      </c>
      <c r="AJ44" s="4" t="n">
        <f aca="false" t="array" ref="AJ44:AJ44">SUM(Demand!AJ16*Capacity!BD$3:BD$25*Capacity!$DI16/(TRANSPOSE(Dists!$B15:$X15)*MMULT(1/Dists!$B15:$X15,Capacity!$DI$3:$DI$25)))</f>
        <v>0.965907380029365</v>
      </c>
      <c r="AK44" s="4" t="n">
        <f aca="false" t="array" ref="AK44:AK44">SUM(Demand!AK16*Capacity!BE$3:BE$25*Capacity!$DI16/(TRANSPOSE(Dists!$B15:$X15)*MMULT(1/Dists!$B15:$X15,Capacity!$DI$3:$DI$25)))</f>
        <v>0.699764567824674</v>
      </c>
      <c r="AL44" s="4" t="n">
        <f aca="false" t="array" ref="AL44:AL44">SUM(Demand!AL16*Capacity!BF$3:BF$25*Capacity!$DI16/(TRANSPOSE(Dists!$B15:$X15)*MMULT(1/Dists!$B15:$X15,Capacity!$DI$3:$DI$25)))</f>
        <v>0.442954938955728</v>
      </c>
      <c r="AM44" s="4" t="n">
        <f aca="false" t="array" ref="AM44:AM44">SUM(Demand!AM16*Capacity!BG$3:BG$25*Capacity!$DI16/(TRANSPOSE(Dists!$B15:$X15)*MMULT(1/Dists!$B15:$X15,Capacity!$DI$3:$DI$25)))</f>
        <v>1.67937783459079</v>
      </c>
      <c r="AN44" s="4" t="n">
        <f aca="false" t="array" ref="AN44:AN44">SUM(Demand!AN16*Capacity!BH$3:BH$25*Capacity!$DI16/(TRANSPOSE(Dists!$B15:$X15)*MMULT(1/Dists!$B15:$X15,Capacity!$DI$3:$DI$25)))</f>
        <v>0.279413394151429</v>
      </c>
      <c r="AO44" s="4" t="n">
        <f aca="false" t="array" ref="AO44:AO44">SUM(Demand!AO16*Capacity!BI$3:BI$25*Capacity!$DI16/(TRANSPOSE(Dists!$B15:$X15)*MMULT(1/Dists!$B15:$X15,Capacity!$DI$3:$DI$25)))</f>
        <v>2.37594802384619</v>
      </c>
      <c r="AP44" s="4" t="n">
        <f aca="false" t="array" ref="AP44:AP44">SUM(Demand!AP16*Capacity!BJ$3:BJ$25*Capacity!$DI16/(TRANSPOSE(Dists!$B15:$X15)*MMULT(1/Dists!$B15:$X15,Capacity!$DI$3:$DI$25)))</f>
        <v>1.18778818937986</v>
      </c>
      <c r="AQ44" s="4" t="n">
        <f aca="false" t="array" ref="AQ44:AQ44">SUM(Demand!AQ16*Capacity!BK$3:BK$25*Capacity!$DI16/(TRANSPOSE(Dists!$B15:$X15)*MMULT(1/Dists!$B15:$X15,Capacity!$DI$3:$DI$25)))</f>
        <v>0.0992924571443253</v>
      </c>
      <c r="AR44" s="4" t="n">
        <f aca="false" t="array" ref="AR44:AR44">SUM(Demand!AR16*Capacity!BL$3:BL$25*Capacity!$DI16/(TRANSPOSE(Dists!$B15:$X15)*MMULT(1/Dists!$B15:$X15,Capacity!$DI$3:$DI$25)))</f>
        <v>0.10314750606747</v>
      </c>
      <c r="AS44" s="4" t="n">
        <f aca="false" t="array" ref="AS44:AS44">SUM(Demand!AS16*Capacity!BM$3:BM$25*Capacity!$DI16/(TRANSPOSE(Dists!$B15:$X15)*MMULT(1/Dists!$B15:$X15,Capacity!$DI$3:$DI$25)))</f>
        <v>0.18658619323458</v>
      </c>
      <c r="AT44" s="4" t="n">
        <f aca="false" t="array" ref="AT44:AT44">SUM(Demand!AT16*Capacity!BN$3:BN$25*Capacity!$DI16/(TRANSPOSE(Dists!$B15:$X15)*MMULT(1/Dists!$B15:$X15,Capacity!$DI$3:$DI$25)))</f>
        <v>3.54562745250474</v>
      </c>
      <c r="AU44" s="4" t="n">
        <f aca="false" t="array" ref="AU44:AU44">SUM(Demand!AU16*Capacity!BO$3:BO$25*Capacity!$DI16/(TRANSPOSE(Dists!$B15:$X15)*MMULT(1/Dists!$B15:$X15,Capacity!$DI$3:$DI$25)))</f>
        <v>1.83137798926299</v>
      </c>
      <c r="AV44" s="4" t="n">
        <f aca="false" t="array" ref="AV44:AV44">SUM(Demand!AV16*Capacity!BP$3:BP$25*Capacity!$DI16/(TRANSPOSE(Dists!$B15:$X15)*MMULT(1/Dists!$B15:$X15,Capacity!$DI$3:$DI$25)))</f>
        <v>0.185728271021186</v>
      </c>
      <c r="AW44" s="4" t="n">
        <f aca="false" t="array" ref="AW44:AW44">SUM(Demand!AW16*Capacity!BQ$3:BQ$25*Capacity!$DI16/(TRANSPOSE(Dists!$B15:$X15)*MMULT(1/Dists!$B15:$X15,Capacity!$DI$3:$DI$25)))</f>
        <v>1.94638827427514</v>
      </c>
      <c r="AX44" s="4" t="n">
        <f aca="false" t="array" ref="AX44:AX44">SUM(Demand!AX16*Capacity!BR$3:BR$25*Capacity!$DI16/(TRANSPOSE(Dists!$B15:$X15)*MMULT(1/Dists!$B15:$X15,Capacity!$DI$3:$DI$25)))</f>
        <v>0.0554422641840851</v>
      </c>
      <c r="AY44" s="4" t="n">
        <f aca="false" t="array" ref="AY44:AY44">SUM(Demand!AY16*Capacity!BS$3:BS$25*Capacity!$DI16/(TRANSPOSE(Dists!$B15:$X15)*MMULT(1/Dists!$B15:$X15,Capacity!$DI$3:$DI$25)))</f>
        <v>0.26929024299037</v>
      </c>
      <c r="AZ44" s="4" t="n">
        <f aca="false" t="array" ref="AZ44:AZ44">SUM(Demand!AZ16*Capacity!BT$3:BT$25*Capacity!$DI16/(TRANSPOSE(Dists!$B15:$X15)*MMULT(1/Dists!$B15:$X15,Capacity!$DI$3:$DI$25)))</f>
        <v>1.87692380125153</v>
      </c>
      <c r="BA44" s="4" t="n">
        <f aca="false">BA16</f>
        <v>0.051214326719167</v>
      </c>
      <c r="BB44" s="4" t="n">
        <f aca="false" t="array" ref="BB44:BB44">SUM(Demand!BB16*Capacity!BV$3:BV$25*Capacity!$DI16/(TRANSPOSE(Dists!$B15:$X15)*MMULT(1/Dists!$B15:$X15,Capacity!$DI$3:$DI$25)))</f>
        <v>0.383561366352535</v>
      </c>
      <c r="BC44" s="4" t="n">
        <f aca="false" t="array" ref="BC44:BC44">SUM(Demand!BC16*Capacity!BW$3:BW$25*Capacity!$DI16/(TRANSPOSE(Dists!$B15:$X15)*MMULT(1/Dists!$B15:$X15,Capacity!$DI$3:$DI$25)))</f>
        <v>0.325805794582159</v>
      </c>
      <c r="BD44" s="4" t="n">
        <f aca="false" t="array" ref="BD44:BD44">SUM(Demand!BD16*Capacity!BX$3:BX$25*Capacity!$DI16/(TRANSPOSE(Dists!$B15:$X15)*MMULT(1/Dists!$B15:$X15,Capacity!$DI$3:$DI$25)))</f>
        <v>0.206236917028287</v>
      </c>
      <c r="BE44" s="4" t="n">
        <f aca="false" t="array" ref="BE44:BE44">SUM(Demand!BE16*Capacity!BY$3:BY$25*Capacity!$DI16/(TRANSPOSE(Dists!$B15:$X15)*MMULT(1/Dists!$B15:$X15,Capacity!$DI$3:$DI$25)))</f>
        <v>0.121417486489625</v>
      </c>
      <c r="BF44" s="4" t="n">
        <f aca="false" t="array" ref="BF44:BF44">SUM(Demand!BF16*Capacity!BZ$3:BZ$25*Capacity!$DI16/(TRANSPOSE(Dists!$B15:$X15)*MMULT(1/Dists!$B15:$X15,Capacity!$DI$3:$DI$25)))</f>
        <v>12.2148748767176</v>
      </c>
      <c r="BG44" s="4" t="n">
        <f aca="false" t="array" ref="BG44:BG44">SUM(Demand!BG16*Capacity!CA$3:CA$25*Capacity!$DI16/(TRANSPOSE(Dists!$B15:$X15)*MMULT(1/Dists!$B15:$X15,Capacity!$DI$3:$DI$25)))</f>
        <v>15.639205346593</v>
      </c>
      <c r="BH44" s="4" t="n">
        <f aca="false" t="array" ref="BH44:BH44">SUM(Demand!BH16*Capacity!CB$3:CB$25*Capacity!$DI16/(TRANSPOSE(Dists!$B15:$X15)*MMULT(1/Dists!$B15:$X15,Capacity!$DI$3:$DI$25)))</f>
        <v>31.2784106931859</v>
      </c>
      <c r="BI44" s="4" t="n">
        <f aca="false" t="array" ref="BI44:BI44">SUM(Demand!BI16*Capacity!CC$3:CC$25*Capacity!$DI16/(TRANSPOSE(Dists!$B15:$X15)*MMULT(1/Dists!$B15:$X15,Capacity!$DI$3:$DI$25)))</f>
        <v>41.7045475909146</v>
      </c>
      <c r="BJ44" s="4" t="n">
        <f aca="false" t="array" ref="BJ44:BJ44">SUM(Demand!BJ16*Capacity!CD$3:CD$25*Capacity!$DI16/(TRANSPOSE(Dists!$B15:$X15)*MMULT(1/Dists!$B15:$X15,Capacity!$DI$3:$DI$25)))</f>
        <v>965.353682818451</v>
      </c>
      <c r="BK44" s="4" t="n">
        <f aca="false" t="array" ref="BK44:BK44">SUM(Demand!BK16*Capacity!CE$3:CE$25*Capacity!$DI16/(TRANSPOSE(Dists!$B15:$X15)*MMULT(1/Dists!$B15:$X15,Capacity!$DI$3:$DI$25)))</f>
        <v>20.8522737954573</v>
      </c>
      <c r="BL44" s="4" t="n">
        <f aca="false" t="array" ref="BL44:BL44">SUM(Demand!BL16*Capacity!CF$3:CF$25*Capacity!$DI16/(TRANSPOSE(Dists!$B15:$X15)*MMULT(1/Dists!$B15:$X15,Capacity!$DI$3:$DI$25)))</f>
        <v>684.59516285765</v>
      </c>
      <c r="BM44" s="4" t="n">
        <f aca="false" t="array" ref="BM44:BM44">SUM(Demand!BM16*Capacity!CG$3:CG$25*Capacity!$DI16/(TRANSPOSE(Dists!$B15:$X15)*MMULT(1/Dists!$B15:$X15,Capacity!$DI$3:$DI$25)))</f>
        <v>65.7520341753475</v>
      </c>
      <c r="BN44" s="4" t="n">
        <f aca="false">BN16</f>
        <v>0.000230772122642165</v>
      </c>
      <c r="BO44" s="4" t="n">
        <f aca="false" t="array" ref="BO44:BO44">SUM(Demand!BO16*Capacity!CI$3:CI$25*Capacity!$DI16/(TRANSPOSE(Dists!$B15:$X15)*MMULT(1/Dists!$B15:$X15,Capacity!$DI$3:$DI$25)))</f>
        <v>5.94081494712663</v>
      </c>
      <c r="BP44" s="4" t="n">
        <f aca="false" t="array" ref="BP44:BP44">SUM(Demand!BP16*Capacity!CJ$3:CJ$25*Capacity!$DI16/(TRANSPOSE(Dists!$B15:$X15)*MMULT(1/Dists!$B15:$X15,Capacity!$DI$3:$DI$25)))</f>
        <v>10.8485294528515</v>
      </c>
      <c r="BQ44" s="4" t="n">
        <f aca="false" t="array" ref="BQ44:BQ44">SUM(Demand!BQ16*Capacity!CK$3:CK$25*Capacity!$DI16/(TRANSPOSE(Dists!$B15:$X15)*MMULT(1/Dists!$B15:$X15,Capacity!$DI$3:$DI$25)))</f>
        <v>0</v>
      </c>
      <c r="BR44" s="4" t="n">
        <f aca="false" t="array" ref="BR44:BR44">SUM(Demand!BR16*Capacity!CL$3:CL$25*Capacity!$DI16/(TRANSPOSE(Dists!$B15:$X15)*MMULT(1/Dists!$B15:$X15,Capacity!$DI$3:$DI$25)))</f>
        <v>0.198027226108408</v>
      </c>
      <c r="BS44" s="4" t="n">
        <f aca="false" t="array" ref="BS44:BS44">SUM(Demand!BS16*Capacity!CM$3:CM$25*Capacity!$DI16/(TRANSPOSE(Dists!$B15:$X15)*MMULT(1/Dists!$B15:$X15,Capacity!$DI$3:$DI$25)))</f>
        <v>0.0198027226108408</v>
      </c>
      <c r="BT44" s="4" t="n">
        <f aca="false">BT16</f>
        <v>2.374540956192</v>
      </c>
      <c r="BU44" s="4" t="n">
        <f aca="false">BU16</f>
        <v>0.2374540956192</v>
      </c>
      <c r="BV44" s="4" t="n">
        <f aca="false">BV16</f>
        <v>0.02374540956192</v>
      </c>
      <c r="BW44" s="4" t="n">
        <f aca="false">BW16</f>
        <v>1298.51279379072</v>
      </c>
      <c r="BX44" s="4" t="n">
        <f aca="false" t="array" ref="BX44:BX44">SUM(Demand!BX16*Capacity!CR$3:CR$25*Capacity!$DI16/(TRANSPOSE(Dists!$B15:$X15)*MMULT(1/Dists!$B15:$X15,Capacity!$DI$3:$DI$25)))</f>
        <v>5.4720321307778</v>
      </c>
      <c r="BY44" s="4" t="n">
        <f aca="false" t="array" ref="BY44:BY44">SUM(Demand!BY16*Capacity!CS$3:CS$25*Capacity!$DI16/(TRANSPOSE(Dists!$B15:$X15)*MMULT(1/Dists!$B15:$X15,Capacity!$DI$3:$DI$25)))</f>
        <v>22.0817235773671</v>
      </c>
      <c r="BZ44" s="4" t="n">
        <f aca="false" t="array" ref="BZ44:BZ44">SUM(Demand!BZ16*Capacity!CT$3:CT$25*Capacity!$DI16/(TRANSPOSE(Dists!$B15:$X15)*MMULT(1/Dists!$B15:$X15,Capacity!$DI$3:$DI$25)))</f>
        <v>0.543446413050279</v>
      </c>
      <c r="CA44" s="4" t="n">
        <f aca="false" t="array" ref="CA44:CA44">SUM(Demand!CA16*Capacity!CU$3:CU$25*Capacity!$DI16/(TRANSPOSE(Dists!$B15:$X15)*MMULT(1/Dists!$B15:$X15,Capacity!$DI$3:$DI$25)))</f>
        <v>0.074643666981454</v>
      </c>
      <c r="CB44" s="4" t="n">
        <f aca="false" t="array" ref="CB44:CB44">SUM(Demand!CB16*Capacity!CV$3:CV$25*Capacity!$DI16/(TRANSPOSE(Dists!$B15:$X15)*MMULT(1/Dists!$B15:$X15,Capacity!$DI$3:$DI$25)))</f>
        <v>285.457185519598</v>
      </c>
      <c r="CC44" s="4" t="n">
        <f aca="false" t="array" ref="CC44:CC44">SUM(Demand!CC16*Capacity!CW$3:CW$25*Capacity!$DI16/(TRANSPOSE(Dists!$B15:$X15)*MMULT(1/Dists!$B15:$X15,Capacity!$DI$3:$DI$25)))</f>
        <v>90.2285468266868</v>
      </c>
      <c r="CD44" s="4" t="n">
        <f aca="false">SUM($BG44,$BI44,$BK44)*Capacity!CX16/SUM(Capacity!$AM16:$AN16,Capacity!$CX16)</f>
        <v>59.1945293275866</v>
      </c>
      <c r="CE44" s="4" t="n">
        <f aca="false" t="array" ref="CE44:CE44">SUM(Demand!CE16*Capacity!CY$3:CY$25*Capacity!$DI16/(TRANSPOSE(Dists!$B15:$X15)*MMULT(1/Dists!$B15:$X15,Capacity!$DI$3:$DI$25)))</f>
        <v>4.80937698195902</v>
      </c>
      <c r="CF44" s="4" t="n">
        <f aca="false" t="array" ref="CF44:CF44">SUM(Demand!CF16*Capacity!CZ$3:CZ$25*Capacity!$DI16/(TRANSPOSE(Dists!$B15:$X15)*MMULT(1/Dists!$B15:$X15,Capacity!$DI$3:$DI$25)))</f>
        <v>294.201600040048</v>
      </c>
      <c r="CG44" s="4" t="n">
        <f aca="false" t="array" ref="CG44:CG44">SUM(Demand!CG16*Capacity!DA$3:DA$25*Capacity!$DI16/(TRANSPOSE(Dists!$B15:$X15)*MMULT(1/Dists!$B15:$X15,Capacity!$DI$3:$DI$25)))</f>
        <v>4.15764318641934</v>
      </c>
      <c r="CH44" s="4" t="n">
        <f aca="false" t="array" ref="CH44:CH44">SUM(Demand!CH16*Capacity!DB$3:DB$25*Capacity!$DI16/(TRANSPOSE(Dists!$B15:$X15)*MMULT(1/Dists!$B15:$X15,Capacity!$DI$3:$DI$25)))</f>
        <v>1.38654061527439</v>
      </c>
      <c r="CI44" s="4" t="n">
        <f aca="false" t="array" ref="CI44:CI44">SUM(Demand!CI16*Capacity!DC$3:DC$25*Capacity!$DI16/(TRANSPOSE(Dists!$B15:$X15)*MMULT(1/Dists!$B15:$X15,Capacity!$DI$3:$DI$25)))</f>
        <v>0.154555976972447</v>
      </c>
      <c r="CJ44" s="4" t="n">
        <f aca="false" t="array" ref="CJ44:CJ44">SUM(Demand!CJ16*Capacity!DD$3:DD$25*Capacity!$DI16/(TRANSPOSE(Dists!$B15:$X15)*MMULT(1/Dists!$B15:$X15,Capacity!$DI$3:$DI$25)))</f>
        <v>0.0255866327963709</v>
      </c>
      <c r="CK44" s="4" t="n">
        <f aca="false" t="array" ref="CK44:CK44">SUM(Demand!CK16*Capacity!DE$3:DE$25*Capacity!$DI16/(TRANSPOSE(Dists!$B15:$X15)*MMULT(1/Dists!$B15:$X15,Capacity!$DI$3:$DI$25)))</f>
        <v>5.84168732028955</v>
      </c>
      <c r="CL44" s="7" t="s">
        <v>322</v>
      </c>
    </row>
    <row r="45" customFormat="false" ht="12.8" hidden="false" customHeight="false" outlineLevel="0" collapsed="false">
      <c r="A45" s="4" t="s">
        <v>151</v>
      </c>
      <c r="B45" s="7" t="s">
        <v>39</v>
      </c>
      <c r="C45" s="4" t="n">
        <f aca="false" t="array" ref="C45:C45">SUM(Demand!C17*Capacity!S$3:S$25*Capacity!$DH17/(TRANSPOSE(Dists!$B16:$X16)*MMULT(1/Dists!$B16:$X16,Capacity!$DH$3:$DH$25)))</f>
        <v>0.0469357413466054</v>
      </c>
      <c r="D45" s="4" t="n">
        <f aca="false" t="array" ref="D45:D45">SUM(Demand!D17*Capacity!V$3:V$25*Capacity!$DH17/(TRANSPOSE(Dists!$B16:$X16)*MMULT(1/Dists!$B16:$X16,Capacity!$DH$3:$DH$25)))</f>
        <v>3524.16363107604</v>
      </c>
      <c r="E45" s="4" t="n">
        <f aca="false" t="array" ref="E45:E45">SUM(Demand!E17*Capacity!Y$3:Y$25*Capacity!$DH17/(TRANSPOSE(Dists!$B16:$X16)*MMULT(1/Dists!$B16:$X16,Capacity!$DH$3:$DH$25)))</f>
        <v>595.803068666531</v>
      </c>
      <c r="F45" s="4" t="n">
        <f aca="false">$E17*Capacity!$M17/(2*(1-Capacity!$H$28)*Capacity!$H17)</f>
        <v>326.80151029271</v>
      </c>
      <c r="G45" s="4" t="n">
        <f aca="false" t="array" ref="G45:G45">SUM(Demand!G17*Capacity!AA$3:AA$25*Capacity!$DH17/(TRANSPOSE(Dists!$B16:$X16)*MMULT(1/Dists!$B16:$X16,Capacity!$DH$3:$DH$25)))</f>
        <v>673.859488977935</v>
      </c>
      <c r="H45" s="4" t="n">
        <f aca="false" t="array" ref="H45:H45">SUM(Demand!H17*Capacity!AB$3:AB$25*Capacity!$DH17/(TRANSPOSE(Dists!$B16:$X16)*MMULT(1/Dists!$B16:$X16,Capacity!$DH$3:$DH$25)))</f>
        <v>0</v>
      </c>
      <c r="I45" s="4" t="n">
        <f aca="false" t="array" ref="I45:I45">SUM(Demand!I17*Capacity!AC$3:AC$25*Capacity!$DG17/(TRANSPOSE(Dists!$B16:$X16)*MMULT(1/Dists!$B16:$X16,Capacity!$DG$3:$DG$25)))</f>
        <v>3.86134579339514</v>
      </c>
      <c r="J45" s="4" t="n">
        <f aca="false" t="array" ref="J45:J45">SUM(Demand!J17*Capacity!AD$3:AD$25*Capacity!$DG17/(TRANSPOSE(Dists!$B16:$X16)*MMULT(1/Dists!$B16:$X16,Capacity!$DG$3:$DG$25)))</f>
        <v>3.76812421419976</v>
      </c>
      <c r="K45" s="4" t="n">
        <f aca="false">5479.45205479452*$R17</f>
        <v>1486441.74854062</v>
      </c>
      <c r="L45" s="4" t="n">
        <f aca="false">17142.8571428571*$S17</f>
        <v>501869.929127156</v>
      </c>
      <c r="M45" s="4" t="n">
        <f aca="false">IF(50420.1680672269*$T17&gt;($K17/20),50420.1680672269*$T17-($K17/20),0)</f>
        <v>750669.576891584</v>
      </c>
      <c r="N45" s="4" t="n">
        <f aca="false" t="array" ref="N45:N45">SUM(Demand!N17*Capacity!AH$3:AH$25*Capacity!$DH17/(TRANSPOSE(Dists!$B16:$X16)*MMULT(1/Dists!$B16:$X16,Capacity!$DH$3:$DH$25)))</f>
        <v>857.163246949082</v>
      </c>
      <c r="O45" s="4" t="n">
        <f aca="false">O17</f>
        <v>2349.44242071736</v>
      </c>
      <c r="P45" s="4" t="n">
        <f aca="false">P17</f>
        <v>939.776968286944</v>
      </c>
      <c r="Q45" s="4" t="n">
        <f aca="false" t="array" ref="Q45:Q45">SUM(Demand!Q17*Capacity!AK$3:AK$25*Capacity!$DI17/(TRANSPOSE(Dists!$B16:$X16)*MMULT(1/Dists!$B16:$X16,Capacity!$DI$3:$DI$25)))</f>
        <v>11.3056735456685</v>
      </c>
      <c r="R45" s="4" t="n">
        <f aca="false" t="array" ref="R45:R45">SUM(Demand!R17*Capacity!AL$3:AL$25*Capacity!$DH17/(TRANSPOSE(Dists!$B16:$X16)*MMULT(1/Dists!$B16:$X16,Capacity!$DH$3:$DH$25)))</f>
        <v>166.158224553522</v>
      </c>
      <c r="S45" s="4" t="n">
        <f aca="false">SUM($BG45,$BI45,$BK45)*Capacity!AM17/SUM(Capacity!$AM17:$AN17,Capacity!$CX17)</f>
        <v>29.2757458657508</v>
      </c>
      <c r="T45" s="4" t="n">
        <f aca="false">SUM($BG45,$BI45,$BK45)*Capacity!AN17/SUM(Capacity!$AM17:$AN17,Capacity!$CX17)</f>
        <v>16.3623346756525</v>
      </c>
      <c r="U45" s="4" t="n">
        <f aca="false">$M17*120*2/(16*1000*2000)</f>
        <v>5.63002182668688</v>
      </c>
      <c r="V45" s="4" t="n">
        <f aca="false" t="array" ref="V45:V45">SUM(Demand!V17*Capacity!AP$3:AP$25*Capacity!$DH17/(TRANSPOSE(Dists!$B16:$X16)*MMULT(1/Dists!$B16:$X16,Capacity!$DH$3:$DH$25)))</f>
        <v>196.627256804948</v>
      </c>
      <c r="W45" s="4" t="n">
        <f aca="false" t="array" ref="W45:W45">SUM(Demand!W17*Capacity!AQ$3:AQ$25*Capacity!$DH17/(TRANSPOSE(Dists!$B16:$X16)*MMULT(1/Dists!$B16:$X16,Capacity!$DH$3:$DH$25)))</f>
        <v>26.799660877962</v>
      </c>
      <c r="X45" s="4" t="n">
        <f aca="false" t="array" ref="X45:X45">SUM(Demand!X17*Capacity!AR$3:AR$25*Capacity!$DH17/(TRANSPOSE(Dists!$B16:$X16)*MMULT(1/Dists!$B16:$X16,Capacity!$DH$3:$DH$25)))</f>
        <v>743.448452470849</v>
      </c>
      <c r="Y45" s="4" t="n">
        <f aca="false">$L17*600*6/(90*1000*2000)</f>
        <v>10.0373985825431</v>
      </c>
      <c r="Z45" s="4" t="n">
        <f aca="false" t="array" ref="Z45:Z45">SUM(Demand!Z17*Capacity!AT$3:AT$25*Capacity!$DI17/(TRANSPOSE(Dists!$B16:$X16)*MMULT(1/Dists!$B16:$X16,Capacity!$DI$3:$DI$25)))</f>
        <v>52.0693546402082</v>
      </c>
      <c r="AA45" s="4" t="n">
        <f aca="false" t="array" ref="AA45:AA45">SUM(Demand!AA17*Capacity!AU$3:AU$25*Capacity!$DI17/(TRANSPOSE(Dists!$B16:$X16)*MMULT(1/Dists!$B16:$X16,Capacity!$DI$3:$DI$25)))</f>
        <v>44.4427538006057</v>
      </c>
      <c r="AB45" s="4" t="n">
        <f aca="false" t="array" ref="AB45:AB45">SUM(Demand!AB17*Capacity!AV$3:AV$25*Capacity!$DI17/(TRANSPOSE(Dists!$B16:$X16)*MMULT(1/Dists!$B16:$X16,Capacity!$DI$3:$DI$25)))</f>
        <v>41.6969026723514</v>
      </c>
      <c r="AC45" s="4" t="n">
        <f aca="false" t="array" ref="AC45:AC45">SUM(Demand!AC17*Capacity!AW$3:AW$25*Capacity!$DI17/(TRANSPOSE(Dists!$B16:$X16)*MMULT(1/Dists!$B16:$X16,Capacity!$DI$3:$DI$25)))</f>
        <v>8.679843940941</v>
      </c>
      <c r="AD45" s="4" t="n">
        <f aca="false" t="array" ref="AD45:AD45">SUM(Demand!AD17*Capacity!AX$3:AX$25*Capacity!$DI17/(TRANSPOSE(Dists!$B16:$X16)*MMULT(1/Dists!$B16:$X16,Capacity!$DI$3:$DI$25)))</f>
        <v>6.8262275390501</v>
      </c>
      <c r="AE45" s="4" t="n">
        <f aca="false" t="array" ref="AE45:AE45">SUM(Demand!AE17*Capacity!AY$3:AY$25*Capacity!$DI17/(TRANSPOSE(Dists!$B16:$X16)*MMULT(1/Dists!$B16:$X16,Capacity!$DI$3:$DI$25)))</f>
        <v>2.96425751553575</v>
      </c>
      <c r="AF45" s="4" t="n">
        <f aca="false" t="array" ref="AF45:AF45">SUM(Demand!AF17*Capacity!AZ$3:AZ$25*Capacity!$DI17/(TRANSPOSE(Dists!$B16:$X16)*MMULT(1/Dists!$B16:$X16,Capacity!$DI$3:$DI$25)))</f>
        <v>0.908789954734023</v>
      </c>
      <c r="AG45" s="4" t="n">
        <f aca="false" t="array" ref="AG45:AG45">SUM(Demand!AG17*Capacity!BA$3:BA$25*Capacity!$DI17/(TRANSPOSE(Dists!$B16:$X16)*MMULT(1/Dists!$B16:$X16,Capacity!$DI$3:$DI$25)))</f>
        <v>2.21772193071038</v>
      </c>
      <c r="AH45" s="4" t="n">
        <f aca="false" t="array" ref="AH45:AH45">SUM(Demand!AH17*Capacity!BB$3:BB$25*Capacity!$DI17/(TRANSPOSE(Dists!$B16:$X16)*MMULT(1/Dists!$B16:$X16,Capacity!$DI$3:$DI$25)))</f>
        <v>1.47544475106694</v>
      </c>
      <c r="AI45" s="4" t="n">
        <f aca="false" t="array" ref="AI45:AI45">SUM(Demand!AI17*Capacity!BC$3:BC$25*Capacity!$DI17/(TRANSPOSE(Dists!$B16:$X16)*MMULT(1/Dists!$B16:$X16,Capacity!$DI$3:$DI$25)))</f>
        <v>0.718499526409187</v>
      </c>
      <c r="AJ45" s="4" t="n">
        <f aca="false" t="array" ref="AJ45:AJ45">SUM(Demand!AJ17*Capacity!BD$3:BD$25*Capacity!$DI17/(TRANSPOSE(Dists!$B16:$X16)*MMULT(1/Dists!$B16:$X16,Capacity!$DI$3:$DI$25)))</f>
        <v>0.701563358254493</v>
      </c>
      <c r="AK45" s="4" t="n">
        <f aca="false" t="array" ref="AK45:AK45">SUM(Demand!AK17*Capacity!BE$3:BE$25*Capacity!$DI17/(TRANSPOSE(Dists!$B16:$X16)*MMULT(1/Dists!$B16:$X16,Capacity!$DI$3:$DI$25)))</f>
        <v>0.488677395825261</v>
      </c>
      <c r="AL45" s="4" t="n">
        <f aca="false" t="array" ref="AL45:AL45">SUM(Demand!AL17*Capacity!BF$3:BF$25*Capacity!$DI17/(TRANSPOSE(Dists!$B16:$X16)*MMULT(1/Dists!$B16:$X16,Capacity!$DI$3:$DI$25)))</f>
        <v>0.569358427596471</v>
      </c>
      <c r="AM45" s="4" t="n">
        <f aca="false" t="array" ref="AM45:AM45">SUM(Demand!AM17*Capacity!BG$3:BG$25*Capacity!$DI17/(TRANSPOSE(Dists!$B16:$X16)*MMULT(1/Dists!$B16:$X16,Capacity!$DI$3:$DI$25)))</f>
        <v>1.64471594209005</v>
      </c>
      <c r="AN45" s="4" t="n">
        <f aca="false" t="array" ref="AN45:AN45">SUM(Demand!AN17*Capacity!BH$3:BH$25*Capacity!$DI17/(TRANSPOSE(Dists!$B16:$X16)*MMULT(1/Dists!$B16:$X16,Capacity!$DI$3:$DI$25)))</f>
        <v>0.166514346655373</v>
      </c>
      <c r="AO45" s="4" t="n">
        <f aca="false" t="array" ref="AO45:AO45">SUM(Demand!AO17*Capacity!BI$3:BI$25*Capacity!$DI17/(TRANSPOSE(Dists!$B16:$X16)*MMULT(1/Dists!$B16:$X16,Capacity!$DI$3:$DI$25)))</f>
        <v>1.68364789171166</v>
      </c>
      <c r="AP45" s="4" t="n">
        <f aca="false" t="array" ref="AP45:AP45">SUM(Demand!AP17*Capacity!BJ$3:BJ$25*Capacity!$DI17/(TRANSPOSE(Dists!$B16:$X16)*MMULT(1/Dists!$B16:$X16,Capacity!$DI$3:$DI$25)))</f>
        <v>0.188638370421227</v>
      </c>
      <c r="AQ45" s="4" t="n">
        <f aca="false" t="array" ref="AQ45:AQ45">SUM(Demand!AQ17*Capacity!BK$3:BK$25*Capacity!$DI17/(TRANSPOSE(Dists!$B16:$X16)*MMULT(1/Dists!$B16:$X16,Capacity!$DI$3:$DI$25)))</f>
        <v>0.0409991005470642</v>
      </c>
      <c r="AR45" s="4" t="n">
        <f aca="false" t="array" ref="AR45:AR45">SUM(Demand!AR17*Capacity!BL$3:BL$25*Capacity!$DI17/(TRANSPOSE(Dists!$B16:$X16)*MMULT(1/Dists!$B16:$X16,Capacity!$DI$3:$DI$25)))</f>
        <v>0.315829278217389</v>
      </c>
      <c r="AS45" s="4" t="n">
        <f aca="false" t="array" ref="AS45:AS45">SUM(Demand!AS17*Capacity!BM$3:BM$25*Capacity!$DI17/(TRANSPOSE(Dists!$B16:$X16)*MMULT(1/Dists!$B16:$X16,Capacity!$DI$3:$DI$25)))</f>
        <v>0.231041323411269</v>
      </c>
      <c r="AT45" s="4" t="n">
        <f aca="false" t="array" ref="AT45:AT45">SUM(Demand!AT17*Capacity!BN$3:BN$25*Capacity!$DI17/(TRANSPOSE(Dists!$B16:$X16)*MMULT(1/Dists!$B16:$X16,Capacity!$DI$3:$DI$25)))</f>
        <v>6.35597820910785</v>
      </c>
      <c r="AU45" s="4" t="n">
        <f aca="false" t="array" ref="AU45:AU45">SUM(Demand!AU17*Capacity!BO$3:BO$25*Capacity!$DI17/(TRANSPOSE(Dists!$B16:$X16)*MMULT(1/Dists!$B16:$X16,Capacity!$DI$3:$DI$25)))</f>
        <v>5.9279668583404</v>
      </c>
      <c r="AV45" s="4" t="n">
        <f aca="false" t="array" ref="AV45:AV45">SUM(Demand!AV17*Capacity!BP$3:BP$25*Capacity!$DI17/(TRANSPOSE(Dists!$B16:$X16)*MMULT(1/Dists!$B16:$X16,Capacity!$DI$3:$DI$25)))</f>
        <v>0.195357029732218</v>
      </c>
      <c r="AW45" s="4" t="n">
        <f aca="false" t="array" ref="AW45:AW45">SUM(Demand!AW17*Capacity!BQ$3:BQ$25*Capacity!$DI17/(TRANSPOSE(Dists!$B16:$X16)*MMULT(1/Dists!$B16:$X16,Capacity!$DI$3:$DI$25)))</f>
        <v>4.70441280823221</v>
      </c>
      <c r="AX45" s="4" t="n">
        <f aca="false" t="array" ref="AX45:AX45">SUM(Demand!AX17*Capacity!BR$3:BR$25*Capacity!$DI17/(TRANSPOSE(Dists!$B16:$X16)*MMULT(1/Dists!$B16:$X16,Capacity!$DI$3:$DI$25)))</f>
        <v>0.150089611518994</v>
      </c>
      <c r="AY45" s="4" t="n">
        <f aca="false" t="array" ref="AY45:AY45">SUM(Demand!AY17*Capacity!BS$3:BS$25*Capacity!$DI17/(TRANSPOSE(Dists!$B16:$X16)*MMULT(1/Dists!$B16:$X16,Capacity!$DI$3:$DI$25)))</f>
        <v>0.572194319772</v>
      </c>
      <c r="AZ45" s="4" t="n">
        <f aca="false" t="array" ref="AZ45:AZ45">SUM(Demand!AZ17*Capacity!BT$3:BT$25*Capacity!$DI17/(TRANSPOSE(Dists!$B16:$X16)*MMULT(1/Dists!$B16:$X16,Capacity!$DI$3:$DI$25)))</f>
        <v>3.53497271254937</v>
      </c>
      <c r="BA45" s="4" t="n">
        <f aca="false">BA17</f>
        <v>0.123007335570381</v>
      </c>
      <c r="BB45" s="4" t="n">
        <f aca="false" t="array" ref="BB45:BB45">SUM(Demand!BB17*Capacity!BV$3:BV$25*Capacity!$DI17/(TRANSPOSE(Dists!$B16:$X16)*MMULT(1/Dists!$B16:$X16,Capacity!$DI$3:$DI$25)))</f>
        <v>0.313466365412846</v>
      </c>
      <c r="BC45" s="4" t="n">
        <f aca="false" t="array" ref="BC45:BC45">SUM(Demand!BC17*Capacity!BW$3:BW$25*Capacity!$DI17/(TRANSPOSE(Dists!$B16:$X16)*MMULT(1/Dists!$B16:$X16,Capacity!$DI$3:$DI$25)))</f>
        <v>0.242656414711951</v>
      </c>
      <c r="BD45" s="4" t="n">
        <f aca="false" t="array" ref="BD45:BD45">SUM(Demand!BD17*Capacity!BX$3:BX$25*Capacity!$DI17/(TRANSPOSE(Dists!$B16:$X16)*MMULT(1/Dists!$B16:$X16,Capacity!$DI$3:$DI$25)))</f>
        <v>0.020283779328954</v>
      </c>
      <c r="BE45" s="4" t="n">
        <f aca="false" t="array" ref="BE45:BE45">SUM(Demand!BE17*Capacity!BY$3:BY$25*Capacity!$DI17/(TRANSPOSE(Dists!$B16:$X16)*MMULT(1/Dists!$B16:$X16,Capacity!$DI$3:$DI$25)))</f>
        <v>0.0885766753716441</v>
      </c>
      <c r="BF45" s="4" t="n">
        <f aca="false" t="array" ref="BF45:BF45">SUM(Demand!BF17*Capacity!BZ$3:BZ$25*Capacity!$DI17/(TRANSPOSE(Dists!$B16:$X16)*MMULT(1/Dists!$B16:$X16,Capacity!$DI$3:$DI$25)))</f>
        <v>14.8308669939278</v>
      </c>
      <c r="BG45" s="4" t="n">
        <f aca="false" t="array" ref="BG45:BG45">SUM(Demand!BG17*Capacity!CA$3:CA$25*Capacity!$DI17/(TRANSPOSE(Dists!$B16:$X16)*MMULT(1/Dists!$B16:$X16,Capacity!$DI$3:$DI$25)))</f>
        <v>31.063767917963</v>
      </c>
      <c r="BH45" s="4" t="n">
        <f aca="false" t="array" ref="BH45:BH45">SUM(Demand!BH17*Capacity!CB$3:CB$25*Capacity!$DI17/(TRANSPOSE(Dists!$B16:$X16)*MMULT(1/Dists!$B16:$X16,Capacity!$DI$3:$DI$25)))</f>
        <v>62.1275358359261</v>
      </c>
      <c r="BI45" s="4" t="n">
        <f aca="false" t="array" ref="BI45:BI45">SUM(Demand!BI17*Capacity!CC$3:CC$25*Capacity!$DI17/(TRANSPOSE(Dists!$B16:$X16)*MMULT(1/Dists!$B16:$X16,Capacity!$DI$3:$DI$25)))</f>
        <v>82.8367144479014</v>
      </c>
      <c r="BJ45" s="4" t="n">
        <f aca="false" t="array" ref="BJ45:BJ45">SUM(Demand!BJ17*Capacity!CD$3:CD$25*Capacity!$DI17/(TRANSPOSE(Dists!$B16:$X16)*MMULT(1/Dists!$B16:$X16,Capacity!$DI$3:$DI$25)))</f>
        <v>293.157656594408</v>
      </c>
      <c r="BK45" s="4" t="n">
        <f aca="false" t="array" ref="BK45:BK45">SUM(Demand!BK17*Capacity!CE$3:CE$25*Capacity!$DI17/(TRANSPOSE(Dists!$B16:$X16)*MMULT(1/Dists!$B16:$X16,Capacity!$DI$3:$DI$25)))</f>
        <v>41.4183572239507</v>
      </c>
      <c r="BL45" s="4" t="n">
        <f aca="false" t="array" ref="BL45:BL45">SUM(Demand!BL17*Capacity!CF$3:CF$25*Capacity!$DI17/(TRANSPOSE(Dists!$B16:$X16)*MMULT(1/Dists!$B16:$X16,Capacity!$DI$3:$DI$25)))</f>
        <v>500.124883417124</v>
      </c>
      <c r="BM45" s="4" t="n">
        <f aca="false" t="array" ref="BM45:BM45">SUM(Demand!BM17*Capacity!CG$3:CG$25*Capacity!$DI17/(TRANSPOSE(Dists!$B16:$X16)*MMULT(1/Dists!$B16:$X16,Capacity!$DI$3:$DI$25)))</f>
        <v>20.5265429640879</v>
      </c>
      <c r="BN45" s="4" t="n">
        <f aca="false">BN17</f>
        <v>0.00174483956072549</v>
      </c>
      <c r="BO45" s="4" t="n">
        <f aca="false" t="array" ref="BO45:BO45">SUM(Demand!BO17*Capacity!CI$3:CI$25*Capacity!$DI17/(TRANSPOSE(Dists!$B16:$X16)*MMULT(1/Dists!$B16:$X16,Capacity!$DI$3:$DI$25)))</f>
        <v>26.7295329490096</v>
      </c>
      <c r="BP45" s="4" t="n">
        <f aca="false" t="array" ref="BP45:BP45">SUM(Demand!BP17*Capacity!CJ$3:CJ$25*Capacity!$DI17/(TRANSPOSE(Dists!$B16:$X16)*MMULT(1/Dists!$B16:$X16,Capacity!$DI$3:$DI$25)))</f>
        <v>24.9457310382653</v>
      </c>
      <c r="BQ45" s="4" t="n">
        <f aca="false" t="array" ref="BQ45:BQ45">SUM(Demand!BQ17*Capacity!CK$3:CK$25*Capacity!$DI17/(TRANSPOSE(Dists!$B16:$X16)*MMULT(1/Dists!$B16:$X16,Capacity!$DI$3:$DI$25)))</f>
        <v>0</v>
      </c>
      <c r="BR45" s="4" t="n">
        <f aca="false" t="array" ref="BR45:BR45">SUM(Demand!BR17*Capacity!CL$3:CL$25*Capacity!$DI17/(TRANSPOSE(Dists!$B16:$X16)*MMULT(1/Dists!$B16:$X16,Capacity!$DI$3:$DI$25)))</f>
        <v>0.890985081284473</v>
      </c>
      <c r="BS45" s="4" t="n">
        <f aca="false" t="array" ref="BS45:BS45">SUM(Demand!BS17*Capacity!CM$3:CM$25*Capacity!$DI17/(TRANSPOSE(Dists!$B16:$X16)*MMULT(1/Dists!$B16:$X16,Capacity!$DI$3:$DI$25)))</f>
        <v>0.0890985081284472</v>
      </c>
      <c r="BT45" s="4" t="n">
        <f aca="false">BT17</f>
        <v>11.6696133627988</v>
      </c>
      <c r="BU45" s="4" t="n">
        <f aca="false">BU17</f>
        <v>1.16696133627988</v>
      </c>
      <c r="BV45" s="4" t="n">
        <f aca="false">BV17</f>
        <v>0.116696133627988</v>
      </c>
      <c r="BW45" s="4" t="n">
        <f aca="false">BW17</f>
        <v>2579.20394104986</v>
      </c>
      <c r="BX45" s="4" t="n">
        <f aca="false" t="array" ref="BX45:BX45">SUM(Demand!BX17*Capacity!CR$3:CR$25*Capacity!$DI17/(TRANSPOSE(Dists!$B16:$X16)*MMULT(1/Dists!$B16:$X16,Capacity!$DI$3:$DI$25)))</f>
        <v>0.820476268512043</v>
      </c>
      <c r="BY45" s="4" t="n">
        <f aca="false" t="array" ref="BY45:BY45">SUM(Demand!BY17*Capacity!CS$3:CS$25*Capacity!$DI17/(TRANSPOSE(Dists!$B16:$X16)*MMULT(1/Dists!$B16:$X16,Capacity!$DI$3:$DI$25)))</f>
        <v>108.184482395954</v>
      </c>
      <c r="BZ45" s="4" t="n">
        <f aca="false" t="array" ref="BZ45:BZ45">SUM(Demand!BZ17*Capacity!CT$3:CT$25*Capacity!$DI17/(TRANSPOSE(Dists!$B16:$X16)*MMULT(1/Dists!$B16:$X16,Capacity!$DI$3:$DI$25)))</f>
        <v>0.16574403679336</v>
      </c>
      <c r="CA45" s="4" t="n">
        <f aca="false" t="array" ref="CA45:CA45">SUM(Demand!CA17*Capacity!CU$3:CU$25*Capacity!$DI17/(TRANSPOSE(Dists!$B16:$X16)*MMULT(1/Dists!$B16:$X16,Capacity!$DI$3:$DI$25)))</f>
        <v>0.185662383539582</v>
      </c>
      <c r="CB45" s="4" t="n">
        <f aca="false" t="array" ref="CB45:CB45">SUM(Demand!CB17*Capacity!CV$3:CV$25*Capacity!$DI17/(TRANSPOSE(Dists!$B16:$X16)*MMULT(1/Dists!$B16:$X16,Capacity!$DI$3:$DI$25)))</f>
        <v>849.858961016107</v>
      </c>
      <c r="CC45" s="4" t="n">
        <f aca="false" t="array" ref="CC45:CC45">SUM(Demand!CC17*Capacity!CW$3:CW$25*Capacity!$DI17/(TRANSPOSE(Dists!$B16:$X16)*MMULT(1/Dists!$B16:$X16,Capacity!$DI$3:$DI$25)))</f>
        <v>894.856002655957</v>
      </c>
      <c r="CD45" s="4" t="n">
        <f aca="false">SUM($BG45,$BI45,$BK45)*Capacity!CX17/SUM(Capacity!$AM17:$AN17,Capacity!$CX17)</f>
        <v>109.680759048412</v>
      </c>
      <c r="CE45" s="4" t="n">
        <f aca="false" t="array" ref="CE45:CE45">SUM(Demand!CE17*Capacity!CY$3:CY$25*Capacity!$DI17/(TRANSPOSE(Dists!$B16:$X16)*MMULT(1/Dists!$B16:$X16,Capacity!$DI$3:$DI$25)))</f>
        <v>1.11023295819298</v>
      </c>
      <c r="CF45" s="4" t="n">
        <f aca="false" t="array" ref="CF45:CF45">SUM(Demand!CF17*Capacity!CZ$3:CZ$25*Capacity!$DI17/(TRANSPOSE(Dists!$B16:$X16)*MMULT(1/Dists!$B16:$X16,Capacity!$DI$3:$DI$25)))</f>
        <v>387.218805819007</v>
      </c>
      <c r="CG45" s="4" t="n">
        <f aca="false" t="array" ref="CG45:CG45">SUM(Demand!CG17*Capacity!DA$3:DA$25*Capacity!$DI17/(TRANSPOSE(Dists!$B16:$X16)*MMULT(1/Dists!$B16:$X16,Capacity!$DI$3:$DI$25)))</f>
        <v>1.35281497243123</v>
      </c>
      <c r="CH45" s="4" t="n">
        <f aca="false" t="array" ref="CH45:CH45">SUM(Demand!CH17*Capacity!DB$3:DB$25*Capacity!$DI17/(TRANSPOSE(Dists!$B16:$X16)*MMULT(1/Dists!$B16:$X16,Capacity!$DI$3:$DI$25)))</f>
        <v>0.090142764194773</v>
      </c>
      <c r="CI45" s="4" t="n">
        <f aca="false" t="array" ref="CI45:CI45">SUM(Demand!CI17*Capacity!DC$3:DC$25*Capacity!$DI17/(TRANSPOSE(Dists!$B16:$X16)*MMULT(1/Dists!$B16:$X16,Capacity!$DI$3:$DI$25)))</f>
        <v>0.119774364807676</v>
      </c>
      <c r="CJ45" s="4" t="n">
        <f aca="false" t="array" ref="CJ45:CJ45">SUM(Demand!CJ17*Capacity!DD$3:DD$25*Capacity!$DI17/(TRANSPOSE(Dists!$B16:$X16)*MMULT(1/Dists!$B16:$X16,Capacity!$DI$3:$DI$25)))</f>
        <v>0.0529189972980298</v>
      </c>
      <c r="CK45" s="4" t="n">
        <f aca="false" t="array" ref="CK45:CK45">SUM(Demand!CK17*Capacity!DE$3:DE$25*Capacity!$DI17/(TRANSPOSE(Dists!$B16:$X16)*MMULT(1/Dists!$B16:$X16,Capacity!$DI$3:$DI$25)))</f>
        <v>0.654181190231723</v>
      </c>
      <c r="CL45" s="7" t="s">
        <v>322</v>
      </c>
    </row>
    <row r="46" s="20" customFormat="true" ht="12.8" hidden="false" customHeight="false" outlineLevel="0" collapsed="false">
      <c r="A46" s="20" t="s">
        <v>152</v>
      </c>
      <c r="B46" s="21" t="s">
        <v>39</v>
      </c>
      <c r="C46" s="20" t="n">
        <f aca="false" t="array" ref="C46:C46">SUM(Demand!C18*Capacity!S$3:S$25*Capacity!$DH18/(TRANSPOSE(Dists!$B17:$X17)*MMULT(1/Dists!$B17:$X17,Capacity!$DH$3:$DH$25)))</f>
        <v>0.0445090787938162</v>
      </c>
      <c r="D46" s="20" t="n">
        <f aca="false" t="array" ref="D46:D46">SUM(Demand!D18*Capacity!V$3:V$25*Capacity!$DH18/(TRANSPOSE(Dists!$B17:$X17)*MMULT(1/Dists!$B17:$X17,Capacity!$DH$3:$DH$25)))</f>
        <v>3546.59443904806</v>
      </c>
      <c r="E46" s="20" t="n">
        <f aca="false" t="array" ref="E46:E46">SUM(Demand!E18*Capacity!Y$3:Y$25*Capacity!$DH18/(TRANSPOSE(Dists!$B17:$X17)*MMULT(1/Dists!$B17:$X17,Capacity!$DH$3:$DH$25)))</f>
        <v>570.375103731161</v>
      </c>
      <c r="F46" s="20" t="n">
        <f aca="false">$E18*Capacity!$M18/(2*(1-Capacity!$H$28)*Capacity!$H18)</f>
        <v>181.058177679513</v>
      </c>
      <c r="G46" s="20" t="n">
        <f aca="false" t="array" ref="G46:G46">SUM(Demand!G18*Capacity!AA$3:AA$25*Capacity!$DH18/(TRANSPOSE(Dists!$B17:$X17)*MMULT(1/Dists!$B17:$X17,Capacity!$DH$3:$DH$25)))</f>
        <v>23.1697404407131</v>
      </c>
      <c r="H46" s="20" t="n">
        <f aca="false" t="array" ref="H46:H46">SUM(Demand!H18*Capacity!AB$3:AB$25*Capacity!$DH18/(TRANSPOSE(Dists!$B17:$X17)*MMULT(1/Dists!$B17:$X17,Capacity!$DH$3:$DH$25)))</f>
        <v>0</v>
      </c>
      <c r="I46" s="20" t="n">
        <f aca="false" t="array" ref="I46:I46">SUM(Demand!I18*Capacity!AC$3:AC$25*Capacity!$DG18/(TRANSPOSE(Dists!$B17:$X17)*MMULT(1/Dists!$B17:$X17,Capacity!$DG$3:$DG$25)))</f>
        <v>4.93539446643765</v>
      </c>
      <c r="J46" s="20" t="n">
        <f aca="false" t="array" ref="J46:J46">SUM(Demand!J18*Capacity!AD$3:AD$25*Capacity!$DG18/(TRANSPOSE(Dists!$B17:$X17)*MMULT(1/Dists!$B17:$X17,Capacity!$DG$3:$DG$25)))</f>
        <v>0.953797080797529</v>
      </c>
      <c r="K46" s="20" t="n">
        <f aca="false">5479.45205479452*$R18</f>
        <v>1470427.80583001</v>
      </c>
      <c r="L46" s="20" t="n">
        <f aca="false">17142.8571428571*$S18</f>
        <v>489547.439710506</v>
      </c>
      <c r="M46" s="20" t="n">
        <f aca="false">IF(50420.1680672269*$T18&gt;($K18/20),50420.1680672269*$T18-($K18/20),0)</f>
        <v>731214.12704084</v>
      </c>
      <c r="N46" s="20" t="n">
        <f aca="false" t="array" ref="N46:N46">SUM(Demand!N18*Capacity!AH$3:AH$25*Capacity!$DH18/(TRANSPOSE(Dists!$B17:$X17)*MMULT(1/Dists!$B17:$X17,Capacity!$DH$3:$DH$25)))</f>
        <v>1081.45681017266</v>
      </c>
      <c r="O46" s="22" t="n">
        <f aca="false">O18</f>
        <v>2364.39629269871</v>
      </c>
      <c r="P46" s="22" t="n">
        <f aca="false">P18</f>
        <v>945.758517079484</v>
      </c>
      <c r="Q46" s="20" t="n">
        <f aca="false" t="array" ref="Q46:Q46">SUM(Demand!Q18*Capacity!AK$3:AK$25*Capacity!$DI18/(TRANSPOSE(Dists!$B17:$X17)*MMULT(1/Dists!$B17:$X17,Capacity!$DI$3:$DI$25)))</f>
        <v>0.390932697953133</v>
      </c>
      <c r="R46" s="20" t="n">
        <f aca="false" t="array" ref="R46:R46">SUM(Demand!R18*Capacity!AL$3:AL$25*Capacity!$DH18/(TRANSPOSE(Dists!$B17:$X17)*MMULT(1/Dists!$B17:$X17,Capacity!$DH$3:$DH$25)))</f>
        <v>281.192247663853</v>
      </c>
      <c r="S46" s="20" t="n">
        <f aca="false">SUM($BG46,$BI46,$BK46)*Capacity!AM18/SUM(Capacity!$AM18:$AN18,Capacity!$CX18)</f>
        <v>28.5569339831129</v>
      </c>
      <c r="T46" s="20" t="n">
        <f aca="false">SUM($BG46,$BI46,$BK46)*Capacity!AN18/SUM(Capacity!$AM18:$AN18,Capacity!$CX18)</f>
        <v>15.9605877604248</v>
      </c>
      <c r="U46" s="20" t="n">
        <f aca="false">$M18*120*2/(16*1000*2000)</f>
        <v>5.4841059528063</v>
      </c>
      <c r="V46" s="20" t="n">
        <f aca="false" t="array" ref="V46:V46">SUM(Demand!V18*Capacity!AP$3:AP$25*Capacity!$DH18/(TRANSPOSE(Dists!$B17:$X17)*MMULT(1/Dists!$B17:$X17,Capacity!$DH$3:$DH$25)))</f>
        <v>276.973294641597</v>
      </c>
      <c r="W46" s="20" t="n">
        <f aca="false" t="array" ref="W46:W46">SUM(Demand!W18*Capacity!AQ$3:AQ$25*Capacity!$DH18/(TRANSPOSE(Dists!$B17:$X17)*MMULT(1/Dists!$B17:$X17,Capacity!$DH$3:$DH$25)))</f>
        <v>454.193154265491</v>
      </c>
      <c r="X46" s="20" t="n">
        <f aca="false" t="array" ref="X46:X46">SUM(Demand!X18*Capacity!AR$3:AR$25*Capacity!$DH18/(TRANSPOSE(Dists!$B17:$X17)*MMULT(1/Dists!$B17:$X17,Capacity!$DH$3:$DH$25)))</f>
        <v>2923.75615443285</v>
      </c>
      <c r="Y46" s="20" t="n">
        <f aca="false">$L18*600*6/(90*1000*2000)</f>
        <v>9.79094879421012</v>
      </c>
      <c r="Z46" s="20" t="n">
        <f aca="false" t="array" ref="Z46:Z46">SUM(Demand!Z18*Capacity!AT$3:AT$25*Capacity!$DI18/(TRANSPOSE(Dists!$B17:$X17)*MMULT(1/Dists!$B17:$X17,Capacity!$DI$3:$DI$25)))</f>
        <v>38.7160432627618</v>
      </c>
      <c r="AA46" s="20" t="n">
        <f aca="false" t="array" ref="AA46:AA46">SUM(Demand!AA18*Capacity!AU$3:AU$25*Capacity!$DI18/(TRANSPOSE(Dists!$B17:$X17)*MMULT(1/Dists!$B17:$X17,Capacity!$DI$3:$DI$25)))</f>
        <v>48.8239390222761</v>
      </c>
      <c r="AB46" s="20" t="n">
        <f aca="false" t="array" ref="AB46:AB46">SUM(Demand!AB18*Capacity!AV$3:AV$25*Capacity!$DI18/(TRANSPOSE(Dists!$B17:$X17)*MMULT(1/Dists!$B17:$X17,Capacity!$DI$3:$DI$25)))</f>
        <v>39.9173425545442</v>
      </c>
      <c r="AC46" s="20" t="n">
        <f aca="false" t="array" ref="AC46:AC46">SUM(Demand!AC18*Capacity!AW$3:AW$25*Capacity!$DI18/(TRANSPOSE(Dists!$B17:$X17)*MMULT(1/Dists!$B17:$X17,Capacity!$DI$3:$DI$25)))</f>
        <v>6.0761781129641</v>
      </c>
      <c r="AD46" s="20" t="n">
        <f aca="false" t="array" ref="AD46:AD46">SUM(Demand!AD18*Capacity!AX$3:AX$25*Capacity!$DI18/(TRANSPOSE(Dists!$B17:$X17)*MMULT(1/Dists!$B17:$X17,Capacity!$DI$3:$DI$25)))</f>
        <v>6.53489457412881</v>
      </c>
      <c r="AE46" s="20" t="n">
        <f aca="false" t="array" ref="AE46:AE46">SUM(Demand!AE18*Capacity!AY$3:AY$25*Capacity!$DI18/(TRANSPOSE(Dists!$B17:$X17)*MMULT(1/Dists!$B17:$X17,Capacity!$DI$3:$DI$25)))</f>
        <v>0.746261698612229</v>
      </c>
      <c r="AF46" s="20" t="n">
        <f aca="false" t="array" ref="AF46:AF46">SUM(Demand!AF18*Capacity!AZ$3:AZ$25*Capacity!$DI18/(TRANSPOSE(Dists!$B17:$X17)*MMULT(1/Dists!$B17:$X17,Capacity!$DI$3:$DI$25)))</f>
        <v>0.722181531633187</v>
      </c>
      <c r="AG46" s="20" t="n">
        <f aca="false" t="array" ref="AG46:AG46">SUM(Demand!AG18*Capacity!BA$3:BA$25*Capacity!$DI18/(TRANSPOSE(Dists!$B17:$X17)*MMULT(1/Dists!$B17:$X17,Capacity!$DI$3:$DI$25)))</f>
        <v>4.83627718480924</v>
      </c>
      <c r="AH46" s="20" t="n">
        <f aca="false" t="array" ref="AH46:AH46">SUM(Demand!AH18*Capacity!BB$3:BB$25*Capacity!$DI18/(TRANSPOSE(Dists!$B17:$X17)*MMULT(1/Dists!$B17:$X17,Capacity!$DI$3:$DI$25)))</f>
        <v>0.701379595793869</v>
      </c>
      <c r="AI46" s="20" t="n">
        <f aca="false" t="array" ref="AI46:AI46">SUM(Demand!AI18*Capacity!BC$3:BC$25*Capacity!$DI18/(TRANSPOSE(Dists!$B17:$X17)*MMULT(1/Dists!$B17:$X17,Capacity!$DI$3:$DI$25)))</f>
        <v>0.343021776757652</v>
      </c>
      <c r="AJ46" s="20" t="n">
        <f aca="false" t="array" ref="AJ46:AJ46">SUM(Demand!AJ18*Capacity!BD$3:BD$25*Capacity!$DI18/(TRANSPOSE(Dists!$B17:$X17)*MMULT(1/Dists!$B17:$X17,Capacity!$DI$3:$DI$25)))</f>
        <v>1.55848159355795</v>
      </c>
      <c r="AK46" s="20" t="n">
        <f aca="false" t="array" ref="AK46:AK46">SUM(Demand!AK18*Capacity!BE$3:BE$25*Capacity!$DI18/(TRANSPOSE(Dists!$B17:$X17)*MMULT(1/Dists!$B17:$X17,Capacity!$DI$3:$DI$25)))</f>
        <v>0.878729459493688</v>
      </c>
      <c r="AL46" s="20" t="n">
        <f aca="false" t="array" ref="AL46:AL46">SUM(Demand!AL18*Capacity!BF$3:BF$25*Capacity!$DI18/(TRANSPOSE(Dists!$B17:$X17)*MMULT(1/Dists!$B17:$X17,Capacity!$DI$3:$DI$25)))</f>
        <v>0.326877828863075</v>
      </c>
      <c r="AM46" s="20" t="n">
        <f aca="false" t="array" ref="AM46:AM46">SUM(Demand!AM18*Capacity!BG$3:BG$25*Capacity!$DI18/(TRANSPOSE(Dists!$B17:$X17)*MMULT(1/Dists!$B17:$X17,Capacity!$DI$3:$DI$25)))</f>
        <v>0.739075979575286</v>
      </c>
      <c r="AN46" s="20" t="n">
        <f aca="false" t="array" ref="AN46:AN46">SUM(Demand!AN18*Capacity!BH$3:BH$25*Capacity!$DI18/(TRANSPOSE(Dists!$B17:$X17)*MMULT(1/Dists!$B17:$X17,Capacity!$DI$3:$DI$25)))</f>
        <v>0.37854145280026</v>
      </c>
      <c r="AO46" s="20" t="n">
        <f aca="false" t="array" ref="AO46:AO46">SUM(Demand!AO18*Capacity!BI$3:BI$25*Capacity!$DI18/(TRANSPOSE(Dists!$B17:$X17)*MMULT(1/Dists!$B17:$X17,Capacity!$DI$3:$DI$25)))</f>
        <v>2.0431421729056</v>
      </c>
      <c r="AP46" s="20" t="n">
        <f aca="false" t="array" ref="AP46:AP46">SUM(Demand!AP18*Capacity!BJ$3:BJ$25*Capacity!$DI18/(TRANSPOSE(Dists!$B17:$X17)*MMULT(1/Dists!$B17:$X17,Capacity!$DI$3:$DI$25)))</f>
        <v>0.787569706087175</v>
      </c>
      <c r="AQ46" s="20" t="n">
        <f aca="false" t="array" ref="AQ46:AQ46">SUM(Demand!AQ18*Capacity!BK$3:BK$25*Capacity!$DI18/(TRANSPOSE(Dists!$B17:$X17)*MMULT(1/Dists!$B17:$X17,Capacity!$DI$3:$DI$25)))</f>
        <v>0.22482259855826</v>
      </c>
      <c r="AR46" s="20" t="n">
        <f aca="false" t="array" ref="AR46:AR46">SUM(Demand!AR18*Capacity!BL$3:BL$25*Capacity!$DI18/(TRANSPOSE(Dists!$B17:$X17)*MMULT(1/Dists!$B17:$X17,Capacity!$DI$3:$DI$25)))</f>
        <v>0.158896395280866</v>
      </c>
      <c r="AS46" s="20" t="n">
        <f aca="false" t="array" ref="AS46:AS46">SUM(Demand!AS18*Capacity!BM$3:BM$25*Capacity!$DI18/(TRANSPOSE(Dists!$B17:$X17)*MMULT(1/Dists!$B17:$X17,Capacity!$DI$3:$DI$25)))</f>
        <v>0.348806300324907</v>
      </c>
      <c r="AT46" s="20" t="n">
        <f aca="false" t="array" ref="AT46:AT46">SUM(Demand!AT18*Capacity!BN$3:BN$25*Capacity!$DI18/(TRANSPOSE(Dists!$B17:$X17)*MMULT(1/Dists!$B17:$X17,Capacity!$DI$3:$DI$25)))</f>
        <v>2.58770268906585</v>
      </c>
      <c r="AU46" s="20" t="n">
        <f aca="false" t="array" ref="AU46:AU46">SUM(Demand!AU18*Capacity!BO$3:BO$25*Capacity!$DI18/(TRANSPOSE(Dists!$B17:$X17)*MMULT(1/Dists!$B17:$X17,Capacity!$DI$3:$DI$25)))</f>
        <v>0.369828062805069</v>
      </c>
      <c r="AV46" s="20" t="n">
        <f aca="false" t="array" ref="AV46:AV46">SUM(Demand!AV18*Capacity!BP$3:BP$25*Capacity!$DI18/(TRANSPOSE(Dists!$B17:$X17)*MMULT(1/Dists!$B17:$X17,Capacity!$DI$3:$DI$25)))</f>
        <v>0.0658439125530914</v>
      </c>
      <c r="AW46" s="20" t="n">
        <f aca="false" t="array" ref="AW46:AW46">SUM(Demand!AW18*Capacity!BQ$3:BQ$25*Capacity!$DI18/(TRANSPOSE(Dists!$B17:$X17)*MMULT(1/Dists!$B17:$X17,Capacity!$DI$3:$DI$25)))</f>
        <v>3.15546283537724</v>
      </c>
      <c r="AX46" s="20" t="n">
        <f aca="false" t="array" ref="AX46:AX46">SUM(Demand!AX18*Capacity!BR$3:BR$25*Capacity!$DI18/(TRANSPOSE(Dists!$B17:$X17)*MMULT(1/Dists!$B17:$X17,Capacity!$DI$3:$DI$25)))</f>
        <v>0.0662057661080889</v>
      </c>
      <c r="AY46" s="20" t="n">
        <f aca="false" t="array" ref="AY46:AY46">SUM(Demand!AY18*Capacity!BS$3:BS$25*Capacity!$DI18/(TRANSPOSE(Dists!$B17:$X17)*MMULT(1/Dists!$B17:$X17,Capacity!$DI$3:$DI$25)))</f>
        <v>0.426198631729111</v>
      </c>
      <c r="AZ46" s="20" t="n">
        <f aca="false" t="array" ref="AZ46:AZ46">SUM(Demand!AZ18*Capacity!BT$3:BT$25*Capacity!$DI18/(TRANSPOSE(Dists!$B17:$X17)*MMULT(1/Dists!$B17:$X17,Capacity!$DI$3:$DI$25)))</f>
        <v>2.20445388607362</v>
      </c>
      <c r="BA46" s="20" t="n">
        <f aca="false">BA18</f>
        <v>0.119987117576104</v>
      </c>
      <c r="BB46" s="20" t="n">
        <f aca="false" t="array" ref="BB46:BB46">SUM(Demand!BB18*Capacity!BV$3:BV$25*Capacity!$DI18/(TRANSPOSE(Dists!$B17:$X17)*MMULT(1/Dists!$B17:$X17,Capacity!$DI$3:$DI$25)))</f>
        <v>0.140430012599974</v>
      </c>
      <c r="BC46" s="20" t="n">
        <f aca="false" t="array" ref="BC46:BC46">SUM(Demand!BC18*Capacity!BW$3:BW$25*Capacity!$DI18/(TRANSPOSE(Dists!$B17:$X17)*MMULT(1/Dists!$B17:$X17,Capacity!$DI$3:$DI$25)))</f>
        <v>0.256745375686215</v>
      </c>
      <c r="BD46" s="20" t="n">
        <f aca="false" t="array" ref="BD46:BD46">SUM(Demand!BD18*Capacity!BX$3:BX$25*Capacity!$DI18/(TRANSPOSE(Dists!$B17:$X17)*MMULT(1/Dists!$B17:$X17,Capacity!$DI$3:$DI$25)))</f>
        <v>0.171309939525657</v>
      </c>
      <c r="BE46" s="20" t="n">
        <f aca="false" t="array" ref="BE46:BE46">SUM(Demand!BE18*Capacity!BY$3:BY$25*Capacity!$DI18/(TRANSPOSE(Dists!$B17:$X17)*MMULT(1/Dists!$B17:$X17,Capacity!$DI$3:$DI$25)))</f>
        <v>0.129566468154671</v>
      </c>
      <c r="BF46" s="20" t="n">
        <f aca="false" t="array" ref="BF46:BF46">SUM(Demand!BF18*Capacity!BZ$3:BZ$25*Capacity!$DI18/(TRANSPOSE(Dists!$B17:$X17)*MMULT(1/Dists!$B17:$X17,Capacity!$DI$3:$DI$25)))</f>
        <v>4.96381790738841</v>
      </c>
      <c r="BG46" s="20" t="n">
        <f aca="false" t="array" ref="BG46:BG46">SUM(Demand!BG18*Capacity!CA$3:CA$25*Capacity!$DI18/(TRANSPOSE(Dists!$B17:$X17)*MMULT(1/Dists!$B17:$X17,Capacity!$DI$3:$DI$25)))</f>
        <v>29.7380137503212</v>
      </c>
      <c r="BH46" s="20" t="n">
        <f aca="false" t="array" ref="BH46:BH46">SUM(Demand!BH18*Capacity!CB$3:CB$25*Capacity!$DI18/(TRANSPOSE(Dists!$B17:$X17)*MMULT(1/Dists!$B17:$X17,Capacity!$DI$3:$DI$25)))</f>
        <v>59.4760275006424</v>
      </c>
      <c r="BI46" s="20" t="n">
        <f aca="false" t="array" ref="BI46:BI46">SUM(Demand!BI18*Capacity!CC$3:CC$25*Capacity!$DI18/(TRANSPOSE(Dists!$B17:$X17)*MMULT(1/Dists!$B17:$X17,Capacity!$DI$3:$DI$25)))</f>
        <v>79.3013700008566</v>
      </c>
      <c r="BJ46" s="20" t="n">
        <f aca="false" t="array" ref="BJ46:BJ46">SUM(Demand!BJ18*Capacity!CD$3:CD$25*Capacity!$DI18/(TRANSPOSE(Dists!$B17:$X17)*MMULT(1/Dists!$B17:$X17,Capacity!$DI$3:$DI$25)))</f>
        <v>967.690583267223</v>
      </c>
      <c r="BK46" s="20" t="n">
        <f aca="false" t="array" ref="BK46:BK46">SUM(Demand!BK18*Capacity!CE$3:CE$25*Capacity!$DI18/(TRANSPOSE(Dists!$B17:$X17)*MMULT(1/Dists!$B17:$X17,Capacity!$DI$3:$DI$25)))</f>
        <v>39.6506850004283</v>
      </c>
      <c r="BL46" s="20" t="n">
        <f aca="false" t="array" ref="BL46:BL46">SUM(Demand!BL18*Capacity!CF$3:CF$25*Capacity!$DI18/(TRANSPOSE(Dists!$B17:$X17)*MMULT(1/Dists!$B17:$X17,Capacity!$DI$3:$DI$25)))</f>
        <v>880.090378795184</v>
      </c>
      <c r="BM46" s="20" t="n">
        <f aca="false" t="array" ref="BM46:BM46">SUM(Demand!BM18*Capacity!CG$3:CG$25*Capacity!$DI18/(TRANSPOSE(Dists!$B17:$X17)*MMULT(1/Dists!$B17:$X17,Capacity!$DI$3:$DI$25)))</f>
        <v>55.2086570733191</v>
      </c>
      <c r="BN46" s="20" t="n">
        <f aca="false">BN18</f>
        <v>14028.4334473254</v>
      </c>
      <c r="BO46" s="20" t="n">
        <f aca="false" t="array" ref="BO46:BO46">SUM(Demand!BO18*Capacity!CI$3:CI$25*Capacity!$DI18/(TRANSPOSE(Dists!$B17:$X17)*MMULT(1/Dists!$B17:$X17,Capacity!$DI$3:$DI$25)))</f>
        <v>17.0443328416345</v>
      </c>
      <c r="BP46" s="20" t="n">
        <f aca="false" t="array" ref="BP46:BP46">SUM(Demand!BP18*Capacity!CJ$3:CJ$25*Capacity!$DI18/(TRANSPOSE(Dists!$B17:$X17)*MMULT(1/Dists!$B17:$X17,Capacity!$DI$3:$DI$25)))</f>
        <v>17.873900347504</v>
      </c>
      <c r="BQ46" s="22" t="n">
        <f aca="false" t="array" ref="BQ46:BQ46">SUM(Demand!BQ18*Capacity!CK$3:CK$25*Capacity!$DI18/(TRANSPOSE(Dists!$B17:$X17)*MMULT(1/Dists!$B17:$X17,Capacity!$DI$3:$DI$25)))</f>
        <v>0</v>
      </c>
      <c r="BR46" s="20" t="n">
        <f aca="false" t="array" ref="BR46:BR46">SUM(Demand!BR18*Capacity!CL$3:CL$25*Capacity!$DI18/(TRANSPOSE(Dists!$B17:$X17)*MMULT(1/Dists!$B17:$X17,Capacity!$DI$3:$DI$25)))</f>
        <v>0.568144604128487</v>
      </c>
      <c r="BS46" s="20" t="n">
        <f aca="false" t="array" ref="BS46:BS46">SUM(Demand!BS18*Capacity!CM$3:CM$25*Capacity!$DI18/(TRANSPOSE(Dists!$B17:$X17)*MMULT(1/Dists!$B17:$X17,Capacity!$DI$3:$DI$25)))</f>
        <v>0.0568144604128486</v>
      </c>
      <c r="BT46" s="20" t="n">
        <f aca="false">BT18</f>
        <v>11.6777237036039</v>
      </c>
      <c r="BU46" s="20" t="n">
        <f aca="false">BU18</f>
        <v>1.16777237036039</v>
      </c>
      <c r="BV46" s="20" t="n">
        <f aca="false">BV18</f>
        <v>0.116777237036038</v>
      </c>
      <c r="BW46" s="20" t="n">
        <f aca="false">BW18</f>
        <v>2469.12745634667</v>
      </c>
      <c r="BX46" s="20" t="n">
        <f aca="false" t="array" ref="BX46:BX46">SUM(Demand!BX18*Capacity!CR$3:CR$25*Capacity!$DI18/(TRANSPOSE(Dists!$B17:$X17)*MMULT(1/Dists!$B17:$X17,Capacity!$DI$3:$DI$25)))</f>
        <v>6.97205895525388</v>
      </c>
      <c r="BY46" s="20" t="n">
        <f aca="false" t="array" ref="BY46:BY46">SUM(Demand!BY18*Capacity!CS$3:CS$25*Capacity!$DI18/(TRANSPOSE(Dists!$B17:$X17)*MMULT(1/Dists!$B17:$X17,Capacity!$DI$3:$DI$25)))</f>
        <v>129.93381571067</v>
      </c>
      <c r="BZ46" s="20" t="n">
        <f aca="false" t="array" ref="BZ46:BZ46">SUM(Demand!BZ18*Capacity!CT$3:CT$25*Capacity!$DI18/(TRANSPOSE(Dists!$B17:$X17)*MMULT(1/Dists!$B17:$X17,Capacity!$DI$3:$DI$25)))</f>
        <v>0.566832077685561</v>
      </c>
      <c r="CA46" s="20" t="n">
        <f aca="false" t="array" ref="CA46:CA46">SUM(Demand!CA18*Capacity!CU$3:CU$25*Capacity!$DI18/(TRANSPOSE(Dists!$B17:$X17)*MMULT(1/Dists!$B17:$X17,Capacity!$DI$3:$DI$25)))</f>
        <v>0.0461149466066282</v>
      </c>
      <c r="CB46" s="20" t="n">
        <f aca="false" t="array" ref="CB46:CB46">SUM(Demand!CB18*Capacity!CV$3:CV$25*Capacity!$DI18/(TRANSPOSE(Dists!$B17:$X17)*MMULT(1/Dists!$B17:$X17,Capacity!$DI$3:$DI$25)))</f>
        <v>612.16380431396</v>
      </c>
      <c r="CC46" s="20" t="n">
        <f aca="false" t="array" ref="CC46:CC46">SUM(Demand!CC18*Capacity!CW$3:CW$25*Capacity!$DI18/(TRANSPOSE(Dists!$B17:$X17)*MMULT(1/Dists!$B17:$X17,Capacity!$DI$3:$DI$25)))</f>
        <v>660.790429672269</v>
      </c>
      <c r="CD46" s="20" t="n">
        <f aca="false">SUM($BG46,$BI46,$BK46)*Capacity!CX18/SUM(Capacity!$AM18:$AN18,Capacity!$CX18)</f>
        <v>104.172547008068</v>
      </c>
      <c r="CE46" s="20" t="n">
        <f aca="false" t="array" ref="CE46:CE46">SUM(Demand!CE18*Capacity!CY$3:CY$25*Capacity!$DI18/(TRANSPOSE(Dists!$B17:$X17)*MMULT(1/Dists!$B17:$X17,Capacity!$DI$3:$DI$25)))</f>
        <v>5.87279881983369</v>
      </c>
      <c r="CF46" s="20" t="n">
        <f aca="false" t="array" ref="CF46:CF46">SUM(Demand!CF18*Capacity!CZ$3:CZ$25*Capacity!$DI18/(TRANSPOSE(Dists!$B17:$X17)*MMULT(1/Dists!$B17:$X17,Capacity!$DI$3:$DI$25)))</f>
        <v>705.683034661778</v>
      </c>
      <c r="CG46" s="20" t="n">
        <f aca="false" t="array" ref="CG46:CG46">SUM(Demand!CG18*Capacity!DA$3:DA$25*Capacity!$DI18/(TRANSPOSE(Dists!$B17:$X17)*MMULT(1/Dists!$B17:$X17,Capacity!$DI$3:$DI$25)))</f>
        <v>2.56165830148667</v>
      </c>
      <c r="CH46" s="20" t="n">
        <f aca="false" t="array" ref="CH46:CH46">SUM(Demand!CH18*Capacity!DB$3:DB$25*Capacity!$DI18/(TRANSPOSE(Dists!$B17:$X17)*MMULT(1/Dists!$B17:$X17,Capacity!$DI$3:$DI$25)))</f>
        <v>3.43991714639343</v>
      </c>
      <c r="CI46" s="20" t="n">
        <f aca="false" t="array" ref="CI46:CI46">SUM(Demand!CI18*Capacity!DC$3:DC$25*Capacity!$DI18/(TRANSPOSE(Dists!$B17:$X17)*MMULT(1/Dists!$B17:$X17,Capacity!$DI$3:$DI$25)))</f>
        <v>0.288463794679013</v>
      </c>
      <c r="CJ46" s="20" t="n">
        <f aca="false" t="array" ref="CJ46:CJ46">SUM(Demand!CJ18*Capacity!DD$3:DD$25*Capacity!$DI18/(TRANSPOSE(Dists!$B17:$X17)*MMULT(1/Dists!$B17:$X17,Capacity!$DI$3:$DI$25)))</f>
        <v>0.0627010527902494</v>
      </c>
      <c r="CK46" s="20" t="n">
        <f aca="false" t="array" ref="CK46:CK46">SUM(Demand!CK18*Capacity!DE$3:DE$25*Capacity!$DI18/(TRANSPOSE(Dists!$B17:$X17)*MMULT(1/Dists!$B17:$X17,Capacity!$DI$3:$DI$25)))</f>
        <v>5.23220887446317</v>
      </c>
      <c r="CL46" s="21" t="s">
        <v>322</v>
      </c>
      <c r="AMJ46" s="17"/>
    </row>
    <row r="47" customFormat="false" ht="12.8" hidden="false" customHeight="false" outlineLevel="0" collapsed="false">
      <c r="A47" s="4" t="s">
        <v>153</v>
      </c>
      <c r="B47" s="7" t="s">
        <v>39</v>
      </c>
      <c r="C47" s="4" t="n">
        <f aca="false" t="array" ref="C47:C47">SUM(Demand!C19*Capacity!S$3:S$25*Capacity!$DH19/(TRANSPOSE(Dists!$B18:$X18)*MMULT(1/Dists!$B18:$X18,Capacity!$DH$3:$DH$25)))</f>
        <v>0.0161928946066062</v>
      </c>
      <c r="D47" s="4" t="n">
        <f aca="false" t="array" ref="D47:D47">SUM(Demand!D19*Capacity!V$3:V$25*Capacity!$DH19/(TRANSPOSE(Dists!$B18:$X18)*MMULT(1/Dists!$B18:$X18,Capacity!$DH$3:$DH$25)))</f>
        <v>1809.24783770781</v>
      </c>
      <c r="E47" s="4" t="n">
        <f aca="false" t="array" ref="E47:E47">SUM(Demand!E19*Capacity!Y$3:Y$25*Capacity!$DH19/(TRANSPOSE(Dists!$B18:$X18)*MMULT(1/Dists!$B18:$X18,Capacity!$DH$3:$DH$25)))</f>
        <v>317.52740648285</v>
      </c>
      <c r="F47" s="4" t="n">
        <f aca="false">$E19*Capacity!$M19/(2*(1-Capacity!$H$28)*Capacity!$H19)</f>
        <v>72.4715716489013</v>
      </c>
      <c r="G47" s="4" t="n">
        <f aca="false" t="array" ref="G47:G47">SUM(Demand!G19*Capacity!AA$3:AA$25*Capacity!$DH19/(TRANSPOSE(Dists!$B18:$X18)*MMULT(1/Dists!$B18:$X18,Capacity!$DH$3:$DH$25)))</f>
        <v>93.1884412592909</v>
      </c>
      <c r="H47" s="4" t="n">
        <f aca="false" t="array" ref="H47:H47">SUM(Demand!H19*Capacity!AB$3:AB$25*Capacity!$DH19/(TRANSPOSE(Dists!$B18:$X18)*MMULT(1/Dists!$B18:$X18,Capacity!$DH$3:$DH$25)))</f>
        <v>0</v>
      </c>
      <c r="I47" s="4" t="n">
        <f aca="false" t="array" ref="I47:I47">SUM(Demand!I19*Capacity!AC$3:AC$25*Capacity!$DG19/(TRANSPOSE(Dists!$B18:$X18)*MMULT(1/Dists!$B18:$X18,Capacity!$DG$3:$DG$25)))</f>
        <v>1.39483278115671</v>
      </c>
      <c r="J47" s="4" t="n">
        <f aca="false" t="array" ref="J47:J47">SUM(Demand!J19*Capacity!AD$3:AD$25*Capacity!$DG19/(TRANSPOSE(Dists!$B18:$X18)*MMULT(1/Dists!$B18:$X18,Capacity!$DG$3:$DG$25)))</f>
        <v>0.611239242101857</v>
      </c>
      <c r="K47" s="4" t="n">
        <f aca="false">5479.45205479452*$R19</f>
        <v>644370.911336741</v>
      </c>
      <c r="L47" s="4" t="n">
        <f aca="false">17142.8571428571*$S19</f>
        <v>215392.689585542</v>
      </c>
      <c r="M47" s="4" t="n">
        <f aca="false">IF(50420.1680672269*$T19&gt;($K19/20),50420.1680672269*$T19-($K19/20),0)</f>
        <v>321851.629094329</v>
      </c>
      <c r="N47" s="4" t="n">
        <f aca="false" t="array" ref="N47:N47">SUM(Demand!N19*Capacity!AH$3:AH$25*Capacity!$DH19/(TRANSPOSE(Dists!$B18:$X18)*MMULT(1/Dists!$B18:$X18,Capacity!$DH$3:$DH$25)))</f>
        <v>644.662797066886</v>
      </c>
      <c r="O47" s="4" t="n">
        <f aca="false">O19</f>
        <v>1206.16522513854</v>
      </c>
      <c r="P47" s="4" t="n">
        <f aca="false">P19</f>
        <v>482.466090055417</v>
      </c>
      <c r="Q47" s="4" t="n">
        <f aca="false" t="array" ref="Q47:Q47">SUM(Demand!Q19*Capacity!AK$3:AK$25*Capacity!$DI19/(TRANSPOSE(Dists!$B18:$X18)*MMULT(1/Dists!$B18:$X18,Capacity!$DI$3:$DI$25)))</f>
        <v>2.4327213554001</v>
      </c>
      <c r="R47" s="4" t="n">
        <f aca="false" t="array" ref="R47:R47">SUM(Demand!R19*Capacity!AL$3:AL$25*Capacity!$DH19/(TRANSPOSE(Dists!$B18:$X18)*MMULT(1/Dists!$B18:$X18,Capacity!$DH$3:$DH$25)))</f>
        <v>155.341757757988</v>
      </c>
      <c r="S47" s="4" t="n">
        <f aca="false">SUM($BG47,$BI47,$BK47)*Capacity!AM19/SUM(Capacity!$AM19:$AN19,Capacity!$CX19)</f>
        <v>12.5645735591566</v>
      </c>
      <c r="T47" s="4" t="n">
        <f aca="false">SUM($BG47,$BI47,$BK47)*Capacity!AN19/SUM(Capacity!$AM19:$AN19,Capacity!$CX19)</f>
        <v>7.02239179744645</v>
      </c>
      <c r="U47" s="4" t="n">
        <f aca="false">$M19*120*2/(16*1000*2000)</f>
        <v>2.41388721820747</v>
      </c>
      <c r="V47" s="4" t="n">
        <f aca="false" t="array" ref="V47:V47">SUM(Demand!V19*Capacity!AP$3:AP$25*Capacity!$DH19/(TRANSPOSE(Dists!$B18:$X18)*MMULT(1/Dists!$B18:$X18,Capacity!$DH$3:$DH$25)))</f>
        <v>19.8060226652936</v>
      </c>
      <c r="W47" s="4" t="n">
        <f aca="false" t="array" ref="W47:W47">SUM(Demand!W19*Capacity!AQ$3:AQ$25*Capacity!$DH19/(TRANSPOSE(Dists!$B18:$X18)*MMULT(1/Dists!$B18:$X18,Capacity!$DH$3:$DH$25)))</f>
        <v>433.956511078103</v>
      </c>
      <c r="X47" s="4" t="n">
        <f aca="false" t="array" ref="X47:X47">SUM(Demand!X19*Capacity!AR$3:AR$25*Capacity!$DH19/(TRANSPOSE(Dists!$B18:$X18)*MMULT(1/Dists!$B18:$X18,Capacity!$DH$3:$DH$25)))</f>
        <v>708.336988347213</v>
      </c>
      <c r="Y47" s="4" t="n">
        <f aca="false">$L19*600*6/(90*1000*2000)</f>
        <v>4.30785379171084</v>
      </c>
      <c r="Z47" s="4" t="n">
        <f aca="false" t="array" ref="Z47:Z47">SUM(Demand!Z19*Capacity!AT$3:AT$25*Capacity!$DI19/(TRANSPOSE(Dists!$B18:$X18)*MMULT(1/Dists!$B18:$X18,Capacity!$DI$3:$DI$25)))</f>
        <v>36.5141102086564</v>
      </c>
      <c r="AA47" s="4" t="n">
        <f aca="false" t="array" ref="AA47:AA47">SUM(Demand!AA19*Capacity!AU$3:AU$25*Capacity!$DI19/(TRANSPOSE(Dists!$B18:$X18)*MMULT(1/Dists!$B18:$X18,Capacity!$DI$3:$DI$25)))</f>
        <v>26.4066578730292</v>
      </c>
      <c r="AB47" s="4" t="n">
        <f aca="false" t="array" ref="AB47:AB47">SUM(Demand!AB19*Capacity!AV$3:AV$25*Capacity!$DI19/(TRANSPOSE(Dists!$B18:$X18)*MMULT(1/Dists!$B18:$X18,Capacity!$DI$3:$DI$25)))</f>
        <v>22.2219556430816</v>
      </c>
      <c r="AC47" s="4" t="n">
        <f aca="false" t="array" ref="AC47:AC47">SUM(Demand!AC19*Capacity!AW$3:AW$25*Capacity!$DI19/(TRANSPOSE(Dists!$B18:$X18)*MMULT(1/Dists!$B18:$X18,Capacity!$DI$3:$DI$25)))</f>
        <v>5.74867670650987</v>
      </c>
      <c r="AD47" s="4" t="n">
        <f aca="false" t="array" ref="AD47:AD47">SUM(Demand!AD19*Capacity!AX$3:AX$25*Capacity!$DI19/(TRANSPOSE(Dists!$B18:$X18)*MMULT(1/Dists!$B18:$X18,Capacity!$DI$3:$DI$25)))</f>
        <v>3.63797106884244</v>
      </c>
      <c r="AE47" s="4" t="n">
        <f aca="false" t="array" ref="AE47:AE47">SUM(Demand!AE19*Capacity!AY$3:AY$25*Capacity!$DI19/(TRANSPOSE(Dists!$B18:$X18)*MMULT(1/Dists!$B18:$X18,Capacity!$DI$3:$DI$25)))</f>
        <v>4.86504281101781</v>
      </c>
      <c r="AF47" s="4" t="n">
        <f aca="false" t="array" ref="AF47:AF47">SUM(Demand!AF19*Capacity!AZ$3:AZ$25*Capacity!$DI19/(TRANSPOSE(Dists!$B18:$X18)*MMULT(1/Dists!$B18:$X18,Capacity!$DI$3:$DI$25)))</f>
        <v>1.08349970901211</v>
      </c>
      <c r="AG47" s="4" t="n">
        <f aca="false" t="array" ref="AG47:AG47">SUM(Demand!AG19*Capacity!BA$3:BA$25*Capacity!$DI19/(TRANSPOSE(Dists!$B18:$X18)*MMULT(1/Dists!$B18:$X18,Capacity!$DI$3:$DI$25)))</f>
        <v>1.95893563040932</v>
      </c>
      <c r="AH47" s="4" t="n">
        <f aca="false" t="array" ref="AH47:AH47">SUM(Demand!AH19*Capacity!BB$3:BB$25*Capacity!$DI19/(TRANSPOSE(Dists!$B18:$X18)*MMULT(1/Dists!$B18:$X18,Capacity!$DI$3:$DI$25)))</f>
        <v>4.1654327882633</v>
      </c>
      <c r="AI47" s="4" t="n">
        <f aca="false" t="array" ref="AI47:AI47">SUM(Demand!AI19*Capacity!BC$3:BC$25*Capacity!$DI19/(TRANSPOSE(Dists!$B18:$X18)*MMULT(1/Dists!$B18:$X18,Capacity!$DI$3:$DI$25)))</f>
        <v>0.551474958504958</v>
      </c>
      <c r="AJ47" s="4" t="n">
        <f aca="false" t="array" ref="AJ47:AJ47">SUM(Demand!AJ19*Capacity!BD$3:BD$25*Capacity!$DI19/(TRANSPOSE(Dists!$B18:$X18)*MMULT(1/Dists!$B18:$X18,Capacity!$DI$3:$DI$25)))</f>
        <v>0.599767006382317</v>
      </c>
      <c r="AK47" s="4" t="n">
        <f aca="false" t="array" ref="AK47:AK47">SUM(Demand!AK19*Capacity!BE$3:BE$25*Capacity!$DI19/(TRANSPOSE(Dists!$B18:$X18)*MMULT(1/Dists!$B18:$X18,Capacity!$DI$3:$DI$25)))</f>
        <v>1.0122176023933</v>
      </c>
      <c r="AL47" s="4" t="n">
        <f aca="false" t="array" ref="AL47:AL47">SUM(Demand!AL19*Capacity!BF$3:BF$25*Capacity!$DI19/(TRANSPOSE(Dists!$B18:$X18)*MMULT(1/Dists!$B18:$X18,Capacity!$DI$3:$DI$25)))</f>
        <v>0.531145575157416</v>
      </c>
      <c r="AM47" s="4" t="n">
        <f aca="false" t="array" ref="AM47:AM47">SUM(Demand!AM19*Capacity!BG$3:BG$25*Capacity!$DI19/(TRANSPOSE(Dists!$B18:$X18)*MMULT(1/Dists!$B18:$X18,Capacity!$DI$3:$DI$25)))</f>
        <v>0.134482514405504</v>
      </c>
      <c r="AN47" s="4" t="n">
        <f aca="false" t="array" ref="AN47:AN47">SUM(Demand!AN19*Capacity!BH$3:BH$25*Capacity!$DI19/(TRANSPOSE(Dists!$B18:$X18)*MMULT(1/Dists!$B18:$X18,Capacity!$DI$3:$DI$25)))</f>
        <v>0.73937781010809</v>
      </c>
      <c r="AO47" s="4" t="n">
        <f aca="false" t="array" ref="AO47:AO47">SUM(Demand!AO19*Capacity!BI$3:BI$25*Capacity!$DI19/(TRANSPOSE(Dists!$B18:$X18)*MMULT(1/Dists!$B18:$X18,Capacity!$DI$3:$DI$25)))</f>
        <v>2.98426009423047</v>
      </c>
      <c r="AP47" s="4" t="n">
        <f aca="false" t="array" ref="AP47:AP47">SUM(Demand!AP19*Capacity!BJ$3:BJ$25*Capacity!$DI19/(TRANSPOSE(Dists!$B18:$X18)*MMULT(1/Dists!$B18:$X18,Capacity!$DI$3:$DI$25)))</f>
        <v>0.370616577850881</v>
      </c>
      <c r="AQ47" s="4" t="n">
        <f aca="false" t="array" ref="AQ47:AQ47">SUM(Demand!AQ19*Capacity!BK$3:BK$25*Capacity!$DI19/(TRANSPOSE(Dists!$B18:$X18)*MMULT(1/Dists!$B18:$X18,Capacity!$DI$3:$DI$25)))</f>
        <v>0.102367803252078</v>
      </c>
      <c r="AR47" s="4" t="n">
        <f aca="false" t="array" ref="AR47:AR47">SUM(Demand!AR19*Capacity!BL$3:BL$25*Capacity!$DI19/(TRANSPOSE(Dists!$B18:$X18)*MMULT(1/Dists!$B18:$X18,Capacity!$DI$3:$DI$25)))</f>
        <v>0.0665179921268306</v>
      </c>
      <c r="AS47" s="4" t="n">
        <f aca="false" t="array" ref="AS47:AS47">SUM(Demand!AS19*Capacity!BM$3:BM$25*Capacity!$DI19/(TRANSPOSE(Dists!$B18:$X18)*MMULT(1/Dists!$B18:$X18,Capacity!$DI$3:$DI$25)))</f>
        <v>0.143343542882021</v>
      </c>
      <c r="AT47" s="4" t="n">
        <f aca="false" t="array" ref="AT47:AT47">SUM(Demand!AT19*Capacity!BN$3:BN$25*Capacity!$DI19/(TRANSPOSE(Dists!$B18:$X18)*MMULT(1/Dists!$B18:$X18,Capacity!$DI$3:$DI$25)))</f>
        <v>6.59909025481326</v>
      </c>
      <c r="AU47" s="4" t="n">
        <f aca="false" t="array" ref="AU47:AU47">SUM(Demand!AU19*Capacity!BO$3:BO$25*Capacity!$DI19/(TRANSPOSE(Dists!$B18:$X18)*MMULT(1/Dists!$B18:$X18,Capacity!$DI$3:$DI$25)))</f>
        <v>1.29318778016915</v>
      </c>
      <c r="AV47" s="4" t="n">
        <f aca="false" t="array" ref="AV47:AV47">SUM(Demand!AV19*Capacity!BP$3:BP$25*Capacity!$DI19/(TRANSPOSE(Dists!$B18:$X18)*MMULT(1/Dists!$B18:$X18,Capacity!$DI$3:$DI$25)))</f>
        <v>0.0931613268117857</v>
      </c>
      <c r="AW47" s="4" t="n">
        <f aca="false" t="array" ref="AW47:AW47">SUM(Demand!AW19*Capacity!BQ$3:BQ$25*Capacity!$DI19/(TRANSPOSE(Dists!$B18:$X18)*MMULT(1/Dists!$B18:$X18,Capacity!$DI$3:$DI$25)))</f>
        <v>3.08180112407385</v>
      </c>
      <c r="AX47" s="4" t="n">
        <f aca="false" t="array" ref="AX47:AX47">SUM(Demand!AX19*Capacity!BR$3:BR$25*Capacity!$DI19/(TRANSPOSE(Dists!$B18:$X18)*MMULT(1/Dists!$B18:$X18,Capacity!$DI$3:$DI$25)))</f>
        <v>0.253483304722458</v>
      </c>
      <c r="AY47" s="4" t="n">
        <f aca="false" t="array" ref="AY47:AY47">SUM(Demand!AY19*Capacity!BS$3:BS$25*Capacity!$DI19/(TRANSPOSE(Dists!$B18:$X18)*MMULT(1/Dists!$B18:$X18,Capacity!$DI$3:$DI$25)))</f>
        <v>0.411606561317838</v>
      </c>
      <c r="AZ47" s="4" t="n">
        <f aca="false" t="array" ref="AZ47:AZ47">SUM(Demand!AZ19*Capacity!BT$3:BT$25*Capacity!$DI19/(TRANSPOSE(Dists!$B18:$X18)*MMULT(1/Dists!$B18:$X18,Capacity!$DI$3:$DI$25)))</f>
        <v>2.13714093700819</v>
      </c>
      <c r="BA47" s="4" t="n">
        <f aca="false">BA19</f>
        <v>0.0527923258788093</v>
      </c>
      <c r="BB47" s="4" t="n">
        <f aca="false" t="array" ref="BB47:BB47">SUM(Demand!BB19*Capacity!BV$3:BV$25*Capacity!$DI19/(TRANSPOSE(Dists!$B18:$X18)*MMULT(1/Dists!$B18:$X18,Capacity!$DI$3:$DI$25)))</f>
        <v>0.127951180389026</v>
      </c>
      <c r="BC47" s="4" t="n">
        <f aca="false" t="array" ref="BC47:BC47">SUM(Demand!BC19*Capacity!BW$3:BW$25*Capacity!$DI19/(TRANSPOSE(Dists!$B18:$X18)*MMULT(1/Dists!$B18:$X18,Capacity!$DI$3:$DI$25)))</f>
        <v>0.382764437305665</v>
      </c>
      <c r="BD47" s="4" t="n">
        <f aca="false" t="array" ref="BD47:BD47">SUM(Demand!BD19*Capacity!BX$3:BX$25*Capacity!$DI19/(TRANSPOSE(Dists!$B18:$X18)*MMULT(1/Dists!$B18:$X18,Capacity!$DI$3:$DI$25)))</f>
        <v>0.183649119060548</v>
      </c>
      <c r="BE47" s="4" t="n">
        <f aca="false" t="array" ref="BE47:BE47">SUM(Demand!BE19*Capacity!BY$3:BY$25*Capacity!$DI19/(TRANSPOSE(Dists!$B18:$X18)*MMULT(1/Dists!$B18:$X18,Capacity!$DI$3:$DI$25)))</f>
        <v>0.0806966205677448</v>
      </c>
      <c r="BF47" s="4" t="n">
        <f aca="false" t="array" ref="BF47:BF47">SUM(Demand!BF19*Capacity!BZ$3:BZ$25*Capacity!$DI19/(TRANSPOSE(Dists!$B18:$X18)*MMULT(1/Dists!$B18:$X18,Capacity!$DI$3:$DI$25)))</f>
        <v>0.912503668722037</v>
      </c>
      <c r="BG47" s="4" t="n">
        <f aca="false" t="array" ref="BG47:BG47">SUM(Demand!BG19*Capacity!CA$3:CA$25*Capacity!$DI19/(TRANSPOSE(Dists!$B18:$X18)*MMULT(1/Dists!$B18:$X18,Capacity!$DI$3:$DI$25)))</f>
        <v>16.555130682109</v>
      </c>
      <c r="BH47" s="4" t="n">
        <f aca="false" t="array" ref="BH47:BH47">SUM(Demand!BH19*Capacity!CB$3:CB$25*Capacity!$DI19/(TRANSPOSE(Dists!$B18:$X18)*MMULT(1/Dists!$B18:$X18,Capacity!$DI$3:$DI$25)))</f>
        <v>33.1102613642179</v>
      </c>
      <c r="BI47" s="4" t="n">
        <f aca="false" t="array" ref="BI47:BI47">SUM(Demand!BI19*Capacity!CC$3:CC$25*Capacity!$DI19/(TRANSPOSE(Dists!$B18:$X18)*MMULT(1/Dists!$B18:$X18,Capacity!$DI$3:$DI$25)))</f>
        <v>44.1470151522905</v>
      </c>
      <c r="BJ47" s="4" t="n">
        <f aca="false" t="array" ref="BJ47:BJ47">SUM(Demand!BJ19*Capacity!CD$3:CD$25*Capacity!$DI19/(TRANSPOSE(Dists!$B18:$X18)*MMULT(1/Dists!$B18:$X18,Capacity!$DI$3:$DI$25)))</f>
        <v>44.6073008294812</v>
      </c>
      <c r="BK47" s="4" t="n">
        <f aca="false" t="array" ref="BK47:BK47">SUM(Demand!BK19*Capacity!CE$3:CE$25*Capacity!$DI19/(TRANSPOSE(Dists!$B18:$X18)*MMULT(1/Dists!$B18:$X18,Capacity!$DI$3:$DI$25)))</f>
        <v>22.0735075761453</v>
      </c>
      <c r="BL47" s="4" t="n">
        <f aca="false" t="array" ref="BL47:BL47">SUM(Demand!BL19*Capacity!CF$3:CF$25*Capacity!$DI19/(TRANSPOSE(Dists!$B18:$X18)*MMULT(1/Dists!$B18:$X18,Capacity!$DI$3:$DI$25)))</f>
        <v>537.36978645884</v>
      </c>
      <c r="BM47" s="4" t="n">
        <f aca="false" t="array" ref="BM47:BM47">SUM(Demand!BM19*Capacity!CG$3:CG$25*Capacity!$DI19/(TRANSPOSE(Dists!$B18:$X18)*MMULT(1/Dists!$B18:$X18,Capacity!$DI$3:$DI$25)))</f>
        <v>106.148633741126</v>
      </c>
      <c r="BN47" s="4" t="n">
        <f aca="false">BN19</f>
        <v>0.000452867586090378</v>
      </c>
      <c r="BO47" s="4" t="n">
        <f aca="false" t="array" ref="BO47:BO47">SUM(Demand!BO19*Capacity!CI$3:CI$25*Capacity!$DI19/(TRANSPOSE(Dists!$B18:$X18)*MMULT(1/Dists!$B18:$X18,Capacity!$DI$3:$DI$25)))</f>
        <v>9.83045840375651</v>
      </c>
      <c r="BP47" s="4" t="n">
        <f aca="false" t="array" ref="BP47:BP47">SUM(Demand!BP19*Capacity!CJ$3:CJ$25*Capacity!$DI19/(TRANSPOSE(Dists!$B18:$X18)*MMULT(1/Dists!$B18:$X18,Capacity!$DI$3:$DI$25)))</f>
        <v>17.5108499402244</v>
      </c>
      <c r="BQ47" s="4" t="n">
        <f aca="false" t="array" ref="BQ47:BQ47">SUM(Demand!BQ19*Capacity!CK$3:CK$25*Capacity!$DI19/(TRANSPOSE(Dists!$B18:$X18)*MMULT(1/Dists!$B18:$X18,Capacity!$DI$3:$DI$25)))</f>
        <v>0</v>
      </c>
      <c r="BR47" s="4" t="n">
        <f aca="false" t="array" ref="BR47:BR47">SUM(Demand!BR19*Capacity!CL$3:CL$25*Capacity!$DI19/(TRANSPOSE(Dists!$B18:$X18)*MMULT(1/Dists!$B18:$X18,Capacity!$DI$3:$DI$25)))</f>
        <v>0.327682081134543</v>
      </c>
      <c r="BS47" s="4" t="n">
        <f aca="false" t="array" ref="BS47:BS47">SUM(Demand!BS19*Capacity!CM$3:CM$25*Capacity!$DI19/(TRANSPOSE(Dists!$B18:$X18)*MMULT(1/Dists!$B18:$X18,Capacity!$DI$3:$DI$25)))</f>
        <v>0.0327682081134543</v>
      </c>
      <c r="BT47" s="4" t="n">
        <f aca="false">BT19</f>
        <v>3.85030591982644</v>
      </c>
      <c r="BU47" s="4" t="n">
        <f aca="false">BU19</f>
        <v>0.385030591982644</v>
      </c>
      <c r="BV47" s="4" t="n">
        <f aca="false">BV19</f>
        <v>0.0385030591982644</v>
      </c>
      <c r="BW47" s="4" t="n">
        <f aca="false">BW19</f>
        <v>1374.56146378172</v>
      </c>
      <c r="BX47" s="4" t="n">
        <f aca="false" t="array" ref="BX47:BX47">SUM(Demand!BX19*Capacity!CR$3:CR$25*Capacity!$DI19/(TRANSPOSE(Dists!$B18:$X18)*MMULT(1/Dists!$B18:$X18,Capacity!$DI$3:$DI$25)))</f>
        <v>0.0718426788347169</v>
      </c>
      <c r="BY47" s="4" t="n">
        <f aca="false" t="array" ref="BY47:BY47">SUM(Demand!BY19*Capacity!CS$3:CS$25*Capacity!$DI19/(TRANSPOSE(Dists!$B18:$X18)*MMULT(1/Dists!$B18:$X18,Capacity!$DI$3:$DI$25)))</f>
        <v>143.132233654194</v>
      </c>
      <c r="BZ47" s="4" t="n">
        <f aca="false" t="array" ref="BZ47:BZ47">SUM(Demand!BZ19*Capacity!CT$3:CT$25*Capacity!$DI19/(TRANSPOSE(Dists!$B18:$X18)*MMULT(1/Dists!$B18:$X18,Capacity!$DI$3:$DI$25)))</f>
        <v>0.382426059124736</v>
      </c>
      <c r="CA47" s="4" t="n">
        <f aca="false" t="array" ref="CA47:CA47">SUM(Demand!CA19*Capacity!CU$3:CU$25*Capacity!$DI19/(TRANSPOSE(Dists!$B18:$X18)*MMULT(1/Dists!$B18:$X18,Capacity!$DI$3:$DI$25)))</f>
        <v>0.199377899832248</v>
      </c>
      <c r="CB47" s="4" t="n">
        <f aca="false" t="array" ref="CB47:CB47">SUM(Demand!CB19*Capacity!CV$3:CV$25*Capacity!$DI19/(TRANSPOSE(Dists!$B18:$X18)*MMULT(1/Dists!$B18:$X18,Capacity!$DI$3:$DI$25)))</f>
        <v>1188.18363808624</v>
      </c>
      <c r="CC47" s="4" t="n">
        <f aca="false" t="array" ref="CC47:CC47">SUM(Demand!CC19*Capacity!CW$3:CW$25*Capacity!$DI19/(TRANSPOSE(Dists!$B18:$X18)*MMULT(1/Dists!$B18:$X18,Capacity!$DI$3:$DI$25)))</f>
        <v>1068.39334905527</v>
      </c>
      <c r="CD47" s="4" t="n">
        <f aca="false">SUM($BG47,$BI47,$BK47)*Capacity!CX19/SUM(Capacity!$AM19:$AN19,Capacity!$CX19)</f>
        <v>63.1886880539416</v>
      </c>
      <c r="CE47" s="4" t="n">
        <f aca="false" t="array" ref="CE47:CE47">SUM(Demand!CE19*Capacity!CY$3:CY$25*Capacity!$DI19/(TRANSPOSE(Dists!$B18:$X18)*MMULT(1/Dists!$B18:$X18,Capacity!$DI$3:$DI$25)))</f>
        <v>5.38370446858117</v>
      </c>
      <c r="CF47" s="4" t="n">
        <f aca="false" t="array" ref="CF47:CF47">SUM(Demand!CF19*Capacity!CZ$3:CZ$25*Capacity!$DI19/(TRANSPOSE(Dists!$B18:$X18)*MMULT(1/Dists!$B18:$X18,Capacity!$DI$3:$DI$25)))</f>
        <v>790.12379383567</v>
      </c>
      <c r="CG47" s="4" t="n">
        <f aca="false" t="array" ref="CG47:CG47">SUM(Demand!CG19*Capacity!DA$3:DA$25*Capacity!$DI19/(TRANSPOSE(Dists!$B18:$X18)*MMULT(1/Dists!$B18:$X18,Capacity!$DI$3:$DI$25)))</f>
        <v>1.57241800668251</v>
      </c>
      <c r="CH47" s="4" t="n">
        <f aca="false" t="array" ref="CH47:CH47">SUM(Demand!CH19*Capacity!DB$3:DB$25*Capacity!$DI19/(TRANSPOSE(Dists!$B18:$X18)*MMULT(1/Dists!$B18:$X18,Capacity!$DI$3:$DI$25)))</f>
        <v>0.587184855507432</v>
      </c>
      <c r="CI47" s="4" t="n">
        <f aca="false" t="array" ref="CI47:CI47">SUM(Demand!CI19*Capacity!DC$3:DC$25*Capacity!$DI19/(TRANSPOSE(Dists!$B18:$X18)*MMULT(1/Dists!$B18:$X18,Capacity!$DI$3:$DI$25)))</f>
        <v>0.0347020784953443</v>
      </c>
      <c r="CJ47" s="4" t="n">
        <f aca="false" t="array" ref="CJ47:CJ47">SUM(Demand!CJ19*Capacity!DD$3:DD$25*Capacity!$DI19/(TRANSPOSE(Dists!$B18:$X18)*MMULT(1/Dists!$B18:$X18,Capacity!$DI$3:$DI$25)))</f>
        <v>0.0681571280982512</v>
      </c>
      <c r="CK47" s="4" t="n">
        <f aca="false" t="array" ref="CK47:CK47">SUM(Demand!CK19*Capacity!DE$3:DE$25*Capacity!$DI19/(TRANSPOSE(Dists!$B18:$X18)*MMULT(1/Dists!$B18:$X18,Capacity!$DI$3:$DI$25)))</f>
        <v>4.21457093760795</v>
      </c>
      <c r="CL47" s="7" t="s">
        <v>322</v>
      </c>
    </row>
    <row r="48" customFormat="false" ht="12.8" hidden="false" customHeight="false" outlineLevel="0" collapsed="false">
      <c r="A48" s="4" t="s">
        <v>155</v>
      </c>
      <c r="B48" s="7" t="s">
        <v>39</v>
      </c>
      <c r="C48" s="4" t="n">
        <f aca="false" t="array" ref="C48:C48">SUM(Demand!C20*Capacity!S$3:S$25*Capacity!$DH20/(TRANSPOSE(Dists!$B19:$X19)*MMULT(1/Dists!$B19:$X19,Capacity!$DH$3:$DH$25)))</f>
        <v>0.00414305554198706</v>
      </c>
      <c r="D48" s="4" t="n">
        <f aca="false" t="array" ref="D48:D48">SUM(Demand!D20*Capacity!V$3:V$25*Capacity!$DH20/(TRANSPOSE(Dists!$B19:$X19)*MMULT(1/Dists!$B19:$X19,Capacity!$DH$3:$DH$25)))</f>
        <v>295.584375545709</v>
      </c>
      <c r="E48" s="4" t="n">
        <f aca="false" t="array" ref="E48:E48">SUM(Demand!E20*Capacity!Y$3:Y$25*Capacity!$DH20/(TRANSPOSE(Dists!$B19:$X19)*MMULT(1/Dists!$B19:$X19,Capacity!$DH$3:$DH$25)))</f>
        <v>30.9541191834756</v>
      </c>
      <c r="F48" s="4" t="n">
        <f aca="false">$E20*Capacity!$M20/(2*(1-Capacity!$H$28)*Capacity!$H20)</f>
        <v>5.76148628326627</v>
      </c>
      <c r="G48" s="4" t="n">
        <f aca="false" t="array" ref="G48:G48">SUM(Demand!G20*Capacity!AA$3:AA$25*Capacity!$DH20/(TRANSPOSE(Dists!$B19:$X19)*MMULT(1/Dists!$B19:$X19,Capacity!$DH$3:$DH$25)))</f>
        <v>3.68496993205372</v>
      </c>
      <c r="H48" s="4" t="n">
        <f aca="false" t="array" ref="H48:H48">SUM(Demand!H20*Capacity!AB$3:AB$25*Capacity!$DH20/(TRANSPOSE(Dists!$B19:$X19)*MMULT(1/Dists!$B19:$X19,Capacity!$DH$3:$DH$25)))</f>
        <v>0</v>
      </c>
      <c r="I48" s="4" t="n">
        <f aca="false" t="array" ref="I48:I48">SUM(Demand!I20*Capacity!AC$3:AC$25*Capacity!$DG20/(TRANSPOSE(Dists!$B19:$X19)*MMULT(1/Dists!$B19:$X19,Capacity!$DG$3:$DG$25)))</f>
        <v>0.58193669677878</v>
      </c>
      <c r="J48" s="4" t="n">
        <f aca="false" t="array" ref="J48:J48">SUM(Demand!J20*Capacity!AD$3:AD$25*Capacity!$DG20/(TRANSPOSE(Dists!$B19:$X19)*MMULT(1/Dists!$B19:$X19,Capacity!$DG$3:$DG$25)))</f>
        <v>0.0732760509239774</v>
      </c>
      <c r="K48" s="4" t="n">
        <f aca="false">5479.45205479452*$R20</f>
        <v>183420.49778758</v>
      </c>
      <c r="L48" s="4" t="n">
        <f aca="false">17142.8571428571*$S20</f>
        <v>51651.6874978283</v>
      </c>
      <c r="M48" s="4" t="n">
        <f aca="false">IF(50420.1680672269*$T20&gt;($K20/20),50420.1680672269*$T20-($K20/20),0)</f>
        <v>75735.8586686951</v>
      </c>
      <c r="N48" s="4" t="n">
        <f aca="false" t="array" ref="N48:N48">SUM(Demand!N20*Capacity!AH$3:AH$25*Capacity!$DH20/(TRANSPOSE(Dists!$B19:$X19)*MMULT(1/Dists!$B19:$X19,Capacity!$DH$3:$DH$25)))</f>
        <v>33.7291237201784</v>
      </c>
      <c r="O48" s="4" t="n">
        <f aca="false">O20</f>
        <v>197.056250363806</v>
      </c>
      <c r="P48" s="4" t="n">
        <f aca="false">P20</f>
        <v>78.8225001455224</v>
      </c>
      <c r="Q48" s="4" t="n">
        <f aca="false" t="array" ref="Q48:Q48">SUM(Demand!Q20*Capacity!AK$3:AK$25*Capacity!$DI20/(TRANSPOSE(Dists!$B19:$X19)*MMULT(1/Dists!$B19:$X19,Capacity!$DI$3:$DI$25)))</f>
        <v>0.71789218573541</v>
      </c>
      <c r="R48" s="4" t="n">
        <f aca="false" t="array" ref="R48:R48">SUM(Demand!R20*Capacity!AL$3:AL$25*Capacity!$DH20/(TRANSPOSE(Dists!$B19:$X19)*MMULT(1/Dists!$B19:$X19,Capacity!$DH$3:$DH$25)))</f>
        <v>115.519590576606</v>
      </c>
      <c r="S48" s="4" t="n">
        <f aca="false">SUM($BG48,$BI48,$BK48)*Capacity!AM20/SUM(Capacity!$AM20:$AN20,Capacity!$CX20)</f>
        <v>3.01301510403999</v>
      </c>
      <c r="T48" s="4" t="n">
        <f aca="false">SUM($BG48,$BI48,$BK48)*Capacity!AN20/SUM(Capacity!$AM20:$AN20,Capacity!$CX20)</f>
        <v>1.6839865239018</v>
      </c>
      <c r="U48" s="4" t="n">
        <f aca="false">$M20*120*2/(16*1000*2000)</f>
        <v>0.568018940015213</v>
      </c>
      <c r="V48" s="4" t="n">
        <f aca="false" t="array" ref="V48:V48">SUM(Demand!V20*Capacity!AP$3:AP$25*Capacity!$DH20/(TRANSPOSE(Dists!$B19:$X19)*MMULT(1/Dists!$B19:$X19,Capacity!$DH$3:$DH$25)))</f>
        <v>103.735257733183</v>
      </c>
      <c r="W48" s="4" t="n">
        <f aca="false" t="array" ref="W48:W48">SUM(Demand!W20*Capacity!AQ$3:AQ$25*Capacity!$DH20/(TRANSPOSE(Dists!$B19:$X19)*MMULT(1/Dists!$B19:$X19,Capacity!$DH$3:$DH$25)))</f>
        <v>417.808961448121</v>
      </c>
      <c r="X48" s="4" t="n">
        <f aca="false" t="array" ref="X48:X48">SUM(Demand!X20*Capacity!AR$3:AR$25*Capacity!$DH20/(TRANSPOSE(Dists!$B19:$X19)*MMULT(1/Dists!$B19:$X19,Capacity!$DH$3:$DH$25)))</f>
        <v>2168.04235101108</v>
      </c>
      <c r="Y48" s="4" t="n">
        <f aca="false">$L20*600*6/(90*1000*2000)</f>
        <v>1.03303374995657</v>
      </c>
      <c r="Z48" s="4" t="n">
        <f aca="false" t="array" ref="Z48:Z48">SUM(Demand!Z20*Capacity!AT$3:AT$25*Capacity!$DI20/(TRANSPOSE(Dists!$B19:$X19)*MMULT(1/Dists!$B19:$X19,Capacity!$DI$3:$DI$25)))</f>
        <v>0.578289310510318</v>
      </c>
      <c r="AA48" s="4" t="n">
        <f aca="false" t="array" ref="AA48:AA48">SUM(Demand!AA20*Capacity!AU$3:AU$25*Capacity!$DI20/(TRANSPOSE(Dists!$B19:$X19)*MMULT(1/Dists!$B19:$X19,Capacity!$DI$3:$DI$25)))</f>
        <v>0.959480451596486</v>
      </c>
      <c r="AB48" s="4" t="n">
        <f aca="false" t="array" ref="AB48:AB48">SUM(Demand!AB20*Capacity!AV$3:AV$25*Capacity!$DI20/(TRANSPOSE(Dists!$B19:$X19)*MMULT(1/Dists!$B19:$X19,Capacity!$DI$3:$DI$25)))</f>
        <v>2.16630454386623</v>
      </c>
      <c r="AC48" s="4" t="n">
        <f aca="false" t="array" ref="AC48:AC48">SUM(Demand!AC20*Capacity!AW$3:AW$25*Capacity!$DI20/(TRANSPOSE(Dists!$B19:$X19)*MMULT(1/Dists!$B19:$X19,Capacity!$DI$3:$DI$25)))</f>
        <v>0.0999408360549194</v>
      </c>
      <c r="AD48" s="4" t="n">
        <f aca="false" t="array" ref="AD48:AD48">SUM(Demand!AD20*Capacity!AX$3:AX$25*Capacity!$DI20/(TRANSPOSE(Dists!$B19:$X19)*MMULT(1/Dists!$B19:$X19,Capacity!$DI$3:$DI$25)))</f>
        <v>0.354647150928899</v>
      </c>
      <c r="AE48" s="4" t="n">
        <f aca="false" t="array" ref="AE48:AE48">SUM(Demand!AE20*Capacity!AY$3:AY$25*Capacity!$DI20/(TRANSPOSE(Dists!$B19:$X19)*MMULT(1/Dists!$B19:$X19,Capacity!$DI$3:$DI$25)))</f>
        <v>0.744348541674538</v>
      </c>
      <c r="AF48" s="4" t="n">
        <f aca="false" t="array" ref="AF48:AF48">SUM(Demand!AF20*Capacity!AZ$3:AZ$25*Capacity!$DI20/(TRANSPOSE(Dists!$B19:$X19)*MMULT(1/Dists!$B19:$X19,Capacity!$DI$3:$DI$25)))</f>
        <v>0.385423964883047</v>
      </c>
      <c r="AG48" s="4" t="n">
        <f aca="false" t="array" ref="AG48:AG48">SUM(Demand!AG20*Capacity!BA$3:BA$25*Capacity!$DI20/(TRANSPOSE(Dists!$B19:$X19)*MMULT(1/Dists!$B19:$X19,Capacity!$DI$3:$DI$25)))</f>
        <v>1.28734402425229</v>
      </c>
      <c r="AH48" s="4" t="n">
        <f aca="false" t="array" ref="AH48:AH48">SUM(Demand!AH20*Capacity!BB$3:BB$25*Capacity!$DI20/(TRANSPOSE(Dists!$B19:$X19)*MMULT(1/Dists!$B19:$X19,Capacity!$DI$3:$DI$25)))</f>
        <v>0.331442586542917</v>
      </c>
      <c r="AI48" s="4" t="n">
        <f aca="false" t="array" ref="AI48:AI48">SUM(Demand!AI20*Capacity!BC$3:BC$25*Capacity!$DI20/(TRANSPOSE(Dists!$B19:$X19)*MMULT(1/Dists!$B19:$X19,Capacity!$DI$3:$DI$25)))</f>
        <v>0.213366783426961</v>
      </c>
      <c r="AJ48" s="4" t="n">
        <f aca="false" t="array" ref="AJ48:AJ48">SUM(Demand!AJ20*Capacity!BD$3:BD$25*Capacity!$DI20/(TRANSPOSE(Dists!$B19:$X19)*MMULT(1/Dists!$B19:$X19,Capacity!$DI$3:$DI$25)))</f>
        <v>0.141559013138387</v>
      </c>
      <c r="AK48" s="4" t="n">
        <f aca="false" t="array" ref="AK48:AK48">SUM(Demand!AK20*Capacity!BE$3:BE$25*Capacity!$DI20/(TRANSPOSE(Dists!$B19:$X19)*MMULT(1/Dists!$B19:$X19,Capacity!$DI$3:$DI$25)))</f>
        <v>0.315639833160602</v>
      </c>
      <c r="AL48" s="4" t="n">
        <f aca="false" t="array" ref="AL48:AL48">SUM(Demand!AL20*Capacity!BF$3:BF$25*Capacity!$DI20/(TRANSPOSE(Dists!$B19:$X19)*MMULT(1/Dists!$B19:$X19,Capacity!$DI$3:$DI$25)))</f>
        <v>0.174418472336898</v>
      </c>
      <c r="AM48" s="4" t="n">
        <f aca="false" t="array" ref="AM48:AM48">SUM(Demand!AM20*Capacity!BG$3:BG$25*Capacity!$DI20/(TRANSPOSE(Dists!$B19:$X19)*MMULT(1/Dists!$B19:$X19,Capacity!$DI$3:$DI$25)))</f>
        <v>0.662535020757454</v>
      </c>
      <c r="AN48" s="4" t="n">
        <f aca="false" t="array" ref="AN48:AN48">SUM(Demand!AN20*Capacity!BH$3:BH$25*Capacity!$DI20/(TRANSPOSE(Dists!$B19:$X19)*MMULT(1/Dists!$B19:$X19,Capacity!$DI$3:$DI$25)))</f>
        <v>0.196559456548723</v>
      </c>
      <c r="AO48" s="4" t="n">
        <f aca="false" t="array" ref="AO48:AO48">SUM(Demand!AO20*Capacity!BI$3:BI$25*Capacity!$DI20/(TRANSPOSE(Dists!$B19:$X19)*MMULT(1/Dists!$B19:$X19,Capacity!$DI$3:$DI$25)))</f>
        <v>0.383079756929722</v>
      </c>
      <c r="AP48" s="4" t="n">
        <f aca="false" t="array" ref="AP48:AP48">SUM(Demand!AP20*Capacity!BJ$3:BJ$25*Capacity!$DI20/(TRANSPOSE(Dists!$B19:$X19)*MMULT(1/Dists!$B19:$X19,Capacity!$DI$3:$DI$25)))</f>
        <v>0.16099510814573</v>
      </c>
      <c r="AQ48" s="4" t="n">
        <f aca="false" t="array" ref="AQ48:AQ48">SUM(Demand!AQ20*Capacity!BK$3:BK$25*Capacity!$DI20/(TRANSPOSE(Dists!$B19:$X19)*MMULT(1/Dists!$B19:$X19,Capacity!$DI$3:$DI$25)))</f>
        <v>0.0551124344326852</v>
      </c>
      <c r="AR48" s="4" t="n">
        <f aca="false" t="array" ref="AR48:AR48">SUM(Demand!AR20*Capacity!BL$3:BL$25*Capacity!$DI20/(TRANSPOSE(Dists!$B19:$X19)*MMULT(1/Dists!$B19:$X19,Capacity!$DI$3:$DI$25)))</f>
        <v>0.110835519943072</v>
      </c>
      <c r="AS48" s="4" t="n">
        <f aca="false" t="array" ref="AS48:AS48">SUM(Demand!AS20*Capacity!BM$3:BM$25*Capacity!$DI20/(TRANSPOSE(Dists!$B19:$X19)*MMULT(1/Dists!$B19:$X19,Capacity!$DI$3:$DI$25)))</f>
        <v>0.114308357291393</v>
      </c>
      <c r="AT48" s="4" t="n">
        <f aca="false" t="array" ref="AT48:AT48">SUM(Demand!AT20*Capacity!BN$3:BN$25*Capacity!$DI20/(TRANSPOSE(Dists!$B19:$X19)*MMULT(1/Dists!$B19:$X19,Capacity!$DI$3:$DI$25)))</f>
        <v>0.707048276042177</v>
      </c>
      <c r="AU48" s="4" t="n">
        <f aca="false" t="array" ref="AU48:AU48">SUM(Demand!AU20*Capacity!BO$3:BO$25*Capacity!$DI20/(TRANSPOSE(Dists!$B19:$X19)*MMULT(1/Dists!$B19:$X19,Capacity!$DI$3:$DI$25)))</f>
        <v>1.05824990084034</v>
      </c>
      <c r="AV48" s="4" t="n">
        <f aca="false" t="array" ref="AV48:AV48">SUM(Demand!AV20*Capacity!BP$3:BP$25*Capacity!$DI20/(TRANSPOSE(Dists!$B19:$X19)*MMULT(1/Dists!$B19:$X19,Capacity!$DI$3:$DI$25)))</f>
        <v>0.0663458845607857</v>
      </c>
      <c r="AW48" s="4" t="n">
        <f aca="false" t="array" ref="AW48:AW48">SUM(Demand!AW20*Capacity!BQ$3:BQ$25*Capacity!$DI20/(TRANSPOSE(Dists!$B19:$X19)*MMULT(1/Dists!$B19:$X19,Capacity!$DI$3:$DI$25)))</f>
        <v>0.066196903882687</v>
      </c>
      <c r="AX48" s="4" t="n">
        <f aca="false" t="array" ref="AX48:AX48">SUM(Demand!AX20*Capacity!BR$3:BR$25*Capacity!$DI20/(TRANSPOSE(Dists!$B19:$X19)*MMULT(1/Dists!$B19:$X19,Capacity!$DI$3:$DI$25)))</f>
        <v>0.14632751879198</v>
      </c>
      <c r="AY48" s="4" t="n">
        <f aca="false" t="array" ref="AY48:AY48">SUM(Demand!AY20*Capacity!BS$3:BS$25*Capacity!$DI20/(TRANSPOSE(Dists!$B19:$X19)*MMULT(1/Dists!$B19:$X19,Capacity!$DI$3:$DI$25)))</f>
        <v>0.0104859099444293</v>
      </c>
      <c r="AZ48" s="4" t="n">
        <f aca="false" t="array" ref="AZ48:AZ48">SUM(Demand!AZ20*Capacity!BT$3:BT$25*Capacity!$DI20/(TRANSPOSE(Dists!$B19:$X19)*MMULT(1/Dists!$B19:$X19,Capacity!$DI$3:$DI$25)))</f>
        <v>0.0995176233024158</v>
      </c>
      <c r="BA48" s="4" t="n">
        <f aca="false">BA20</f>
        <v>0.0126597273278991</v>
      </c>
      <c r="BB48" s="4" t="n">
        <f aca="false" t="array" ref="BB48:BB48">SUM(Demand!BB20*Capacity!BV$3:BV$25*Capacity!$DI20/(TRANSPOSE(Dists!$B19:$X19)*MMULT(1/Dists!$B19:$X19,Capacity!$DI$3:$DI$25)))</f>
        <v>0.14745887665268</v>
      </c>
      <c r="BC48" s="4" t="n">
        <f aca="false" t="array" ref="BC48:BC48">SUM(Demand!BC20*Capacity!BW$3:BW$25*Capacity!$DI20/(TRANSPOSE(Dists!$B19:$X19)*MMULT(1/Dists!$B19:$X19,Capacity!$DI$3:$DI$25)))</f>
        <v>0.144787586113409</v>
      </c>
      <c r="BD48" s="4" t="n">
        <f aca="false" t="array" ref="BD48:BD48">SUM(Demand!BD20*Capacity!BX$3:BX$25*Capacity!$DI20/(TRANSPOSE(Dists!$B19:$X19)*MMULT(1/Dists!$B19:$X19,Capacity!$DI$3:$DI$25)))</f>
        <v>0.0797200735338742</v>
      </c>
      <c r="BE48" s="4" t="n">
        <f aca="false" t="array" ref="BE48:BE48">SUM(Demand!BE20*Capacity!BY$3:BY$25*Capacity!$DI20/(TRANSPOSE(Dists!$B19:$X19)*MMULT(1/Dists!$B19:$X19,Capacity!$DI$3:$DI$25)))</f>
        <v>0.0333847783665632</v>
      </c>
      <c r="BF48" s="4" t="n">
        <f aca="false" t="array" ref="BF48:BF48">SUM(Demand!BF20*Capacity!BZ$3:BZ$25*Capacity!$DI20/(TRANSPOSE(Dists!$B19:$X19)*MMULT(1/Dists!$B19:$X19,Capacity!$DI$3:$DI$25)))</f>
        <v>3.26217011440538</v>
      </c>
      <c r="BG48" s="4" t="n">
        <f aca="false" t="array" ref="BG48:BG48">SUM(Demand!BG20*Capacity!CA$3:CA$25*Capacity!$DI20/(TRANSPOSE(Dists!$B19:$X19)*MMULT(1/Dists!$B19:$X19,Capacity!$DI$3:$DI$25)))</f>
        <v>2.25822706026112</v>
      </c>
      <c r="BH48" s="4" t="n">
        <f aca="false" t="array" ref="BH48:BH48">SUM(Demand!BH20*Capacity!CB$3:CB$25*Capacity!$DI20/(TRANSPOSE(Dists!$B19:$X19)*MMULT(1/Dists!$B19:$X19,Capacity!$DI$3:$DI$25)))</f>
        <v>0.00598848828406116</v>
      </c>
      <c r="BI48" s="4" t="n">
        <f aca="false" t="array" ref="BI48:BI48">SUM(Demand!BI20*Capacity!CC$3:CC$25*Capacity!$DI20/(TRANSPOSE(Dists!$B19:$X19)*MMULT(1/Dists!$B19:$X19,Capacity!$DI$3:$DI$25)))</f>
        <v>6.02193882736298</v>
      </c>
      <c r="BJ48" s="4" t="n">
        <f aca="false" t="array" ref="BJ48:BJ48">SUM(Demand!BJ20*Capacity!CD$3:CD$25*Capacity!$DI20/(TRANSPOSE(Dists!$B19:$X19)*MMULT(1/Dists!$B19:$X19,Capacity!$DI$3:$DI$25)))</f>
        <v>337.819071218997</v>
      </c>
      <c r="BK48" s="4" t="n">
        <f aca="false" t="array" ref="BK48:BK48">SUM(Demand!BK20*Capacity!CE$3:CE$25*Capacity!$DI20/(TRANSPOSE(Dists!$B19:$X19)*MMULT(1/Dists!$B19:$X19,Capacity!$DI$3:$DI$25)))</f>
        <v>3.01096941368149</v>
      </c>
      <c r="BL48" s="4" t="n">
        <f aca="false" t="array" ref="BL48:BL48">SUM(Demand!BL20*Capacity!CF$3:CF$25*Capacity!$DI20/(TRANSPOSE(Dists!$B19:$X19)*MMULT(1/Dists!$B19:$X19,Capacity!$DI$3:$DI$25)))</f>
        <v>278.454436068502</v>
      </c>
      <c r="BM48" s="4" t="n">
        <f aca="false" t="array" ref="BM48:BM48">SUM(Demand!BM20*Capacity!CG$3:CG$25*Capacity!$DI20/(TRANSPOSE(Dists!$B19:$X19)*MMULT(1/Dists!$B19:$X19,Capacity!$DI$3:$DI$25)))</f>
        <v>13.6245203250073</v>
      </c>
      <c r="BN48" s="4" t="n">
        <f aca="false">BN20</f>
        <v>19.1864421174799</v>
      </c>
      <c r="BO48" s="4" t="n">
        <f aca="false" t="array" ref="BO48:BO48">SUM(Demand!BO20*Capacity!CI$3:CI$25*Capacity!$DI20/(TRANSPOSE(Dists!$B19:$X19)*MMULT(1/Dists!$B19:$X19,Capacity!$DI$3:$DI$25)))</f>
        <v>0.102970938416692</v>
      </c>
      <c r="BP48" s="4" t="n">
        <f aca="false" t="array" ref="BP48:BP48">SUM(Demand!BP20*Capacity!CJ$3:CJ$25*Capacity!$DI20/(TRANSPOSE(Dists!$B19:$X19)*MMULT(1/Dists!$B19:$X19,Capacity!$DI$3:$DI$25)))</f>
        <v>0.387500183193714</v>
      </c>
      <c r="BQ48" s="4" t="n">
        <f aca="false" t="array" ref="BQ48:BQ48">SUM(Demand!BQ20*Capacity!CK$3:CK$25*Capacity!$DI20/(TRANSPOSE(Dists!$B19:$X19)*MMULT(1/Dists!$B19:$X19,Capacity!$DI$3:$DI$25)))</f>
        <v>0</v>
      </c>
      <c r="BR48" s="4" t="n">
        <f aca="false" t="array" ref="BR48:BR48">SUM(Demand!BR20*Capacity!CL$3:CL$25*Capacity!$DI20/(TRANSPOSE(Dists!$B19:$X19)*MMULT(1/Dists!$B19:$X19,Capacity!$DI$3:$DI$25)))</f>
        <v>0.00343236565597041</v>
      </c>
      <c r="BS48" s="4" t="n">
        <f aca="false" t="array" ref="BS48:BS48">SUM(Demand!BS20*Capacity!CM$3:CM$25*Capacity!$DI20/(TRANSPOSE(Dists!$B19:$X19)*MMULT(1/Dists!$B19:$X19,Capacity!$DI$3:$DI$25)))</f>
        <v>0.000343236565597041</v>
      </c>
      <c r="BT48" s="4" t="n">
        <f aca="false">BT20</f>
        <v>0.0842914822892254</v>
      </c>
      <c r="BU48" s="4" t="n">
        <f aca="false">BU20</f>
        <v>0.00842914822892254</v>
      </c>
      <c r="BV48" s="4" t="n">
        <f aca="false">BV20</f>
        <v>0.000842914822892254</v>
      </c>
      <c r="BW48" s="4" t="n">
        <f aca="false">BW20</f>
        <v>133.998950976253</v>
      </c>
      <c r="BX48" s="4" t="n">
        <f aca="false" t="array" ref="BX48:BX48">SUM(Demand!BX20*Capacity!CR$3:CR$25*Capacity!$DI20/(TRANSPOSE(Dists!$B19:$X19)*MMULT(1/Dists!$B19:$X19,Capacity!$DI$3:$DI$25)))</f>
        <v>1.34820745281087</v>
      </c>
      <c r="BY48" s="4" t="n">
        <f aca="false" t="array" ref="BY48:BY48">SUM(Demand!BY20*Capacity!CS$3:CS$25*Capacity!$DI20/(TRANSPOSE(Dists!$B19:$X19)*MMULT(1/Dists!$B19:$X19,Capacity!$DI$3:$DI$25)))</f>
        <v>50.2534686518447</v>
      </c>
      <c r="BZ48" s="4" t="n">
        <f aca="false" t="array" ref="BZ48:BZ48">SUM(Demand!BZ20*Capacity!CT$3:CT$25*Capacity!$DI20/(TRANSPOSE(Dists!$B19:$X19)*MMULT(1/Dists!$B19:$X19,Capacity!$DI$3:$DI$25)))</f>
        <v>0.0730230731290891</v>
      </c>
      <c r="CA48" s="4" t="n">
        <f aca="false" t="array" ref="CA48:CA48">SUM(Demand!CA20*Capacity!CU$3:CU$25*Capacity!$DI20/(TRANSPOSE(Dists!$B19:$X19)*MMULT(1/Dists!$B19:$X19,Capacity!$DI$3:$DI$25)))</f>
        <v>0.0339166638410092</v>
      </c>
      <c r="CB48" s="4" t="n">
        <f aca="false" t="array" ref="CB48:CB48">SUM(Demand!CB20*Capacity!CV$3:CV$25*Capacity!$DI20/(TRANSPOSE(Dists!$B19:$X19)*MMULT(1/Dists!$B19:$X19,Capacity!$DI$3:$DI$25)))</f>
        <v>183.924992674208</v>
      </c>
      <c r="CC48" s="4" t="n">
        <f aca="false" t="array" ref="CC48:CC48">SUM(Demand!CC20*Capacity!CW$3:CW$25*Capacity!$DI20/(TRANSPOSE(Dists!$B19:$X19)*MMULT(1/Dists!$B19:$X19,Capacity!$DI$3:$DI$25)))</f>
        <v>443.307678247697</v>
      </c>
      <c r="CD48" s="4" t="n">
        <f aca="false">SUM($BG48,$BI48,$BK48)*Capacity!CX20/SUM(Capacity!$AM20:$AN20,Capacity!$CX20)</f>
        <v>6.59413367336379</v>
      </c>
      <c r="CE48" s="4" t="n">
        <f aca="false" t="array" ref="CE48:CE48">SUM(Demand!CE20*Capacity!CY$3:CY$25*Capacity!$DI20/(TRANSPOSE(Dists!$B19:$X19)*MMULT(1/Dists!$B19:$X19,Capacity!$DI$3:$DI$25)))</f>
        <v>0.168465507523625</v>
      </c>
      <c r="CF48" s="4" t="n">
        <f aca="false" t="array" ref="CF48:CF48">SUM(Demand!CF20*Capacity!CZ$3:CZ$25*Capacity!$DI20/(TRANSPOSE(Dists!$B19:$X19)*MMULT(1/Dists!$B19:$X19,Capacity!$DI$3:$DI$25)))</f>
        <v>440.971373981949</v>
      </c>
      <c r="CG48" s="4" t="n">
        <f aca="false" t="array" ref="CG48:CG48">SUM(Demand!CG20*Capacity!DA$3:DA$25*Capacity!$DI20/(TRANSPOSE(Dists!$B19:$X19)*MMULT(1/Dists!$B19:$X19,Capacity!$DI$3:$DI$25)))</f>
        <v>0.155982172246575</v>
      </c>
      <c r="CH48" s="4" t="n">
        <f aca="false" t="array" ref="CH48:CH48">SUM(Demand!CH20*Capacity!DB$3:DB$25*Capacity!$DI20/(TRANSPOSE(Dists!$B19:$X19)*MMULT(1/Dists!$B19:$X19,Capacity!$DI$3:$DI$25)))</f>
        <v>2.77146788646104</v>
      </c>
      <c r="CI48" s="4" t="n">
        <f aca="false" t="array" ref="CI48:CI48">SUM(Demand!CI20*Capacity!DC$3:DC$25*Capacity!$DI20/(TRANSPOSE(Dists!$B19:$X19)*MMULT(1/Dists!$B19:$X19,Capacity!$DI$3:$DI$25)))</f>
        <v>0.0584596678647807</v>
      </c>
      <c r="CJ48" s="4" t="n">
        <f aca="false" t="array" ref="CJ48:CJ48">SUM(Demand!CJ20*Capacity!DD$3:DD$25*Capacity!$DI20/(TRANSPOSE(Dists!$B19:$X19)*MMULT(1/Dists!$B19:$X19,Capacity!$DI$3:$DI$25)))</f>
        <v>0.00414175500486309</v>
      </c>
      <c r="CK48" s="4" t="n">
        <f aca="false" t="array" ref="CK48:CK48">SUM(Demand!CK20*Capacity!DE$3:DE$25*Capacity!$DI20/(TRANSPOSE(Dists!$B19:$X19)*MMULT(1/Dists!$B19:$X19,Capacity!$DI$3:$DI$25)))</f>
        <v>2.15783010769905</v>
      </c>
      <c r="CL48" s="7" t="s">
        <v>322</v>
      </c>
    </row>
    <row r="49" customFormat="false" ht="12.8" hidden="false" customHeight="false" outlineLevel="0" collapsed="false">
      <c r="A49" s="4" t="s">
        <v>156</v>
      </c>
      <c r="B49" s="7" t="s">
        <v>39</v>
      </c>
      <c r="C49" s="4" t="n">
        <f aca="false" t="array" ref="C49:C49">SUM(Demand!C21*Capacity!S$3:S$25*Capacity!$DH21/(TRANSPOSE(Dists!$B20:$X20)*MMULT(1/Dists!$B20:$X20,Capacity!$DH$3:$DH$25)))</f>
        <v>0.0394830720570081</v>
      </c>
      <c r="D49" s="4" t="n">
        <f aca="false" t="array" ref="D49:D49">SUM(Demand!D21*Capacity!V$3:V$25*Capacity!$DH21/(TRANSPOSE(Dists!$B20:$X20)*MMULT(1/Dists!$B20:$X20,Capacity!$DH$3:$DH$25)))</f>
        <v>3994.04331605049</v>
      </c>
      <c r="E49" s="4" t="n">
        <f aca="false" t="array" ref="E49:E49">SUM(Demand!E21*Capacity!Y$3:Y$25*Capacity!$DH21/(TRANSPOSE(Dists!$B20:$X20)*MMULT(1/Dists!$B20:$X20,Capacity!$DH$3:$DH$25)))</f>
        <v>749.887762528125</v>
      </c>
      <c r="F49" s="4" t="n">
        <f aca="false">$E21*Capacity!$M21/(2*(1-Capacity!$H$28)*Capacity!$H21)</f>
        <v>336.209555976087</v>
      </c>
      <c r="G49" s="4" t="n">
        <f aca="false" t="array" ref="G49:G49">SUM(Demand!G21*Capacity!AA$3:AA$25*Capacity!$DH21/(TRANSPOSE(Dists!$B20:$X20)*MMULT(1/Dists!$B20:$X20,Capacity!$DH$3:$DH$25)))</f>
        <v>1400.02283702793</v>
      </c>
      <c r="H49" s="4" t="n">
        <f aca="false" t="array" ref="H49:H49">SUM(Demand!H21*Capacity!AB$3:AB$25*Capacity!$DH21/(TRANSPOSE(Dists!$B20:$X20)*MMULT(1/Dists!$B20:$X20,Capacity!$DH$3:$DH$25)))</f>
        <v>0</v>
      </c>
      <c r="I49" s="4" t="n">
        <f aca="false" t="array" ref="I49:I49">SUM(Demand!I21*Capacity!AC$3:AC$25*Capacity!$DG21/(TRANSPOSE(Dists!$B20:$X20)*MMULT(1/Dists!$B20:$X20,Capacity!$DG$3:$DG$25)))</f>
        <v>2.69265754184773</v>
      </c>
      <c r="J49" s="4" t="n">
        <f aca="false" t="array" ref="J49:J49">SUM(Demand!J21*Capacity!AD$3:AD$25*Capacity!$DG21/(TRANSPOSE(Dists!$B20:$X20)*MMULT(1/Dists!$B20:$X20,Capacity!$DG$3:$DG$25)))</f>
        <v>8.71879053757698</v>
      </c>
      <c r="K49" s="4" t="n">
        <f aca="false">5479.45205479452*$R21</f>
        <v>1290872.43134773</v>
      </c>
      <c r="L49" s="4" t="n">
        <f aca="false">17142.8571428571*$S21</f>
        <v>512233.998277241</v>
      </c>
      <c r="M49" s="4" t="n">
        <f aca="false">IF(50420.1680672269*$T21&gt;($K21/20),50420.1680672269*$T21-($K21/20),0)</f>
        <v>777484.868751367</v>
      </c>
      <c r="N49" s="4" t="n">
        <f aca="false" t="array" ref="N49:N49">SUM(Demand!N21*Capacity!AH$3:AH$25*Capacity!$DH21/(TRANSPOSE(Dists!$B20:$X20)*MMULT(1/Dists!$B20:$X20,Capacity!$DH$3:$DH$25)))</f>
        <v>1452.97619138553</v>
      </c>
      <c r="O49" s="4" t="n">
        <f aca="false">O21</f>
        <v>2662.69554403366</v>
      </c>
      <c r="P49" s="4" t="n">
        <f aca="false">P21</f>
        <v>1065.07821761346</v>
      </c>
      <c r="Q49" s="4" t="n">
        <f aca="false" t="array" ref="Q49:Q49">SUM(Demand!Q21*Capacity!AK$3:AK$25*Capacity!$DI21/(TRANSPOSE(Dists!$B20:$X20)*MMULT(1/Dists!$B20:$X20,Capacity!$DI$3:$DI$25)))</f>
        <v>18.2835136136661</v>
      </c>
      <c r="R49" s="4" t="n">
        <f aca="false" t="array" ref="R49:R49">SUM(Demand!R21*Capacity!AL$3:AL$25*Capacity!$DH21/(TRANSPOSE(Dists!$B20:$X20)*MMULT(1/Dists!$B20:$X20,Capacity!$DH$3:$DH$25)))</f>
        <v>161.17478398642</v>
      </c>
      <c r="S49" s="4" t="n">
        <f aca="false">SUM($BG49,$BI49,$BK49)*Capacity!AM21/SUM(Capacity!$AM21:$AN21,Capacity!$CX21)</f>
        <v>29.8803165661724</v>
      </c>
      <c r="T49" s="4" t="n">
        <f aca="false">SUM($BG49,$BI49,$BK49)*Capacity!AN21/SUM(Capacity!$AM21:$AN21,Capacity!$CX21)</f>
        <v>16.7002317246553</v>
      </c>
      <c r="U49" s="4" t="n">
        <f aca="false">$M21*120*2/(16*1000*2000)</f>
        <v>5.83113651563526</v>
      </c>
      <c r="V49" s="4" t="n">
        <f aca="false" t="array" ref="V49:V49">SUM(Demand!V21*Capacity!AP$3:AP$25*Capacity!$DH21/(TRANSPOSE(Dists!$B20:$X20)*MMULT(1/Dists!$B20:$X20,Capacity!$DH$3:$DH$25)))</f>
        <v>31.8588087939012</v>
      </c>
      <c r="W49" s="4" t="n">
        <f aca="false" t="array" ref="W49:W49">SUM(Demand!W21*Capacity!AQ$3:AQ$25*Capacity!$DH21/(TRANSPOSE(Dists!$B20:$X20)*MMULT(1/Dists!$B20:$X20,Capacity!$DH$3:$DH$25)))</f>
        <v>461.317925935366</v>
      </c>
      <c r="X49" s="4" t="n">
        <f aca="false" t="array" ref="X49:X49">SUM(Demand!X21*Capacity!AR$3:AR$25*Capacity!$DH21/(TRANSPOSE(Dists!$B20:$X20)*MMULT(1/Dists!$B20:$X20,Capacity!$DH$3:$DH$25)))</f>
        <v>479.574205643526</v>
      </c>
      <c r="Y49" s="4" t="n">
        <f aca="false">$L21*600*6/(90*1000*2000)</f>
        <v>10.2446799655448</v>
      </c>
      <c r="Z49" s="4" t="n">
        <f aca="false" t="array" ref="Z49:Z49">SUM(Demand!Z21*Capacity!AT$3:AT$25*Capacity!$DI21/(TRANSPOSE(Dists!$B20:$X20)*MMULT(1/Dists!$B20:$X20,Capacity!$DI$3:$DI$25)))</f>
        <v>94.0687559860008</v>
      </c>
      <c r="AA49" s="4" t="n">
        <f aca="false" t="array" ref="AA49:AA49">SUM(Demand!AA21*Capacity!AU$3:AU$25*Capacity!$DI21/(TRANSPOSE(Dists!$B20:$X20)*MMULT(1/Dists!$B20:$X20,Capacity!$DI$3:$DI$25)))</f>
        <v>68.4322954546391</v>
      </c>
      <c r="AB49" s="4" t="n">
        <f aca="false" t="array" ref="AB49:AB49">SUM(Demand!AB21*Capacity!AV$3:AV$25*Capacity!$DI21/(TRANSPOSE(Dists!$B20:$X20)*MMULT(1/Dists!$B20:$X20,Capacity!$DI$3:$DI$25)))</f>
        <v>52.4804229681187</v>
      </c>
      <c r="AC49" s="4" t="n">
        <f aca="false" t="array" ref="AC49:AC49">SUM(Demand!AC21*Capacity!AW$3:AW$25*Capacity!$DI21/(TRANSPOSE(Dists!$B20:$X20)*MMULT(1/Dists!$B20:$X20,Capacity!$DI$3:$DI$25)))</f>
        <v>14.6712275507664</v>
      </c>
      <c r="AD49" s="4" t="n">
        <f aca="false" t="array" ref="AD49:AD49">SUM(Demand!AD21*Capacity!AX$3:AX$25*Capacity!$DI21/(TRANSPOSE(Dists!$B20:$X20)*MMULT(1/Dists!$B20:$X20,Capacity!$DI$3:$DI$25)))</f>
        <v>8.59160478515625</v>
      </c>
      <c r="AE49" s="4" t="n">
        <f aca="false" t="array" ref="AE49:AE49">SUM(Demand!AE21*Capacity!AY$3:AY$25*Capacity!$DI21/(TRANSPOSE(Dists!$B20:$X20)*MMULT(1/Dists!$B20:$X20,Capacity!$DI$3:$DI$25)))</f>
        <v>7.22615114243084</v>
      </c>
      <c r="AF49" s="4" t="n">
        <f aca="false" t="array" ref="AF49:AF49">SUM(Demand!AF21*Capacity!AZ$3:AZ$25*Capacity!$DI21/(TRANSPOSE(Dists!$B20:$X20)*MMULT(1/Dists!$B20:$X20,Capacity!$DI$3:$DI$25)))</f>
        <v>0.494075486762338</v>
      </c>
      <c r="AG49" s="4" t="n">
        <f aca="false" t="array" ref="AG49:AG49">SUM(Demand!AG21*Capacity!BA$3:BA$25*Capacity!$DI21/(TRANSPOSE(Dists!$B20:$X20)*MMULT(1/Dists!$B20:$X20,Capacity!$DI$3:$DI$25)))</f>
        <v>5.65995158489944</v>
      </c>
      <c r="AH49" s="4" t="n">
        <f aca="false" t="array" ref="AH49:AH49">SUM(Demand!AH21*Capacity!BB$3:BB$25*Capacity!$DI21/(TRANSPOSE(Dists!$B20:$X20)*MMULT(1/Dists!$B20:$X20,Capacity!$DI$3:$DI$25)))</f>
        <v>4.59022258902956</v>
      </c>
      <c r="AI49" s="4" t="n">
        <f aca="false" t="array" ref="AI49:AI49">SUM(Demand!AI21*Capacity!BC$3:BC$25*Capacity!$DI21/(TRANSPOSE(Dists!$B20:$X20)*MMULT(1/Dists!$B20:$X20,Capacity!$DI$3:$DI$25)))</f>
        <v>0.296185440199492</v>
      </c>
      <c r="AJ49" s="4" t="n">
        <f aca="false" t="array" ref="AJ49:AJ49">SUM(Demand!AJ21*Capacity!BD$3:BD$25*Capacity!$DI21/(TRANSPOSE(Dists!$B20:$X20)*MMULT(1/Dists!$B20:$X20,Capacity!$DI$3:$DI$25)))</f>
        <v>1.59374936219851</v>
      </c>
      <c r="AK49" s="4" t="n">
        <f aca="false" t="array" ref="AK49:AK49">SUM(Demand!AK21*Capacity!BE$3:BE$25*Capacity!$DI21/(TRANSPOSE(Dists!$B20:$X20)*MMULT(1/Dists!$B20:$X20,Capacity!$DI$3:$DI$25)))</f>
        <v>0.895704773437867</v>
      </c>
      <c r="AL49" s="4" t="n">
        <f aca="false" t="array" ref="AL49:AL49">SUM(Demand!AL21*Capacity!BF$3:BF$25*Capacity!$DI21/(TRANSPOSE(Dists!$B20:$X20)*MMULT(1/Dists!$B20:$X20,Capacity!$DI$3:$DI$25)))</f>
        <v>0.334040241882382</v>
      </c>
      <c r="AM49" s="4" t="n">
        <f aca="false" t="array" ref="AM49:AM49">SUM(Demand!AM21*Capacity!BG$3:BG$25*Capacity!$DI21/(TRANSPOSE(Dists!$B20:$X20)*MMULT(1/Dists!$B20:$X20,Capacity!$DI$3:$DI$25)))</f>
        <v>1.27183315563353</v>
      </c>
      <c r="AN49" s="4" t="n">
        <f aca="false" t="array" ref="AN49:AN49">SUM(Demand!AN21*Capacity!BH$3:BH$25*Capacity!$DI21/(TRANSPOSE(Dists!$B20:$X20)*MMULT(1/Dists!$B20:$X20,Capacity!$DI$3:$DI$25)))</f>
        <v>0.807364729888919</v>
      </c>
      <c r="AO49" s="4" t="n">
        <f aca="false" t="array" ref="AO49:AO49">SUM(Demand!AO21*Capacity!BI$3:BI$25*Capacity!$DI21/(TRANSPOSE(Dists!$B20:$X20)*MMULT(1/Dists!$B20:$X20,Capacity!$DI$3:$DI$25)))</f>
        <v>1.59732263720138</v>
      </c>
      <c r="AP49" s="4" t="n">
        <f aca="false" t="array" ref="AP49:AP49">SUM(Demand!AP21*Capacity!BJ$3:BJ$25*Capacity!$DI21/(TRANSPOSE(Dists!$B20:$X20)*MMULT(1/Dists!$B20:$X20,Capacity!$DI$3:$DI$25)))</f>
        <v>1.7934091446023</v>
      </c>
      <c r="AQ49" s="4" t="n">
        <f aca="false" t="array" ref="AQ49:AQ49">SUM(Demand!AQ21*Capacity!BK$3:BK$25*Capacity!$DI21/(TRANSPOSE(Dists!$B20:$X20)*MMULT(1/Dists!$B20:$X20,Capacity!$DI$3:$DI$25)))</f>
        <v>0.175364193269379</v>
      </c>
      <c r="AR49" s="4" t="n">
        <f aca="false" t="array" ref="AR49:AR49">SUM(Demand!AR21*Capacity!BL$3:BL$25*Capacity!$DI21/(TRANSPOSE(Dists!$B20:$X20)*MMULT(1/Dists!$B20:$X20,Capacity!$DI$3:$DI$25)))</f>
        <v>0.243020730790831</v>
      </c>
      <c r="AS49" s="4" t="n">
        <f aca="false" t="array" ref="AS49:AS49">SUM(Demand!AS21*Capacity!BM$3:BM$25*Capacity!$DI21/(TRANSPOSE(Dists!$B20:$X20)*MMULT(1/Dists!$B20:$X20,Capacity!$DI$3:$DI$25)))</f>
        <v>0.362996234097516</v>
      </c>
      <c r="AT49" s="4" t="n">
        <f aca="false" t="array" ref="AT49:AT49">SUM(Demand!AT21*Capacity!BN$3:BN$25*Capacity!$DI21/(TRANSPOSE(Dists!$B20:$X20)*MMULT(1/Dists!$B20:$X20,Capacity!$DI$3:$DI$25)))</f>
        <v>1.58438585050715</v>
      </c>
      <c r="AU49" s="4" t="n">
        <f aca="false" t="array" ref="AU49:AU49">SUM(Demand!AU21*Capacity!BO$3:BO$25*Capacity!$DI21/(TRANSPOSE(Dists!$B20:$X20)*MMULT(1/Dists!$B20:$X20,Capacity!$DI$3:$DI$25)))</f>
        <v>6.71909308170542</v>
      </c>
      <c r="AV49" s="4" t="n">
        <f aca="false" t="array" ref="AV49:AV49">SUM(Demand!AV21*Capacity!BP$3:BP$25*Capacity!$DI21/(TRANSPOSE(Dists!$B20:$X20)*MMULT(1/Dists!$B20:$X20,Capacity!$DI$3:$DI$25)))</f>
        <v>0.106839147999156</v>
      </c>
      <c r="AW49" s="4" t="n">
        <f aca="false" t="array" ref="AW49:AW49">SUM(Demand!AW21*Capacity!BQ$3:BQ$25*Capacity!$DI21/(TRANSPOSE(Dists!$B20:$X20)*MMULT(1/Dists!$B20:$X20,Capacity!$DI$3:$DI$25)))</f>
        <v>7.85457642379316</v>
      </c>
      <c r="AX49" s="4" t="n">
        <f aca="false" t="array" ref="AX49:AX49">SUM(Demand!AX21*Capacity!BR$3:BR$25*Capacity!$DI21/(TRANSPOSE(Dists!$B20:$X20)*MMULT(1/Dists!$B20:$X20,Capacity!$DI$3:$DI$25)))</f>
        <v>0.49215497377912</v>
      </c>
      <c r="AY49" s="4" t="n">
        <f aca="false" t="array" ref="AY49:AY49">SUM(Demand!AY21*Capacity!BS$3:BS$25*Capacity!$DI21/(TRANSPOSE(Dists!$B20:$X20)*MMULT(1/Dists!$B20:$X20,Capacity!$DI$3:$DI$25)))</f>
        <v>0.957296066978968</v>
      </c>
      <c r="AZ49" s="4" t="n">
        <f aca="false" t="array" ref="AZ49:AZ49">SUM(Demand!AZ21*Capacity!BT$3:BT$25*Capacity!$DI21/(TRANSPOSE(Dists!$B20:$X20)*MMULT(1/Dists!$B20:$X20,Capacity!$DI$3:$DI$25)))</f>
        <v>4.92703063980813</v>
      </c>
      <c r="BA49" s="4" t="n">
        <f aca="false">BA21</f>
        <v>0.125547548597363</v>
      </c>
      <c r="BB49" s="4" t="n">
        <f aca="false" t="array" ref="BB49:BB49">SUM(Demand!BB21*Capacity!BV$3:BV$25*Capacity!$DI21/(TRANSPOSE(Dists!$B20:$X20)*MMULT(1/Dists!$B20:$X20,Capacity!$DI$3:$DI$25)))</f>
        <v>0.478281906615099</v>
      </c>
      <c r="BC49" s="4" t="n">
        <f aca="false" t="array" ref="BC49:BC49">SUM(Demand!BC21*Capacity!BW$3:BW$25*Capacity!$DI21/(TRANSPOSE(Dists!$B20:$X20)*MMULT(1/Dists!$B20:$X20,Capacity!$DI$3:$DI$25)))</f>
        <v>0.200942912491378</v>
      </c>
      <c r="BD49" s="4" t="n">
        <f aca="false" t="array" ref="BD49:BD49">SUM(Demand!BD21*Capacity!BX$3:BX$25*Capacity!$DI21/(TRANSPOSE(Dists!$B20:$X20)*MMULT(1/Dists!$B20:$X20,Capacity!$DI$3:$DI$25)))</f>
        <v>0.0826883838092253</v>
      </c>
      <c r="BE49" s="4" t="n">
        <f aca="false" t="array" ref="BE49:BE49">SUM(Demand!BE21*Capacity!BY$3:BY$25*Capacity!$DI21/(TRANSPOSE(Dists!$B20:$X20)*MMULT(1/Dists!$B20:$X20,Capacity!$DI$3:$DI$25)))</f>
        <v>0.118062482842228</v>
      </c>
      <c r="BF49" s="4" t="n">
        <f aca="false" t="array" ref="BF49:BF49">SUM(Demand!BF21*Capacity!BZ$3:BZ$25*Capacity!$DI21/(TRANSPOSE(Dists!$B20:$X20)*MMULT(1/Dists!$B20:$X20,Capacity!$DI$3:$DI$25)))</f>
        <v>4.15940621001446</v>
      </c>
      <c r="BG49" s="4" t="n">
        <f aca="false" t="array" ref="BG49:BG49">SUM(Demand!BG21*Capacity!CA$3:CA$25*Capacity!$DI21/(TRANSPOSE(Dists!$B20:$X20)*MMULT(1/Dists!$B20:$X20,Capacity!$DI$3:$DI$25)))</f>
        <v>39.0973807366071</v>
      </c>
      <c r="BH49" s="4" t="n">
        <f aca="false" t="array" ref="BH49:BH49">SUM(Demand!BH21*Capacity!CB$3:CB$25*Capacity!$DI21/(TRANSPOSE(Dists!$B20:$X20)*MMULT(1/Dists!$B20:$X20,Capacity!$DI$3:$DI$25)))</f>
        <v>78.1947614732143</v>
      </c>
      <c r="BI49" s="4" t="n">
        <f aca="false" t="array" ref="BI49:BI49">SUM(Demand!BI21*Capacity!CC$3:CC$25*Capacity!$DI21/(TRANSPOSE(Dists!$B20:$X20)*MMULT(1/Dists!$B20:$X20,Capacity!$DI$3:$DI$25)))</f>
        <v>104.259681964286</v>
      </c>
      <c r="BJ49" s="4" t="n">
        <f aca="false" t="array" ref="BJ49:BJ49">SUM(Demand!BJ21*Capacity!CD$3:CD$25*Capacity!$DI21/(TRANSPOSE(Dists!$B20:$X20)*MMULT(1/Dists!$B20:$X20,Capacity!$DI$3:$DI$25)))</f>
        <v>572.139660207887</v>
      </c>
      <c r="BK49" s="4" t="n">
        <f aca="false" t="array" ref="BK49:BK49">SUM(Demand!BK21*Capacity!CE$3:CE$25*Capacity!$DI21/(TRANSPOSE(Dists!$B20:$X20)*MMULT(1/Dists!$B20:$X20,Capacity!$DI$3:$DI$25)))</f>
        <v>52.1298409821428</v>
      </c>
      <c r="BL49" s="4" t="n">
        <f aca="false" t="array" ref="BL49:BL49">SUM(Demand!BL21*Capacity!CF$3:CF$25*Capacity!$DI21/(TRANSPOSE(Dists!$B20:$X20)*MMULT(1/Dists!$B20:$X20,Capacity!$DI$3:$DI$25)))</f>
        <v>16.1199790649024</v>
      </c>
      <c r="BM49" s="4" t="n">
        <f aca="false" t="array" ref="BM49:BM49">SUM(Demand!BM21*Capacity!CG$3:CG$25*Capacity!$DI21/(TRANSPOSE(Dists!$B20:$X20)*MMULT(1/Dists!$B20:$X20,Capacity!$DI$3:$DI$25)))</f>
        <v>114.264869360336</v>
      </c>
      <c r="BN49" s="4" t="n">
        <f aca="false">BN21</f>
        <v>0.00180017959412794</v>
      </c>
      <c r="BO49" s="4" t="n">
        <f aca="false" t="array" ref="BO49:BO49">SUM(Demand!BO21*Capacity!CI$3:CI$25*Capacity!$DI21/(TRANSPOSE(Dists!$B20:$X20)*MMULT(1/Dists!$B20:$X20,Capacity!$DI$3:$DI$25)))</f>
        <v>42.7213670792577</v>
      </c>
      <c r="BP49" s="4" t="n">
        <f aca="false" t="array" ref="BP49:BP49">SUM(Demand!BP21*Capacity!CJ$3:CJ$25*Capacity!$DI21/(TRANSPOSE(Dists!$B20:$X20)*MMULT(1/Dists!$B20:$X20,Capacity!$DI$3:$DI$25)))</f>
        <v>44.0065323316011</v>
      </c>
      <c r="BQ49" s="4" t="n">
        <f aca="false" t="array" ref="BQ49:BQ49">SUM(Demand!BQ21*Capacity!CK$3:CK$25*Capacity!$DI21/(TRANSPOSE(Dists!$B20:$X20)*MMULT(1/Dists!$B20:$X20,Capacity!$DI$3:$DI$25)))</f>
        <v>0</v>
      </c>
      <c r="BR49" s="4" t="n">
        <f aca="false" t="array" ref="BR49:BR49">SUM(Demand!BR21*Capacity!CL$3:CL$25*Capacity!$DI21/(TRANSPOSE(Dists!$B20:$X20)*MMULT(1/Dists!$B20:$X20,Capacity!$DI$3:$DI$25)))</f>
        <v>1.42404620355009</v>
      </c>
      <c r="BS49" s="4" t="n">
        <f aca="false" t="array" ref="BS49:BS49">SUM(Demand!BS21*Capacity!CM$3:CM$25*Capacity!$DI21/(TRANSPOSE(Dists!$B20:$X20)*MMULT(1/Dists!$B20:$X20,Capacity!$DI$3:$DI$25)))</f>
        <v>0.142404620355009</v>
      </c>
      <c r="BT49" s="4" t="n">
        <f aca="false">BT21</f>
        <v>16.9908742582227</v>
      </c>
      <c r="BU49" s="4" t="n">
        <f aca="false">BU21</f>
        <v>1.69908742582227</v>
      </c>
      <c r="BV49" s="4" t="n">
        <f aca="false">BV21</f>
        <v>0.169908742582227</v>
      </c>
      <c r="BW49" s="4" t="n">
        <f aca="false">BW21</f>
        <v>3246.22945764</v>
      </c>
      <c r="BX49" s="4" t="n">
        <f aca="false" t="array" ref="BX49:BX49">SUM(Demand!BX21*Capacity!CR$3:CR$25*Capacity!$DI21/(TRANSPOSE(Dists!$B20:$X20)*MMULT(1/Dists!$B20:$X20,Capacity!$DI$3:$DI$25)))</f>
        <v>7.5612516408003</v>
      </c>
      <c r="BY49" s="4" t="n">
        <f aca="false" t="array" ref="BY49:BY49">SUM(Demand!BY21*Capacity!CS$3:CS$25*Capacity!$DI21/(TRANSPOSE(Dists!$B20:$X20)*MMULT(1/Dists!$B20:$X20,Capacity!$DI$3:$DI$25)))</f>
        <v>35.2696413235204</v>
      </c>
      <c r="BZ49" s="4" t="n">
        <f aca="false" t="array" ref="BZ49:BZ49">SUM(Demand!BZ21*Capacity!CT$3:CT$25*Capacity!$DI21/(TRANSPOSE(Dists!$B20:$X20)*MMULT(1/Dists!$B20:$X20,Capacity!$DI$3:$DI$25)))</f>
        <v>0.091511621743438</v>
      </c>
      <c r="CA49" s="4" t="n">
        <f aca="false" t="array" ref="CA49:CA49">SUM(Demand!CA21*Capacity!CU$3:CU$25*Capacity!$DI21/(TRANSPOSE(Dists!$B20:$X20)*MMULT(1/Dists!$B20:$X20,Capacity!$DI$3:$DI$25)))</f>
        <v>0.027590592755829</v>
      </c>
      <c r="CB49" s="4" t="n">
        <f aca="false" t="array" ref="CB49:CB49">SUM(Demand!CB21*Capacity!CV$3:CV$25*Capacity!$DI21/(TRANSPOSE(Dists!$B20:$X20)*MMULT(1/Dists!$B20:$X20,Capacity!$DI$3:$DI$25)))</f>
        <v>55.5222095910712</v>
      </c>
      <c r="CC49" s="4" t="n">
        <f aca="false" t="array" ref="CC49:CC49">SUM(Demand!CC21*Capacity!CW$3:CW$25*Capacity!$DI21/(TRANSPOSE(Dists!$B20:$X20)*MMULT(1/Dists!$B20:$X20,Capacity!$DI$3:$DI$25)))</f>
        <v>173.052075202252</v>
      </c>
      <c r="CD49" s="4" t="n">
        <f aca="false">SUM($BG49,$BI49,$BK49)*Capacity!CX21/SUM(Capacity!$AM21:$AN21,Capacity!$CX21)</f>
        <v>148.906355392208</v>
      </c>
      <c r="CE49" s="4" t="n">
        <f aca="false" t="array" ref="CE49:CE49">SUM(Demand!CE21*Capacity!CY$3:CY$25*Capacity!$DI21/(TRANSPOSE(Dists!$B20:$X20)*MMULT(1/Dists!$B20:$X20,Capacity!$DI$3:$DI$25)))</f>
        <v>20.9216819938871</v>
      </c>
      <c r="CF49" s="4" t="n">
        <f aca="false" t="array" ref="CF49:CF49">SUM(Demand!CF21*Capacity!CZ$3:CZ$25*Capacity!$DI21/(TRANSPOSE(Dists!$B20:$X20)*MMULT(1/Dists!$B20:$X20,Capacity!$DI$3:$DI$25)))</f>
        <v>40.5038612952371</v>
      </c>
      <c r="CG49" s="4" t="n">
        <f aca="false" t="array" ref="CG49:CG49">SUM(Demand!CG21*Capacity!DA$3:DA$25*Capacity!$DI21/(TRANSPOSE(Dists!$B20:$X20)*MMULT(1/Dists!$B20:$X20,Capacity!$DI$3:$DI$25)))</f>
        <v>0.680834329903637</v>
      </c>
      <c r="CH49" s="4" t="n">
        <f aca="false" t="array" ref="CH49:CH49">SUM(Demand!CH21*Capacity!DB$3:DB$25*Capacity!$DI21/(TRANSPOSE(Dists!$B20:$X20)*MMULT(1/Dists!$B20:$X20,Capacity!$DI$3:$DI$25)))</f>
        <v>0.682059542377091</v>
      </c>
      <c r="CI49" s="4" t="n">
        <f aca="false" t="array" ref="CI49:CI49">SUM(Demand!CI21*Capacity!DC$3:DC$25*Capacity!$DI21/(TRANSPOSE(Dists!$B20:$X20)*MMULT(1/Dists!$B20:$X20,Capacity!$DI$3:$DI$25)))</f>
        <v>0.195653421548603</v>
      </c>
      <c r="CJ49" s="4" t="n">
        <f aca="false" t="array" ref="CJ49:CJ49">SUM(Demand!CJ21*Capacity!DD$3:DD$25*Capacity!$DI21/(TRANSPOSE(Dists!$B20:$X20)*MMULT(1/Dists!$B20:$X20,Capacity!$DI$3:$DI$25)))</f>
        <v>0.054958892239035</v>
      </c>
      <c r="CK49" s="4" t="n">
        <f aca="false" t="array" ref="CK49:CK49">SUM(Demand!CK21*Capacity!DE$3:DE$25*Capacity!$DI21/(TRANSPOSE(Dists!$B20:$X20)*MMULT(1/Dists!$B20:$X20,Capacity!$DI$3:$DI$25)))</f>
        <v>8.35613174177728</v>
      </c>
      <c r="CL49" s="7" t="s">
        <v>322</v>
      </c>
    </row>
    <row r="50" customFormat="false" ht="12.8" hidden="false" customHeight="false" outlineLevel="0" collapsed="false">
      <c r="A50" s="4" t="s">
        <v>157</v>
      </c>
      <c r="B50" s="7" t="s">
        <v>39</v>
      </c>
      <c r="C50" s="4" t="n">
        <f aca="false" t="array" ref="C50:C50">SUM(Demand!C22*Capacity!S$3:S$25*Capacity!$DH22/(TRANSPOSE(Dists!$B21:$X21)*MMULT(1/Dists!$B21:$X21,Capacity!$DH$3:$DH$25)))</f>
        <v>0.0135462426040446</v>
      </c>
      <c r="D50" s="4" t="n">
        <f aca="false" t="array" ref="D50:D50">SUM(Demand!D22*Capacity!V$3:V$25*Capacity!$DH22/(TRANSPOSE(Dists!$B21:$X21)*MMULT(1/Dists!$B21:$X21,Capacity!$DH$3:$DH$25)))</f>
        <v>872.734517914657</v>
      </c>
      <c r="E50" s="4" t="n">
        <f aca="false" t="array" ref="E50:E50">SUM(Demand!E22*Capacity!Y$3:Y$25*Capacity!$DH22/(TRANSPOSE(Dists!$B21:$X21)*MMULT(1/Dists!$B21:$X21,Capacity!$DH$3:$DH$25)))</f>
        <v>91.2179834396178</v>
      </c>
      <c r="F50" s="4" t="n">
        <f aca="false">$E22*Capacity!$M22/(2*(1-Capacity!$H$28)*Capacity!$H22)</f>
        <v>32.3146498970651</v>
      </c>
      <c r="G50" s="4" t="n">
        <f aca="false" t="array" ref="G50:G50">SUM(Demand!G22*Capacity!AA$3:AA$25*Capacity!$DH22/(TRANSPOSE(Dists!$B21:$X21)*MMULT(1/Dists!$B21:$X21,Capacity!$DH$3:$DH$25)))</f>
        <v>117.887553634716</v>
      </c>
      <c r="H50" s="4" t="n">
        <f aca="false" t="array" ref="H50:H50">SUM(Demand!H22*Capacity!AB$3:AB$25*Capacity!$DH22/(TRANSPOSE(Dists!$B21:$X21)*MMULT(1/Dists!$B21:$X21,Capacity!$DH$3:$DH$25)))</f>
        <v>0</v>
      </c>
      <c r="I50" s="4" t="n">
        <f aca="false" t="array" ref="I50:I50">SUM(Demand!I22*Capacity!AC$3:AC$25*Capacity!$DG22/(TRANSPOSE(Dists!$B21:$X21)*MMULT(1/Dists!$B21:$X21,Capacity!$DG$3:$DG$25)))</f>
        <v>2.19153288923458</v>
      </c>
      <c r="J50" s="4" t="n">
        <f aca="false" t="array" ref="J50:J50">SUM(Demand!J22*Capacity!AD$3:AD$25*Capacity!$DG22/(TRANSPOSE(Dists!$B21:$X21)*MMULT(1/Dists!$B21:$X21,Capacity!$DG$3:$DG$25)))</f>
        <v>2.86715981397718</v>
      </c>
      <c r="K50" s="4" t="n">
        <f aca="false">5479.45205479452*$R22</f>
        <v>567819.201045995</v>
      </c>
      <c r="L50" s="4" t="n">
        <f aca="false">17142.8571428571*$S22</f>
        <v>153777.698595094</v>
      </c>
      <c r="M50" s="4" t="n">
        <f aca="false">IF(50420.1680672269*$T22&gt;($K22/20),50420.1680672269*$T22-($K22/20),0)</f>
        <v>224394.297912239</v>
      </c>
      <c r="N50" s="4" t="n">
        <f aca="false" t="array" ref="N50:N50">SUM(Demand!N22*Capacity!AH$3:AH$25*Capacity!$DH22/(TRANSPOSE(Dists!$B21:$X21)*MMULT(1/Dists!$B21:$X21,Capacity!$DH$3:$DH$25)))</f>
        <v>92.2881137701813</v>
      </c>
      <c r="O50" s="4" t="n">
        <f aca="false">O22</f>
        <v>581.823011943105</v>
      </c>
      <c r="P50" s="4" t="n">
        <f aca="false">P22</f>
        <v>232.729204777242</v>
      </c>
      <c r="Q50" s="4" t="n">
        <f aca="false" t="array" ref="Q50:Q50">SUM(Demand!Q22*Capacity!AK$3:AK$25*Capacity!$DI22/(TRANSPOSE(Dists!$B21:$X21)*MMULT(1/Dists!$B21:$X21,Capacity!$DI$3:$DI$25)))</f>
        <v>9.53921432566619</v>
      </c>
      <c r="R50" s="4" t="n">
        <f aca="false" t="array" ref="R50:R50">SUM(Demand!R22*Capacity!AL$3:AL$25*Capacity!$DH22/(TRANSPOSE(Dists!$B21:$X21)*MMULT(1/Dists!$B21:$X21,Capacity!$DH$3:$DH$25)))</f>
        <v>187.076060870812</v>
      </c>
      <c r="S50" s="4" t="n">
        <f aca="false">SUM($BG50,$BI50,$BK50)*Capacity!AM22/SUM(Capacity!$AM22:$AN22,Capacity!$CX22)</f>
        <v>8.9703657513805</v>
      </c>
      <c r="T50" s="4" t="n">
        <f aca="false">SUM($BG50,$BI50,$BK50)*Capacity!AN22/SUM(Capacity!$AM22:$AN22,Capacity!$CX22)</f>
        <v>5.01357428296335</v>
      </c>
      <c r="U50" s="4" t="n">
        <f aca="false">$M22*120*2/(16*1000*2000)</f>
        <v>1.68295723434179</v>
      </c>
      <c r="V50" s="4" t="n">
        <f aca="false" t="array" ref="V50:V50">SUM(Demand!V22*Capacity!AP$3:AP$25*Capacity!$DH22/(TRANSPOSE(Dists!$B21:$X21)*MMULT(1/Dists!$B21:$X21,Capacity!$DH$3:$DH$25)))</f>
        <v>10.7421333218454</v>
      </c>
      <c r="W50" s="4" t="n">
        <f aca="false" t="array" ref="W50:W50">SUM(Demand!W22*Capacity!AQ$3:AQ$25*Capacity!$DH22/(TRANSPOSE(Dists!$B21:$X21)*MMULT(1/Dists!$B21:$X21,Capacity!$DH$3:$DH$25)))</f>
        <v>219.436333113188</v>
      </c>
      <c r="X50" s="4" t="n">
        <f aca="false" t="array" ref="X50:X50">SUM(Demand!X22*Capacity!AR$3:AR$25*Capacity!$DH22/(TRANSPOSE(Dists!$B21:$X21)*MMULT(1/Dists!$B21:$X21,Capacity!$DH$3:$DH$25)))</f>
        <v>1897.64459047632</v>
      </c>
      <c r="Y50" s="4" t="n">
        <f aca="false">$L22*600*6/(90*1000*2000)</f>
        <v>3.07555397190188</v>
      </c>
      <c r="Z50" s="4" t="n">
        <f aca="false" t="array" ref="Z50:Z50">SUM(Demand!Z22*Capacity!AT$3:AT$25*Capacity!$DI22/(TRANSPOSE(Dists!$B21:$X21)*MMULT(1/Dists!$B21:$X21,Capacity!$DI$3:$DI$25)))</f>
        <v>2.56388640704945</v>
      </c>
      <c r="AA50" s="4" t="n">
        <f aca="false" t="array" ref="AA50:AA50">SUM(Demand!AA22*Capacity!AU$3:AU$25*Capacity!$DI22/(TRANSPOSE(Dists!$B21:$X21)*MMULT(1/Dists!$B21:$X21,Capacity!$DI$3:$DI$25)))</f>
        <v>4.21863894024352</v>
      </c>
      <c r="AB50" s="4" t="n">
        <f aca="false" t="array" ref="AB50:AB50">SUM(Demand!AB22*Capacity!AV$3:AV$25*Capacity!$DI22/(TRANSPOSE(Dists!$B21:$X21)*MMULT(1/Dists!$B21:$X21,Capacity!$DI$3:$DI$25)))</f>
        <v>6.38383314467069</v>
      </c>
      <c r="AC50" s="4" t="n">
        <f aca="false" t="array" ref="AC50:AC50">SUM(Demand!AC22*Capacity!AW$3:AW$25*Capacity!$DI22/(TRANSPOSE(Dists!$B21:$X21)*MMULT(1/Dists!$B21:$X21,Capacity!$DI$3:$DI$25)))</f>
        <v>0.455803740380329</v>
      </c>
      <c r="AD50" s="4" t="n">
        <f aca="false" t="array" ref="AD50:AD50">SUM(Demand!AD22*Capacity!AX$3:AX$25*Capacity!$DI22/(TRANSPOSE(Dists!$B21:$X21)*MMULT(1/Dists!$B21:$X21,Capacity!$DI$3:$DI$25)))</f>
        <v>1.04510155009061</v>
      </c>
      <c r="AE50" s="4" t="n">
        <f aca="false" t="array" ref="AE50:AE50">SUM(Demand!AE22*Capacity!AY$3:AY$25*Capacity!$DI22/(TRANSPOSE(Dists!$B21:$X21)*MMULT(1/Dists!$B21:$X21,Capacity!$DI$3:$DI$25)))</f>
        <v>1.38013471386687</v>
      </c>
      <c r="AF50" s="4" t="n">
        <f aca="false" t="array" ref="AF50:AF50">SUM(Demand!AF22*Capacity!AZ$3:AZ$25*Capacity!$DI22/(TRANSPOSE(Dists!$B21:$X21)*MMULT(1/Dists!$B21:$X21,Capacity!$DI$3:$DI$25)))</f>
        <v>0.645763386580065</v>
      </c>
      <c r="AG50" s="4" t="n">
        <f aca="false" t="array" ref="AG50:AG50">SUM(Demand!AG22*Capacity!BA$3:BA$25*Capacity!$DI22/(TRANSPOSE(Dists!$B21:$X21)*MMULT(1/Dists!$B21:$X21,Capacity!$DI$3:$DI$25)))</f>
        <v>1.70842098647382</v>
      </c>
      <c r="AH50" s="4" t="n">
        <f aca="false" t="array" ref="AH50:AH50">SUM(Demand!AH22*Capacity!BB$3:BB$25*Capacity!$DI22/(TRANSPOSE(Dists!$B21:$X21)*MMULT(1/Dists!$B21:$X21,Capacity!$DI$3:$DI$25)))</f>
        <v>1.25423296925659</v>
      </c>
      <c r="AI50" s="4" t="n">
        <f aca="false" t="array" ref="AI50:AI50">SUM(Demand!AI22*Capacity!BC$3:BC$25*Capacity!$DI22/(TRANSPOSE(Dists!$B21:$X21)*MMULT(1/Dists!$B21:$X21,Capacity!$DI$3:$DI$25)))</f>
        <v>0.150489397258712</v>
      </c>
      <c r="AJ50" s="4" t="n">
        <f aca="false" t="array" ref="AJ50:AJ50">SUM(Demand!AJ22*Capacity!BD$3:BD$25*Capacity!$DI22/(TRANSPOSE(Dists!$B21:$X21)*MMULT(1/Dists!$B21:$X21,Capacity!$DI$3:$DI$25)))</f>
        <v>0.134619374174579</v>
      </c>
      <c r="AK50" s="4" t="n">
        <f aca="false" t="array" ref="AK50:AK50">SUM(Demand!AK22*Capacity!BE$3:BE$25*Capacity!$DI22/(TRANSPOSE(Dists!$B21:$X21)*MMULT(1/Dists!$B21:$X21,Capacity!$DI$3:$DI$25)))</f>
        <v>0.0566278568568565</v>
      </c>
      <c r="AL50" s="4" t="n">
        <f aca="false" t="array" ref="AL50:AL50">SUM(Demand!AL22*Capacity!BF$3:BF$25*Capacity!$DI22/(TRANSPOSE(Dists!$B21:$X21)*MMULT(1/Dists!$B21:$X21,Capacity!$DI$3:$DI$25)))</f>
        <v>0.151902270961422</v>
      </c>
      <c r="AM50" s="4" t="n">
        <f aca="false" t="array" ref="AM50:AM50">SUM(Demand!AM22*Capacity!BG$3:BG$25*Capacity!$DI22/(TRANSPOSE(Dists!$B21:$X21)*MMULT(1/Dists!$B21:$X21,Capacity!$DI$3:$DI$25)))</f>
        <v>0.425349196446574</v>
      </c>
      <c r="AN50" s="4" t="n">
        <f aca="false" t="array" ref="AN50:AN50">SUM(Demand!AN22*Capacity!BH$3:BH$25*Capacity!$DI22/(TRANSPOSE(Dists!$B21:$X21)*MMULT(1/Dists!$B21:$X21,Capacity!$DI$3:$DI$25)))</f>
        <v>0.0915167930565778</v>
      </c>
      <c r="AO50" s="4" t="n">
        <f aca="false" t="array" ref="AO50:AO50">SUM(Demand!AO22*Capacity!BI$3:BI$25*Capacity!$DI22/(TRANSPOSE(Dists!$B21:$X21)*MMULT(1/Dists!$B21:$X21,Capacity!$DI$3:$DI$25)))</f>
        <v>0.521354765000914</v>
      </c>
      <c r="AP50" s="4" t="n">
        <f aca="false" t="array" ref="AP50:AP50">SUM(Demand!AP22*Capacity!BJ$3:BJ$25*Capacity!$DI22/(TRANSPOSE(Dists!$B21:$X21)*MMULT(1/Dists!$B21:$X21,Capacity!$DI$3:$DI$25)))</f>
        <v>0.268260776051529</v>
      </c>
      <c r="AQ50" s="4" t="n">
        <f aca="false" t="array" ref="AQ50:AQ50">SUM(Demand!AQ22*Capacity!BK$3:BK$25*Capacity!$DI22/(TRANSPOSE(Dists!$B21:$X21)*MMULT(1/Dists!$B21:$X21,Capacity!$DI$3:$DI$25)))</f>
        <v>0.0475986000365047</v>
      </c>
      <c r="AR50" s="4" t="n">
        <f aca="false" t="array" ref="AR50:AR50">SUM(Demand!AR22*Capacity!BL$3:BL$25*Capacity!$DI22/(TRANSPOSE(Dists!$B21:$X21)*MMULT(1/Dists!$B21:$X21,Capacity!$DI$3:$DI$25)))</f>
        <v>0.107868506856053</v>
      </c>
      <c r="AS50" s="4" t="n">
        <f aca="false" t="array" ref="AS50:AS50">SUM(Demand!AS22*Capacity!BM$3:BM$25*Capacity!$DI22/(TRANSPOSE(Dists!$B21:$X21)*MMULT(1/Dists!$B21:$X21,Capacity!$DI$3:$DI$25)))</f>
        <v>0.259964121771734</v>
      </c>
      <c r="AT50" s="4" t="n">
        <f aca="false" t="array" ref="AT50:AT50">SUM(Demand!AT22*Capacity!BN$3:BN$25*Capacity!$DI22/(TRANSPOSE(Dists!$B21:$X21)*MMULT(1/Dists!$B21:$X21,Capacity!$DI$3:$DI$25)))</f>
        <v>1.83652703161124</v>
      </c>
      <c r="AU50" s="4" t="n">
        <f aca="false" t="array" ref="AU50:AU50">SUM(Demand!AU22*Capacity!BO$3:BO$25*Capacity!$DI22/(TRANSPOSE(Dists!$B21:$X21)*MMULT(1/Dists!$B21:$X21,Capacity!$DI$3:$DI$25)))</f>
        <v>0.504455470570617</v>
      </c>
      <c r="AV50" s="4" t="n">
        <f aca="false" t="array" ref="AV50:AV50">SUM(Demand!AV22*Capacity!BP$3:BP$25*Capacity!$DI22/(TRANSPOSE(Dists!$B21:$X21)*MMULT(1/Dists!$B21:$X21,Capacity!$DI$3:$DI$25)))</f>
        <v>0.0947913968264934</v>
      </c>
      <c r="AW50" s="4" t="n">
        <f aca="false" t="array" ref="AW50:AW50">SUM(Demand!AW22*Capacity!BQ$3:BQ$25*Capacity!$DI22/(TRANSPOSE(Dists!$B21:$X21)*MMULT(1/Dists!$B21:$X21,Capacity!$DI$3:$DI$25)))</f>
        <v>0.26784369594396</v>
      </c>
      <c r="AX50" s="4" t="n">
        <f aca="false" t="array" ref="AX50:AX50">SUM(Demand!AX22*Capacity!BR$3:BR$25*Capacity!$DI22/(TRANSPOSE(Dists!$B21:$X21)*MMULT(1/Dists!$B21:$X21,Capacity!$DI$3:$DI$25)))</f>
        <v>0.147527863578473</v>
      </c>
      <c r="AY50" s="4" t="n">
        <f aca="false" t="array" ref="AY50:AY50">SUM(Demand!AY22*Capacity!BS$3:BS$25*Capacity!$DI22/(TRANSPOSE(Dists!$B21:$X21)*MMULT(1/Dists!$B21:$X21,Capacity!$DI$3:$DI$25)))</f>
        <v>0.0387345357261807</v>
      </c>
      <c r="AZ50" s="4" t="n">
        <f aca="false" t="array" ref="AZ50:AZ50">SUM(Demand!AZ22*Capacity!BT$3:BT$25*Capacity!$DI22/(TRANSPOSE(Dists!$B21:$X21)*MMULT(1/Dists!$B21:$X21,Capacity!$DI$3:$DI$25)))</f>
        <v>0.306277047617627</v>
      </c>
      <c r="BA50" s="4" t="n">
        <f aca="false">BA22</f>
        <v>0.0376906124007583</v>
      </c>
      <c r="BB50" s="4" t="n">
        <f aca="false" t="array" ref="BB50:BB50">SUM(Demand!BB22*Capacity!BV$3:BV$25*Capacity!$DI22/(TRANSPOSE(Dists!$B21:$X21)*MMULT(1/Dists!$B21:$X21,Capacity!$DI$3:$DI$25)))</f>
        <v>0.29751133503939</v>
      </c>
      <c r="BC50" s="4" t="n">
        <f aca="false" t="array" ref="BC50:BC50">SUM(Demand!BC22*Capacity!BW$3:BW$25*Capacity!$DI22/(TRANSPOSE(Dists!$B21:$X21)*MMULT(1/Dists!$B21:$X21,Capacity!$DI$3:$DI$25)))</f>
        <v>0.255447604197117</v>
      </c>
      <c r="BD50" s="4" t="n">
        <f aca="false" t="array" ref="BD50:BD50">SUM(Demand!BD22*Capacity!BX$3:BX$25*Capacity!$DI22/(TRANSPOSE(Dists!$B21:$X21)*MMULT(1/Dists!$B21:$X21,Capacity!$DI$3:$DI$25)))</f>
        <v>0.0801569797884808</v>
      </c>
      <c r="BE50" s="4" t="n">
        <f aca="false" t="array" ref="BE50:BE50">SUM(Demand!BE22*Capacity!BY$3:BY$25*Capacity!$DI22/(TRANSPOSE(Dists!$B21:$X21)*MMULT(1/Dists!$B21:$X21,Capacity!$DI$3:$DI$25)))</f>
        <v>0.0180010520279449</v>
      </c>
      <c r="BF50" s="4" t="n">
        <f aca="false" t="array" ref="BF50:BF50">SUM(Demand!BF22*Capacity!BZ$3:BZ$25*Capacity!$DI22/(TRANSPOSE(Dists!$B21:$X21)*MMULT(1/Dists!$B21:$X21,Capacity!$DI$3:$DI$25)))</f>
        <v>3.84026754090848</v>
      </c>
      <c r="BG50" s="4" t="n">
        <f aca="false" t="array" ref="BG50:BG50">SUM(Demand!BG22*Capacity!CA$3:CA$25*Capacity!$DI22/(TRANSPOSE(Dists!$B21:$X21)*MMULT(1/Dists!$B21:$X21,Capacity!$DI$3:$DI$25)))</f>
        <v>6.6569928840724</v>
      </c>
      <c r="BH50" s="4" t="n">
        <f aca="false" t="array" ref="BH50:BH50">SUM(Demand!BH22*Capacity!CB$3:CB$25*Capacity!$DI22/(TRANSPOSE(Dists!$B21:$X21)*MMULT(1/Dists!$B21:$X21,Capacity!$DI$3:$DI$25)))</f>
        <v>0.00627041161527944</v>
      </c>
      <c r="BI50" s="4" t="n">
        <f aca="false" t="array" ref="BI50:BI50">SUM(Demand!BI22*Capacity!CC$3:CC$25*Capacity!$DI22/(TRANSPOSE(Dists!$B21:$X21)*MMULT(1/Dists!$B21:$X21,Capacity!$DI$3:$DI$25)))</f>
        <v>17.7519810241931</v>
      </c>
      <c r="BJ50" s="4" t="n">
        <f aca="false" t="array" ref="BJ50:BJ50">SUM(Demand!BJ22*Capacity!CD$3:CD$25*Capacity!$DI22/(TRANSPOSE(Dists!$B21:$X21)*MMULT(1/Dists!$B21:$X21,Capacity!$DI$3:$DI$25)))</f>
        <v>307.139342713104</v>
      </c>
      <c r="BK50" s="4" t="n">
        <f aca="false" t="array" ref="BK50:BK50">SUM(Demand!BK22*Capacity!CE$3:CE$25*Capacity!$DI22/(TRANSPOSE(Dists!$B21:$X21)*MMULT(1/Dists!$B21:$X21,Capacity!$DI$3:$DI$25)))</f>
        <v>8.87599051209654</v>
      </c>
      <c r="BL50" s="4" t="n">
        <f aca="false" t="array" ref="BL50:BL50">SUM(Demand!BL22*Capacity!CF$3:CF$25*Capacity!$DI22/(TRANSPOSE(Dists!$B21:$X21)*MMULT(1/Dists!$B21:$X21,Capacity!$DI$3:$DI$25)))</f>
        <v>801.631147850188</v>
      </c>
      <c r="BM50" s="4" t="n">
        <f aca="false" t="array" ref="BM50:BM50">SUM(Demand!BM22*Capacity!CG$3:CG$25*Capacity!$DI22/(TRANSPOSE(Dists!$B21:$X21)*MMULT(1/Dists!$B21:$X21,Capacity!$DI$3:$DI$25)))</f>
        <v>50.5774631384023</v>
      </c>
      <c r="BN50" s="4" t="n">
        <f aca="false">BN22</f>
        <v>262.190496439322</v>
      </c>
      <c r="BO50" s="4" t="n">
        <f aca="false" t="array" ref="BO50:BO50">SUM(Demand!BO22*Capacity!CI$3:CI$25*Capacity!$DI22/(TRANSPOSE(Dists!$B21:$X21)*MMULT(1/Dists!$B21:$X21,Capacity!$DI$3:$DI$25)))</f>
        <v>0.759267201615752</v>
      </c>
      <c r="BP50" s="4" t="n">
        <f aca="false" t="array" ref="BP50:BP50">SUM(Demand!BP22*Capacity!CJ$3:CJ$25*Capacity!$DI22/(TRANSPOSE(Dists!$B21:$X21)*MMULT(1/Dists!$B21:$X21,Capacity!$DI$3:$DI$25)))</f>
        <v>1.49230798343207</v>
      </c>
      <c r="BQ50" s="4" t="n">
        <f aca="false" t="array" ref="BQ50:BQ50">SUM(Demand!BQ22*Capacity!CK$3:CK$25*Capacity!$DI22/(TRANSPOSE(Dists!$B21:$X21)*MMULT(1/Dists!$B21:$X21,Capacity!$DI$3:$DI$25)))</f>
        <v>0</v>
      </c>
      <c r="BR50" s="4" t="n">
        <f aca="false" t="array" ref="BR50:BR50">SUM(Demand!BR22*Capacity!CL$3:CL$25*Capacity!$DI22/(TRANSPOSE(Dists!$B21:$X21)*MMULT(1/Dists!$B21:$X21,Capacity!$DI$3:$DI$25)))</f>
        <v>0.0253089153976621</v>
      </c>
      <c r="BS50" s="4" t="n">
        <f aca="false" t="array" ref="BS50:BS50">SUM(Demand!BS22*Capacity!CM$3:CM$25*Capacity!$DI22/(TRANSPOSE(Dists!$B21:$X21)*MMULT(1/Dists!$B21:$X21,Capacity!$DI$3:$DI$25)))</f>
        <v>0.0025308915397662</v>
      </c>
      <c r="BT50" s="4" t="n">
        <f aca="false">BT22</f>
        <v>0.599190607534346</v>
      </c>
      <c r="BU50" s="4" t="n">
        <f aca="false">BU22</f>
        <v>0.0599190607534346</v>
      </c>
      <c r="BV50" s="4" t="n">
        <f aca="false">BV22</f>
        <v>0.00599190607534346</v>
      </c>
      <c r="BW50" s="4" t="n">
        <f aca="false">BW22</f>
        <v>394.87843342036</v>
      </c>
      <c r="BX50" s="4" t="n">
        <f aca="false" t="array" ref="BX50:BX50">SUM(Demand!BX22*Capacity!CR$3:CR$25*Capacity!$DI22/(TRANSPOSE(Dists!$B21:$X21)*MMULT(1/Dists!$B21:$X21,Capacity!$DI$3:$DI$25)))</f>
        <v>1.02645927035407</v>
      </c>
      <c r="BY50" s="4" t="n">
        <f aca="false" t="array" ref="BY50:BY50">SUM(Demand!BY22*Capacity!CS$3:CS$25*Capacity!$DI22/(TRANSPOSE(Dists!$B21:$X21)*MMULT(1/Dists!$B21:$X21,Capacity!$DI$3:$DI$25)))</f>
        <v>7.60820552809354</v>
      </c>
      <c r="BZ50" s="4" t="n">
        <f aca="false" t="array" ref="BZ50:BZ50">SUM(Demand!BZ22*Capacity!CT$3:CT$25*Capacity!$DI22/(TRANSPOSE(Dists!$B21:$X21)*MMULT(1/Dists!$B21:$X21,Capacity!$DI$3:$DI$25)))</f>
        <v>0.519181486082144</v>
      </c>
      <c r="CA50" s="4" t="n">
        <f aca="false" t="array" ref="CA50:CA50">SUM(Demand!CA22*Capacity!CU$3:CU$25*Capacity!$DI22/(TRANSPOSE(Dists!$B21:$X21)*MMULT(1/Dists!$B21:$X21,Capacity!$DI$3:$DI$25)))</f>
        <v>0.0255537432533615</v>
      </c>
      <c r="CB50" s="4" t="n">
        <f aca="false" t="array" ref="CB50:CB50">SUM(Demand!CB22*Capacity!CV$3:CV$25*Capacity!$DI22/(TRANSPOSE(Dists!$B21:$X21)*MMULT(1/Dists!$B21:$X21,Capacity!$DI$3:$DI$25)))</f>
        <v>428.196053620418</v>
      </c>
      <c r="CC50" s="4" t="n">
        <f aca="false" t="array" ref="CC50:CC50">SUM(Demand!CC22*Capacity!CW$3:CW$25*Capacity!$DI22/(TRANSPOSE(Dists!$B21:$X21)*MMULT(1/Dists!$B21:$X21,Capacity!$DI$3:$DI$25)))</f>
        <v>681.099064186917</v>
      </c>
      <c r="CD50" s="4" t="n">
        <f aca="false">SUM($BG50,$BI50,$BK50)*Capacity!CX22/SUM(Capacity!$AM22:$AN22,Capacity!$CX22)</f>
        <v>19.3010243860182</v>
      </c>
      <c r="CE50" s="4" t="n">
        <f aca="false" t="array" ref="CE50:CE50">SUM(Demand!CE22*Capacity!CY$3:CY$25*Capacity!$DI22/(TRANSPOSE(Dists!$B21:$X21)*MMULT(1/Dists!$B21:$X21,Capacity!$DI$3:$DI$25)))</f>
        <v>1.29855310071487</v>
      </c>
      <c r="CF50" s="4" t="n">
        <f aca="false" t="array" ref="CF50:CF50">SUM(Demand!CF22*Capacity!CZ$3:CZ$25*Capacity!$DI22/(TRANSPOSE(Dists!$B21:$X21)*MMULT(1/Dists!$B21:$X21,Capacity!$DI$3:$DI$25)))</f>
        <v>1073.96890830238</v>
      </c>
      <c r="CG50" s="4" t="n">
        <f aca="false" t="array" ref="CG50:CG50">SUM(Demand!CG22*Capacity!DA$3:DA$25*Capacity!$DI22/(TRANSPOSE(Dists!$B21:$X21)*MMULT(1/Dists!$B21:$X21,Capacity!$DI$3:$DI$25)))</f>
        <v>0.869691925728947</v>
      </c>
      <c r="CH50" s="4" t="n">
        <f aca="false" t="array" ref="CH50:CH50">SUM(Demand!CH22*Capacity!DB$3:DB$25*Capacity!$DI22/(TRANSPOSE(Dists!$B21:$X21)*MMULT(1/Dists!$B21:$X21,Capacity!$DI$3:$DI$25)))</f>
        <v>2.16976178409446</v>
      </c>
      <c r="CI50" s="4" t="n">
        <f aca="false" t="array" ref="CI50:CI50">SUM(Demand!CI22*Capacity!DC$3:DC$25*Capacity!$DI22/(TRANSPOSE(Dists!$B21:$X21)*MMULT(1/Dists!$B21:$X21,Capacity!$DI$3:$DI$25)))</f>
        <v>0.19248202827902</v>
      </c>
      <c r="CJ50" s="4" t="n">
        <f aca="false" t="array" ref="CJ50:CJ50">SUM(Demand!CJ22*Capacity!DD$3:DD$25*Capacity!$DI22/(TRANSPOSE(Dists!$B21:$X21)*MMULT(1/Dists!$B21:$X21,Capacity!$DI$3:$DI$25)))</f>
        <v>0.00835443800385523</v>
      </c>
      <c r="CK50" s="4" t="n">
        <f aca="false" t="array" ref="CK50:CK50">SUM(Demand!CK22*Capacity!DE$3:DE$25*Capacity!$DI22/(TRANSPOSE(Dists!$B21:$X21)*MMULT(1/Dists!$B21:$X21,Capacity!$DI$3:$DI$25)))</f>
        <v>6.48211943880245</v>
      </c>
      <c r="CL50" s="7" t="s">
        <v>322</v>
      </c>
    </row>
    <row r="51" customFormat="false" ht="12.8" hidden="false" customHeight="false" outlineLevel="0" collapsed="false">
      <c r="A51" s="4" t="s">
        <v>158</v>
      </c>
      <c r="B51" s="7" t="s">
        <v>39</v>
      </c>
      <c r="C51" s="4" t="n">
        <f aca="false" t="array" ref="C51:C51">SUM(Demand!C23*Capacity!S$3:S$25*Capacity!$DH23/(TRANSPOSE(Dists!$B22:$X22)*MMULT(1/Dists!$B22:$X22,Capacity!$DH$3:$DH$25)))</f>
        <v>0.0405862691641426</v>
      </c>
      <c r="D51" s="4" t="n">
        <f aca="false" t="array" ref="D51:D51">SUM(Demand!D23*Capacity!V$3:V$25*Capacity!$DH23/(TRANSPOSE(Dists!$B22:$X22)*MMULT(1/Dists!$B22:$X22,Capacity!$DH$3:$DH$25)))</f>
        <v>2744.48071209654</v>
      </c>
      <c r="E51" s="4" t="n">
        <f aca="false" t="array" ref="E51:E51">SUM(Demand!E23*Capacity!Y$3:Y$25*Capacity!$DH23/(TRANSPOSE(Dists!$B22:$X22)*MMULT(1/Dists!$B22:$X22,Capacity!$DH$3:$DH$25)))</f>
        <v>466.631104498664</v>
      </c>
      <c r="F51" s="4" t="n">
        <f aca="false">$E23*Capacity!$M23/(2*(1-Capacity!$H$28)*Capacity!$H23)</f>
        <v>238.59168280498</v>
      </c>
      <c r="G51" s="4" t="n">
        <f aca="false" t="array" ref="G51:G51">SUM(Demand!G23*Capacity!AA$3:AA$25*Capacity!$DH23/(TRANSPOSE(Dists!$B22:$X22)*MMULT(1/Dists!$B22:$X22,Capacity!$DH$3:$DH$25)))</f>
        <v>267.380727643907</v>
      </c>
      <c r="H51" s="4" t="n">
        <f aca="false" t="array" ref="H51:H51">SUM(Demand!H23*Capacity!AB$3:AB$25*Capacity!$DH23/(TRANSPOSE(Dists!$B22:$X22)*MMULT(1/Dists!$B22:$X22,Capacity!$DH$3:$DH$25)))</f>
        <v>0</v>
      </c>
      <c r="I51" s="4" t="n">
        <f aca="false" t="array" ref="I51:I51">SUM(Demand!I23*Capacity!AC$3:AC$25*Capacity!$DG23/(TRANSPOSE(Dists!$B22:$X22)*MMULT(1/Dists!$B22:$X22,Capacity!$DG$3:$DG$25)))</f>
        <v>0.39523394369973</v>
      </c>
      <c r="J51" s="4" t="n">
        <f aca="false" t="array" ref="J51:J51">SUM(Demand!J23*Capacity!AD$3:AD$25*Capacity!$DG23/(TRANSPOSE(Dists!$B22:$X22)*MMULT(1/Dists!$B22:$X22,Capacity!$DG$3:$DG$25)))</f>
        <v>3.39219999830452</v>
      </c>
      <c r="K51" s="4" t="n">
        <f aca="false">5479.45205479452*$R23</f>
        <v>1190347.01064508</v>
      </c>
      <c r="L51" s="4" t="n">
        <f aca="false">17142.8571428571*$S23</f>
        <v>367172.18206761</v>
      </c>
      <c r="M51" s="4" t="n">
        <f aca="false">IF(50420.1680672269*$T23&gt;($K23/20),50420.1680672269*$T23-($K23/20),0)</f>
        <v>544053.359715873</v>
      </c>
      <c r="N51" s="4" t="n">
        <f aca="false" t="array" ref="N51:N51">SUM(Demand!N23*Capacity!AH$3:AH$25*Capacity!$DH23/(TRANSPOSE(Dists!$B22:$X22)*MMULT(1/Dists!$B22:$X22,Capacity!$DH$3:$DH$25)))</f>
        <v>652.353166956597</v>
      </c>
      <c r="O51" s="4" t="n">
        <f aca="false">O23</f>
        <v>1829.65380806436</v>
      </c>
      <c r="P51" s="4" t="n">
        <f aca="false">P23</f>
        <v>731.861523225744</v>
      </c>
      <c r="Q51" s="4" t="n">
        <f aca="false" t="array" ref="Q51:Q51">SUM(Demand!Q23*Capacity!AK$3:AK$25*Capacity!$DI23/(TRANSPOSE(Dists!$B22:$X22)*MMULT(1/Dists!$B22:$X22,Capacity!$DI$3:$DI$25)))</f>
        <v>7.22147788144928</v>
      </c>
      <c r="R51" s="4" t="n">
        <f aca="false" t="array" ref="R51:R51">SUM(Demand!R23*Capacity!AL$3:AL$25*Capacity!$DH23/(TRANSPOSE(Dists!$B22:$X22)*MMULT(1/Dists!$B22:$X22,Capacity!$DH$3:$DH$25)))</f>
        <v>167.537898006369</v>
      </c>
      <c r="S51" s="4" t="n">
        <f aca="false">SUM($BG51,$BI51,$BK51)*Capacity!AM23/SUM(Capacity!$AM23:$AN23,Capacity!$CX23)</f>
        <v>21.4183772872773</v>
      </c>
      <c r="T51" s="4" t="n">
        <f aca="false">SUM($BG51,$BI51,$BK51)*Capacity!AN23/SUM(Capacity!$AM23:$AN23,Capacity!$CX23)</f>
        <v>11.9708190865879</v>
      </c>
      <c r="U51" s="4" t="n">
        <f aca="false">$M23*120*2/(16*1000*2000)</f>
        <v>4.08040019786905</v>
      </c>
      <c r="V51" s="4" t="n">
        <f aca="false" t="array" ref="V51:V51">SUM(Demand!V23*Capacity!AP$3:AP$25*Capacity!$DH23/(TRANSPOSE(Dists!$B22:$X22)*MMULT(1/Dists!$B22:$X22,Capacity!$DH$3:$DH$25)))</f>
        <v>96.3369057775997</v>
      </c>
      <c r="W51" s="4" t="n">
        <f aca="false" t="array" ref="W51:W51">SUM(Demand!W23*Capacity!AQ$3:AQ$25*Capacity!$DH23/(TRANSPOSE(Dists!$B22:$X22)*MMULT(1/Dists!$B22:$X22,Capacity!$DH$3:$DH$25)))</f>
        <v>683.026135737393</v>
      </c>
      <c r="X51" s="4" t="n">
        <f aca="false" t="array" ref="X51:X51">SUM(Demand!X23*Capacity!AR$3:AR$25*Capacity!$DH23/(TRANSPOSE(Dists!$B22:$X22)*MMULT(1/Dists!$B22:$X22,Capacity!$DH$3:$DH$25)))</f>
        <v>1177.66499979438</v>
      </c>
      <c r="Y51" s="4" t="n">
        <f aca="false">$L23*600*6/(90*1000*2000)</f>
        <v>7.3434436413522</v>
      </c>
      <c r="Z51" s="4" t="n">
        <f aca="false" t="array" ref="Z51:Z51">SUM(Demand!Z23*Capacity!AT$3:AT$25*Capacity!$DI23/(TRANSPOSE(Dists!$B22:$X22)*MMULT(1/Dists!$B22:$X22,Capacity!$DI$3:$DI$25)))</f>
        <v>39.264068567106</v>
      </c>
      <c r="AA51" s="4" t="n">
        <f aca="false" t="array" ref="AA51:AA51">SUM(Demand!AA23*Capacity!AU$3:AU$25*Capacity!$DI23/(TRANSPOSE(Dists!$B22:$X22)*MMULT(1/Dists!$B22:$X22,Capacity!$DI$3:$DI$25)))</f>
        <v>31.5690014678362</v>
      </c>
      <c r="AB51" s="4" t="n">
        <f aca="false" t="array" ref="AB51:AB51">SUM(Demand!AB23*Capacity!AV$3:AV$25*Capacity!$DI23/(TRANSPOSE(Dists!$B22:$X22)*MMULT(1/Dists!$B22:$X22,Capacity!$DI$3:$DI$25)))</f>
        <v>32.6568840803717</v>
      </c>
      <c r="AC51" s="4" t="n">
        <f aca="false" t="array" ref="AC51:AC51">SUM(Demand!AC23*Capacity!AW$3:AW$25*Capacity!$DI23/(TRANSPOSE(Dists!$B22:$X22)*MMULT(1/Dists!$B22:$X22,Capacity!$DI$3:$DI$25)))</f>
        <v>6.0509516472117</v>
      </c>
      <c r="AD51" s="4" t="n">
        <f aca="false" t="array" ref="AD51:AD51">SUM(Demand!AD23*Capacity!AX$3:AX$25*Capacity!$DI23/(TRANSPOSE(Dists!$B22:$X22)*MMULT(1/Dists!$B22:$X22,Capacity!$DI$3:$DI$25)))</f>
        <v>5.34628011103608</v>
      </c>
      <c r="AE51" s="4" t="n">
        <f aca="false" t="array" ref="AE51:AE51">SUM(Demand!AE23*Capacity!AY$3:AY$25*Capacity!$DI23/(TRANSPOSE(Dists!$B22:$X22)*MMULT(1/Dists!$B22:$X22,Capacity!$DI$3:$DI$25)))</f>
        <v>6.44032834441084</v>
      </c>
      <c r="AF51" s="4" t="n">
        <f aca="false" t="array" ref="AF51:AF51">SUM(Demand!AF23*Capacity!AZ$3:AZ$25*Capacity!$DI23/(TRANSPOSE(Dists!$B22:$X22)*MMULT(1/Dists!$B22:$X22,Capacity!$DI$3:$DI$25)))</f>
        <v>0.811331920952525</v>
      </c>
      <c r="AG51" s="4" t="n">
        <f aca="false" t="array" ref="AG51:AG51">SUM(Demand!AG23*Capacity!BA$3:BA$25*Capacity!$DI23/(TRANSPOSE(Dists!$B22:$X22)*MMULT(1/Dists!$B22:$X22,Capacity!$DI$3:$DI$25)))</f>
        <v>5.90390989566156</v>
      </c>
      <c r="AH51" s="4" t="n">
        <f aca="false" t="array" ref="AH51:AH51">SUM(Demand!AH23*Capacity!BB$3:BB$25*Capacity!$DI23/(TRANSPOSE(Dists!$B22:$X22)*MMULT(1/Dists!$B22:$X22,Capacity!$DI$3:$DI$25)))</f>
        <v>1.43728846659411</v>
      </c>
      <c r="AI51" s="4" t="n">
        <f aca="false" t="array" ref="AI51:AI51">SUM(Demand!AI23*Capacity!BC$3:BC$25*Capacity!$DI23/(TRANSPOSE(Dists!$B22:$X22)*MMULT(1/Dists!$B22:$X22,Capacity!$DI$3:$DI$25)))</f>
        <v>0.486722790159268</v>
      </c>
      <c r="AJ51" s="4" t="n">
        <f aca="false" t="array" ref="AJ51:AJ51">SUM(Demand!AJ23*Capacity!BD$3:BD$25*Capacity!$DI23/(TRANSPOSE(Dists!$B22:$X22)*MMULT(1/Dists!$B22:$X22,Capacity!$DI$3:$DI$25)))</f>
        <v>2.122538369065</v>
      </c>
      <c r="AK51" s="4" t="n">
        <f aca="false" t="array" ref="AK51:AK51">SUM(Demand!AK23*Capacity!BE$3:BE$25*Capacity!$DI23/(TRANSPOSE(Dists!$B22:$X22)*MMULT(1/Dists!$B22:$X22,Capacity!$DI$3:$DI$25)))</f>
        <v>0.335090440256432</v>
      </c>
      <c r="AL51" s="4" t="n">
        <f aca="false" t="array" ref="AL51:AL51">SUM(Demand!AL23*Capacity!BF$3:BF$25*Capacity!$DI23/(TRANSPOSE(Dists!$B22:$X22)*MMULT(1/Dists!$B22:$X22,Capacity!$DI$3:$DI$25)))</f>
        <v>0.620109646241869</v>
      </c>
      <c r="AM51" s="4" t="n">
        <f aca="false" t="array" ref="AM51:AM51">SUM(Demand!AM23*Capacity!BG$3:BG$25*Capacity!$DI23/(TRANSPOSE(Dists!$B22:$X22)*MMULT(1/Dists!$B22:$X22,Capacity!$DI$3:$DI$25)))</f>
        <v>1.80101984744228</v>
      </c>
      <c r="AN51" s="4" t="n">
        <f aca="false" t="array" ref="AN51:AN51">SUM(Demand!AN23*Capacity!BH$3:BH$25*Capacity!$DI23/(TRANSPOSE(Dists!$B22:$X22)*MMULT(1/Dists!$B22:$X22,Capacity!$DI$3:$DI$25)))</f>
        <v>1.04066336616882</v>
      </c>
      <c r="AO51" s="4" t="n">
        <f aca="false" t="array" ref="AO51:AO51">SUM(Demand!AO23*Capacity!BI$3:BI$25*Capacity!$DI23/(TRANSPOSE(Dists!$B22:$X22)*MMULT(1/Dists!$B22:$X22,Capacity!$DI$3:$DI$25)))</f>
        <v>2.7226830247098</v>
      </c>
      <c r="AP51" s="4" t="n">
        <f aca="false" t="array" ref="AP51:AP51">SUM(Demand!AP23*Capacity!BJ$3:BJ$25*Capacity!$DI23/(TRANSPOSE(Dists!$B22:$X22)*MMULT(1/Dists!$B22:$X22,Capacity!$DI$3:$DI$25)))</f>
        <v>1.70958132142816</v>
      </c>
      <c r="AQ51" s="4" t="n">
        <f aca="false" t="array" ref="AQ51:AQ51">SUM(Demand!AQ23*Capacity!BK$3:BK$25*Capacity!$DI23/(TRANSPOSE(Dists!$B22:$X22)*MMULT(1/Dists!$B22:$X22,Capacity!$DI$3:$DI$25)))</f>
        <v>0.168382597607424</v>
      </c>
      <c r="AR51" s="4" t="n">
        <f aca="false" t="array" ref="AR51:AR51">SUM(Demand!AR23*Capacity!BL$3:BL$25*Capacity!$DI23/(TRANSPOSE(Dists!$B22:$X22)*MMULT(1/Dists!$B22:$X22,Capacity!$DI$3:$DI$25)))</f>
        <v>0.234034169719475</v>
      </c>
      <c r="AS51" s="4" t="n">
        <f aca="false" t="array" ref="AS51:AS51">SUM(Demand!AS23*Capacity!BM$3:BM$25*Capacity!$DI23/(TRANSPOSE(Dists!$B22:$X22)*MMULT(1/Dists!$B22:$X22,Capacity!$DI$3:$DI$25)))</f>
        <v>0.0452141731321392</v>
      </c>
      <c r="AT51" s="4" t="n">
        <f aca="false" t="array" ref="AT51:AT51">SUM(Demand!AT23*Capacity!BN$3:BN$25*Capacity!$DI23/(TRANSPOSE(Dists!$B22:$X22)*MMULT(1/Dists!$B22:$X22,Capacity!$DI$3:$DI$25)))</f>
        <v>1.94697674009759</v>
      </c>
      <c r="AU51" s="4" t="n">
        <f aca="false" t="array" ref="AU51:AU51">SUM(Demand!AU23*Capacity!BO$3:BO$25*Capacity!$DI23/(TRANSPOSE(Dists!$B22:$X22)*MMULT(1/Dists!$B22:$X22,Capacity!$DI$3:$DI$25)))</f>
        <v>1.34639313961246</v>
      </c>
      <c r="AV51" s="4" t="n">
        <f aca="false" t="array" ref="AV51:AV51">SUM(Demand!AV23*Capacity!BP$3:BP$25*Capacity!$DI23/(TRANSPOSE(Dists!$B22:$X22)*MMULT(1/Dists!$B22:$X22,Capacity!$DI$3:$DI$25)))</f>
        <v>0.12887757988775</v>
      </c>
      <c r="AW51" s="4" t="n">
        <f aca="false" t="array" ref="AW51:AW51">SUM(Demand!AW23*Capacity!BQ$3:BQ$25*Capacity!$DI23/(TRANSPOSE(Dists!$B22:$X22)*MMULT(1/Dists!$B22:$X22,Capacity!$DI$3:$DI$25)))</f>
        <v>3.43581693536204</v>
      </c>
      <c r="AX51" s="4" t="n">
        <f aca="false" t="array" ref="AX51:AX51">SUM(Demand!AX23*Capacity!BR$3:BR$25*Capacity!$DI23/(TRANSPOSE(Dists!$B22:$X22)*MMULT(1/Dists!$B22:$X22,Capacity!$DI$3:$DI$25)))</f>
        <v>0.362379030351631</v>
      </c>
      <c r="AY51" s="4" t="n">
        <f aca="false" t="array" ref="AY51:AY51">SUM(Demand!AY23*Capacity!BS$3:BS$25*Capacity!$DI23/(TRANSPOSE(Dists!$B22:$X22)*MMULT(1/Dists!$B22:$X22,Capacity!$DI$3:$DI$25)))</f>
        <v>0.374348864629864</v>
      </c>
      <c r="AZ51" s="4" t="n">
        <f aca="false" t="array" ref="AZ51:AZ51">SUM(Demand!AZ23*Capacity!BT$3:BT$25*Capacity!$DI23/(TRANSPOSE(Dists!$B22:$X22)*MMULT(1/Dists!$B22:$X22,Capacity!$DI$3:$DI$25)))</f>
        <v>2.70122051979995</v>
      </c>
      <c r="BA51" s="4" t="n">
        <f aca="false">BA23</f>
        <v>0.0899931818793162</v>
      </c>
      <c r="BB51" s="4" t="n">
        <f aca="false" t="array" ref="BB51:BB51">SUM(Demand!BB23*Capacity!BV$3:BV$25*Capacity!$DI23/(TRANSPOSE(Dists!$B22:$X22)*MMULT(1/Dists!$B22:$X22,Capacity!$DI$3:$DI$25)))</f>
        <v>0.159176829186093</v>
      </c>
      <c r="BC51" s="4" t="n">
        <f aca="false" t="array" ref="BC51:BC51">SUM(Demand!BC23*Capacity!BW$3:BW$25*Capacity!$DI23/(TRANSPOSE(Dists!$B22:$X22)*MMULT(1/Dists!$B22:$X22,Capacity!$DI$3:$DI$25)))</f>
        <v>0.156419341004137</v>
      </c>
      <c r="BD51" s="4" t="n">
        <f aca="false" t="array" ref="BD51:BD51">SUM(Demand!BD23*Capacity!BX$3:BX$25*Capacity!$DI23/(TRANSPOSE(Dists!$B22:$X22)*MMULT(1/Dists!$B22:$X22,Capacity!$DI$3:$DI$25)))</f>
        <v>0.128784033145712</v>
      </c>
      <c r="BE51" s="4" t="n">
        <f aca="false" t="array" ref="BE51:BE51">SUM(Demand!BE23*Capacity!BY$3:BY$25*Capacity!$DI23/(TRANSPOSE(Dists!$B22:$X22)*MMULT(1/Dists!$B22:$X22,Capacity!$DI$3:$DI$25)))</f>
        <v>0.0790873161448615</v>
      </c>
      <c r="BF51" s="4" t="n">
        <f aca="false" t="array" ref="BF51:BF51">SUM(Demand!BF23*Capacity!BZ$3:BZ$25*Capacity!$DI23/(TRANSPOSE(Dists!$B22:$X22)*MMULT(1/Dists!$B22:$X22,Capacity!$DI$3:$DI$25)))</f>
        <v>1.55938047732076</v>
      </c>
      <c r="BG51" s="4" t="n">
        <f aca="false" t="array" ref="BG51:BG51">SUM(Demand!BG23*Capacity!CA$3:CA$25*Capacity!$DI23/(TRANSPOSE(Dists!$B22:$X22)*MMULT(1/Dists!$B22:$X22,Capacity!$DI$3:$DI$25)))</f>
        <v>24.3290461156759</v>
      </c>
      <c r="BH51" s="4" t="n">
        <f aca="false" t="array" ref="BH51:BH51">SUM(Demand!BH23*Capacity!CB$3:CB$25*Capacity!$DI23/(TRANSPOSE(Dists!$B22:$X22)*MMULT(1/Dists!$B22:$X22,Capacity!$DI$3:$DI$25)))</f>
        <v>48.6580922313518</v>
      </c>
      <c r="BI51" s="4" t="n">
        <f aca="false" t="array" ref="BI51:BI51">SUM(Demand!BI23*Capacity!CC$3:CC$25*Capacity!$DI23/(TRANSPOSE(Dists!$B22:$X22)*MMULT(1/Dists!$B22:$X22,Capacity!$DI$3:$DI$25)))</f>
        <v>64.877456308469</v>
      </c>
      <c r="BJ51" s="4" t="n">
        <f aca="false" t="array" ref="BJ51:BJ51">SUM(Demand!BJ23*Capacity!CD$3:CD$25*Capacity!$DI23/(TRANSPOSE(Dists!$B22:$X22)*MMULT(1/Dists!$B22:$X22,Capacity!$DI$3:$DI$25)))</f>
        <v>1208.19609836952</v>
      </c>
      <c r="BK51" s="4" t="n">
        <f aca="false" t="array" ref="BK51:BK51">SUM(Demand!BK23*Capacity!CE$3:CE$25*Capacity!$DI23/(TRANSPOSE(Dists!$B22:$X22)*MMULT(1/Dists!$B22:$X22,Capacity!$DI$3:$DI$25)))</f>
        <v>32.4387281542345</v>
      </c>
      <c r="BL51" s="4" t="n">
        <f aca="false" t="array" ref="BL51:BL51">SUM(Demand!BL23*Capacity!CF$3:CF$25*Capacity!$DI23/(TRANSPOSE(Dists!$B22:$X22)*MMULT(1/Dists!$B22:$X22,Capacity!$DI$3:$DI$25)))</f>
        <v>545.994695465295</v>
      </c>
      <c r="BM51" s="4" t="n">
        <f aca="false" t="array" ref="BM51:BM51">SUM(Demand!BM23*Capacity!CG$3:CG$25*Capacity!$DI23/(TRANSPOSE(Dists!$B22:$X22)*MMULT(1/Dists!$B22:$X22,Capacity!$DI$3:$DI$25)))</f>
        <v>94.720034219183</v>
      </c>
      <c r="BN51" s="4" t="n">
        <f aca="false">BN23</f>
        <v>0.000739926498074752</v>
      </c>
      <c r="BO51" s="4" t="n">
        <f aca="false" t="array" ref="BO51:BO51">SUM(Demand!BO23*Capacity!CI$3:CI$25*Capacity!$DI23/(TRANSPOSE(Dists!$B22:$X22)*MMULT(1/Dists!$B22:$X22,Capacity!$DI$3:$DI$25)))</f>
        <v>12.6904944082481</v>
      </c>
      <c r="BP51" s="4" t="n">
        <f aca="false" t="array" ref="BP51:BP51">SUM(Demand!BP23*Capacity!CJ$3:CJ$25*Capacity!$DI23/(TRANSPOSE(Dists!$B22:$X22)*MMULT(1/Dists!$B22:$X22,Capacity!$DI$3:$DI$25)))</f>
        <v>17.9643389427285</v>
      </c>
      <c r="BQ51" s="4" t="n">
        <f aca="false" t="array" ref="BQ51:BQ51">SUM(Demand!BQ23*Capacity!CK$3:CK$25*Capacity!$DI23/(TRANSPOSE(Dists!$B22:$X22)*MMULT(1/Dists!$B22:$X22,Capacity!$DI$3:$DI$25)))</f>
        <v>0</v>
      </c>
      <c r="BR51" s="4" t="n">
        <f aca="false" t="array" ref="BR51:BR51">SUM(Demand!BR23*Capacity!CL$3:CL$25*Capacity!$DI23/(TRANSPOSE(Dists!$B22:$X22)*MMULT(1/Dists!$B22:$X22,Capacity!$DI$3:$DI$25)))</f>
        <v>0.423016726229494</v>
      </c>
      <c r="BS51" s="4" t="n">
        <f aca="false" t="array" ref="BS51:BS51">SUM(Demand!BS23*Capacity!CM$3:CM$25*Capacity!$DI23/(TRANSPOSE(Dists!$B22:$X22)*MMULT(1/Dists!$B22:$X22,Capacity!$DI$3:$DI$25)))</f>
        <v>0.0423016726229494</v>
      </c>
      <c r="BT51" s="4" t="n">
        <f aca="false">BT23</f>
        <v>5.64536067002527</v>
      </c>
      <c r="BU51" s="4" t="n">
        <f aca="false">BU23</f>
        <v>0.564536067002526</v>
      </c>
      <c r="BV51" s="4" t="n">
        <f aca="false">BV23</f>
        <v>0.0564536067002527</v>
      </c>
      <c r="BW51" s="4" t="n">
        <f aca="false">BW23</f>
        <v>2020.02447962049</v>
      </c>
      <c r="BX51" s="4" t="n">
        <f aca="false" t="array" ref="BX51:BX51">SUM(Demand!BX23*Capacity!CR$3:CR$25*Capacity!$DI23/(TRANSPOSE(Dists!$B22:$X22)*MMULT(1/Dists!$B22:$X22,Capacity!$DI$3:$DI$25)))</f>
        <v>2.43971153450086</v>
      </c>
      <c r="BY51" s="4" t="n">
        <f aca="false" t="array" ref="BY51:BY51">SUM(Demand!BY23*Capacity!CS$3:CS$25*Capacity!$DI23/(TRANSPOSE(Dists!$B22:$X22)*MMULT(1/Dists!$B22:$X22,Capacity!$DI$3:$DI$25)))</f>
        <v>58.7112251069329</v>
      </c>
      <c r="BZ51" s="4" t="n">
        <f aca="false" t="array" ref="BZ51:BZ51">SUM(Demand!BZ23*Capacity!CT$3:CT$25*Capacity!$DI23/(TRANSPOSE(Dists!$B22:$X22)*MMULT(1/Dists!$B22:$X22,Capacity!$DI$3:$DI$25)))</f>
        <v>0.706098062788286</v>
      </c>
      <c r="CA51" s="4" t="n">
        <f aca="false" t="array" ref="CA51:CA51">SUM(Demand!CA23*Capacity!CU$3:CU$25*Capacity!$DI23/(TRANSPOSE(Dists!$B22:$X22)*MMULT(1/Dists!$B22:$X22,Capacity!$DI$3:$DI$25)))</f>
        <v>0.0677823984182173</v>
      </c>
      <c r="CB51" s="4" t="n">
        <f aca="false" t="array" ref="CB51:CB51">SUM(Demand!CB23*Capacity!CV$3:CV$25*Capacity!$DI23/(TRANSPOSE(Dists!$B22:$X22)*MMULT(1/Dists!$B22:$X22,Capacity!$DI$3:$DI$25)))</f>
        <v>214.067543718872</v>
      </c>
      <c r="CC51" s="4" t="n">
        <f aca="false" t="array" ref="CC51:CC51">SUM(Demand!CC23*Capacity!CW$3:CW$25*Capacity!$DI23/(TRANSPOSE(Dists!$B22:$X22)*MMULT(1/Dists!$B22:$X22,Capacity!$DI$3:$DI$25)))</f>
        <v>1065.83482534175</v>
      </c>
      <c r="CD51" s="4" t="n">
        <f aca="false">SUM($BG51,$BI51,$BK51)*Capacity!CX23/SUM(Capacity!$AM23:$AN23,Capacity!$CX23)</f>
        <v>88.2560342045142</v>
      </c>
      <c r="CE51" s="4" t="n">
        <f aca="false" t="array" ref="CE51:CE51">SUM(Demand!CE23*Capacity!CY$3:CY$25*Capacity!$DI23/(TRANSPOSE(Dists!$B22:$X22)*MMULT(1/Dists!$B22:$X22,Capacity!$DI$3:$DI$25)))</f>
        <v>0.468511804907309</v>
      </c>
      <c r="CF51" s="4" t="n">
        <f aca="false" t="array" ref="CF51:CF51">SUM(Demand!CF23*Capacity!CZ$3:CZ$25*Capacity!$DI23/(TRANSPOSE(Dists!$B22:$X22)*MMULT(1/Dists!$B22:$X22,Capacity!$DI$3:$DI$25)))</f>
        <v>767.455327806702</v>
      </c>
      <c r="CG51" s="4" t="n">
        <f aca="false" t="array" ref="CG51:CG51">SUM(Demand!CG23*Capacity!DA$3:DA$25*Capacity!$DI23/(TRANSPOSE(Dists!$B22:$X22)*MMULT(1/Dists!$B22:$X22,Capacity!$DI$3:$DI$25)))</f>
        <v>1.43907946246805</v>
      </c>
      <c r="CH51" s="4" t="n">
        <f aca="false" t="array" ref="CH51:CH51">SUM(Demand!CH23*Capacity!DB$3:DB$25*Capacity!$DI23/(TRANSPOSE(Dists!$B22:$X22)*MMULT(1/Dists!$B22:$X22,Capacity!$DI$3:$DI$25)))</f>
        <v>0.888099347913281</v>
      </c>
      <c r="CI51" s="4" t="n">
        <f aca="false" t="array" ref="CI51:CI51">SUM(Demand!CI23*Capacity!DC$3:DC$25*Capacity!$DI23/(TRANSPOSE(Dists!$B22:$X22)*MMULT(1/Dists!$B22:$X22,Capacity!$DI$3:$DI$25)))</f>
        <v>0.246980152873202</v>
      </c>
      <c r="CJ51" s="4" t="n">
        <f aca="false" t="array" ref="CJ51:CJ51">SUM(Demand!CJ23*Capacity!DD$3:DD$25*Capacity!$DI23/(TRANSPOSE(Dists!$B22:$X22)*MMULT(1/Dists!$B22:$X22,Capacity!$DI$3:$DI$25)))</f>
        <v>0.113863302190224</v>
      </c>
      <c r="CK51" s="4" t="n">
        <f aca="false" t="array" ref="CK51:CK51">SUM(Demand!CK23*Capacity!DE$3:DE$25*Capacity!$DI23/(TRANSPOSE(Dists!$B22:$X22)*MMULT(1/Dists!$B22:$X22,Capacity!$DI$3:$DI$25)))</f>
        <v>0.415664309993662</v>
      </c>
      <c r="CL51" s="7" t="s">
        <v>322</v>
      </c>
    </row>
    <row r="52" customFormat="false" ht="12.8" hidden="false" customHeight="false" outlineLevel="0" collapsed="false">
      <c r="A52" s="4" t="s">
        <v>159</v>
      </c>
      <c r="B52" s="7" t="s">
        <v>39</v>
      </c>
      <c r="C52" s="4" t="n">
        <f aca="false" t="array" ref="C52:C52">SUM(Demand!C24*Capacity!S$3:S$25*Capacity!$DH24/(TRANSPOSE(Dists!$B23:$X23)*MMULT(1/Dists!$B23:$X23,Capacity!$DH$3:$DH$25)))</f>
        <v>0.0107272998849699</v>
      </c>
      <c r="D52" s="4" t="n">
        <f aca="false" t="array" ref="D52:D52">SUM(Demand!D24*Capacity!V$3:V$25*Capacity!$DH24/(TRANSPOSE(Dists!$B23:$X23)*MMULT(1/Dists!$B23:$X23,Capacity!$DH$3:$DH$25)))</f>
        <v>531.653573853693</v>
      </c>
      <c r="E52" s="4" t="n">
        <f aca="false" t="array" ref="E52:E52">SUM(Demand!E24*Capacity!Y$3:Y$25*Capacity!$DH24/(TRANSPOSE(Dists!$B23:$X23)*MMULT(1/Dists!$B23:$X23,Capacity!$DH$3:$DH$25)))</f>
        <v>54.1985245473903</v>
      </c>
      <c r="F52" s="4" t="n">
        <f aca="false">$E24*Capacity!$M24/(2*(1-Capacity!$H$28)*Capacity!$H24)</f>
        <v>11.0917002057517</v>
      </c>
      <c r="G52" s="4" t="n">
        <f aca="false" t="array" ref="G52:G52">SUM(Demand!G24*Capacity!AA$3:AA$25*Capacity!$DH24/(TRANSPOSE(Dists!$B23:$X23)*MMULT(1/Dists!$B23:$X23,Capacity!$DH$3:$DH$25)))</f>
        <v>39.7089983274695</v>
      </c>
      <c r="H52" s="4" t="n">
        <f aca="false" t="array" ref="H52:H52">SUM(Demand!H24*Capacity!AB$3:AB$25*Capacity!$DH24/(TRANSPOSE(Dists!$B23:$X23)*MMULT(1/Dists!$B23:$X23,Capacity!$DH$3:$DH$25)))</f>
        <v>0</v>
      </c>
      <c r="I52" s="4" t="n">
        <f aca="false" t="array" ref="I52:I52">SUM(Demand!I24*Capacity!AC$3:AC$25*Capacity!$DG24/(TRANSPOSE(Dists!$B23:$X23)*MMULT(1/Dists!$B23:$X23,Capacity!$DG$3:$DG$25)))</f>
        <v>1.48132013277673</v>
      </c>
      <c r="J52" s="4" t="n">
        <f aca="false" t="array" ref="J52:J52">SUM(Demand!J24*Capacity!AD$3:AD$25*Capacity!$DG24/(TRANSPOSE(Dists!$B23:$X23)*MMULT(1/Dists!$B23:$X23,Capacity!$DG$3:$DG$25)))</f>
        <v>1.66296865484628</v>
      </c>
      <c r="K52" s="4" t="n">
        <f aca="false">5479.45205479452*$R24</f>
        <v>408295.386149535</v>
      </c>
      <c r="L52" s="4" t="n">
        <f aca="false">17142.8571428571*$S24</f>
        <v>73653.2234315672</v>
      </c>
      <c r="M52" s="4" t="n">
        <f aca="false">IF(50420.1680672269*$T24&gt;($K24/20),50420.1680672269*$T24-($K24/20),0)</f>
        <v>100659.022634826</v>
      </c>
      <c r="N52" s="4" t="n">
        <f aca="false" t="array" ref="N52:N52">SUM(Demand!N24*Capacity!AH$3:AH$25*Capacity!$DH24/(TRANSPOSE(Dists!$B23:$X23)*MMULT(1/Dists!$B23:$X23,Capacity!$DH$3:$DH$25)))</f>
        <v>65.2830941577095</v>
      </c>
      <c r="O52" s="4" t="n">
        <f aca="false">O24</f>
        <v>354.435715902462</v>
      </c>
      <c r="P52" s="4" t="n">
        <f aca="false">P24</f>
        <v>141.774286360985</v>
      </c>
      <c r="Q52" s="4" t="n">
        <f aca="false" t="array" ref="Q52:Q52">SUM(Demand!Q24*Capacity!AK$3:AK$25*Capacity!$DI24/(TRANSPOSE(Dists!$B23:$X23)*MMULT(1/Dists!$B23:$X23,Capacity!$DI$3:$DI$25)))</f>
        <v>4.65683574352109</v>
      </c>
      <c r="R52" s="4" t="n">
        <f aca="false" t="array" ref="R52:R52">SUM(Demand!R24*Capacity!AL$3:AL$25*Capacity!$DH24/(TRANSPOSE(Dists!$B23:$X23)*MMULT(1/Dists!$B23:$X23,Capacity!$DH$3:$DH$25)))</f>
        <v>116.747182939305</v>
      </c>
      <c r="S52" s="4" t="n">
        <f aca="false">SUM($BG52,$BI52,$BK52)*Capacity!AM24/SUM(Capacity!$AM24:$AN24,Capacity!$CX24)</f>
        <v>4.2964380335081</v>
      </c>
      <c r="T52" s="4" t="n">
        <f aca="false">SUM($BG52,$BI52,$BK52)*Capacity!AN24/SUM(Capacity!$AM24:$AN24,Capacity!$CX24)</f>
        <v>2.40129687352233</v>
      </c>
      <c r="U52" s="4" t="n">
        <f aca="false">$M24*120*2/(16*1000*2000)</f>
        <v>0.754942669761194</v>
      </c>
      <c r="V52" s="4" t="n">
        <f aca="false" t="array" ref="V52:V52">SUM(Demand!V24*Capacity!AP$3:AP$25*Capacity!$DH24/(TRANSPOSE(Dists!$B23:$X23)*MMULT(1/Dists!$B23:$X23,Capacity!$DH$3:$DH$25)))</f>
        <v>73.3789359856984</v>
      </c>
      <c r="W52" s="4" t="n">
        <f aca="false" t="array" ref="W52:W52">SUM(Demand!W24*Capacity!AQ$3:AQ$25*Capacity!$DH24/(TRANSPOSE(Dists!$B23:$X23)*MMULT(1/Dists!$B23:$X23,Capacity!$DH$3:$DH$25)))</f>
        <v>103.770606589472</v>
      </c>
      <c r="X52" s="4" t="n">
        <f aca="false" t="array" ref="X52:X52">SUM(Demand!X24*Capacity!AR$3:AR$25*Capacity!$DH24/(TRANSPOSE(Dists!$B23:$X23)*MMULT(1/Dists!$B23:$X23,Capacity!$DH$3:$DH$25)))</f>
        <v>492.957569458569</v>
      </c>
      <c r="Y52" s="4" t="n">
        <f aca="false">$L24*600*6/(90*1000*2000)</f>
        <v>1.47306446863134</v>
      </c>
      <c r="Z52" s="4" t="n">
        <f aca="false" t="array" ref="Z52:Z52">SUM(Demand!Z24*Capacity!AT$3:AT$25*Capacity!$DI24/(TRANSPOSE(Dists!$B23:$X23)*MMULT(1/Dists!$B23:$X23,Capacity!$DI$3:$DI$25)))</f>
        <v>2.79630241188538</v>
      </c>
      <c r="AA52" s="4" t="n">
        <f aca="false" t="array" ref="AA52:AA52">SUM(Demand!AA24*Capacity!AU$3:AU$25*Capacity!$DI24/(TRANSPOSE(Dists!$B23:$X23)*MMULT(1/Dists!$B23:$X23,Capacity!$DI$3:$DI$25)))</f>
        <v>2.75176556420589</v>
      </c>
      <c r="AB52" s="4" t="n">
        <f aca="false" t="array" ref="AB52:AB52">SUM(Demand!AB24*Capacity!AV$3:AV$25*Capacity!$DI24/(TRANSPOSE(Dists!$B23:$X23)*MMULT(1/Dists!$B23:$X23,Capacity!$DI$3:$DI$25)))</f>
        <v>3.7930496197267</v>
      </c>
      <c r="AC52" s="4" t="n">
        <f aca="false" t="array" ref="AC52:AC52">SUM(Demand!AC24*Capacity!AW$3:AW$25*Capacity!$DI24/(TRANSPOSE(Dists!$B23:$X23)*MMULT(1/Dists!$B23:$X23,Capacity!$DI$3:$DI$25)))</f>
        <v>0.466939396227828</v>
      </c>
      <c r="AD52" s="4" t="n">
        <f aca="false" t="array" ref="AD52:AD52">SUM(Demand!AD24*Capacity!AX$3:AX$25*Capacity!$DI24/(TRANSPOSE(Dists!$B23:$X23)*MMULT(1/Dists!$B23:$X23,Capacity!$DI$3:$DI$25)))</f>
        <v>0.62096266417243</v>
      </c>
      <c r="AE52" s="4" t="n">
        <f aca="false" t="array" ref="AE52:AE52">SUM(Demand!AE24*Capacity!AY$3:AY$25*Capacity!$DI24/(TRANSPOSE(Dists!$B23:$X23)*MMULT(1/Dists!$B23:$X23,Capacity!$DI$3:$DI$25)))</f>
        <v>0.255143529422615</v>
      </c>
      <c r="AF52" s="4" t="n">
        <f aca="false" t="array" ref="AF52:AF52">SUM(Demand!AF24*Capacity!AZ$3:AZ$25*Capacity!$DI24/(TRANSPOSE(Dists!$B23:$X23)*MMULT(1/Dists!$B23:$X23,Capacity!$DI$3:$DI$25)))</f>
        <v>0.382702467149138</v>
      </c>
      <c r="AG52" s="4" t="n">
        <f aca="false" t="array" ref="AG52:AG52">SUM(Demand!AG24*Capacity!BA$3:BA$25*Capacity!$DI24/(TRANSPOSE(Dists!$B23:$X23)*MMULT(1/Dists!$B23:$X23,Capacity!$DI$3:$DI$25)))</f>
        <v>2.49993910452037</v>
      </c>
      <c r="AH52" s="4" t="n">
        <f aca="false" t="array" ref="AH52:AH52">SUM(Demand!AH24*Capacity!BB$3:BB$25*Capacity!$DI24/(TRANSPOSE(Dists!$B23:$X23)*MMULT(1/Dists!$B23:$X23,Capacity!$DI$3:$DI$25)))</f>
        <v>1.7285195139683</v>
      </c>
      <c r="AI52" s="4" t="n">
        <f aca="false" t="array" ref="AI52:AI52">SUM(Demand!AI24*Capacity!BC$3:BC$25*Capacity!$DI24/(TRANSPOSE(Dists!$B23:$X23)*MMULT(1/Dists!$B23:$X23,Capacity!$DI$3:$DI$25)))</f>
        <v>0.0180159633475783</v>
      </c>
      <c r="AJ52" s="4" t="n">
        <f aca="false" t="array" ref="AJ52:AJ52">SUM(Demand!AJ24*Capacity!BD$3:BD$25*Capacity!$DI24/(TRANSPOSE(Dists!$B23:$X23)*MMULT(1/Dists!$B23:$X23,Capacity!$DI$3:$DI$25)))</f>
        <v>0.298697536706938</v>
      </c>
      <c r="AK52" s="4" t="n">
        <f aca="false" t="array" ref="AK52:AK52">SUM(Demand!AK24*Capacity!BE$3:BE$25*Capacity!$DI24/(TRANSPOSE(Dists!$B23:$X23)*MMULT(1/Dists!$B23:$X23,Capacity!$DI$3:$DI$25)))</f>
        <v>0.0720702888125023</v>
      </c>
      <c r="AL52" s="4" t="n">
        <f aca="false" t="array" ref="AL52:AL52">SUM(Demand!AL24*Capacity!BF$3:BF$25*Capacity!$DI24/(TRANSPOSE(Dists!$B23:$X23)*MMULT(1/Dists!$B23:$X23,Capacity!$DI$3:$DI$25)))</f>
        <v>0.0794754139025131</v>
      </c>
      <c r="AM52" s="4" t="n">
        <f aca="false" t="array" ref="AM52:AM52">SUM(Demand!AM24*Capacity!BG$3:BG$25*Capacity!$DI24/(TRANSPOSE(Dists!$B23:$X23)*MMULT(1/Dists!$B23:$X23,Capacity!$DI$3:$DI$25)))</f>
        <v>0.0461723986430843</v>
      </c>
      <c r="AN52" s="4" t="n">
        <f aca="false" t="array" ref="AN52:AN52">SUM(Demand!AN24*Capacity!BH$3:BH$25*Capacity!$DI24/(TRANSPOSE(Dists!$B23:$X23)*MMULT(1/Dists!$B23:$X23,Capacity!$DI$3:$DI$25)))</f>
        <v>0.571445498300401</v>
      </c>
      <c r="AO52" s="4" t="n">
        <f aca="false" t="array" ref="AO52:AO52">SUM(Demand!AO24*Capacity!BI$3:BI$25*Capacity!$DI24/(TRANSPOSE(Dists!$B23:$X23)*MMULT(1/Dists!$B23:$X23,Capacity!$DI$3:$DI$25)))</f>
        <v>0.768719911712189</v>
      </c>
      <c r="AP52" s="4" t="n">
        <f aca="false" t="array" ref="AP52:AP52">SUM(Demand!AP24*Capacity!BJ$3:BJ$25*Capacity!$DI24/(TRANSPOSE(Dists!$B23:$X23)*MMULT(1/Dists!$B23:$X23,Capacity!$DI$3:$DI$25)))</f>
        <v>0.605730325982535</v>
      </c>
      <c r="AQ52" s="4" t="n">
        <f aca="false" t="array" ref="AQ52:AQ52">SUM(Demand!AQ24*Capacity!BK$3:BK$25*Capacity!$DI24/(TRANSPOSE(Dists!$B23:$X23)*MMULT(1/Dists!$B23:$X23,Capacity!$DI$3:$DI$25)))</f>
        <v>0.0463403075970719</v>
      </c>
      <c r="AR52" s="4" t="n">
        <f aca="false" t="array" ref="AR52:AR52">SUM(Demand!AR24*Capacity!BL$3:BL$25*Capacity!$DI24/(TRANSPOSE(Dists!$B23:$X23)*MMULT(1/Dists!$B23:$X23,Capacity!$DI$3:$DI$25)))</f>
        <v>0.0266527170856145</v>
      </c>
      <c r="AS52" s="4" t="n">
        <f aca="false" t="array" ref="AS52:AS52">SUM(Demand!AS24*Capacity!BM$3:BM$25*Capacity!$DI24/(TRANSPOSE(Dists!$B23:$X23)*MMULT(1/Dists!$B23:$X23,Capacity!$DI$3:$DI$25)))</f>
        <v>0.171126986252759</v>
      </c>
      <c r="AT52" s="4" t="n">
        <f aca="false" t="array" ref="AT52:AT52">SUM(Demand!AT24*Capacity!BN$3:BN$25*Capacity!$DI24/(TRANSPOSE(Dists!$B23:$X23)*MMULT(1/Dists!$B23:$X23,Capacity!$DI$3:$DI$25)))</f>
        <v>2.25201024637371</v>
      </c>
      <c r="AU52" s="4" t="n">
        <f aca="false" t="array" ref="AU52:AU52">SUM(Demand!AU24*Capacity!BO$3:BO$25*Capacity!$DI24/(TRANSPOSE(Dists!$B23:$X23)*MMULT(1/Dists!$B23:$X23,Capacity!$DI$3:$DI$25)))</f>
        <v>3.45083723838693</v>
      </c>
      <c r="AV52" s="4" t="n">
        <f aca="false" t="array" ref="AV52:AV52">SUM(Demand!AV24*Capacity!BP$3:BP$25*Capacity!$DI24/(TRANSPOSE(Dists!$B23:$X23)*MMULT(1/Dists!$B23:$X23,Capacity!$DI$3:$DI$25)))</f>
        <v>0.017900748630925</v>
      </c>
      <c r="AW52" s="4" t="n">
        <f aca="false" t="array" ref="AW52:AW52">SUM(Demand!AW24*Capacity!BQ$3:BQ$25*Capacity!$DI24/(TRANSPOSE(Dists!$B23:$X23)*MMULT(1/Dists!$B23:$X23,Capacity!$DI$3:$DI$25)))</f>
        <v>0.27588178392938</v>
      </c>
      <c r="AX52" s="4" t="n">
        <f aca="false" t="array" ref="AX52:AX52">SUM(Demand!AX24*Capacity!BR$3:BR$25*Capacity!$DI24/(TRANSPOSE(Dists!$B23:$X23)*MMULT(1/Dists!$B23:$X23,Capacity!$DI$3:$DI$25)))</f>
        <v>0.197753292307693</v>
      </c>
      <c r="AY52" s="4" t="n">
        <f aca="false" t="array" ref="AY52:AY52">SUM(Demand!AY24*Capacity!BS$3:BS$25*Capacity!$DI24/(TRANSPOSE(Dists!$B23:$X23)*MMULT(1/Dists!$B23:$X23,Capacity!$DI$3:$DI$25)))</f>
        <v>0.0358480942557617</v>
      </c>
      <c r="AZ52" s="4" t="n">
        <f aca="false" t="array" ref="AZ52:AZ52">SUM(Demand!AZ24*Capacity!BT$3:BT$25*Capacity!$DI24/(TRANSPOSE(Dists!$B23:$X23)*MMULT(1/Dists!$B23:$X23,Capacity!$DI$3:$DI$25)))</f>
        <v>0.280701754129564</v>
      </c>
      <c r="BA52" s="4" t="n">
        <f aca="false">BA24</f>
        <v>0.018052260644992</v>
      </c>
      <c r="BB52" s="4" t="n">
        <f aca="false" t="array" ref="BB52:BB52">SUM(Demand!BB24*Capacity!BV$3:BV$25*Capacity!$DI24/(TRANSPOSE(Dists!$B23:$X23)*MMULT(1/Dists!$B23:$X23,Capacity!$DI$3:$DI$25)))</f>
        <v>0.0691534934164688</v>
      </c>
      <c r="BC52" s="4" t="n">
        <f aca="false" t="array" ref="BC52:BC52">SUM(Demand!BC24*Capacity!BW$3:BW$25*Capacity!$DI24/(TRANSPOSE(Dists!$B23:$X23)*MMULT(1/Dists!$B23:$X23,Capacity!$DI$3:$DI$25)))</f>
        <v>0.130997994939098</v>
      </c>
      <c r="BD52" s="4" t="n">
        <f aca="false" t="array" ref="BD52:BD52">SUM(Demand!BD24*Capacity!BX$3:BX$25*Capacity!$DI24/(TRANSPOSE(Dists!$B23:$X23)*MMULT(1/Dists!$B23:$X23,Capacity!$DI$3:$DI$25)))</f>
        <v>0.0287552745784771</v>
      </c>
      <c r="BE52" s="4" t="n">
        <f aca="false" t="array" ref="BE52:BE52">SUM(Demand!BE24*Capacity!BY$3:BY$25*Capacity!$DI24/(TRANSPOSE(Dists!$B23:$X23)*MMULT(1/Dists!$B23:$X23,Capacity!$DI$3:$DI$25)))</f>
        <v>0.0706386211803537</v>
      </c>
      <c r="BF52" s="4" t="n">
        <f aca="false" t="array" ref="BF52:BF52">SUM(Demand!BF24*Capacity!BZ$3:BZ$25*Capacity!$DI24/(TRANSPOSE(Dists!$B23:$X23)*MMULT(1/Dists!$B23:$X23,Capacity!$DI$3:$DI$25)))</f>
        <v>0.739039916646395</v>
      </c>
      <c r="BG52" s="4" t="n">
        <f aca="false" t="array" ref="BG52:BG52">SUM(Demand!BG24*Capacity!CA$3:CA$25*Capacity!$DI24/(TRANSPOSE(Dists!$B23:$X23)*MMULT(1/Dists!$B23:$X23,Capacity!$DI$3:$DI$25)))</f>
        <v>2.82578334449376</v>
      </c>
      <c r="BH52" s="4" t="n">
        <f aca="false" t="array" ref="BH52:BH52">SUM(Demand!BH24*Capacity!CB$3:CB$25*Capacity!$DI24/(TRANSPOSE(Dists!$B23:$X23)*MMULT(1/Dists!$B23:$X23,Capacity!$DI$3:$DI$25)))</f>
        <v>5.65156668898752</v>
      </c>
      <c r="BI52" s="4" t="n">
        <f aca="false" t="array" ref="BI52:BI52">SUM(Demand!BI24*Capacity!CC$3:CC$25*Capacity!$DI24/(TRANSPOSE(Dists!$B23:$X23)*MMULT(1/Dists!$B23:$X23,Capacity!$DI$3:$DI$25)))</f>
        <v>7.53542225198336</v>
      </c>
      <c r="BJ52" s="4" t="n">
        <f aca="false" t="array" ref="BJ52:BJ52">SUM(Demand!BJ24*Capacity!CD$3:CD$25*Capacity!$DI24/(TRANSPOSE(Dists!$B23:$X23)*MMULT(1/Dists!$B23:$X23,Capacity!$DI$3:$DI$25)))</f>
        <v>291.941684956263</v>
      </c>
      <c r="BK52" s="4" t="n">
        <f aca="false" t="array" ref="BK52:BK52">SUM(Demand!BK24*Capacity!CE$3:CE$25*Capacity!$DI24/(TRANSPOSE(Dists!$B23:$X23)*MMULT(1/Dists!$B23:$X23,Capacity!$DI$3:$DI$25)))</f>
        <v>3.76771112599168</v>
      </c>
      <c r="BL52" s="4" t="n">
        <f aca="false" t="array" ref="BL52:BL52">SUM(Demand!BL24*Capacity!CF$3:CF$25*Capacity!$DI24/(TRANSPOSE(Dists!$B23:$X23)*MMULT(1/Dists!$B23:$X23,Capacity!$DI$3:$DI$25)))</f>
        <v>508.813549461404</v>
      </c>
      <c r="BM52" s="4" t="n">
        <f aca="false" t="array" ref="BM52:BM52">SUM(Demand!BM24*Capacity!CG$3:CG$25*Capacity!$DI24/(TRANSPOSE(Dists!$B23:$X23)*MMULT(1/Dists!$B23:$X23,Capacity!$DI$3:$DI$25)))</f>
        <v>14.2998878246073</v>
      </c>
      <c r="BN52" s="4" t="n">
        <f aca="false">BN24</f>
        <v>5.08100858294372E-005</v>
      </c>
      <c r="BO52" s="4" t="n">
        <f aca="false" t="array" ref="BO52:BO52">SUM(Demand!BO24*Capacity!CI$3:CI$25*Capacity!$DI24/(TRANSPOSE(Dists!$B23:$X23)*MMULT(1/Dists!$B23:$X23,Capacity!$DI$3:$DI$25)))</f>
        <v>0.501218704072215</v>
      </c>
      <c r="BP52" s="4" t="n">
        <f aca="false" t="array" ref="BP52:BP52">SUM(Demand!BP24*Capacity!CJ$3:CJ$25*Capacity!$DI24/(TRANSPOSE(Dists!$B23:$X23)*MMULT(1/Dists!$B23:$X23,Capacity!$DI$3:$DI$25)))</f>
        <v>1.64787606787068</v>
      </c>
      <c r="BQ52" s="4" t="n">
        <f aca="false" t="array" ref="BQ52:BQ52">SUM(Demand!BQ24*Capacity!CK$3:CK$25*Capacity!$DI24/(TRANSPOSE(Dists!$B23:$X23)*MMULT(1/Dists!$B23:$X23,Capacity!$DI$3:$DI$25)))</f>
        <v>0</v>
      </c>
      <c r="BR52" s="4" t="n">
        <f aca="false" t="array" ref="BR52:BR52">SUM(Demand!BR24*Capacity!CL$3:CL$25*Capacity!$DI24/(TRANSPOSE(Dists!$B23:$X23)*MMULT(1/Dists!$B23:$X23,Capacity!$DI$3:$DI$25)))</f>
        <v>0.0167073026554962</v>
      </c>
      <c r="BS52" s="4" t="n">
        <f aca="false" t="array" ref="BS52:BS52">SUM(Demand!BS24*Capacity!CM$3:CM$25*Capacity!$DI24/(TRANSPOSE(Dists!$B23:$X23)*MMULT(1/Dists!$B23:$X23,Capacity!$DI$3:$DI$25)))</f>
        <v>0.00167073026554962</v>
      </c>
      <c r="BT52" s="4" t="n">
        <f aca="false">BT24</f>
        <v>0.251857126904741</v>
      </c>
      <c r="BU52" s="4" t="n">
        <f aca="false">BU24</f>
        <v>0.0251857126904741</v>
      </c>
      <c r="BV52" s="4" t="n">
        <f aca="false">BV24</f>
        <v>0.00251857126904741</v>
      </c>
      <c r="BW52" s="4" t="n">
        <f aca="false">BW24</f>
        <v>234.622907237754</v>
      </c>
      <c r="BX52" s="4" t="n">
        <f aca="false" t="array" ref="BX52:BX52">SUM(Demand!BX24*Capacity!CR$3:CR$25*Capacity!$DI24/(TRANSPOSE(Dists!$B23:$X23)*MMULT(1/Dists!$B23:$X23,Capacity!$DI$3:$DI$25)))</f>
        <v>2.74701137461061</v>
      </c>
      <c r="BY52" s="4" t="n">
        <f aca="false" t="array" ref="BY52:BY52">SUM(Demand!BY24*Capacity!CS$3:CS$25*Capacity!$DI24/(TRANSPOSE(Dists!$B23:$X23)*MMULT(1/Dists!$B23:$X23,Capacity!$DI$3:$DI$25)))</f>
        <v>78.9158833171967</v>
      </c>
      <c r="BZ52" s="4" t="n">
        <f aca="false" t="array" ref="BZ52:BZ52">SUM(Demand!BZ24*Capacity!CT$3:CT$25*Capacity!$DI24/(TRANSPOSE(Dists!$B23:$X23)*MMULT(1/Dists!$B23:$X23,Capacity!$DI$3:$DI$25)))</f>
        <v>0.329173578409451</v>
      </c>
      <c r="CA52" s="4" t="n">
        <f aca="false" t="array" ref="CA52:CA52">SUM(Demand!CA24*Capacity!CU$3:CU$25*Capacity!$DI24/(TRANSPOSE(Dists!$B23:$X23)*MMULT(1/Dists!$B23:$X23,Capacity!$DI$3:$DI$25)))</f>
        <v>0.109795598266028</v>
      </c>
      <c r="CB52" s="4" t="n">
        <f aca="false" t="array" ref="CB52:CB52">SUM(Demand!CB24*Capacity!CV$3:CV$25*Capacity!$DI24/(TRANSPOSE(Dists!$B23:$X23)*MMULT(1/Dists!$B23:$X23,Capacity!$DI$3:$DI$25)))</f>
        <v>335.255433337295</v>
      </c>
      <c r="CC52" s="4" t="n">
        <f aca="false" t="array" ref="CC52:CC52">SUM(Demand!CC24*Capacity!CW$3:CW$25*Capacity!$DI24/(TRANSPOSE(Dists!$B23:$X23)*MMULT(1/Dists!$B23:$X23,Capacity!$DI$3:$DI$25)))</f>
        <v>1206.83282226955</v>
      </c>
      <c r="CD52" s="4" t="n">
        <f aca="false">SUM($BG52,$BI52,$BK52)*Capacity!CX24/SUM(Capacity!$AM24:$AN24,Capacity!$CX24)</f>
        <v>7.43118181543837</v>
      </c>
      <c r="CE52" s="4" t="n">
        <f aca="false" t="array" ref="CE52:CE52">SUM(Demand!CE24*Capacity!CY$3:CY$25*Capacity!$DI24/(TRANSPOSE(Dists!$B23:$X23)*MMULT(1/Dists!$B23:$X23,Capacity!$DI$3:$DI$25)))</f>
        <v>0.0472571211667156</v>
      </c>
      <c r="CF52" s="4" t="n">
        <f aca="false" t="array" ref="CF52:CF52">SUM(Demand!CF24*Capacity!CZ$3:CZ$25*Capacity!$DI24/(TRANSPOSE(Dists!$B23:$X23)*MMULT(1/Dists!$B23:$X23,Capacity!$DI$3:$DI$25)))</f>
        <v>1670.20367667934</v>
      </c>
      <c r="CG52" s="4" t="n">
        <f aca="false" t="array" ref="CG52:CG52">SUM(Demand!CG24*Capacity!DA$3:DA$25*Capacity!$DI24/(TRANSPOSE(Dists!$B23:$X23)*MMULT(1/Dists!$B23:$X23,Capacity!$DI$3:$DI$25)))</f>
        <v>0.11263854494928</v>
      </c>
      <c r="CH52" s="4" t="n">
        <f aca="false" t="array" ref="CH52:CH52">SUM(Demand!CH24*Capacity!DB$3:DB$25*Capacity!$DI24/(TRANSPOSE(Dists!$B23:$X23)*MMULT(1/Dists!$B23:$X23,Capacity!$DI$3:$DI$25)))</f>
        <v>0.420119525358463</v>
      </c>
      <c r="CI52" s="4" t="n">
        <f aca="false" t="array" ref="CI52:CI52">SUM(Demand!CI24*Capacity!DC$3:DC$25*Capacity!$DI24/(TRANSPOSE(Dists!$B23:$X23)*MMULT(1/Dists!$B23:$X23,Capacity!$DI$3:$DI$25)))</f>
        <v>0.135003184402389</v>
      </c>
      <c r="CJ52" s="4" t="n">
        <f aca="false" t="array" ref="CJ52:CJ52">SUM(Demand!CJ24*Capacity!DD$3:DD$25*Capacity!$DI24/(TRANSPOSE(Dists!$B23:$X23)*MMULT(1/Dists!$B23:$X23,Capacity!$DI$3:$DI$25)))</f>
        <v>0.0549483716621664</v>
      </c>
      <c r="CK52" s="4" t="n">
        <f aca="false" t="array" ref="CK52:CK52">SUM(Demand!CK24*Capacity!DE$3:DE$25*Capacity!$DI24/(TRANSPOSE(Dists!$B23:$X23)*MMULT(1/Dists!$B23:$X23,Capacity!$DI$3:$DI$25)))</f>
        <v>0.243607679836042</v>
      </c>
      <c r="CL52" s="7" t="s">
        <v>322</v>
      </c>
    </row>
    <row r="53" customFormat="false" ht="12.8" hidden="false" customHeight="false" outlineLevel="0" collapsed="false">
      <c r="A53" s="4" t="s">
        <v>160</v>
      </c>
      <c r="B53" s="7" t="s">
        <v>39</v>
      </c>
      <c r="C53" s="4" t="n">
        <f aca="false" t="array" ref="C53:C53">SUM(Demand!C25*Capacity!S$3:S$25*Capacity!$DH25/(TRANSPOSE(Dists!$B24:$X24)*MMULT(1/Dists!$B24:$X24,Capacity!$DH$3:$DH$25)))</f>
        <v>0.016617324778542</v>
      </c>
      <c r="D53" s="4" t="n">
        <f aca="false" t="array" ref="D53:D53">SUM(Demand!D25*Capacity!V$3:V$25*Capacity!$DH25/(TRANSPOSE(Dists!$B24:$X24)*MMULT(1/Dists!$B24:$X24,Capacity!$DH$3:$DH$25)))</f>
        <v>810.527154152693</v>
      </c>
      <c r="E53" s="4" t="n">
        <f aca="false" t="array" ref="E53:E53">SUM(Demand!E25*Capacity!Y$3:Y$25*Capacity!$DH25/(TRANSPOSE(Dists!$B24:$X24)*MMULT(1/Dists!$B24:$X24,Capacity!$DH$3:$DH$25)))</f>
        <v>82.7834194397944</v>
      </c>
      <c r="F53" s="4" t="n">
        <f aca="false">$E25*Capacity!$M25/(2*(1-Capacity!$H$28)*Capacity!$H25)</f>
        <v>23.5670643044856</v>
      </c>
      <c r="G53" s="4" t="n">
        <f aca="false" t="array" ref="G53:G53">SUM(Demand!G25*Capacity!AA$3:AA$25*Capacity!$DH25/(TRANSPOSE(Dists!$B24:$X24)*MMULT(1/Dists!$B24:$X24,Capacity!$DH$3:$DH$25)))</f>
        <v>74.4514701495979</v>
      </c>
      <c r="H53" s="4" t="n">
        <f aca="false" t="array" ref="H53:H53">SUM(Demand!H25*Capacity!AB$3:AB$25*Capacity!$DH25/(TRANSPOSE(Dists!$B24:$X24)*MMULT(1/Dists!$B24:$X24,Capacity!$DH$3:$DH$25)))</f>
        <v>0</v>
      </c>
      <c r="I53" s="4" t="n">
        <f aca="false" t="array" ref="I53:I53">SUM(Demand!I25*Capacity!AC$3:AC$25*Capacity!$DG25/(TRANSPOSE(Dists!$B24:$X24)*MMULT(1/Dists!$B24:$X24,Capacity!$DG$3:$DG$25)))</f>
        <v>0.190068402338179</v>
      </c>
      <c r="J53" s="4" t="n">
        <f aca="false" t="array" ref="J53:J53">SUM(Demand!J25*Capacity!AD$3:AD$25*Capacity!$DG25/(TRANSPOSE(Dists!$B24:$X24)*MMULT(1/Dists!$B24:$X24,Capacity!$DG$3:$DG$25)))</f>
        <v>6.913825666393</v>
      </c>
      <c r="K53" s="4" t="n">
        <f aca="false">5479.45205479452*$R25</f>
        <v>631952.528425814</v>
      </c>
      <c r="L53" s="4" t="n">
        <f aca="false">17142.8571428571*$S25</f>
        <v>112928.134171497</v>
      </c>
      <c r="M53" s="4" t="n">
        <f aca="false">IF(50420.1680672269*$T25&gt;($K25/20),50420.1680672269*$T25-($K25/20),0)</f>
        <v>154037.662627745</v>
      </c>
      <c r="N53" s="4" t="n">
        <f aca="false" t="array" ref="N53:N53">SUM(Demand!N25*Capacity!AH$3:AH$25*Capacity!$DH25/(TRANSPOSE(Dists!$B24:$X24)*MMULT(1/Dists!$B24:$X24,Capacity!$DH$3:$DH$25)))</f>
        <v>113.012854799227</v>
      </c>
      <c r="O53" s="4" t="n">
        <f aca="false">O25</f>
        <v>540.351436101795</v>
      </c>
      <c r="P53" s="4" t="n">
        <f aca="false">P25</f>
        <v>216.140574440718</v>
      </c>
      <c r="Q53" s="4" t="n">
        <f aca="false" t="array" ref="Q53:Q53">SUM(Demand!Q25*Capacity!AK$3:AK$25*Capacity!$DI25/(TRANSPOSE(Dists!$B24:$X24)*MMULT(1/Dists!$B24:$X24,Capacity!$DI$3:$DI$25)))</f>
        <v>5.60551520200842</v>
      </c>
      <c r="R53" s="4" t="n">
        <f aca="false" t="array" ref="R53:R53">SUM(Demand!R25*Capacity!AL$3:AL$25*Capacity!$DH25/(TRANSPOSE(Dists!$B24:$X24)*MMULT(1/Dists!$B24:$X24,Capacity!$DH$3:$DH$25)))</f>
        <v>128.620654295985</v>
      </c>
      <c r="S53" s="4" t="n">
        <f aca="false">SUM($BG53,$BI53,$BK53)*Capacity!AM25/SUM(Capacity!$AM25:$AN25,Capacity!$CX25)</f>
        <v>6.58747449333731</v>
      </c>
      <c r="T53" s="4" t="n">
        <f aca="false">SUM($BG53,$BI53,$BK53)*Capacity!AN25/SUM(Capacity!$AM25:$AN25,Capacity!$CX25)</f>
        <v>3.68176656613921</v>
      </c>
      <c r="U53" s="4" t="n">
        <f aca="false">$M25*120*2/(16*1000*2000)</f>
        <v>1.15528246970809</v>
      </c>
      <c r="V53" s="4" t="n">
        <f aca="false" t="array" ref="V53:V53">SUM(Demand!V25*Capacity!AP$3:AP$25*Capacity!$DH25/(TRANSPOSE(Dists!$B24:$X24)*MMULT(1/Dists!$B24:$X24,Capacity!$DH$3:$DH$25)))</f>
        <v>87.8048467061014</v>
      </c>
      <c r="W53" s="4" t="n">
        <f aca="false" t="array" ref="W53:W53">SUM(Demand!W25*Capacity!AQ$3:AQ$25*Capacity!$DH25/(TRANSPOSE(Dists!$B24:$X24)*MMULT(1/Dists!$B24:$X24,Capacity!$DH$3:$DH$25)))</f>
        <v>255.630294536139</v>
      </c>
      <c r="X53" s="4" t="n">
        <f aca="false" t="array" ref="X53:X53">SUM(Demand!X25*Capacity!AR$3:AR$25*Capacity!$DH25/(TRANSPOSE(Dists!$B24:$X24)*MMULT(1/Dists!$B24:$X24,Capacity!$DH$3:$DH$25)))</f>
        <v>249.745784742046</v>
      </c>
      <c r="Y53" s="4" t="n">
        <f aca="false">$L25*600*6/(90*1000*2000)</f>
        <v>2.25856268342993</v>
      </c>
      <c r="Z53" s="4" t="n">
        <f aca="false" t="array" ref="Z53:Z53">SUM(Demand!Z25*Capacity!AT$3:AT$25*Capacity!$DI25/(TRANSPOSE(Dists!$B24:$X24)*MMULT(1/Dists!$B24:$X24,Capacity!$DI$3:$DI$25)))</f>
        <v>4.74640961437915</v>
      </c>
      <c r="AA53" s="4" t="n">
        <f aca="false" t="array" ref="AA53:AA53">SUM(Demand!AA25*Capacity!AU$3:AU$25*Capacity!$DI25/(TRANSPOSE(Dists!$B24:$X24)*MMULT(1/Dists!$B24:$X24,Capacity!$DI$3:$DI$25)))</f>
        <v>4.74885007268735</v>
      </c>
      <c r="AB53" s="4" t="n">
        <f aca="false" t="array" ref="AB53:AB53">SUM(Demand!AB25*Capacity!AV$3:AV$25*Capacity!$DI25/(TRANSPOSE(Dists!$B24:$X24)*MMULT(1/Dists!$B24:$X24,Capacity!$DI$3:$DI$25)))</f>
        <v>5.79354549312924</v>
      </c>
      <c r="AC53" s="4" t="n">
        <f aca="false" t="array" ref="AC53:AC53">SUM(Demand!AC25*Capacity!AW$3:AW$25*Capacity!$DI25/(TRANSPOSE(Dists!$B24:$X24)*MMULT(1/Dists!$B24:$X24,Capacity!$DI$3:$DI$25)))</f>
        <v>0.842772140386968</v>
      </c>
      <c r="AD53" s="4" t="n">
        <f aca="false" t="array" ref="AD53:AD53">SUM(Demand!AD25*Capacity!AX$3:AX$25*Capacity!$DI25/(TRANSPOSE(Dists!$B24:$X24)*MMULT(1/Dists!$B24:$X24,Capacity!$DI$3:$DI$25)))</f>
        <v>0.94846516789752</v>
      </c>
      <c r="AE53" s="4" t="n">
        <f aca="false" t="array" ref="AE53:AE53">SUM(Demand!AE25*Capacity!AY$3:AY$25*Capacity!$DI25/(TRANSPOSE(Dists!$B24:$X24)*MMULT(1/Dists!$B24:$X24,Capacity!$DI$3:$DI$25)))</f>
        <v>1.65321015424112</v>
      </c>
      <c r="AF53" s="4" t="n">
        <f aca="false" t="array" ref="AF53:AF53">SUM(Demand!AF25*Capacity!AZ$3:AZ$25*Capacity!$DI25/(TRANSPOSE(Dists!$B24:$X24)*MMULT(1/Dists!$B24:$X24,Capacity!$DI$3:$DI$25)))</f>
        <v>0.200326775882731</v>
      </c>
      <c r="AG53" s="4" t="n">
        <f aca="false" t="array" ref="AG53:AG53">SUM(Demand!AG25*Capacity!BA$3:BA$25*Capacity!$DI25/(TRANSPOSE(Dists!$B24:$X24)*MMULT(1/Dists!$B24:$X24,Capacity!$DI$3:$DI$25)))</f>
        <v>2.32997985271632</v>
      </c>
      <c r="AH53" s="4" t="n">
        <f aca="false" t="array" ref="AH53:AH53">SUM(Demand!AH25*Capacity!BB$3:BB$25*Capacity!$DI25/(TRANSPOSE(Dists!$B24:$X24)*MMULT(1/Dists!$B24:$X24,Capacity!$DI$3:$DI$25)))</f>
        <v>2.29055527680413</v>
      </c>
      <c r="AI53" s="4" t="n">
        <f aca="false" t="array" ref="AI53:AI53">SUM(Demand!AI25*Capacity!BC$3:BC$25*Capacity!$DI25/(TRANSPOSE(Dists!$B24:$X24)*MMULT(1/Dists!$B24:$X24,Capacity!$DI$3:$DI$25)))</f>
        <v>0.0826252510761543</v>
      </c>
      <c r="AJ53" s="4" t="n">
        <f aca="false" t="array" ref="AJ53:AJ53">SUM(Demand!AJ25*Capacity!BD$3:BD$25*Capacity!$DI25/(TRANSPOSE(Dists!$B24:$X24)*MMULT(1/Dists!$B24:$X24,Capacity!$DI$3:$DI$25)))</f>
        <v>1.04813822446551</v>
      </c>
      <c r="AK53" s="4" t="n">
        <f aca="false" t="array" ref="AK53:AK53">SUM(Demand!AK25*Capacity!BE$3:BE$25*Capacity!$DI25/(TRANSPOSE(Dists!$B24:$X24)*MMULT(1/Dists!$B24:$X24,Capacity!$DI$3:$DI$25)))</f>
        <v>0.62317370851147</v>
      </c>
      <c r="AL53" s="4" t="n">
        <f aca="false" t="array" ref="AL53:AL53">SUM(Demand!AL25*Capacity!BF$3:BF$25*Capacity!$DI25/(TRANSPOSE(Dists!$B24:$X24)*MMULT(1/Dists!$B24:$X24,Capacity!$DI$3:$DI$25)))</f>
        <v>0.073959820533274</v>
      </c>
      <c r="AM53" s="4" t="n">
        <f aca="false" t="array" ref="AM53:AM53">SUM(Demand!AM25*Capacity!BG$3:BG$25*Capacity!$DI25/(TRANSPOSE(Dists!$B24:$X24)*MMULT(1/Dists!$B24:$X24,Capacity!$DI$3:$DI$25)))</f>
        <v>0.919832727328506</v>
      </c>
      <c r="AN53" s="4" t="n">
        <f aca="false" t="array" ref="AN53:AN53">SUM(Demand!AN25*Capacity!BH$3:BH$25*Capacity!$DI25/(TRANSPOSE(Dists!$B24:$X24)*MMULT(1/Dists!$B24:$X24,Capacity!$DI$3:$DI$25)))</f>
        <v>0.662378676421596</v>
      </c>
      <c r="AO53" s="4" t="n">
        <f aca="false" t="array" ref="AO53:AO53">SUM(Demand!AO25*Capacity!BI$3:BI$25*Capacity!$DI25/(TRANSPOSE(Dists!$B24:$X24)*MMULT(1/Dists!$B24:$X24,Capacity!$DI$3:$DI$25)))</f>
        <v>0.730558291043223</v>
      </c>
      <c r="AP53" s="4" t="n">
        <f aca="false" t="array" ref="AP53:AP53">SUM(Demand!AP25*Capacity!BJ$3:BJ$25*Capacity!$DI25/(TRANSPOSE(Dists!$B24:$X24)*MMULT(1/Dists!$B24:$X24,Capacity!$DI$3:$DI$25)))</f>
        <v>0.189835577257193</v>
      </c>
      <c r="AQ53" s="4" t="n">
        <f aca="false" t="array" ref="AQ53:AQ53">SUM(Demand!AQ25*Capacity!BK$3:BK$25*Capacity!$DI25/(TRANSPOSE(Dists!$B24:$X24)*MMULT(1/Dists!$B24:$X24,Capacity!$DI$3:$DI$25)))</f>
        <v>0.0940843175843106</v>
      </c>
      <c r="AR53" s="4" t="n">
        <f aca="false" t="array" ref="AR53:AR53">SUM(Demand!AR25*Capacity!BL$3:BL$25*Capacity!$DI25/(TRANSPOSE(Dists!$B24:$X24)*MMULT(1/Dists!$B24:$X24,Capacity!$DI$3:$DI$25)))</f>
        <v>0.013311231794151</v>
      </c>
      <c r="AS53" s="4" t="n">
        <f aca="false" t="array" ref="AS53:AS53">SUM(Demand!AS25*Capacity!BM$3:BM$25*Capacity!$DI25/(TRANSPOSE(Dists!$B24:$X24)*MMULT(1/Dists!$B24:$X24,Capacity!$DI$3:$DI$25)))</f>
        <v>0.215581215400289</v>
      </c>
      <c r="AT53" s="4" t="n">
        <f aca="false" t="array" ref="AT53:AT53">SUM(Demand!AT25*Capacity!BN$3:BN$25*Capacity!$DI25/(TRANSPOSE(Dists!$B24:$X24)*MMULT(1/Dists!$B24:$X24,Capacity!$DI$3:$DI$25)))</f>
        <v>3.13861062285829</v>
      </c>
      <c r="AU53" s="4" t="n">
        <f aca="false" t="array" ref="AU53:AU53">SUM(Demand!AU25*Capacity!BO$3:BO$25*Capacity!$DI25/(TRANSPOSE(Dists!$B24:$X24)*MMULT(1/Dists!$B24:$X24,Capacity!$DI$3:$DI$25)))</f>
        <v>1.80048138179586</v>
      </c>
      <c r="AV53" s="4" t="n">
        <f aca="false" t="array" ref="AV53:AV53">SUM(Demand!AV25*Capacity!BP$3:BP$25*Capacity!$DI25/(TRANSPOSE(Dists!$B24:$X24)*MMULT(1/Dists!$B24:$X24,Capacity!$DI$3:$DI$25)))</f>
        <v>0.169287396527496</v>
      </c>
      <c r="AW53" s="4" t="n">
        <f aca="false" t="array" ref="AW53:AW53">SUM(Demand!AW25*Capacity!BQ$3:BQ$25*Capacity!$DI25/(TRANSPOSE(Dists!$B24:$X24)*MMULT(1/Dists!$B24:$X24,Capacity!$DI$3:$DI$25)))</f>
        <v>0.483270264785606</v>
      </c>
      <c r="AX53" s="4" t="n">
        <f aca="false" t="array" ref="AX53:AX53">SUM(Demand!AX25*Capacity!BR$3:BR$25*Capacity!$DI25/(TRANSPOSE(Dists!$B24:$X24)*MMULT(1/Dists!$B24:$X24,Capacity!$DI$3:$DI$25)))</f>
        <v>0.202871943803037</v>
      </c>
      <c r="AY53" s="4" t="n">
        <f aca="false" t="array" ref="AY53:AY53">SUM(Demand!AY25*Capacity!BS$3:BS$25*Capacity!$DI25/(TRANSPOSE(Dists!$B24:$X24)*MMULT(1/Dists!$B24:$X24,Capacity!$DI$3:$DI$25)))</f>
        <v>0.0680992002858412</v>
      </c>
      <c r="AZ53" s="4" t="n">
        <f aca="false" t="array" ref="AZ53:AZ53">SUM(Demand!AZ25*Capacity!BT$3:BT$25*Capacity!$DI25/(TRANSPOSE(Dists!$B24:$X24)*MMULT(1/Dists!$B24:$X24,Capacity!$DI$3:$DI$25)))</f>
        <v>0.459450056380551</v>
      </c>
      <c r="BA53" s="4" t="n">
        <f aca="false">BA25</f>
        <v>0.0276784642577197</v>
      </c>
      <c r="BB53" s="4" t="n">
        <f aca="false" t="array" ref="BB53:BB53">SUM(Demand!BB25*Capacity!BV$3:BV$25*Capacity!$DI25/(TRANSPOSE(Dists!$B24:$X24)*MMULT(1/Dists!$B24:$X24,Capacity!$DI$3:$DI$25)))</f>
        <v>0.32518912961482</v>
      </c>
      <c r="BC53" s="4" t="n">
        <f aca="false" t="array" ref="BC53:BC53">SUM(Demand!BC25*Capacity!BW$3:BW$25*Capacity!$DI25/(TRANSPOSE(Dists!$B24:$X24)*MMULT(1/Dists!$B24:$X24,Capacity!$DI$3:$DI$25)))</f>
        <v>0.139526531246691</v>
      </c>
      <c r="BD53" s="4" t="n">
        <f aca="false" t="array" ref="BD53:BD53">SUM(Demand!BD25*Capacity!BX$3:BX$25*Capacity!$DI25/(TRANSPOSE(Dists!$B24:$X24)*MMULT(1/Dists!$B24:$X24,Capacity!$DI$3:$DI$25)))</f>
        <v>0.0218653420460995</v>
      </c>
      <c r="BE53" s="4" t="n">
        <f aca="false" t="array" ref="BE53:BE53">SUM(Demand!BE25*Capacity!BY$3:BY$25*Capacity!$DI25/(TRANSPOSE(Dists!$B24:$X24)*MMULT(1/Dists!$B24:$X24,Capacity!$DI$3:$DI$25)))</f>
        <v>0.0562011684938104</v>
      </c>
      <c r="BF53" s="4" t="n">
        <f aca="false" t="array" ref="BF53:BF53">SUM(Demand!BF25*Capacity!BZ$3:BZ$25*Capacity!$DI25/(TRANSPOSE(Dists!$B24:$X24)*MMULT(1/Dists!$B24:$X24,Capacity!$DI$3:$DI$25)))</f>
        <v>0</v>
      </c>
      <c r="BG53" s="4" t="n">
        <f aca="false" t="array" ref="BG53:BG53">SUM(Demand!BG25*Capacity!CA$3:CA$25*Capacity!$DI25/(TRANSPOSE(Dists!$B24:$X24)*MMULT(1/Dists!$B24:$X24,Capacity!$DI$3:$DI$25)))</f>
        <v>4.31613240040638</v>
      </c>
      <c r="BH53" s="4" t="n">
        <f aca="false" t="array" ref="BH53:BH53">SUM(Demand!BH25*Capacity!CB$3:CB$25*Capacity!$DI25/(TRANSPOSE(Dists!$B24:$X24)*MMULT(1/Dists!$B24:$X24,Capacity!$DI$3:$DI$25)))</f>
        <v>8.63226480081276</v>
      </c>
      <c r="BI53" s="4" t="n">
        <f aca="false" t="array" ref="BI53:BI53">SUM(Demand!BI25*Capacity!CC$3:CC$25*Capacity!$DI25/(TRANSPOSE(Dists!$B24:$X24)*MMULT(1/Dists!$B24:$X24,Capacity!$DI$3:$DI$25)))</f>
        <v>11.5096864010837</v>
      </c>
      <c r="BJ53" s="4" t="n">
        <f aca="false" t="array" ref="BJ53:BJ53">SUM(Demand!BJ25*Capacity!CD$3:CD$25*Capacity!$DI25/(TRANSPOSE(Dists!$B24:$X24)*MMULT(1/Dists!$B24:$X24,Capacity!$DI$3:$DI$25)))</f>
        <v>431.459289458186</v>
      </c>
      <c r="BK53" s="4" t="n">
        <f aca="false" t="array" ref="BK53:BK53">SUM(Demand!BK25*Capacity!CE$3:CE$25*Capacity!$DI25/(TRANSPOSE(Dists!$B24:$X24)*MMULT(1/Dists!$B24:$X24,Capacity!$DI$3:$DI$25)))</f>
        <v>5.75484320054184</v>
      </c>
      <c r="BL53" s="4" t="n">
        <f aca="false" t="array" ref="BL53:BL53">SUM(Demand!BL25*Capacity!CF$3:CF$25*Capacity!$DI25/(TRANSPOSE(Dists!$B24:$X24)*MMULT(1/Dists!$B24:$X24,Capacity!$DI$3:$DI$25)))</f>
        <v>463.351246981061</v>
      </c>
      <c r="BM53" s="4" t="n">
        <f aca="false" t="array" ref="BM53:BM53">SUM(Demand!BM25*Capacity!CG$3:CG$25*Capacity!$DI25/(TRANSPOSE(Dists!$B24:$X24)*MMULT(1/Dists!$B24:$X24,Capacity!$DI$3:$DI$25)))</f>
        <v>25.823045670655</v>
      </c>
      <c r="BN53" s="4" t="n">
        <f aca="false">BN25</f>
        <v>0.000118643614657679</v>
      </c>
      <c r="BO53" s="4" t="n">
        <f aca="false" t="array" ref="BO53:BO53">SUM(Demand!BO25*Capacity!CI$3:CI$25*Capacity!$DI25/(TRANSPOSE(Dists!$B24:$X24)*MMULT(1/Dists!$B24:$X24,Capacity!$DI$3:$DI$25)))</f>
        <v>1.24479679134675</v>
      </c>
      <c r="BP53" s="4" t="n">
        <f aca="false" t="array" ref="BP53:BP53">SUM(Demand!BP25*Capacity!CJ$3:CJ$25*Capacity!$DI25/(TRANSPOSE(Dists!$B24:$X24)*MMULT(1/Dists!$B24:$X24,Capacity!$DI$3:$DI$25)))</f>
        <v>2.84034212392301</v>
      </c>
      <c r="BQ53" s="4" t="n">
        <f aca="false" t="array" ref="BQ53:BQ53">SUM(Demand!BQ25*Capacity!CK$3:CK$25*Capacity!$DI25/(TRANSPOSE(Dists!$B24:$X24)*MMULT(1/Dists!$B24:$X24,Capacity!$DI$3:$DI$25)))</f>
        <v>0</v>
      </c>
      <c r="BR53" s="4" t="n">
        <f aca="false" t="array" ref="BR53:BR53">SUM(Demand!BR25*Capacity!CL$3:CL$25*Capacity!$DI25/(TRANSPOSE(Dists!$B24:$X24)*MMULT(1/Dists!$B24:$X24,Capacity!$DI$3:$DI$25)))</f>
        <v>0.041493257257785</v>
      </c>
      <c r="BS53" s="4" t="n">
        <f aca="false" t="array" ref="BS53:BS53">SUM(Demand!BS25*Capacity!CM$3:CM$25*Capacity!$DI25/(TRANSPOSE(Dists!$B24:$X24)*MMULT(1/Dists!$B24:$X24,Capacity!$DI$3:$DI$25)))</f>
        <v>0.0041493257257785</v>
      </c>
      <c r="BT53" s="4" t="n">
        <f aca="false">BT25</f>
        <v>0.59807108662095</v>
      </c>
      <c r="BU53" s="4" t="n">
        <f aca="false">BU25</f>
        <v>0.059807108662095</v>
      </c>
      <c r="BV53" s="4" t="n">
        <f aca="false">BV25</f>
        <v>0.0059807108662095</v>
      </c>
      <c r="BW53" s="4" t="n">
        <f aca="false">BW25</f>
        <v>358.365595784142</v>
      </c>
      <c r="BX53" s="4" t="n">
        <f aca="false" t="array" ref="BX53:BX53">SUM(Demand!BX25*Capacity!CR$3:CR$25*Capacity!$DI25/(TRANSPOSE(Dists!$B24:$X24)*MMULT(1/Dists!$B24:$X24,Capacity!$DI$3:$DI$25)))</f>
        <v>3.23836853812562</v>
      </c>
      <c r="BY53" s="4" t="n">
        <f aca="false" t="array" ref="BY53:BY53">SUM(Demand!BY25*Capacity!CS$3:CS$25*Capacity!$DI25/(TRANSPOSE(Dists!$B24:$X24)*MMULT(1/Dists!$B24:$X24,Capacity!$DI$3:$DI$25)))</f>
        <v>37.3194470752656</v>
      </c>
      <c r="BZ53" s="4" t="n">
        <f aca="false" t="array" ref="BZ53:BZ53">SUM(Demand!BZ25*Capacity!CT$3:CT$25*Capacity!$DI25/(TRANSPOSE(Dists!$B24:$X24)*MMULT(1/Dists!$B24:$X24,Capacity!$DI$3:$DI$25)))</f>
        <v>0.526871035821479</v>
      </c>
      <c r="CA53" s="4" t="n">
        <f aca="false" t="array" ref="CA53:CA53">SUM(Demand!CA25*Capacity!CU$3:CU$25*Capacity!$DI25/(TRANSPOSE(Dists!$B24:$X24)*MMULT(1/Dists!$B24:$X24,Capacity!$DI$3:$DI$25)))</f>
        <v>0.0496357988360879</v>
      </c>
      <c r="CB53" s="4" t="n">
        <f aca="false" t="array" ref="CB53:CB53">SUM(Demand!CB25*Capacity!CV$3:CV$25*Capacity!$DI25/(TRANSPOSE(Dists!$B24:$X24)*MMULT(1/Dists!$B24:$X24,Capacity!$DI$3:$DI$25)))</f>
        <v>201.727765936942</v>
      </c>
      <c r="CC53" s="4" t="n">
        <f aca="false" t="array" ref="CC53:CC53">SUM(Demand!CC25*Capacity!CW$3:CW$25*Capacity!$DI25/(TRANSPOSE(Dists!$B24:$X24)*MMULT(1/Dists!$B24:$X24,Capacity!$DI$3:$DI$25)))</f>
        <v>735.982598198199</v>
      </c>
      <c r="CD53" s="4" t="n">
        <f aca="false">SUM($BG53,$BI53,$BK53)*Capacity!CX25/SUM(Capacity!$AM25:$AN25,Capacity!$CX25)</f>
        <v>11.3114209425554</v>
      </c>
      <c r="CE53" s="4" t="n">
        <f aca="false" t="array" ref="CE53:CE53">SUM(Demand!CE25*Capacity!CY$3:CY$25*Capacity!$DI25/(TRANSPOSE(Dists!$B24:$X24)*MMULT(1/Dists!$B24:$X24,Capacity!$DI$3:$DI$25)))</f>
        <v>0.535374026814652</v>
      </c>
      <c r="CF53" s="4" t="n">
        <f aca="false" t="array" ref="CF53:CF53">SUM(Demand!CF25*Capacity!CZ$3:CZ$25*Capacity!$DI25/(TRANSPOSE(Dists!$B24:$X24)*MMULT(1/Dists!$B24:$X24,Capacity!$DI$3:$DI$25)))</f>
        <v>1196.62952893497</v>
      </c>
      <c r="CG53" s="4" t="n">
        <f aca="false" t="array" ref="CG53:CG53">SUM(Demand!CG25*Capacity!DA$3:DA$25*Capacity!$DI25/(TRANSPOSE(Dists!$B24:$X24)*MMULT(1/Dists!$B24:$X24,Capacity!$DI$3:$DI$25)))</f>
        <v>0.621404684447499</v>
      </c>
      <c r="CH53" s="4" t="n">
        <f aca="false" t="array" ref="CH53:CH53">SUM(Demand!CH25*Capacity!DB$3:DB$25*Capacity!$DI25/(TRANSPOSE(Dists!$B24:$X24)*MMULT(1/Dists!$B24:$X24,Capacity!$DI$3:$DI$25)))</f>
        <v>1.75496919439043</v>
      </c>
      <c r="CI53" s="4" t="n">
        <f aca="false" t="array" ref="CI53:CI53">SUM(Demand!CI25*Capacity!DC$3:DC$25*Capacity!$DI25/(TRANSPOSE(Dists!$B24:$X24)*MMULT(1/Dists!$B24:$X24,Capacity!$DI$3:$DI$25)))</f>
        <v>0.0590349866591376</v>
      </c>
      <c r="CJ53" s="4" t="n">
        <f aca="false" t="array" ref="CJ53:CJ53">SUM(Demand!CJ25*Capacity!DD$3:DD$25*Capacity!$DI25/(TRANSPOSE(Dists!$B24:$X24)*MMULT(1/Dists!$B24:$X24,Capacity!$DI$3:$DI$25)))</f>
        <v>0.0160325569033215</v>
      </c>
      <c r="CK53" s="4" t="n">
        <f aca="false" t="array" ref="CK53:CK53">SUM(Demand!CK25*Capacity!DE$3:DE$25*Capacity!$DI25/(TRANSPOSE(Dists!$B24:$X24)*MMULT(1/Dists!$B24:$X24,Capacity!$DI$3:$DI$25)))</f>
        <v>1.55468040882712</v>
      </c>
      <c r="CL53" s="7" t="s">
        <v>322</v>
      </c>
    </row>
    <row r="54" customFormat="false" ht="12.8" hidden="false" customHeight="false" outlineLevel="0" collapsed="false">
      <c r="B54" s="7" t="s">
        <v>39</v>
      </c>
      <c r="CL54" s="7" t="s">
        <v>322</v>
      </c>
    </row>
    <row r="55" customFormat="false" ht="12.8" hidden="false" customHeight="false" outlineLevel="0" collapsed="false">
      <c r="A55" s="4" t="s">
        <v>324</v>
      </c>
      <c r="B55" s="7" t="s">
        <v>39</v>
      </c>
      <c r="C55" s="4" t="n">
        <f aca="false">SUM(C31:C53)</f>
        <v>0.641510090341496</v>
      </c>
      <c r="D55" s="4" t="n">
        <f aca="false">SUM(D31:D53)</f>
        <v>45446.6716351458</v>
      </c>
      <c r="E55" s="4" t="n">
        <f aca="false">SUM(E31:E53)</f>
        <v>7135.94940815766</v>
      </c>
      <c r="F55" s="4" t="n">
        <f aca="false">SUM(F31:F53)</f>
        <v>3351.50372476904</v>
      </c>
      <c r="G55" s="4" t="n">
        <f aca="false">SUM(G31:G53)</f>
        <v>6935.76157690902</v>
      </c>
      <c r="H55" s="4" t="n">
        <f aca="false">SUM(H31:H53)</f>
        <v>0</v>
      </c>
      <c r="I55" s="4" t="n">
        <f aca="false">SUM(I31:I53)</f>
        <v>79.5124488450596</v>
      </c>
      <c r="J55" s="4" t="n">
        <f aca="false">SUM(J31:J53)</f>
        <v>71.4143029608279</v>
      </c>
      <c r="K55" s="4" t="n">
        <f aca="false">SUM(K31:K53)</f>
        <v>20771737.8385444</v>
      </c>
      <c r="L55" s="4" t="n">
        <f aca="false">SUM(L31:L53)</f>
        <v>6639257.90829657</v>
      </c>
      <c r="M55" s="4" t="n">
        <f aca="false">SUM(M31:M53)</f>
        <v>9875261.72445074</v>
      </c>
      <c r="N55" s="4" t="n">
        <f aca="false">SUM(N31:N53)</f>
        <v>10599.8700356943</v>
      </c>
      <c r="O55" s="4" t="n">
        <f aca="false">SUM(O31:O53)</f>
        <v>30297.7810900972</v>
      </c>
      <c r="P55" s="4" t="n">
        <f aca="false">SUM(P31:P53)</f>
        <v>12119.1124360389</v>
      </c>
      <c r="Q55" s="4" t="n">
        <f aca="false">SUM(Q31:Q53)</f>
        <v>172.844635024098</v>
      </c>
      <c r="R55" s="4" t="n">
        <f aca="false">SUM(R31:R53)</f>
        <v>3831.43047922891</v>
      </c>
      <c r="S55" s="4" t="n">
        <f aca="false">SUM(S31:S53)</f>
        <v>387.290044650635</v>
      </c>
      <c r="T55" s="4" t="n">
        <f aca="false">SUM(T31:T53)</f>
        <v>216.457997558163</v>
      </c>
      <c r="U55" s="4" t="n">
        <f aca="false">SUM(U31:U53)</f>
        <v>74.0644629333805</v>
      </c>
      <c r="V55" s="4" t="n">
        <f aca="false">SUM(V31:V53)</f>
        <v>2095.74447685055</v>
      </c>
      <c r="W55" s="4" t="n">
        <f aca="false">SUM(W31:W53)</f>
        <v>8947.39747662694</v>
      </c>
      <c r="X55" s="4" t="n">
        <f aca="false">SUM(X31:X53)</f>
        <v>29547.5144715486</v>
      </c>
      <c r="Y55" s="4" t="n">
        <f aca="false">SUM(Y31:Y53)</f>
        <v>132.785158165932</v>
      </c>
      <c r="Z55" s="4" t="n">
        <f aca="false">SUM(Z31:Z53)</f>
        <v>543.309029146579</v>
      </c>
      <c r="AA55" s="4" t="n">
        <f aca="false">SUM(AA31:AA53)</f>
        <v>483.405247951975</v>
      </c>
      <c r="AB55" s="4" t="n">
        <f aca="false">SUM(AB31:AB53)</f>
        <v>499.404926887528</v>
      </c>
      <c r="AC55" s="4" t="n">
        <f aca="false">SUM(AC31:AC53)</f>
        <v>89.6682870863993</v>
      </c>
      <c r="AD55" s="4" t="n">
        <f aca="false">SUM(AD31:AD53)</f>
        <v>81.7579111773554</v>
      </c>
      <c r="AE55" s="4" t="n">
        <f aca="false">SUM(AE31:AE53)</f>
        <v>59.93157338318</v>
      </c>
      <c r="AF55" s="4" t="n">
        <f aca="false">SUM(AF31:AF53)</f>
        <v>11.5165518521864</v>
      </c>
      <c r="AG55" s="4" t="n">
        <f aca="false">SUM(AG31:AG53)</f>
        <v>55.295418146332</v>
      </c>
      <c r="AH55" s="4" t="n">
        <f aca="false">SUM(AH31:AH53)</f>
        <v>45.9308479128067</v>
      </c>
      <c r="AI55" s="4" t="n">
        <f aca="false">SUM(AI31:AI53)</f>
        <v>6.65976440176991</v>
      </c>
      <c r="AJ55" s="4" t="n">
        <f aca="false">SUM(AJ31:AJ53)</f>
        <v>18.9208729969613</v>
      </c>
      <c r="AK55" s="4" t="n">
        <f aca="false">SUM(AK31:AK53)</f>
        <v>11.2810696871397</v>
      </c>
      <c r="AL55" s="4" t="n">
        <f aca="false">SUM(AL31:AL53)</f>
        <v>7.08297467904393</v>
      </c>
      <c r="AM55" s="4" t="n">
        <f aca="false">SUM(AM31:AM53)</f>
        <v>18.1453472749918</v>
      </c>
      <c r="AN55" s="4" t="n">
        <f aca="false">SUM(AN31:AN53)</f>
        <v>11.5871572577927</v>
      </c>
      <c r="AO55" s="4" t="n">
        <f aca="false">SUM(AO31:AO53)</f>
        <v>29.8008619784359</v>
      </c>
      <c r="AP55" s="4" t="n">
        <f aca="false">SUM(AP31:AP53)</f>
        <v>17.694263653963</v>
      </c>
      <c r="AQ55" s="4" t="n">
        <f aca="false">SUM(AQ31:AQ53)</f>
        <v>1.77295095470557</v>
      </c>
      <c r="AR55" s="4" t="n">
        <f aca="false">SUM(AR31:AR53)</f>
        <v>2.6941430628044</v>
      </c>
      <c r="AS55" s="4" t="n">
        <f aca="false">SUM(AS31:AS53)</f>
        <v>5.37666450078053</v>
      </c>
      <c r="AT55" s="4" t="n">
        <f aca="false">SUM(AT31:AT53)</f>
        <v>59.0152154050313</v>
      </c>
      <c r="AU55" s="4" t="n">
        <f aca="false">SUM(AU31:AU53)</f>
        <v>45.5537051176293</v>
      </c>
      <c r="AV55" s="4" t="n">
        <f aca="false">SUM(AV31:AV53)</f>
        <v>2.27655062711947</v>
      </c>
      <c r="AW55" s="4" t="n">
        <f aca="false">SUM(AW31:AW53)</f>
        <v>49.1275981897987</v>
      </c>
      <c r="AX55" s="4" t="n">
        <f aca="false">SUM(AX31:AX53)</f>
        <v>4.54146808752791</v>
      </c>
      <c r="AY55" s="4" t="n">
        <f aca="false">SUM(AY31:AY53)</f>
        <v>6.2537783692456</v>
      </c>
      <c r="AZ55" s="4" t="n">
        <f aca="false">SUM(AZ31:AZ53)</f>
        <v>40.1298038542086</v>
      </c>
      <c r="BA55" s="4" t="n">
        <f aca="false">SUM(BA31:BA53)</f>
        <v>1.62726909517073</v>
      </c>
      <c r="BB55" s="4" t="n">
        <f aca="false">SUM(BB31:BB53)</f>
        <v>6.17093922912013</v>
      </c>
      <c r="BC55" s="4" t="n">
        <f aca="false">SUM(BC31:BC53)</f>
        <v>4.09967385824307</v>
      </c>
      <c r="BD55" s="4" t="n">
        <f aca="false">SUM(BD31:BD53)</f>
        <v>2.4713519781486</v>
      </c>
      <c r="BE55" s="4" t="n">
        <f aca="false">SUM(BE31:BE53)</f>
        <v>1.64883281749361</v>
      </c>
      <c r="BF55" s="4" t="n">
        <f aca="false">SUM(BF31:BF53)</f>
        <v>117.83616038723</v>
      </c>
      <c r="BG55" s="4" t="n">
        <f aca="false">SUM(BG31:BG53)</f>
        <v>408.027689645518</v>
      </c>
      <c r="BH55" s="4" t="n">
        <f aca="false">SUM(BH31:BH53)</f>
        <v>564.222649640166</v>
      </c>
      <c r="BI55" s="4" t="n">
        <f aca="false">SUM(BI31:BI53)</f>
        <v>1088.07383905472</v>
      </c>
      <c r="BJ55" s="4" t="n">
        <f aca="false">SUM(BJ31:BJ53)</f>
        <v>12689.9407894738</v>
      </c>
      <c r="BK55" s="4" t="n">
        <f aca="false">SUM(BK31:BK53)</f>
        <v>544.036919527358</v>
      </c>
      <c r="BL55" s="4" t="n">
        <f aca="false">SUM(BL31:BL53)</f>
        <v>10526.0664315275</v>
      </c>
      <c r="BM55" s="4" t="n">
        <f aca="false">SUM(BM31:BM53)</f>
        <v>1143.40345562745</v>
      </c>
      <c r="BN55" s="4" t="n">
        <f aca="false">SUM(BN31:BN53)</f>
        <v>16085.7810281326</v>
      </c>
      <c r="BO55" s="4" t="n">
        <f aca="false">SUM(BO31:BO53)</f>
        <v>247.203351397007</v>
      </c>
      <c r="BP55" s="4" t="n">
        <f aca="false">SUM(BP31:BP53)</f>
        <v>262.003426710682</v>
      </c>
      <c r="BQ55" s="4" t="n">
        <f aca="false">SUM(BQ31:BQ53)</f>
        <v>0</v>
      </c>
      <c r="BR55" s="4" t="n">
        <f aca="false">SUM(BR31:BR53)</f>
        <v>8.24011689253918</v>
      </c>
      <c r="BS55" s="4" t="n">
        <f aca="false">SUM(BS31:BS53)</f>
        <v>0.824011689253918</v>
      </c>
      <c r="BT55" s="4" t="n">
        <f aca="false">SUM(BT31:BT53)</f>
        <v>113.404742037606</v>
      </c>
      <c r="BU55" s="4" t="n">
        <f aca="false">SUM(BU31:BU53)</f>
        <v>11.3404742037606</v>
      </c>
      <c r="BV55" s="4" t="n">
        <f aca="false">SUM(BV31:BV53)</f>
        <v>1.13404742037606</v>
      </c>
      <c r="BW55" s="4" t="n">
        <f aca="false">SUM(BW31:BW53)</f>
        <v>30891.1951021754</v>
      </c>
      <c r="BX55" s="4" t="n">
        <f aca="false">SUM(BX31:BX53)</f>
        <v>77.3500355956655</v>
      </c>
      <c r="BY55" s="4" t="n">
        <f aca="false">SUM(BY31:BY53)</f>
        <v>1926.21010203041</v>
      </c>
      <c r="BZ55" s="4" t="n">
        <f aca="false">SUM(BZ31:BZ53)</f>
        <v>9.6928864617577</v>
      </c>
      <c r="CA55" s="4" t="n">
        <f aca="false">SUM(CA31:CA53)</f>
        <v>2.12015516288318</v>
      </c>
      <c r="CB55" s="4" t="n">
        <f aca="false">SUM(CB31:CB53)</f>
        <v>9372.44235808531</v>
      </c>
      <c r="CC55" s="4" t="n">
        <f aca="false">SUM(CC31:CC53)</f>
        <v>14404.3029869849</v>
      </c>
      <c r="CD55" s="4" t="n">
        <f aca="false">SUM(CD31:CD53)</f>
        <v>1436.39040601879</v>
      </c>
      <c r="CE55" s="4" t="n">
        <f aca="false">SUM(CE31:CE53)</f>
        <v>91.5891626180824</v>
      </c>
      <c r="CF55" s="4" t="n">
        <f aca="false">SUM(CF31:CF53)</f>
        <v>17217.2387530684</v>
      </c>
      <c r="CG55" s="4" t="n">
        <f aca="false">SUM(CG31:CG53)</f>
        <v>30.5340148283154</v>
      </c>
      <c r="CH55" s="4" t="n">
        <f aca="false">SUM(CH31:CH53)</f>
        <v>27.6979089340039</v>
      </c>
      <c r="CI55" s="4" t="n">
        <f aca="false">SUM(CI31:CI53)</f>
        <v>2.95093248476411</v>
      </c>
      <c r="CJ55" s="4" t="n">
        <f aca="false">SUM(CJ31:CJ53)</f>
        <v>0.877627857346713</v>
      </c>
      <c r="CK55" s="4" t="n">
        <f aca="false">SUM(CK31:CK53)</f>
        <v>94.1429878221804</v>
      </c>
      <c r="CL55" s="7" t="s">
        <v>322</v>
      </c>
    </row>
    <row r="56" customFormat="false" ht="12.8" hidden="false" customHeight="false" outlineLevel="0" collapsed="false">
      <c r="B56" s="7" t="s">
        <v>39</v>
      </c>
      <c r="CL56" s="7" t="s">
        <v>322</v>
      </c>
    </row>
    <row r="57" customFormat="false" ht="12.8" hidden="false" customHeight="false" outlineLevel="0" collapsed="false">
      <c r="B57" s="7" t="s">
        <v>39</v>
      </c>
      <c r="CL57" s="7" t="s">
        <v>322</v>
      </c>
    </row>
    <row r="58" customFormat="false" ht="12.8" hidden="false" customHeight="false" outlineLevel="0" collapsed="false">
      <c r="B58" s="7" t="s">
        <v>39</v>
      </c>
      <c r="CL58" s="7" t="s">
        <v>322</v>
      </c>
    </row>
    <row r="59" customFormat="false" ht="12.8" hidden="false" customHeight="false" outlineLevel="0" collapsed="false">
      <c r="B59" s="7" t="s">
        <v>39</v>
      </c>
      <c r="CL59" s="7" t="s">
        <v>322</v>
      </c>
    </row>
    <row r="60" customFormat="false" ht="12.8" hidden="false" customHeight="false" outlineLevel="0" collapsed="false">
      <c r="A60" s="7" t="s">
        <v>326</v>
      </c>
      <c r="B60" s="7" t="s">
        <v>39</v>
      </c>
      <c r="C60" s="18" t="n">
        <v>1</v>
      </c>
      <c r="D60" s="18" t="n">
        <v>2</v>
      </c>
      <c r="E60" s="18" t="n">
        <v>3</v>
      </c>
      <c r="F60" s="18" t="n">
        <v>4</v>
      </c>
      <c r="G60" s="18" t="n">
        <v>5</v>
      </c>
      <c r="H60" s="18" t="n">
        <v>6</v>
      </c>
      <c r="I60" s="18" t="n">
        <v>7</v>
      </c>
      <c r="J60" s="18" t="n">
        <v>8</v>
      </c>
      <c r="K60" s="18" t="n">
        <v>9</v>
      </c>
      <c r="L60" s="18" t="n">
        <v>10</v>
      </c>
      <c r="M60" s="18" t="n">
        <v>11</v>
      </c>
      <c r="N60" s="18" t="n">
        <v>12</v>
      </c>
      <c r="O60" s="18" t="n">
        <v>13</v>
      </c>
      <c r="P60" s="18" t="n">
        <v>14</v>
      </c>
      <c r="Q60" s="18" t="n">
        <v>15</v>
      </c>
      <c r="R60" s="18" t="n">
        <v>16</v>
      </c>
      <c r="S60" s="18" t="n">
        <v>17</v>
      </c>
      <c r="T60" s="18" t="n">
        <v>18</v>
      </c>
      <c r="U60" s="18" t="n">
        <v>19</v>
      </c>
      <c r="V60" s="18" t="n">
        <v>20</v>
      </c>
      <c r="W60" s="18" t="n">
        <v>21</v>
      </c>
      <c r="X60" s="18" t="n">
        <v>22</v>
      </c>
      <c r="Y60" s="18" t="n">
        <v>23</v>
      </c>
      <c r="Z60" s="18" t="n">
        <v>24</v>
      </c>
      <c r="AA60" s="18" t="n">
        <v>25</v>
      </c>
      <c r="AB60" s="18" t="n">
        <v>26</v>
      </c>
      <c r="AC60" s="18" t="n">
        <v>27</v>
      </c>
      <c r="AD60" s="18" t="n">
        <v>28</v>
      </c>
      <c r="AE60" s="18" t="n">
        <v>29</v>
      </c>
      <c r="AF60" s="18" t="n">
        <v>30</v>
      </c>
      <c r="AG60" s="18" t="n">
        <v>31</v>
      </c>
      <c r="AH60" s="18" t="n">
        <v>32</v>
      </c>
      <c r="AI60" s="18" t="n">
        <v>33</v>
      </c>
      <c r="AJ60" s="18" t="n">
        <v>34</v>
      </c>
      <c r="AK60" s="18" t="n">
        <v>35</v>
      </c>
      <c r="AL60" s="18" t="n">
        <v>36</v>
      </c>
      <c r="AM60" s="18" t="n">
        <v>37</v>
      </c>
      <c r="AN60" s="18" t="n">
        <v>38</v>
      </c>
      <c r="AO60" s="18" t="n">
        <v>39</v>
      </c>
      <c r="AP60" s="18" t="n">
        <v>40</v>
      </c>
      <c r="AQ60" s="18" t="n">
        <v>41</v>
      </c>
      <c r="AR60" s="18" t="n">
        <v>42</v>
      </c>
      <c r="AS60" s="18" t="n">
        <v>43</v>
      </c>
      <c r="AT60" s="18" t="n">
        <v>44</v>
      </c>
      <c r="AU60" s="18" t="n">
        <v>45</v>
      </c>
      <c r="AV60" s="18" t="n">
        <v>46</v>
      </c>
      <c r="AW60" s="18" t="n">
        <v>47</v>
      </c>
      <c r="AX60" s="18" t="n">
        <v>48</v>
      </c>
      <c r="AY60" s="18" t="n">
        <v>49</v>
      </c>
      <c r="AZ60" s="18" t="n">
        <v>50</v>
      </c>
      <c r="BA60" s="18" t="n">
        <v>51</v>
      </c>
      <c r="BB60" s="18" t="n">
        <v>52</v>
      </c>
      <c r="BC60" s="18" t="n">
        <v>53</v>
      </c>
      <c r="BD60" s="18" t="n">
        <v>54</v>
      </c>
      <c r="BE60" s="18" t="n">
        <v>55</v>
      </c>
      <c r="BF60" s="18" t="n">
        <v>56</v>
      </c>
      <c r="BG60" s="18" t="n">
        <v>57</v>
      </c>
      <c r="BH60" s="18" t="n">
        <v>58</v>
      </c>
      <c r="BI60" s="18" t="n">
        <v>59</v>
      </c>
      <c r="BJ60" s="18" t="n">
        <v>60</v>
      </c>
      <c r="BK60" s="18" t="n">
        <v>61</v>
      </c>
      <c r="BL60" s="18" t="n">
        <v>62</v>
      </c>
      <c r="BM60" s="18" t="n">
        <v>63</v>
      </c>
      <c r="BN60" s="18" t="n">
        <v>64</v>
      </c>
      <c r="BO60" s="18" t="n">
        <v>65</v>
      </c>
      <c r="BP60" s="18" t="n">
        <v>66</v>
      </c>
      <c r="BQ60" s="18" t="n">
        <v>67</v>
      </c>
      <c r="BR60" s="18" t="n">
        <v>68</v>
      </c>
      <c r="BS60" s="18" t="n">
        <v>69</v>
      </c>
      <c r="BT60" s="18" t="n">
        <v>70</v>
      </c>
      <c r="BU60" s="18" t="n">
        <v>71</v>
      </c>
      <c r="BV60" s="18" t="n">
        <v>72</v>
      </c>
      <c r="BW60" s="18" t="n">
        <v>73</v>
      </c>
      <c r="BX60" s="18" t="n">
        <v>74</v>
      </c>
      <c r="BY60" s="18" t="n">
        <v>75</v>
      </c>
      <c r="BZ60" s="18" t="n">
        <v>76</v>
      </c>
      <c r="CA60" s="18" t="n">
        <v>77</v>
      </c>
      <c r="CB60" s="18" t="n">
        <v>78</v>
      </c>
      <c r="CC60" s="18" t="n">
        <v>79</v>
      </c>
      <c r="CD60" s="18" t="n">
        <v>80</v>
      </c>
      <c r="CE60" s="18" t="n">
        <v>81</v>
      </c>
      <c r="CF60" s="18" t="n">
        <v>82</v>
      </c>
      <c r="CG60" s="18" t="n">
        <v>83</v>
      </c>
      <c r="CH60" s="18" t="n">
        <v>84</v>
      </c>
      <c r="CI60" s="18" t="n">
        <v>85</v>
      </c>
      <c r="CJ60" s="18" t="n">
        <v>86</v>
      </c>
      <c r="CK60" s="18" t="n">
        <v>87</v>
      </c>
      <c r="CL60" s="7" t="s">
        <v>322</v>
      </c>
    </row>
    <row r="61" customFormat="false" ht="12.8" hidden="false" customHeight="false" outlineLevel="0" collapsed="false">
      <c r="A61" s="4" t="s">
        <v>131</v>
      </c>
      <c r="B61" s="7" t="s">
        <v>39</v>
      </c>
      <c r="C61" s="4" t="n">
        <f aca="false">C3-C31</f>
        <v>-0.00339289159774058</v>
      </c>
      <c r="D61" s="4" t="n">
        <f aca="false">D3-D31</f>
        <v>-161.368295119122</v>
      </c>
      <c r="E61" s="4" t="n">
        <f aca="false">E3-E31</f>
        <v>-21.0965577353553</v>
      </c>
      <c r="F61" s="4" t="n">
        <f aca="false">F3-F31</f>
        <v>0</v>
      </c>
      <c r="G61" s="4" t="n">
        <f aca="false">G3-G31</f>
        <v>-0.187203967953683</v>
      </c>
      <c r="H61" s="4" t="n">
        <f aca="false">H3-H31</f>
        <v>0</v>
      </c>
      <c r="I61" s="4" t="n">
        <f aca="false">I3-I31</f>
        <v>2.27061994170713</v>
      </c>
      <c r="J61" s="4" t="n">
        <f aca="false">J3-J31</f>
        <v>-0.155118182652502</v>
      </c>
      <c r="K61" s="4" t="n">
        <f aca="false">K3-K31</f>
        <v>0</v>
      </c>
      <c r="L61" s="4" t="n">
        <f aca="false">L3-L31</f>
        <v>0</v>
      </c>
      <c r="M61" s="4" t="n">
        <f aca="false">M3-M31</f>
        <v>0</v>
      </c>
      <c r="N61" s="4" t="n">
        <f aca="false">N3-N31</f>
        <v>-15.9200523569336</v>
      </c>
      <c r="O61" s="4" t="n">
        <f aca="false">O3-O31</f>
        <v>0</v>
      </c>
      <c r="P61" s="4" t="n">
        <f aca="false">P3-P31</f>
        <v>0</v>
      </c>
      <c r="Q61" s="4" t="n">
        <f aca="false">Q3-Q31</f>
        <v>-0.0605192684714789</v>
      </c>
      <c r="R61" s="4" t="n">
        <f aca="false">R3-R31</f>
        <v>-37.5113803728049</v>
      </c>
      <c r="S61" s="4" t="n">
        <f aca="false">S3-S31</f>
        <v>0</v>
      </c>
      <c r="T61" s="4" t="n">
        <f aca="false">T3-T31</f>
        <v>0</v>
      </c>
      <c r="U61" s="4" t="n">
        <f aca="false">U3-U31</f>
        <v>0</v>
      </c>
      <c r="V61" s="4" t="n">
        <f aca="false">V3-V31</f>
        <v>-11.9520131148938</v>
      </c>
      <c r="W61" s="4" t="n">
        <f aca="false">W3-W31</f>
        <v>-12.4082116653773</v>
      </c>
      <c r="X61" s="4" t="n">
        <f aca="false">X3-X31</f>
        <v>-1702.6351350779</v>
      </c>
      <c r="Y61" s="4" t="n">
        <f aca="false">Y3-Y31</f>
        <v>0</v>
      </c>
      <c r="Z61" s="4" t="n">
        <f aca="false">Z3-Z31</f>
        <v>2.40890389858487</v>
      </c>
      <c r="AA61" s="4" t="n">
        <f aca="false">AA3-AA31</f>
        <v>-0.222092084105898</v>
      </c>
      <c r="AB61" s="4" t="n">
        <f aca="false">AB3-AB31</f>
        <v>-1.6126412301617</v>
      </c>
      <c r="AC61" s="4" t="n">
        <f aca="false">AC3-AC31</f>
        <v>0.380568500727167</v>
      </c>
      <c r="AD61" s="4" t="n">
        <f aca="false">AD3-AD31</f>
        <v>-0.264006563327708</v>
      </c>
      <c r="AE61" s="4" t="n">
        <f aca="false">AE3-AE31</f>
        <v>-0.553634442013862</v>
      </c>
      <c r="AF61" s="4" t="n">
        <f aca="false">AF3-AF31</f>
        <v>-0.412560826649414</v>
      </c>
      <c r="AG61" s="4" t="n">
        <f aca="false">AG3-AG31</f>
        <v>-0.415964214073018</v>
      </c>
      <c r="AH61" s="4" t="n">
        <f aca="false">AH3-AH31</f>
        <v>-1.70267152507299</v>
      </c>
      <c r="AI61" s="4" t="n">
        <f aca="false">AI3-AI31</f>
        <v>-0.273744105099987</v>
      </c>
      <c r="AJ61" s="4" t="n">
        <f aca="false">AJ3-AJ31</f>
        <v>-0.56306571805443</v>
      </c>
      <c r="AK61" s="4" t="n">
        <f aca="false">AK3-AK31</f>
        <v>-0.223002651664381</v>
      </c>
      <c r="AL61" s="4" t="n">
        <f aca="false">AL3-AL31</f>
        <v>-0.190096379416363</v>
      </c>
      <c r="AM61" s="4" t="n">
        <f aca="false">AM3-AM31</f>
        <v>-0.0120385850575652</v>
      </c>
      <c r="AN61" s="4" t="n">
        <f aca="false">AN3-AN31</f>
        <v>0.0251507781736365</v>
      </c>
      <c r="AO61" s="4" t="n">
        <f aca="false">AO3-AO31</f>
        <v>0.0479738298090921</v>
      </c>
      <c r="AP61" s="4" t="n">
        <f aca="false">AP3-AP31</f>
        <v>-0.435035833537035</v>
      </c>
      <c r="AQ61" s="4" t="n">
        <f aca="false">AQ3-AQ31</f>
        <v>-0.00603071948196559</v>
      </c>
      <c r="AR61" s="4" t="n">
        <f aca="false">AR3-AR31</f>
        <v>-0.0330335064046502</v>
      </c>
      <c r="AS61" s="4" t="n">
        <f aca="false">AS3-AS31</f>
        <v>0.0166046261915755</v>
      </c>
      <c r="AT61" s="4" t="n">
        <f aca="false">AT3-AT31</f>
        <v>-0.24065315969699</v>
      </c>
      <c r="AU61" s="4" t="n">
        <f aca="false">AU3-AU31</f>
        <v>-2.00613076672245</v>
      </c>
      <c r="AV61" s="4" t="n">
        <f aca="false">AV3-AV31</f>
        <v>-0.070010730402056</v>
      </c>
      <c r="AW61" s="4" t="n">
        <f aca="false">AW3-AW31</f>
        <v>0.181797929403124</v>
      </c>
      <c r="AX61" s="4" t="n">
        <f aca="false">AX3-AX31</f>
        <v>-0.187845768298334</v>
      </c>
      <c r="AY61" s="4" t="n">
        <f aca="false">AY3-AY31</f>
        <v>-0.0062016968395904</v>
      </c>
      <c r="AZ61" s="4" t="n">
        <f aca="false">AZ3-AZ31</f>
        <v>-0.0951901289720746</v>
      </c>
      <c r="BA61" s="4" t="n">
        <f aca="false">BA3-BA31</f>
        <v>0</v>
      </c>
      <c r="BB61" s="4" t="n">
        <f aca="false">BB3-BB31</f>
        <v>-0.151766627565282</v>
      </c>
      <c r="BC61" s="4" t="n">
        <f aca="false">BC3-BC31</f>
        <v>-0.139152739580424</v>
      </c>
      <c r="BD61" s="4" t="n">
        <f aca="false">BD3-BD31</f>
        <v>-0.0842649166535175</v>
      </c>
      <c r="BE61" s="4" t="n">
        <f aca="false">BE3-BE31</f>
        <v>-0.012364123352682</v>
      </c>
      <c r="BF61" s="4" t="n">
        <f aca="false">BF3-BF31</f>
        <v>-0.232365684208936</v>
      </c>
      <c r="BG61" s="4" t="n">
        <f aca="false">BG3-BG31</f>
        <v>0.678264137456436</v>
      </c>
      <c r="BH61" s="4" t="n">
        <f aca="false">BH3-BH31</f>
        <v>0.713297761800689</v>
      </c>
      <c r="BI61" s="4" t="n">
        <f aca="false">BI3-BI31</f>
        <v>-6.13390834037787</v>
      </c>
      <c r="BJ61" s="4" t="n">
        <f aca="false">BJ3-BJ31</f>
        <v>-396.985882913143</v>
      </c>
      <c r="BK61" s="4" t="n">
        <f aca="false">BK3-BK31</f>
        <v>-3.06695417018894</v>
      </c>
      <c r="BL61" s="4" t="n">
        <f aca="false">BL3-BL31</f>
        <v>-461.304360891174</v>
      </c>
      <c r="BM61" s="4" t="n">
        <f aca="false">BM3-BM31</f>
        <v>-9.00759234652296</v>
      </c>
      <c r="BN61" s="4" t="n">
        <f aca="false">BN3-BN31</f>
        <v>0</v>
      </c>
      <c r="BO61" s="4" t="n">
        <f aca="false">BO3-BO31</f>
        <v>-0.706157341069582</v>
      </c>
      <c r="BP61" s="4" t="n">
        <f aca="false">BP3-BP31</f>
        <v>-1.70452603505264</v>
      </c>
      <c r="BQ61" s="4" t="n">
        <f aca="false">BQ3-BQ31</f>
        <v>0</v>
      </c>
      <c r="BR61" s="4" t="n">
        <f aca="false">BR3-BR31</f>
        <v>-0.0235385662296851</v>
      </c>
      <c r="BS61" s="4" t="n">
        <f aca="false">BS3-BS31</f>
        <v>-0.0023538513941965</v>
      </c>
      <c r="BT61" s="4" t="n">
        <f aca="false">BT3-BT31</f>
        <v>0</v>
      </c>
      <c r="BU61" s="4" t="n">
        <f aca="false">BU3-BU31</f>
        <v>0</v>
      </c>
      <c r="BV61" s="4" t="n">
        <f aca="false">BV3-BV31</f>
        <v>0</v>
      </c>
      <c r="BW61" s="4" t="n">
        <f aca="false">BW3-BW31</f>
        <v>0</v>
      </c>
      <c r="BX61" s="4" t="n">
        <f aca="false">BX3-BX31</f>
        <v>-1.10334227274206</v>
      </c>
      <c r="BY61" s="4" t="n">
        <f aca="false">BY3-BY31</f>
        <v>-99.9268464057774</v>
      </c>
      <c r="BZ61" s="4" t="n">
        <f aca="false">BZ3-BZ31</f>
        <v>-0.388967621123104</v>
      </c>
      <c r="CA61" s="4" t="n">
        <f aca="false">CA3-CA31</f>
        <v>-0.15034458278494</v>
      </c>
      <c r="CB61" s="4" t="n">
        <f aca="false">CB3-CB31</f>
        <v>-185.965939402253</v>
      </c>
      <c r="CC61" s="4" t="n">
        <f aca="false">CC3-CC31</f>
        <v>-519.149021199584</v>
      </c>
      <c r="CD61" s="4" t="n">
        <f aca="false">CD3-CD31</f>
        <v>0</v>
      </c>
      <c r="CE61" s="4" t="n">
        <f aca="false">CE3-CE31</f>
        <v>-0.607201261342096</v>
      </c>
      <c r="CF61" s="4" t="n">
        <f aca="false">CF3-CF31</f>
        <v>-91.9724136268216</v>
      </c>
      <c r="CG61" s="4" t="n">
        <f aca="false">CG3-CG31</f>
        <v>-0.0565671157374682</v>
      </c>
      <c r="CH61" s="4" t="n">
        <f aca="false">CH3-CH31</f>
        <v>-0.308259177582599</v>
      </c>
      <c r="CI61" s="4" t="n">
        <f aca="false">CI3-CI31</f>
        <v>-0.0970285475375478</v>
      </c>
      <c r="CJ61" s="4" t="n">
        <f aca="false">CJ3-CJ31</f>
        <v>-0.0239654552337916</v>
      </c>
      <c r="CK61" s="4" t="n">
        <f aca="false">CK3-CK31</f>
        <v>-3.00926448432256</v>
      </c>
      <c r="CL61" s="7" t="s">
        <v>322</v>
      </c>
    </row>
    <row r="62" customFormat="false" ht="12.8" hidden="false" customHeight="false" outlineLevel="0" collapsed="false">
      <c r="A62" s="4" t="s">
        <v>133</v>
      </c>
      <c r="B62" s="7" t="s">
        <v>39</v>
      </c>
      <c r="C62" s="4" t="n">
        <f aca="false">C4-C32</f>
        <v>-0.00340301918662084</v>
      </c>
      <c r="D62" s="4" t="n">
        <f aca="false">D4-D32</f>
        <v>-503.037885114336</v>
      </c>
      <c r="E62" s="4" t="n">
        <f aca="false">E4-E32</f>
        <v>12.2150907646576</v>
      </c>
      <c r="F62" s="4" t="n">
        <f aca="false">F4-F32</f>
        <v>0</v>
      </c>
      <c r="G62" s="4" t="n">
        <f aca="false">G4-G32</f>
        <v>-31.5107678463282</v>
      </c>
      <c r="H62" s="4" t="n">
        <f aca="false">H4-H32</f>
        <v>0</v>
      </c>
      <c r="I62" s="4" t="n">
        <f aca="false">I4-I32</f>
        <v>-1.90116771205765</v>
      </c>
      <c r="J62" s="4" t="n">
        <f aca="false">J4-J32</f>
        <v>-1.40486011609132</v>
      </c>
      <c r="K62" s="4" t="n">
        <f aca="false">K4-K32</f>
        <v>0</v>
      </c>
      <c r="L62" s="4" t="n">
        <f aca="false">L4-L32</f>
        <v>0</v>
      </c>
      <c r="M62" s="4" t="n">
        <f aca="false">M4-M32</f>
        <v>0</v>
      </c>
      <c r="N62" s="4" t="n">
        <f aca="false">N4-N32</f>
        <v>-36.4736298052774</v>
      </c>
      <c r="O62" s="4" t="n">
        <f aca="false">O4-O32</f>
        <v>0</v>
      </c>
      <c r="P62" s="4" t="n">
        <f aca="false">P4-P32</f>
        <v>0</v>
      </c>
      <c r="Q62" s="4" t="n">
        <f aca="false">Q4-Q32</f>
        <v>-2.44236397289448</v>
      </c>
      <c r="R62" s="4" t="n">
        <f aca="false">R4-R32</f>
        <v>-19.2053628748068</v>
      </c>
      <c r="S62" s="4" t="n">
        <f aca="false">S4-S32</f>
        <v>0</v>
      </c>
      <c r="T62" s="4" t="n">
        <f aca="false">T4-T32</f>
        <v>0</v>
      </c>
      <c r="U62" s="4" t="n">
        <f aca="false">U4-U32</f>
        <v>0</v>
      </c>
      <c r="V62" s="4" t="n">
        <f aca="false">V4-V32</f>
        <v>-96.0654845009265</v>
      </c>
      <c r="W62" s="4" t="n">
        <f aca="false">W4-W32</f>
        <v>-254.607361487004</v>
      </c>
      <c r="X62" s="4" t="n">
        <f aca="false">X4-X32</f>
        <v>-401.475479903864</v>
      </c>
      <c r="Y62" s="4" t="n">
        <f aca="false">Y4-Y32</f>
        <v>0</v>
      </c>
      <c r="Z62" s="4" t="n">
        <f aca="false">Z4-Z32</f>
        <v>-2.51325353550243</v>
      </c>
      <c r="AA62" s="4" t="n">
        <f aca="false">AA4-AA32</f>
        <v>-0.852594379891266</v>
      </c>
      <c r="AB62" s="4" t="n">
        <f aca="false">AB4-AB32</f>
        <v>-5.12874606423294</v>
      </c>
      <c r="AC62" s="4" t="n">
        <f aca="false">AC4-AC32</f>
        <v>1.26095064174829</v>
      </c>
      <c r="AD62" s="4" t="n">
        <f aca="false">AD4-AD32</f>
        <v>-0.839630413308283</v>
      </c>
      <c r="AE62" s="4" t="n">
        <f aca="false">AE4-AE32</f>
        <v>-2.48087162049321</v>
      </c>
      <c r="AF62" s="4" t="n">
        <f aca="false">AF4-AF32</f>
        <v>-0.0923479195928834</v>
      </c>
      <c r="AG62" s="4" t="n">
        <f aca="false">AG4-AG32</f>
        <v>-1.45383481773297</v>
      </c>
      <c r="AH62" s="4" t="n">
        <f aca="false">AH4-AH32</f>
        <v>-0.404708104145629</v>
      </c>
      <c r="AI62" s="4" t="n">
        <f aca="false">AI4-AI32</f>
        <v>-0.247315272395856</v>
      </c>
      <c r="AJ62" s="4" t="n">
        <f aca="false">AJ4-AJ32</f>
        <v>0.0582014291260058</v>
      </c>
      <c r="AK62" s="4" t="n">
        <f aca="false">AK4-AK32</f>
        <v>-0.101585402008285</v>
      </c>
      <c r="AL62" s="4" t="n">
        <f aca="false">AL4-AL32</f>
        <v>0.0749634056616885</v>
      </c>
      <c r="AM62" s="4" t="n">
        <f aca="false">AM4-AM32</f>
        <v>-0.330414226175025</v>
      </c>
      <c r="AN62" s="4" t="n">
        <f aca="false">AN4-AN32</f>
        <v>-0.330247515687125</v>
      </c>
      <c r="AO62" s="4" t="n">
        <f aca="false">AO4-AO32</f>
        <v>0.227443637280564</v>
      </c>
      <c r="AP62" s="4" t="n">
        <f aca="false">AP4-AP32</f>
        <v>-0.437231986627227</v>
      </c>
      <c r="AQ62" s="4" t="n">
        <f aca="false">AQ4-AQ32</f>
        <v>-0.0541990409679871</v>
      </c>
      <c r="AR62" s="4" t="n">
        <f aca="false">AR4-AR32</f>
        <v>-0.0210497477150826</v>
      </c>
      <c r="AS62" s="4" t="n">
        <f aca="false">AS4-AS32</f>
        <v>-0.0604553434650141</v>
      </c>
      <c r="AT62" s="4" t="n">
        <f aca="false">AT4-AT32</f>
        <v>-1.34146966705786</v>
      </c>
      <c r="AU62" s="4" t="n">
        <f aca="false">AU4-AU32</f>
        <v>0.386518879580703</v>
      </c>
      <c r="AV62" s="4" t="n">
        <f aca="false">AV4-AV32</f>
        <v>-0.0786932039245759</v>
      </c>
      <c r="AW62" s="4" t="n">
        <f aca="false">AW4-AW32</f>
        <v>0.660852677127164</v>
      </c>
      <c r="AX62" s="4" t="n">
        <f aca="false">AX4-AX32</f>
        <v>-0.0237741475212837</v>
      </c>
      <c r="AY62" s="4" t="n">
        <f aca="false">AY4-AY32</f>
        <v>0.0170446551967815</v>
      </c>
      <c r="AZ62" s="4" t="n">
        <f aca="false">AZ4-AZ32</f>
        <v>-0.0775613845672568</v>
      </c>
      <c r="BA62" s="4" t="n">
        <f aca="false">BA4-BA32</f>
        <v>0</v>
      </c>
      <c r="BB62" s="4" t="n">
        <f aca="false">BB4-BB32</f>
        <v>-0.00361371162318026</v>
      </c>
      <c r="BC62" s="4" t="n">
        <f aca="false">BC4-BC32</f>
        <v>-0.0199931084980134</v>
      </c>
      <c r="BD62" s="4" t="n">
        <f aca="false">BD4-BD32</f>
        <v>0.012793846751559</v>
      </c>
      <c r="BE62" s="4" t="n">
        <f aca="false">BE4-BE32</f>
        <v>-0.0404308517419955</v>
      </c>
      <c r="BF62" s="4" t="n">
        <f aca="false">BF4-BF32</f>
        <v>-1.12333155349562</v>
      </c>
      <c r="BG62" s="4" t="n">
        <f aca="false">BG4-BG32</f>
        <v>-1.26112423475484</v>
      </c>
      <c r="BH62" s="4" t="n">
        <f aca="false">BH4-BH32</f>
        <v>-0.00136487055507527</v>
      </c>
      <c r="BI62" s="4" t="n">
        <f aca="false">BI4-BI32</f>
        <v>-3.019551954794</v>
      </c>
      <c r="BJ62" s="4" t="n">
        <f aca="false">BJ4-BJ32</f>
        <v>-57.9977441398052</v>
      </c>
      <c r="BK62" s="4" t="n">
        <f aca="false">BK4-BK32</f>
        <v>-1.509775977397</v>
      </c>
      <c r="BL62" s="4" t="n">
        <f aca="false">BL4-BL32</f>
        <v>-219.028113508525</v>
      </c>
      <c r="BM62" s="4" t="n">
        <f aca="false">BM4-BM32</f>
        <v>-9.32204912280336</v>
      </c>
      <c r="BN62" s="4" t="n">
        <f aca="false">BN4-BN32</f>
        <v>0</v>
      </c>
      <c r="BO62" s="4" t="n">
        <f aca="false">BO4-BO32</f>
        <v>3.23705540691226</v>
      </c>
      <c r="BP62" s="4" t="n">
        <f aca="false">BP4-BP32</f>
        <v>3.55610401838907</v>
      </c>
      <c r="BQ62" s="4" t="n">
        <f aca="false">BQ4-BQ32</f>
        <v>0</v>
      </c>
      <c r="BR62" s="4" t="n">
        <f aca="false">BR4-BR32</f>
        <v>0.10790183017479</v>
      </c>
      <c r="BS62" s="4" t="n">
        <f aca="false">BS4-BS32</f>
        <v>0.0107901757571501</v>
      </c>
      <c r="BT62" s="4" t="n">
        <f aca="false">BT4-BT32</f>
        <v>0</v>
      </c>
      <c r="BU62" s="4" t="n">
        <f aca="false">BU4-BU32</f>
        <v>0</v>
      </c>
      <c r="BV62" s="4" t="n">
        <f aca="false">BV4-BV32</f>
        <v>0</v>
      </c>
      <c r="BW62" s="4" t="n">
        <f aca="false">BW4-BW32</f>
        <v>0</v>
      </c>
      <c r="BX62" s="4" t="n">
        <f aca="false">BX4-BX32</f>
        <v>-1.73178829013558</v>
      </c>
      <c r="BY62" s="4" t="n">
        <f aca="false">BY4-BY32</f>
        <v>-25.8785022181284</v>
      </c>
      <c r="BZ62" s="4" t="n">
        <f aca="false">BZ4-BZ32</f>
        <v>-0.122248608906943</v>
      </c>
      <c r="CA62" s="4" t="n">
        <f aca="false">CA4-CA32</f>
        <v>-0.0296180320343767</v>
      </c>
      <c r="CB62" s="4" t="n">
        <f aca="false">CB4-CB32</f>
        <v>-45.0125338497821</v>
      </c>
      <c r="CC62" s="4" t="n">
        <f aca="false">CC4-CC32</f>
        <v>-0.236167338316514</v>
      </c>
      <c r="CD62" s="4" t="n">
        <f aca="false">CD4-CD32</f>
        <v>0</v>
      </c>
      <c r="CE62" s="4" t="n">
        <f aca="false">CE4-CE32</f>
        <v>-0.15226702406832</v>
      </c>
      <c r="CF62" s="4" t="n">
        <f aca="false">CF4-CF32</f>
        <v>-72.2373425875037</v>
      </c>
      <c r="CG62" s="4" t="n">
        <f aca="false">CG4-CG32</f>
        <v>5.43062160687008</v>
      </c>
      <c r="CH62" s="4" t="n">
        <f aca="false">CH4-CH32</f>
        <v>2.32226526694282</v>
      </c>
      <c r="CI62" s="4" t="n">
        <f aca="false">CI4-CI32</f>
        <v>-0.0368787322444878</v>
      </c>
      <c r="CJ62" s="4" t="n">
        <f aca="false">CJ4-CJ32</f>
        <v>-0.0093431831360799</v>
      </c>
      <c r="CK62" s="4" t="n">
        <f aca="false">CK4-CK32</f>
        <v>-2.87360720613706</v>
      </c>
      <c r="CL62" s="7" t="s">
        <v>322</v>
      </c>
    </row>
    <row r="63" customFormat="false" ht="12.8" hidden="false" customHeight="false" outlineLevel="0" collapsed="false">
      <c r="A63" s="4" t="s">
        <v>135</v>
      </c>
      <c r="B63" s="7" t="s">
        <v>39</v>
      </c>
      <c r="C63" s="4" t="n">
        <f aca="false">C5-C33</f>
        <v>-0.0055840520703857</v>
      </c>
      <c r="D63" s="4" t="n">
        <f aca="false">D5-D33</f>
        <v>-64.6077281789476</v>
      </c>
      <c r="E63" s="4" t="n">
        <f aca="false">E5-E33</f>
        <v>-63.0037155053114</v>
      </c>
      <c r="F63" s="4" t="n">
        <f aca="false">F5-F33</f>
        <v>0</v>
      </c>
      <c r="G63" s="4" t="n">
        <f aca="false">G5-G33</f>
        <v>1.03698334794052</v>
      </c>
      <c r="H63" s="4" t="n">
        <f aca="false">H5-H33</f>
        <v>0</v>
      </c>
      <c r="I63" s="4" t="n">
        <f aca="false">I5-I33</f>
        <v>1.90446072162586</v>
      </c>
      <c r="J63" s="4" t="n">
        <f aca="false">J5-J33</f>
        <v>1.26899442872987</v>
      </c>
      <c r="K63" s="4" t="n">
        <f aca="false">K5-K33</f>
        <v>0</v>
      </c>
      <c r="L63" s="4" t="n">
        <f aca="false">L5-L33</f>
        <v>0</v>
      </c>
      <c r="M63" s="4" t="n">
        <f aca="false">M5-M33</f>
        <v>0</v>
      </c>
      <c r="N63" s="4" t="n">
        <f aca="false">N5-N33</f>
        <v>-16.9335172519043</v>
      </c>
      <c r="O63" s="4" t="n">
        <f aca="false">O5-O33</f>
        <v>0</v>
      </c>
      <c r="P63" s="4" t="n">
        <f aca="false">P5-P33</f>
        <v>0</v>
      </c>
      <c r="Q63" s="4" t="n">
        <f aca="false">Q5-Q33</f>
        <v>-1.92259677030857</v>
      </c>
      <c r="R63" s="4" t="n">
        <f aca="false">R5-R33</f>
        <v>-15.6430459240841</v>
      </c>
      <c r="S63" s="4" t="n">
        <f aca="false">S5-S33</f>
        <v>0</v>
      </c>
      <c r="T63" s="4" t="n">
        <f aca="false">T5-T33</f>
        <v>0</v>
      </c>
      <c r="U63" s="4" t="n">
        <f aca="false">U5-U33</f>
        <v>0</v>
      </c>
      <c r="V63" s="4" t="n">
        <f aca="false">V5-V33</f>
        <v>60.661358328149</v>
      </c>
      <c r="W63" s="4" t="n">
        <f aca="false">W5-W33</f>
        <v>-222.78124044009</v>
      </c>
      <c r="X63" s="4" t="n">
        <f aca="false">X5-X33</f>
        <v>-743.876029995709</v>
      </c>
      <c r="Y63" s="4" t="n">
        <f aca="false">Y5-Y33</f>
        <v>0</v>
      </c>
      <c r="Z63" s="4" t="n">
        <f aca="false">Z5-Z33</f>
        <v>26.3611625851071</v>
      </c>
      <c r="AA63" s="4" t="n">
        <f aca="false">AA5-AA33</f>
        <v>-1.15934535183722</v>
      </c>
      <c r="AB63" s="4" t="n">
        <f aca="false">AB5-AB33</f>
        <v>0.223230490460253</v>
      </c>
      <c r="AC63" s="4" t="n">
        <f aca="false">AC5-AC33</f>
        <v>0.384663316373489</v>
      </c>
      <c r="AD63" s="4" t="n">
        <f aca="false">AD5-AD33</f>
        <v>0.0365452113676064</v>
      </c>
      <c r="AE63" s="4" t="n">
        <f aca="false">AE5-AE33</f>
        <v>-0.671368519235477</v>
      </c>
      <c r="AF63" s="4" t="n">
        <f aca="false">AF5-AF33</f>
        <v>0.268363929944719</v>
      </c>
      <c r="AG63" s="4" t="n">
        <f aca="false">AG5-AG33</f>
        <v>-2.0420115493228</v>
      </c>
      <c r="AH63" s="4" t="n">
        <f aca="false">AH5-AH33</f>
        <v>-1.61705648338956</v>
      </c>
      <c r="AI63" s="4" t="n">
        <f aca="false">AI5-AI33</f>
        <v>0.0327026253529913</v>
      </c>
      <c r="AJ63" s="4" t="n">
        <f aca="false">AJ5-AJ33</f>
        <v>-0.0856697829334093</v>
      </c>
      <c r="AK63" s="4" t="n">
        <f aca="false">AK5-AK33</f>
        <v>0.302808519612381</v>
      </c>
      <c r="AL63" s="4" t="n">
        <f aca="false">AL5-AL33</f>
        <v>0.211086936307171</v>
      </c>
      <c r="AM63" s="4" t="n">
        <f aca="false">AM5-AM33</f>
        <v>0.818316201433624</v>
      </c>
      <c r="AN63" s="4" t="n">
        <f aca="false">AN5-AN33</f>
        <v>-0.104521506951492</v>
      </c>
      <c r="AO63" s="4" t="n">
        <f aca="false">AO5-AO33</f>
        <v>0.919482260580799</v>
      </c>
      <c r="AP63" s="4" t="n">
        <f aca="false">AP5-AP33</f>
        <v>-0.59718235473325</v>
      </c>
      <c r="AQ63" s="4" t="n">
        <f aca="false">AQ5-AQ33</f>
        <v>-0.0154971814858791</v>
      </c>
      <c r="AR63" s="4" t="n">
        <f aca="false">AR5-AR33</f>
        <v>0.0260419769442306</v>
      </c>
      <c r="AS63" s="4" t="n">
        <f aca="false">AS5-AS33</f>
        <v>-0.30140165145333</v>
      </c>
      <c r="AT63" s="4" t="n">
        <f aca="false">AT5-AT33</f>
        <v>1.29979751969316</v>
      </c>
      <c r="AU63" s="4" t="n">
        <f aca="false">AU5-AU33</f>
        <v>0.547626407089151</v>
      </c>
      <c r="AV63" s="4" t="n">
        <f aca="false">AV5-AV33</f>
        <v>0.103771733751897</v>
      </c>
      <c r="AW63" s="4" t="n">
        <f aca="false">AW5-AW33</f>
        <v>0.209853910980371</v>
      </c>
      <c r="AX63" s="4" t="n">
        <f aca="false">AX5-AX33</f>
        <v>-0.105512409942214</v>
      </c>
      <c r="AY63" s="4" t="n">
        <f aca="false">AY5-AY33</f>
        <v>-0.0024808532976503</v>
      </c>
      <c r="AZ63" s="4" t="n">
        <f aca="false">AZ5-AZ33</f>
        <v>0.0335356487052034</v>
      </c>
      <c r="BA63" s="4" t="n">
        <f aca="false">BA5-BA33</f>
        <v>0</v>
      </c>
      <c r="BB63" s="4" t="n">
        <f aca="false">BB5-BB33</f>
        <v>-0.148192672695742</v>
      </c>
      <c r="BC63" s="4" t="n">
        <f aca="false">BC5-BC33</f>
        <v>-0.0687016076702795</v>
      </c>
      <c r="BD63" s="4" t="n">
        <f aca="false">BD5-BD33</f>
        <v>-0.00669548277578039</v>
      </c>
      <c r="BE63" s="4" t="n">
        <f aca="false">BE5-BE33</f>
        <v>-0.0430630293043705</v>
      </c>
      <c r="BF63" s="4" t="n">
        <f aca="false">BF5-BF33</f>
        <v>-14.8370712798429</v>
      </c>
      <c r="BG63" s="4" t="n">
        <f aca="false">BG5-BG33</f>
        <v>5.15334029710143</v>
      </c>
      <c r="BH63" s="4" t="n">
        <f aca="false">BH5-BH33</f>
        <v>1.22929181771808</v>
      </c>
      <c r="BI63" s="4" t="n">
        <f aca="false">BI5-BI33</f>
        <v>-7.33379595267763</v>
      </c>
      <c r="BJ63" s="4" t="n">
        <f aca="false">BJ5-BJ33</f>
        <v>-151.576094532083</v>
      </c>
      <c r="BK63" s="4" t="n">
        <f aca="false">BK5-BK33</f>
        <v>-3.66689797633881</v>
      </c>
      <c r="BL63" s="4" t="n">
        <f aca="false">BL5-BL33</f>
        <v>-51.2975872193073</v>
      </c>
      <c r="BM63" s="4" t="n">
        <f aca="false">BM5-BM33</f>
        <v>-15.38297588589</v>
      </c>
      <c r="BN63" s="4" t="n">
        <f aca="false">BN5-BN33</f>
        <v>0</v>
      </c>
      <c r="BO63" s="4" t="n">
        <f aca="false">BO5-BO33</f>
        <v>-10.4996537620183</v>
      </c>
      <c r="BP63" s="4" t="n">
        <f aca="false">BP5-BP33</f>
        <v>-13.1864978897521</v>
      </c>
      <c r="BQ63" s="4" t="n">
        <f aca="false">BQ5-BQ33</f>
        <v>0</v>
      </c>
      <c r="BR63" s="4" t="n">
        <f aca="false">BR5-BR33</f>
        <v>-0.349988412564244</v>
      </c>
      <c r="BS63" s="4" t="n">
        <f aca="false">BS5-BS33</f>
        <v>-0.034998774183999</v>
      </c>
      <c r="BT63" s="4" t="n">
        <f aca="false">BT5-BT33</f>
        <v>0</v>
      </c>
      <c r="BU63" s="4" t="n">
        <f aca="false">BU5-BU33</f>
        <v>0</v>
      </c>
      <c r="BV63" s="4" t="n">
        <f aca="false">BV5-BV33</f>
        <v>0</v>
      </c>
      <c r="BW63" s="4" t="n">
        <f aca="false">BW5-BW33</f>
        <v>0</v>
      </c>
      <c r="BX63" s="4" t="n">
        <f aca="false">BX5-BX33</f>
        <v>-0.8613119923573</v>
      </c>
      <c r="BY63" s="4" t="n">
        <f aca="false">BY5-BY33</f>
        <v>-21.8210256719045</v>
      </c>
      <c r="BZ63" s="4" t="n">
        <f aca="false">BZ5-BZ33</f>
        <v>-0.00867620043510656</v>
      </c>
      <c r="CA63" s="4" t="n">
        <f aca="false">CA5-CA33</f>
        <v>-0.0124232867105784</v>
      </c>
      <c r="CB63" s="4" t="n">
        <f aca="false">CB5-CB33</f>
        <v>-25.233442610116</v>
      </c>
      <c r="CC63" s="4" t="n">
        <f aca="false">CC5-CC33</f>
        <v>-28.5791243280582</v>
      </c>
      <c r="CD63" s="4" t="n">
        <f aca="false">CD5-CD33</f>
        <v>0</v>
      </c>
      <c r="CE63" s="4" t="n">
        <f aca="false">CE5-CE33</f>
        <v>-0.820383001855396</v>
      </c>
      <c r="CF63" s="4" t="n">
        <f aca="false">CF5-CF33</f>
        <v>-162.091730539846</v>
      </c>
      <c r="CG63" s="4" t="n">
        <f aca="false">CG5-CG33</f>
        <v>-1.70906010799908</v>
      </c>
      <c r="CH63" s="4" t="n">
        <f aca="false">CH5-CH33</f>
        <v>-0.256823173916182</v>
      </c>
      <c r="CI63" s="4" t="n">
        <f aca="false">CI5-CI33</f>
        <v>-0.0223857564964197</v>
      </c>
      <c r="CJ63" s="4" t="n">
        <f aca="false">CJ5-CJ33</f>
        <v>-0.00111033819356731</v>
      </c>
      <c r="CK63" s="4" t="n">
        <f aca="false">CK5-CK33</f>
        <v>-0.87132842651612</v>
      </c>
      <c r="CL63" s="7" t="s">
        <v>322</v>
      </c>
    </row>
    <row r="64" customFormat="false" ht="12.8" hidden="false" customHeight="false" outlineLevel="0" collapsed="false">
      <c r="A64" s="4" t="s">
        <v>137</v>
      </c>
      <c r="B64" s="7" t="s">
        <v>39</v>
      </c>
      <c r="C64" s="4" t="n">
        <f aca="false">C6-C34</f>
        <v>0.278949509474892</v>
      </c>
      <c r="D64" s="4" t="n">
        <f aca="false">D6-D34</f>
        <v>11020.9861282016</v>
      </c>
      <c r="E64" s="4" t="n">
        <f aca="false">E6-E34</f>
        <v>1943.25665757326</v>
      </c>
      <c r="F64" s="4" t="n">
        <f aca="false">F6-F34</f>
        <v>0</v>
      </c>
      <c r="G64" s="4" t="n">
        <f aca="false">G6-G34</f>
        <v>2262.45472103103</v>
      </c>
      <c r="H64" s="4" t="n">
        <f aca="false">H6-H34</f>
        <v>0</v>
      </c>
      <c r="I64" s="4" t="n">
        <f aca="false">I6-I34</f>
        <v>-16.4063315878589</v>
      </c>
      <c r="J64" s="4" t="n">
        <f aca="false">J6-J34</f>
        <v>-6.3094982923112</v>
      </c>
      <c r="K64" s="4" t="n">
        <f aca="false">K6-K34</f>
        <v>0</v>
      </c>
      <c r="L64" s="4" t="n">
        <f aca="false">L6-L34</f>
        <v>0</v>
      </c>
      <c r="M64" s="4" t="n">
        <f aca="false">M6-M34</f>
        <v>0</v>
      </c>
      <c r="N64" s="4" t="n">
        <f aca="false">N6-N34</f>
        <v>2704.14643081463</v>
      </c>
      <c r="O64" s="4" t="n">
        <f aca="false">O6-O34</f>
        <v>0</v>
      </c>
      <c r="P64" s="4" t="n">
        <f aca="false">P6-P34</f>
        <v>0</v>
      </c>
      <c r="Q64" s="4" t="n">
        <f aca="false">Q6-Q34</f>
        <v>15.645504295145</v>
      </c>
      <c r="R64" s="4" t="n">
        <f aca="false">R6-R34</f>
        <v>395.612470498681</v>
      </c>
      <c r="S64" s="4" t="n">
        <f aca="false">S6-S34</f>
        <v>0</v>
      </c>
      <c r="T64" s="4" t="n">
        <f aca="false">T6-T34</f>
        <v>0</v>
      </c>
      <c r="U64" s="4" t="n">
        <f aca="false">U6-U34</f>
        <v>0</v>
      </c>
      <c r="V64" s="4" t="n">
        <f aca="false">V6-V34</f>
        <v>178.49938348903</v>
      </c>
      <c r="W64" s="4" t="n">
        <f aca="false">W6-W34</f>
        <v>686.540960489975</v>
      </c>
      <c r="X64" s="4" t="n">
        <f aca="false">X6-X34</f>
        <v>5341.29273220657</v>
      </c>
      <c r="Y64" s="4" t="n">
        <f aca="false">Y6-Y34</f>
        <v>0</v>
      </c>
      <c r="Z64" s="4" t="n">
        <f aca="false">Z6-Z34</f>
        <v>-59.9738200113494</v>
      </c>
      <c r="AA64" s="4" t="n">
        <f aca="false">AA6-AA34</f>
        <v>-1.15953770410923</v>
      </c>
      <c r="AB64" s="4" t="n">
        <f aca="false">AB6-AB34</f>
        <v>-4.47173899088737</v>
      </c>
      <c r="AC64" s="4" t="n">
        <f aca="false">AC6-AC34</f>
        <v>4.26017049541518</v>
      </c>
      <c r="AD64" s="4" t="n">
        <f aca="false">AD6-AD34</f>
        <v>-0.732071350404645</v>
      </c>
      <c r="AE64" s="4" t="n">
        <f aca="false">AE6-AE34</f>
        <v>4.59010063604505</v>
      </c>
      <c r="AF64" s="4" t="n">
        <f aca="false">AF6-AF34</f>
        <v>0.503807826953971</v>
      </c>
      <c r="AG64" s="4" t="n">
        <f aca="false">AG6-AG34</f>
        <v>5.52145075511869</v>
      </c>
      <c r="AH64" s="4" t="n">
        <f aca="false">AH6-AH34</f>
        <v>3.79876807427026</v>
      </c>
      <c r="AI64" s="4" t="n">
        <f aca="false">AI6-AI34</f>
        <v>0.124956073689854</v>
      </c>
      <c r="AJ64" s="4" t="n">
        <f aca="false">AJ6-AJ34</f>
        <v>0.146907818705456</v>
      </c>
      <c r="AK64" s="4" t="n">
        <f aca="false">AK6-AK34</f>
        <v>0.129917465038992</v>
      </c>
      <c r="AL64" s="4" t="n">
        <f aca="false">AL6-AL34</f>
        <v>0.206731580553447</v>
      </c>
      <c r="AM64" s="4" t="n">
        <f aca="false">AM6-AM34</f>
        <v>-0.0338734258158986</v>
      </c>
      <c r="AN64" s="4" t="n">
        <f aca="false">AN6-AN34</f>
        <v>0.43270483990828</v>
      </c>
      <c r="AO64" s="4" t="n">
        <f aca="false">AO6-AO34</f>
        <v>1.41541618581535</v>
      </c>
      <c r="AP64" s="4" t="n">
        <f aca="false">AP6-AP34</f>
        <v>0.814923184517083</v>
      </c>
      <c r="AQ64" s="4" t="n">
        <f aca="false">AQ6-AQ34</f>
        <v>0.143523848413193</v>
      </c>
      <c r="AR64" s="4" t="n">
        <f aca="false">AR6-AR34</f>
        <v>0.252399127414687</v>
      </c>
      <c r="AS64" s="4" t="n">
        <f aca="false">AS6-AS34</f>
        <v>0.0749636618973639</v>
      </c>
      <c r="AT64" s="4" t="n">
        <f aca="false">AT6-AT34</f>
        <v>1.37259237007016</v>
      </c>
      <c r="AU64" s="4" t="n">
        <f aca="false">AU6-AU34</f>
        <v>1.44977571692154</v>
      </c>
      <c r="AV64" s="4" t="n">
        <f aca="false">AV6-AV34</f>
        <v>-0.1050190304909</v>
      </c>
      <c r="AW64" s="4" t="n">
        <f aca="false">AW6-AW34</f>
        <v>2.13095831848537</v>
      </c>
      <c r="AX64" s="4" t="n">
        <f aca="false">AX6-AX34</f>
        <v>0.475828349212914</v>
      </c>
      <c r="AY64" s="4" t="n">
        <f aca="false">AY6-AY34</f>
        <v>-0.0250640807871694</v>
      </c>
      <c r="AZ64" s="4" t="n">
        <f aca="false">AZ6-AZ34</f>
        <v>-0.478507398721441</v>
      </c>
      <c r="BA64" s="4" t="n">
        <f aca="false">BA6-BA34</f>
        <v>0</v>
      </c>
      <c r="BB64" s="4" t="n">
        <f aca="false">BB6-BB34</f>
        <v>0.171919023990382</v>
      </c>
      <c r="BC64" s="4" t="n">
        <f aca="false">BC6-BC34</f>
        <v>0.134119891475959</v>
      </c>
      <c r="BD64" s="4" t="n">
        <f aca="false">BD6-BD34</f>
        <v>0.0506644258939423</v>
      </c>
      <c r="BE64" s="4" t="n">
        <f aca="false">BE6-BE34</f>
        <v>0.0558829495995319</v>
      </c>
      <c r="BF64" s="4" t="n">
        <f aca="false">BF6-BF34</f>
        <v>17.5703366623666</v>
      </c>
      <c r="BG64" s="4" t="n">
        <f aca="false">BG6-BG34</f>
        <v>3.26769047281206</v>
      </c>
      <c r="BH64" s="4" t="n">
        <f aca="false">BH6-BH34</f>
        <v>-0.553686614624411</v>
      </c>
      <c r="BI64" s="4" t="n">
        <f aca="false">BI6-BI34</f>
        <v>258.484047523403</v>
      </c>
      <c r="BJ64" s="4" t="n">
        <f aca="false">BJ6-BJ34</f>
        <v>1243.72779429579</v>
      </c>
      <c r="BK64" s="4" t="n">
        <f aca="false">BK6-BK34</f>
        <v>129.242023761701</v>
      </c>
      <c r="BL64" s="4" t="n">
        <f aca="false">BL6-BL34</f>
        <v>42.1013013142776</v>
      </c>
      <c r="BM64" s="4" t="n">
        <f aca="false">BM6-BM34</f>
        <v>42.149902889312</v>
      </c>
      <c r="BN64" s="4" t="n">
        <f aca="false">BN6-BN34</f>
        <v>0</v>
      </c>
      <c r="BO64" s="4" t="n">
        <f aca="false">BO6-BO34</f>
        <v>-55.9164236163827</v>
      </c>
      <c r="BP64" s="4" t="n">
        <f aca="false">BP6-BP34</f>
        <v>-31.6763128101461</v>
      </c>
      <c r="BQ64" s="4" t="n">
        <f aca="false">BQ6-BQ34</f>
        <v>0</v>
      </c>
      <c r="BR64" s="4" t="n">
        <f aca="false">BR6-BR34</f>
        <v>-1.863880737447</v>
      </c>
      <c r="BS64" s="4" t="n">
        <f aca="false">BS6-BS34</f>
        <v>-0.18638784899887</v>
      </c>
      <c r="BT64" s="4" t="n">
        <f aca="false">BT6-BT34</f>
        <v>0</v>
      </c>
      <c r="BU64" s="4" t="n">
        <f aca="false">BU6-BU34</f>
        <v>0</v>
      </c>
      <c r="BV64" s="4" t="n">
        <f aca="false">BV6-BV34</f>
        <v>0</v>
      </c>
      <c r="BW64" s="4" t="n">
        <f aca="false">BW6-BW34</f>
        <v>0</v>
      </c>
      <c r="BX64" s="4" t="n">
        <f aca="false">BX6-BX34</f>
        <v>3.35230385148377</v>
      </c>
      <c r="BY64" s="4" t="n">
        <f aca="false">BY6-BY34</f>
        <v>14.0707346867171</v>
      </c>
      <c r="BZ64" s="4" t="n">
        <f aca="false">BZ6-BZ34</f>
        <v>0.250122412493008</v>
      </c>
      <c r="CA64" s="4" t="n">
        <f aca="false">CA6-CA34</f>
        <v>0.0434595389435926</v>
      </c>
      <c r="CB64" s="4" t="n">
        <f aca="false">CB6-CB34</f>
        <v>583.462487947537</v>
      </c>
      <c r="CC64" s="4" t="n">
        <f aca="false">CC6-CC34</f>
        <v>374.02328632333</v>
      </c>
      <c r="CD64" s="4" t="n">
        <f aca="false">CD6-CD34</f>
        <v>0</v>
      </c>
      <c r="CE64" s="4" t="n">
        <f aca="false">CE6-CE34</f>
        <v>22.3477344240928</v>
      </c>
      <c r="CF64" s="4" t="n">
        <f aca="false">CF6-CF34</f>
        <v>435.96839414144</v>
      </c>
      <c r="CG64" s="4" t="n">
        <f aca="false">CG6-CG34</f>
        <v>-0.0323808973916436</v>
      </c>
      <c r="CH64" s="4" t="n">
        <f aca="false">CH6-CH34</f>
        <v>-0.053494216374822</v>
      </c>
      <c r="CI64" s="4" t="n">
        <f aca="false">CI6-CI34</f>
        <v>0.141911346332187</v>
      </c>
      <c r="CJ64" s="4" t="n">
        <f aca="false">CJ6-CJ34</f>
        <v>0.050302437448538</v>
      </c>
      <c r="CK64" s="4" t="n">
        <f aca="false">CK6-CK34</f>
        <v>6.47834610412449</v>
      </c>
      <c r="CL64" s="7" t="s">
        <v>322</v>
      </c>
    </row>
    <row r="65" customFormat="false" ht="12.8" hidden="false" customHeight="false" outlineLevel="0" collapsed="false">
      <c r="A65" s="4" t="s">
        <v>139</v>
      </c>
      <c r="B65" s="7" t="s">
        <v>39</v>
      </c>
      <c r="C65" s="4" t="n">
        <f aca="false">C7-C35</f>
        <v>-0.00558765637011983</v>
      </c>
      <c r="D65" s="4" t="n">
        <f aca="false">D7-D35</f>
        <v>-473.912204011339</v>
      </c>
      <c r="E65" s="4" t="n">
        <f aca="false">E7-E35</f>
        <v>-28.9272371551964</v>
      </c>
      <c r="F65" s="4" t="n">
        <f aca="false">F7-F35</f>
        <v>0</v>
      </c>
      <c r="G65" s="4" t="n">
        <f aca="false">G7-G35</f>
        <v>-29.0182731106706</v>
      </c>
      <c r="H65" s="4" t="n">
        <f aca="false">H7-H35</f>
        <v>0</v>
      </c>
      <c r="I65" s="4" t="n">
        <f aca="false">I7-I35</f>
        <v>0.629748530091266</v>
      </c>
      <c r="J65" s="4" t="n">
        <f aca="false">J7-J35</f>
        <v>1.18758463364505</v>
      </c>
      <c r="K65" s="4" t="n">
        <f aca="false">K7-K35</f>
        <v>0</v>
      </c>
      <c r="L65" s="4" t="n">
        <f aca="false">L7-L35</f>
        <v>0</v>
      </c>
      <c r="M65" s="4" t="n">
        <f aca="false">M7-M35</f>
        <v>0</v>
      </c>
      <c r="N65" s="4" t="n">
        <f aca="false">N7-N35</f>
        <v>-40.0685909995527</v>
      </c>
      <c r="O65" s="4" t="n">
        <f aca="false">O7-O35</f>
        <v>0</v>
      </c>
      <c r="P65" s="4" t="n">
        <f aca="false">P7-P35</f>
        <v>0</v>
      </c>
      <c r="Q65" s="4" t="n">
        <f aca="false">Q7-Q35</f>
        <v>-2.65819019839422</v>
      </c>
      <c r="R65" s="4" t="n">
        <f aca="false">R7-R35</f>
        <v>-91.1887769277351</v>
      </c>
      <c r="S65" s="4" t="n">
        <f aca="false">S7-S35</f>
        <v>0</v>
      </c>
      <c r="T65" s="4" t="n">
        <f aca="false">T7-T35</f>
        <v>0</v>
      </c>
      <c r="U65" s="4" t="n">
        <f aca="false">U7-U35</f>
        <v>0</v>
      </c>
      <c r="V65" s="4" t="n">
        <f aca="false">V7-V35</f>
        <v>2.32504870119414</v>
      </c>
      <c r="W65" s="4" t="n">
        <f aca="false">W7-W35</f>
        <v>-181.067186121788</v>
      </c>
      <c r="X65" s="4" t="n">
        <f aca="false">X7-X35</f>
        <v>-94.49874300871</v>
      </c>
      <c r="Y65" s="4" t="n">
        <f aca="false">Y7-Y35</f>
        <v>0</v>
      </c>
      <c r="Z65" s="4" t="n">
        <f aca="false">Z7-Z35</f>
        <v>-1.39200587640293</v>
      </c>
      <c r="AA65" s="4" t="n">
        <f aca="false">AA7-AA35</f>
        <v>-0.430158583678313</v>
      </c>
      <c r="AB65" s="4" t="n">
        <f aca="false">AB7-AB35</f>
        <v>-2.26956769682219</v>
      </c>
      <c r="AC65" s="4" t="n">
        <f aca="false">AC7-AC35</f>
        <v>0.559570990295554</v>
      </c>
      <c r="AD65" s="4" t="n">
        <f aca="false">AD7-AD35</f>
        <v>-0.371552430057569</v>
      </c>
      <c r="AE65" s="4" t="n">
        <f aca="false">AE7-AE35</f>
        <v>-0.874765742466536</v>
      </c>
      <c r="AF65" s="4" t="n">
        <f aca="false">AF7-AF35</f>
        <v>-0.0161643365652701</v>
      </c>
      <c r="AG65" s="4" t="n">
        <f aca="false">AG7-AG35</f>
        <v>-1.08650768941574</v>
      </c>
      <c r="AH65" s="4" t="n">
        <f aca="false">AH7-AH35</f>
        <v>-0.414873364852243</v>
      </c>
      <c r="AI65" s="4" t="n">
        <f aca="false">AI7-AI35</f>
        <v>-0.220086512400132</v>
      </c>
      <c r="AJ65" s="4" t="n">
        <f aca="false">AJ7-AJ35</f>
        <v>-0.41512647825274</v>
      </c>
      <c r="AK65" s="4" t="n">
        <f aca="false">AK7-AK35</f>
        <v>0.0384879720400807</v>
      </c>
      <c r="AL65" s="4" t="n">
        <f aca="false">AL7-AL35</f>
        <v>-0.136376292811587</v>
      </c>
      <c r="AM65" s="4" t="n">
        <f aca="false">AM7-AM35</f>
        <v>-0.670778907330972</v>
      </c>
      <c r="AN65" s="4" t="n">
        <f aca="false">AN7-AN35</f>
        <v>-0.0282799662289113</v>
      </c>
      <c r="AO65" s="4" t="n">
        <f aca="false">AO7-AO35</f>
        <v>-0.337928904943762</v>
      </c>
      <c r="AP65" s="4" t="n">
        <f aca="false">AP7-AP35</f>
        <v>-0.456716111406774</v>
      </c>
      <c r="AQ65" s="4" t="n">
        <f aca="false">AQ7-AQ35</f>
        <v>-0.00592503934680022</v>
      </c>
      <c r="AR65" s="4" t="n">
        <f aca="false">AR7-AR35</f>
        <v>-0.0251841246528379</v>
      </c>
      <c r="AS65" s="4" t="n">
        <f aca="false">AS7-AS35</f>
        <v>-0.208181707919421</v>
      </c>
      <c r="AT65" s="4" t="n">
        <f aca="false">AT7-AT35</f>
        <v>-0.0215838316478755</v>
      </c>
      <c r="AU65" s="4" t="n">
        <f aca="false">AU7-AU35</f>
        <v>-2.07377102365176</v>
      </c>
      <c r="AV65" s="4" t="n">
        <f aca="false">AV7-AV35</f>
        <v>-0.0931544707280675</v>
      </c>
      <c r="AW65" s="4" t="n">
        <f aca="false">AW7-AW35</f>
        <v>0.297636890630771</v>
      </c>
      <c r="AX65" s="4" t="n">
        <f aca="false">AX7-AX35</f>
        <v>0.0290283867220986</v>
      </c>
      <c r="AY65" s="4" t="n">
        <f aca="false">AY7-AY35</f>
        <v>0.0068134535677934</v>
      </c>
      <c r="AZ65" s="4" t="n">
        <f aca="false">AZ7-AZ35</f>
        <v>-0.0152813226126062</v>
      </c>
      <c r="BA65" s="4" t="n">
        <f aca="false">BA7-BA35</f>
        <v>0</v>
      </c>
      <c r="BB65" s="4" t="n">
        <f aca="false">BB7-BB35</f>
        <v>-0.117326457694833</v>
      </c>
      <c r="BC65" s="4" t="n">
        <f aca="false">BC7-BC35</f>
        <v>-0.154466728042654</v>
      </c>
      <c r="BD65" s="4" t="n">
        <f aca="false">BD7-BD35</f>
        <v>-0.0415305730777214</v>
      </c>
      <c r="BE65" s="4" t="n">
        <f aca="false">BE7-BE35</f>
        <v>-0.03427678051904</v>
      </c>
      <c r="BF65" s="4" t="n">
        <f aca="false">BF7-BF35</f>
        <v>-0.29632479672512</v>
      </c>
      <c r="BG65" s="4" t="n">
        <f aca="false">BG7-BG35</f>
        <v>-0.872728785772878</v>
      </c>
      <c r="BH65" s="4" t="n">
        <f aca="false">BH7-BH35</f>
        <v>-0.00172081718843177</v>
      </c>
      <c r="BI65" s="4" t="n">
        <f aca="false">BI7-BI35</f>
        <v>-7.14963601301772</v>
      </c>
      <c r="BJ65" s="4" t="n">
        <f aca="false">BJ7-BJ35</f>
        <v>-142.719126111351</v>
      </c>
      <c r="BK65" s="4" t="n">
        <f aca="false">BK7-BK35</f>
        <v>-3.57481800650886</v>
      </c>
      <c r="BL65" s="4" t="n">
        <f aca="false">BL7-BL35</f>
        <v>-286.379084488258</v>
      </c>
      <c r="BM65" s="4" t="n">
        <f aca="false">BM7-BM35</f>
        <v>-26.6568905845009</v>
      </c>
      <c r="BN65" s="4" t="n">
        <f aca="false">BN7-BN35</f>
        <v>0</v>
      </c>
      <c r="BO65" s="4" t="n">
        <f aca="false">BO7-BO35</f>
        <v>0.490909225969268</v>
      </c>
      <c r="BP65" s="4" t="n">
        <f aca="false">BP7-BP35</f>
        <v>0.884406761613261</v>
      </c>
      <c r="BQ65" s="4" t="n">
        <f aca="false">BQ7-BQ35</f>
        <v>0</v>
      </c>
      <c r="BR65" s="4" t="n">
        <f aca="false">BR7-BR35</f>
        <v>0.0163636343895751</v>
      </c>
      <c r="BS65" s="4" t="n">
        <f aca="false">BS7-BS35</f>
        <v>0.00163636164373781</v>
      </c>
      <c r="BT65" s="4" t="n">
        <f aca="false">BT7-BT35</f>
        <v>0</v>
      </c>
      <c r="BU65" s="4" t="n">
        <f aca="false">BU7-BU35</f>
        <v>0</v>
      </c>
      <c r="BV65" s="4" t="n">
        <f aca="false">BV7-BV35</f>
        <v>0</v>
      </c>
      <c r="BW65" s="4" t="n">
        <f aca="false">BW7-BW35</f>
        <v>0</v>
      </c>
      <c r="BX65" s="4" t="n">
        <f aca="false">BX7-BX35</f>
        <v>-1.59702361590183</v>
      </c>
      <c r="BY65" s="4" t="n">
        <f aca="false">BY7-BY35</f>
        <v>-40.7064131911378</v>
      </c>
      <c r="BZ65" s="4" t="n">
        <f aca="false">BZ7-BZ35</f>
        <v>-0.189884602686353</v>
      </c>
      <c r="CA65" s="4" t="n">
        <f aca="false">CA7-CA35</f>
        <v>-0.0784685904699816</v>
      </c>
      <c r="CB65" s="4" t="n">
        <f aca="false">CB7-CB35</f>
        <v>-61.6829788653853</v>
      </c>
      <c r="CC65" s="4" t="n">
        <f aca="false">CC7-CC35</f>
        <v>-332.824561960873</v>
      </c>
      <c r="CD65" s="4" t="n">
        <f aca="false">CD7-CD35</f>
        <v>0</v>
      </c>
      <c r="CE65" s="4" t="n">
        <f aca="false">CE7-CE35</f>
        <v>-0.0671895875979328</v>
      </c>
      <c r="CF65" s="4" t="n">
        <f aca="false">CF7-CF35</f>
        <v>-383.32144235533</v>
      </c>
      <c r="CG65" s="4" t="n">
        <f aca="false">CG7-CG35</f>
        <v>1.01169827575255</v>
      </c>
      <c r="CH65" s="4" t="n">
        <f aca="false">CH7-CH35</f>
        <v>1.66571710306168</v>
      </c>
      <c r="CI65" s="4" t="n">
        <f aca="false">CI7-CI35</f>
        <v>-0.0413863468774429</v>
      </c>
      <c r="CJ65" s="4" t="n">
        <f aca="false">CJ7-CJ35</f>
        <v>-0.00211187052768586</v>
      </c>
      <c r="CK65" s="4" t="n">
        <f aca="false">CK7-CK35</f>
        <v>-0.584760411958543</v>
      </c>
      <c r="CL65" s="7" t="s">
        <v>322</v>
      </c>
    </row>
    <row r="66" customFormat="false" ht="12.8" hidden="false" customHeight="false" outlineLevel="0" collapsed="false">
      <c r="A66" s="4" t="s">
        <v>140</v>
      </c>
      <c r="B66" s="7" t="s">
        <v>39</v>
      </c>
      <c r="C66" s="4" t="n">
        <f aca="false">C8-C36</f>
        <v>0.00147975935985096</v>
      </c>
      <c r="D66" s="4" t="n">
        <f aca="false">D8-D36</f>
        <v>408.821560089183</v>
      </c>
      <c r="E66" s="4" t="n">
        <f aca="false">E8-E36</f>
        <v>-13.4406089259384</v>
      </c>
      <c r="F66" s="4" t="n">
        <f aca="false">F8-F36</f>
        <v>0</v>
      </c>
      <c r="G66" s="4" t="n">
        <f aca="false">G8-G36</f>
        <v>63.4562951022847</v>
      </c>
      <c r="H66" s="4" t="n">
        <f aca="false">H8-H36</f>
        <v>0</v>
      </c>
      <c r="I66" s="4" t="n">
        <f aca="false">I8-I36</f>
        <v>0.987730493115224</v>
      </c>
      <c r="J66" s="4" t="n">
        <f aca="false">J8-J36</f>
        <v>0.971697083795198</v>
      </c>
      <c r="K66" s="4" t="n">
        <f aca="false">K8-K36</f>
        <v>0</v>
      </c>
      <c r="L66" s="4" t="n">
        <f aca="false">L8-L36</f>
        <v>0</v>
      </c>
      <c r="M66" s="4" t="n">
        <f aca="false">M8-M36</f>
        <v>0</v>
      </c>
      <c r="N66" s="4" t="n">
        <f aca="false">N8-N36</f>
        <v>85.9003137211932</v>
      </c>
      <c r="O66" s="4" t="n">
        <f aca="false">O8-O36</f>
        <v>0</v>
      </c>
      <c r="P66" s="4" t="n">
        <f aca="false">P8-P36</f>
        <v>0</v>
      </c>
      <c r="Q66" s="4" t="n">
        <f aca="false">Q8-Q36</f>
        <v>-0.546472309081501</v>
      </c>
      <c r="R66" s="4" t="n">
        <f aca="false">R8-R36</f>
        <v>10.406124823789</v>
      </c>
      <c r="S66" s="4" t="n">
        <f aca="false">S8-S36</f>
        <v>0</v>
      </c>
      <c r="T66" s="4" t="n">
        <f aca="false">T8-T36</f>
        <v>0</v>
      </c>
      <c r="U66" s="4" t="n">
        <f aca="false">U8-U36</f>
        <v>0</v>
      </c>
      <c r="V66" s="4" t="n">
        <f aca="false">V8-V36</f>
        <v>-0.549476278836039</v>
      </c>
      <c r="W66" s="4" t="n">
        <f aca="false">W8-W36</f>
        <v>79.6168891228844</v>
      </c>
      <c r="X66" s="4" t="n">
        <f aca="false">X8-X36</f>
        <v>-245.506293119909</v>
      </c>
      <c r="Y66" s="4" t="n">
        <f aca="false">Y8-Y36</f>
        <v>0</v>
      </c>
      <c r="Z66" s="4" t="n">
        <f aca="false">Z8-Z36</f>
        <v>7.28729131417922</v>
      </c>
      <c r="AA66" s="4" t="n">
        <f aca="false">AA8-AA36</f>
        <v>-2.24296652669187</v>
      </c>
      <c r="AB66" s="4" t="n">
        <f aca="false">AB8-AB36</f>
        <v>-3.75452915036988</v>
      </c>
      <c r="AC66" s="4" t="n">
        <f aca="false">AC8-AC36</f>
        <v>-0.593579903876895</v>
      </c>
      <c r="AD66" s="4" t="n">
        <f aca="false">AD8-AD36</f>
        <v>-0.614656452634205</v>
      </c>
      <c r="AE66" s="4" t="n">
        <f aca="false">AE8-AE36</f>
        <v>1.2922590778339</v>
      </c>
      <c r="AF66" s="4" t="n">
        <f aca="false">AF8-AF36</f>
        <v>-0.21379835240415</v>
      </c>
      <c r="AG66" s="4" t="n">
        <f aca="false">AG8-AG36</f>
        <v>0.53961098429322</v>
      </c>
      <c r="AH66" s="4" t="n">
        <f aca="false">AH8-AH36</f>
        <v>-0.421160107252367</v>
      </c>
      <c r="AI66" s="4" t="n">
        <f aca="false">AI8-AI36</f>
        <v>-0.0181984958915858</v>
      </c>
      <c r="AJ66" s="4" t="n">
        <f aca="false">AJ8-AJ36</f>
        <v>-0.159801439345431</v>
      </c>
      <c r="AK66" s="4" t="n">
        <f aca="false">AK8-AK36</f>
        <v>0.16479573717465</v>
      </c>
      <c r="AL66" s="4" t="n">
        <f aca="false">AL8-AL36</f>
        <v>-0.217000206904535</v>
      </c>
      <c r="AM66" s="4" t="n">
        <f aca="false">AM8-AM36</f>
        <v>0.176416562723663</v>
      </c>
      <c r="AN66" s="4" t="n">
        <f aca="false">AN8-AN36</f>
        <v>0.204601904056808</v>
      </c>
      <c r="AO66" s="4" t="n">
        <f aca="false">AO8-AO36</f>
        <v>-0.558139362422382</v>
      </c>
      <c r="AP66" s="4" t="n">
        <f aca="false">AP8-AP36</f>
        <v>0.0545585888543328</v>
      </c>
      <c r="AQ66" s="4" t="n">
        <f aca="false">AQ8-AQ36</f>
        <v>0.0305015665845536</v>
      </c>
      <c r="AR66" s="4" t="n">
        <f aca="false">AR8-AR36</f>
        <v>-0.0810995378832491</v>
      </c>
      <c r="AS66" s="4" t="n">
        <f aca="false">AS8-AS36</f>
        <v>-0.00141396942205094</v>
      </c>
      <c r="AT66" s="4" t="n">
        <f aca="false">AT8-AT36</f>
        <v>-0.775032897667281</v>
      </c>
      <c r="AU66" s="4" t="n">
        <f aca="false">AU8-AU36</f>
        <v>0.638196432786832</v>
      </c>
      <c r="AV66" s="4" t="n">
        <f aca="false">AV8-AV36</f>
        <v>0.0612010756737234</v>
      </c>
      <c r="AW66" s="4" t="n">
        <f aca="false">AW8-AW36</f>
        <v>-0.342722190868455</v>
      </c>
      <c r="AX66" s="4" t="n">
        <f aca="false">AX8-AX36</f>
        <v>-0.0435289983642784</v>
      </c>
      <c r="AY66" s="4" t="n">
        <f aca="false">AY8-AY36</f>
        <v>-0.0613620035658938</v>
      </c>
      <c r="AZ66" s="4" t="n">
        <f aca="false">AZ8-AZ36</f>
        <v>-0.544753854013382</v>
      </c>
      <c r="BA66" s="4" t="n">
        <f aca="false">BA8-BA36</f>
        <v>0</v>
      </c>
      <c r="BB66" s="4" t="n">
        <f aca="false">BB8-BB36</f>
        <v>0.0545996670626046</v>
      </c>
      <c r="BC66" s="4" t="n">
        <f aca="false">BC8-BC36</f>
        <v>0.0525001562035933</v>
      </c>
      <c r="BD66" s="4" t="n">
        <f aca="false">BD8-BD36</f>
        <v>-0.0368858057824968</v>
      </c>
      <c r="BE66" s="4" t="n">
        <f aca="false">BE8-BE36</f>
        <v>0.0339405320120485</v>
      </c>
      <c r="BF66" s="4" t="n">
        <f aca="false">BF8-BF36</f>
        <v>-2.44846802956156</v>
      </c>
      <c r="BG66" s="4" t="n">
        <f aca="false">BG8-BG36</f>
        <v>-0.655690932894974</v>
      </c>
      <c r="BH66" s="4" t="n">
        <f aca="false">BH8-BH36</f>
        <v>-3.14538090787334</v>
      </c>
      <c r="BI66" s="4" t="n">
        <f aca="false">BI8-BI36</f>
        <v>-2.4317192200906</v>
      </c>
      <c r="BJ66" s="4" t="n">
        <f aca="false">BJ8-BJ36</f>
        <v>-29.1575297409821</v>
      </c>
      <c r="BK66" s="4" t="n">
        <f aca="false">BK8-BK36</f>
        <v>-1.2158596100453</v>
      </c>
      <c r="BL66" s="4" t="n">
        <f aca="false">BL8-BL36</f>
        <v>-46.5541842487329</v>
      </c>
      <c r="BM66" s="4" t="n">
        <f aca="false">BM8-BM36</f>
        <v>-2.2414714427917</v>
      </c>
      <c r="BN66" s="4" t="n">
        <f aca="false">BN8-BN36</f>
        <v>0</v>
      </c>
      <c r="BO66" s="4" t="n">
        <f aca="false">BO8-BO36</f>
        <v>-7.9724105050069</v>
      </c>
      <c r="BP66" s="4" t="n">
        <f aca="false">BP8-BP36</f>
        <v>-9.58653725868223</v>
      </c>
      <c r="BQ66" s="4" t="n">
        <f aca="false">BQ8-BQ36</f>
        <v>0</v>
      </c>
      <c r="BR66" s="4" t="n">
        <f aca="false">BR8-BR36</f>
        <v>-0.265746960999378</v>
      </c>
      <c r="BS66" s="4" t="n">
        <f aca="false">BS8-BS36</f>
        <v>-0.0265746722163988</v>
      </c>
      <c r="BT66" s="4" t="n">
        <f aca="false">BT8-BT36</f>
        <v>0</v>
      </c>
      <c r="BU66" s="4" t="n">
        <f aca="false">BU8-BU36</f>
        <v>0</v>
      </c>
      <c r="BV66" s="4" t="n">
        <f aca="false">BV8-BV36</f>
        <v>0</v>
      </c>
      <c r="BW66" s="4" t="n">
        <f aca="false">BW8-BW36</f>
        <v>0</v>
      </c>
      <c r="BX66" s="4" t="n">
        <f aca="false">BX8-BX36</f>
        <v>-0.412762100474242</v>
      </c>
      <c r="BY66" s="4" t="n">
        <f aca="false">BY8-BY36</f>
        <v>-6.03016255545797</v>
      </c>
      <c r="BZ66" s="4" t="n">
        <f aca="false">BZ8-BZ36</f>
        <v>-0.0308588817468217</v>
      </c>
      <c r="CA66" s="4" t="n">
        <f aca="false">CA8-CA36</f>
        <v>-0.0014228945908222</v>
      </c>
      <c r="CB66" s="4" t="n">
        <f aca="false">CB8-CB36</f>
        <v>-30.6786998073757</v>
      </c>
      <c r="CC66" s="4" t="n">
        <f aca="false">CC8-CC36</f>
        <v>-16.5601569536798</v>
      </c>
      <c r="CD66" s="4" t="n">
        <f aca="false">CD8-CD36</f>
        <v>0</v>
      </c>
      <c r="CE66" s="4" t="n">
        <f aca="false">CE8-CE36</f>
        <v>-0.45138547454645</v>
      </c>
      <c r="CF66" s="4" t="n">
        <f aca="false">CF8-CF36</f>
        <v>-44.3942810812041</v>
      </c>
      <c r="CG66" s="4" t="n">
        <f aca="false">CG8-CG36</f>
        <v>-1.38065323979693</v>
      </c>
      <c r="CH66" s="4" t="n">
        <f aca="false">CH8-CH36</f>
        <v>-0.106767526759554</v>
      </c>
      <c r="CI66" s="4" t="n">
        <f aca="false">CI8-CI36</f>
        <v>-0.0145731492496017</v>
      </c>
      <c r="CJ66" s="4" t="n">
        <f aca="false">CJ8-CJ36</f>
        <v>-0.000800312362881616</v>
      </c>
      <c r="CK66" s="4" t="n">
        <f aca="false">CK8-CK36</f>
        <v>-0.509316912658875</v>
      </c>
      <c r="CL66" s="7" t="s">
        <v>322</v>
      </c>
    </row>
    <row r="67" customFormat="false" ht="12.8" hidden="false" customHeight="false" outlineLevel="0" collapsed="false">
      <c r="A67" s="4" t="s">
        <v>141</v>
      </c>
      <c r="B67" s="7" t="s">
        <v>39</v>
      </c>
      <c r="C67" s="4" t="n">
        <f aca="false">C9-C37</f>
        <v>-0.00393142360360355</v>
      </c>
      <c r="D67" s="4" t="n">
        <f aca="false">D9-D37</f>
        <v>-140.128348355802</v>
      </c>
      <c r="E67" s="4" t="n">
        <f aca="false">E9-E37</f>
        <v>-54.3513449668946</v>
      </c>
      <c r="F67" s="4" t="n">
        <f aca="false">F9-F37</f>
        <v>0</v>
      </c>
      <c r="G67" s="4" t="n">
        <f aca="false">G9-G37</f>
        <v>-8.28968529621923</v>
      </c>
      <c r="H67" s="4" t="n">
        <f aca="false">H9-H37</f>
        <v>0</v>
      </c>
      <c r="I67" s="4" t="n">
        <f aca="false">I9-I37</f>
        <v>1.22440274395982</v>
      </c>
      <c r="J67" s="4" t="n">
        <f aca="false">J9-J37</f>
        <v>1.16180282955028</v>
      </c>
      <c r="K67" s="4" t="n">
        <f aca="false">K9-K37</f>
        <v>0</v>
      </c>
      <c r="L67" s="4" t="n">
        <f aca="false">L9-L37</f>
        <v>0</v>
      </c>
      <c r="M67" s="4" t="n">
        <f aca="false">M9-M37</f>
        <v>0</v>
      </c>
      <c r="N67" s="4" t="n">
        <f aca="false">N9-N37</f>
        <v>-26.6428727241878</v>
      </c>
      <c r="O67" s="4" t="n">
        <f aca="false">O9-O37</f>
        <v>0</v>
      </c>
      <c r="P67" s="4" t="n">
        <f aca="false">P9-P37</f>
        <v>0</v>
      </c>
      <c r="Q67" s="4" t="n">
        <f aca="false">Q9-Q37</f>
        <v>-1.21628247545044</v>
      </c>
      <c r="R67" s="4" t="n">
        <f aca="false">R9-R37</f>
        <v>-18.4206743160379</v>
      </c>
      <c r="S67" s="4" t="n">
        <f aca="false">S9-S37</f>
        <v>0</v>
      </c>
      <c r="T67" s="4" t="n">
        <f aca="false">T9-T37</f>
        <v>0</v>
      </c>
      <c r="U67" s="4" t="n">
        <f aca="false">U9-U37</f>
        <v>0</v>
      </c>
      <c r="V67" s="4" t="n">
        <f aca="false">V9-V37</f>
        <v>-58.489826224778</v>
      </c>
      <c r="W67" s="4" t="n">
        <f aca="false">W9-W37</f>
        <v>-290.587531098209</v>
      </c>
      <c r="X67" s="4" t="n">
        <f aca="false">X9-X37</f>
        <v>498.762626443326</v>
      </c>
      <c r="Y67" s="4" t="n">
        <f aca="false">Y9-Y37</f>
        <v>0</v>
      </c>
      <c r="Z67" s="4" t="n">
        <f aca="false">Z9-Z37</f>
        <v>17.3909580459072</v>
      </c>
      <c r="AA67" s="4" t="n">
        <f aca="false">AA9-AA37</f>
        <v>-1.46067867041978</v>
      </c>
      <c r="AB67" s="4" t="n">
        <f aca="false">AB9-AB37</f>
        <v>-3.59156792909728</v>
      </c>
      <c r="AC67" s="4" t="n">
        <f aca="false">AC9-AC37</f>
        <v>0.475799037869548</v>
      </c>
      <c r="AD67" s="4" t="n">
        <f aca="false">AD9-AD37</f>
        <v>-0.587977963222426</v>
      </c>
      <c r="AE67" s="4" t="n">
        <f aca="false">AE9-AE37</f>
        <v>-1.21425164097873</v>
      </c>
      <c r="AF67" s="4" t="n">
        <f aca="false">AF9-AF37</f>
        <v>0.036238251016482</v>
      </c>
      <c r="AG67" s="4" t="n">
        <f aca="false">AG9-AG37</f>
        <v>-0.697943192983644</v>
      </c>
      <c r="AH67" s="4" t="n">
        <f aca="false">AH9-AH37</f>
        <v>-1.40334926043262</v>
      </c>
      <c r="AI67" s="4" t="n">
        <f aca="false">AI9-AI37</f>
        <v>0.0363115535314402</v>
      </c>
      <c r="AJ67" s="4" t="n">
        <f aca="false">AJ9-AJ37</f>
        <v>0.0775592146431756</v>
      </c>
      <c r="AK67" s="4" t="n">
        <f aca="false">AK9-AK37</f>
        <v>0.0661883452970919</v>
      </c>
      <c r="AL67" s="4" t="n">
        <f aca="false">AL9-AL37</f>
        <v>0.0526538096001295</v>
      </c>
      <c r="AM67" s="4" t="n">
        <f aca="false">AM9-AM37</f>
        <v>-0.872690049564927</v>
      </c>
      <c r="AN67" s="4" t="n">
        <f aca="false">AN9-AN37</f>
        <v>0.0638325669789082</v>
      </c>
      <c r="AO67" s="4" t="n">
        <f aca="false">AO9-AO37</f>
        <v>0.496865727963883</v>
      </c>
      <c r="AP67" s="4" t="n">
        <f aca="false">AP9-AP37</f>
        <v>-0.540964121687322</v>
      </c>
      <c r="AQ67" s="4" t="n">
        <f aca="false">AQ9-AQ37</f>
        <v>-0.0362138807385414</v>
      </c>
      <c r="AR67" s="4" t="n">
        <f aca="false">AR9-AR37</f>
        <v>-0.0369345607217415</v>
      </c>
      <c r="AS67" s="4" t="n">
        <f aca="false">AS9-AS37</f>
        <v>0.0998518322498426</v>
      </c>
      <c r="AT67" s="4" t="n">
        <f aca="false">AT9-AT37</f>
        <v>0.217443038654523</v>
      </c>
      <c r="AU67" s="4" t="n">
        <f aca="false">AU9-AU37</f>
        <v>-1.16258159937639</v>
      </c>
      <c r="AV67" s="4" t="n">
        <f aca="false">AV9-AV37</f>
        <v>-0.0263117231906365</v>
      </c>
      <c r="AW67" s="4" t="n">
        <f aca="false">AW9-AW37</f>
        <v>0.21700333186179</v>
      </c>
      <c r="AX67" s="4" t="n">
        <f aca="false">AX9-AX37</f>
        <v>-0.20781494303203</v>
      </c>
      <c r="AY67" s="4" t="n">
        <f aca="false">AY9-AY37</f>
        <v>-0.00294221568717359</v>
      </c>
      <c r="AZ67" s="4" t="n">
        <f aca="false">AZ9-AZ37</f>
        <v>-0.217846980033241</v>
      </c>
      <c r="BA67" s="4" t="n">
        <f aca="false">BA9-BA37</f>
        <v>0</v>
      </c>
      <c r="BB67" s="4" t="n">
        <f aca="false">BB9-BB37</f>
        <v>-0.00612510055598578</v>
      </c>
      <c r="BC67" s="4" t="n">
        <f aca="false">BC9-BC37</f>
        <v>0.0747181527271664</v>
      </c>
      <c r="BD67" s="4" t="n">
        <f aca="false">BD9-BD37</f>
        <v>0.00941517593645476</v>
      </c>
      <c r="BE67" s="4" t="n">
        <f aca="false">BE9-BE37</f>
        <v>0.0345385535995171</v>
      </c>
      <c r="BF67" s="4" t="n">
        <f aca="false">BF9-BF37</f>
        <v>2.91241967552446</v>
      </c>
      <c r="BG67" s="4" t="n">
        <f aca="false">BG9-BG37</f>
        <v>1.2574204968609</v>
      </c>
      <c r="BH67" s="4" t="n">
        <f aca="false">BH9-BH37</f>
        <v>2.17534270061764</v>
      </c>
      <c r="BI67" s="4" t="n">
        <f aca="false">BI9-BI37</f>
        <v>-6.56542598663152</v>
      </c>
      <c r="BJ67" s="4" t="n">
        <f aca="false">BJ9-BJ37</f>
        <v>-149.211887186317</v>
      </c>
      <c r="BK67" s="4" t="n">
        <f aca="false">BK9-BK37</f>
        <v>-3.28271299331576</v>
      </c>
      <c r="BL67" s="4" t="n">
        <f aca="false">BL9-BL37</f>
        <v>-147.286076220009</v>
      </c>
      <c r="BM67" s="4" t="n">
        <f aca="false">BM9-BM37</f>
        <v>-4.56888769864354</v>
      </c>
      <c r="BN67" s="4" t="n">
        <f aca="false">BN9-BN37</f>
        <v>0</v>
      </c>
      <c r="BO67" s="4" t="n">
        <f aca="false">BO9-BO37</f>
        <v>-6.3432020103113</v>
      </c>
      <c r="BP67" s="4" t="n">
        <f aca="false">BP9-BP37</f>
        <v>-8.71377673372049</v>
      </c>
      <c r="BQ67" s="4" t="n">
        <f aca="false">BQ9-BQ37</f>
        <v>0</v>
      </c>
      <c r="BR67" s="4" t="n">
        <f aca="false">BR9-BR37</f>
        <v>-0.211440025484783</v>
      </c>
      <c r="BS67" s="4" t="n">
        <f aca="false">BS9-BS37</f>
        <v>-0.0211439512914964</v>
      </c>
      <c r="BT67" s="4" t="n">
        <f aca="false">BT9-BT37</f>
        <v>0</v>
      </c>
      <c r="BU67" s="4" t="n">
        <f aca="false">BU9-BU37</f>
        <v>0</v>
      </c>
      <c r="BV67" s="4" t="n">
        <f aca="false">BV9-BV37</f>
        <v>0</v>
      </c>
      <c r="BW67" s="4" t="n">
        <f aca="false">BW9-BW37</f>
        <v>0</v>
      </c>
      <c r="BX67" s="4" t="n">
        <f aca="false">BX9-BX37</f>
        <v>-1.59207670499009</v>
      </c>
      <c r="BY67" s="4" t="n">
        <f aca="false">BY9-BY37</f>
        <v>-24.3002856928293</v>
      </c>
      <c r="BZ67" s="4" t="n">
        <f aca="false">BZ9-BZ37</f>
        <v>-0.142227468869155</v>
      </c>
      <c r="CA67" s="4" t="n">
        <f aca="false">CA9-CA37</f>
        <v>-0.0129219743530812</v>
      </c>
      <c r="CB67" s="4" t="n">
        <f aca="false">CB9-CB37</f>
        <v>-60.7347478994545</v>
      </c>
      <c r="CC67" s="4" t="n">
        <f aca="false">CC9-CC37</f>
        <v>-238.214358409266</v>
      </c>
      <c r="CD67" s="4" t="n">
        <f aca="false">CD9-CD37</f>
        <v>0</v>
      </c>
      <c r="CE67" s="4" t="n">
        <f aca="false">CE9-CE37</f>
        <v>-1.13133714910853</v>
      </c>
      <c r="CF67" s="4" t="n">
        <f aca="false">CF9-CF37</f>
        <v>-151.620386482544</v>
      </c>
      <c r="CG67" s="4" t="n">
        <f aca="false">CG9-CG37</f>
        <v>-0.0114497490065388</v>
      </c>
      <c r="CH67" s="4" t="n">
        <f aca="false">CH9-CH37</f>
        <v>-0.567339789476398</v>
      </c>
      <c r="CI67" s="4" t="n">
        <f aca="false">CI9-CI37</f>
        <v>-0.00920957664824852</v>
      </c>
      <c r="CJ67" s="4" t="n">
        <f aca="false">CJ9-CJ37</f>
        <v>-0.00202905150616537</v>
      </c>
      <c r="CK67" s="4" t="n">
        <f aca="false">CK9-CK37</f>
        <v>-2.22478293773515</v>
      </c>
      <c r="CL67" s="7" t="s">
        <v>322</v>
      </c>
    </row>
    <row r="68" customFormat="false" ht="12.8" hidden="false" customHeight="false" outlineLevel="0" collapsed="false">
      <c r="A68" s="4" t="s">
        <v>142</v>
      </c>
      <c r="B68" s="7" t="s">
        <v>39</v>
      </c>
      <c r="C68" s="4" t="n">
        <f aca="false">C10-C38</f>
        <v>-0.00801198247501818</v>
      </c>
      <c r="D68" s="4" t="n">
        <f aca="false">D10-D38</f>
        <v>-625.268923598463</v>
      </c>
      <c r="E68" s="4" t="n">
        <f aca="false">E10-E38</f>
        <v>-31.7237228345368</v>
      </c>
      <c r="F68" s="4" t="n">
        <f aca="false">F10-F38</f>
        <v>0</v>
      </c>
      <c r="G68" s="4" t="n">
        <f aca="false">G10-G38</f>
        <v>-2.52979860330436</v>
      </c>
      <c r="H68" s="4" t="n">
        <f aca="false">H10-H38</f>
        <v>0</v>
      </c>
      <c r="I68" s="4" t="n">
        <f aca="false">I10-I38</f>
        <v>-1.17838423303117</v>
      </c>
      <c r="J68" s="4" t="n">
        <f aca="false">J10-J38</f>
        <v>2.40760349658803</v>
      </c>
      <c r="K68" s="4" t="n">
        <f aca="false">K10-K38</f>
        <v>0</v>
      </c>
      <c r="L68" s="4" t="n">
        <f aca="false">L10-L38</f>
        <v>0</v>
      </c>
      <c r="M68" s="4" t="n">
        <f aca="false">M10-M38</f>
        <v>0</v>
      </c>
      <c r="N68" s="4" t="n">
        <f aca="false">N10-N38</f>
        <v>-84.6104842366406</v>
      </c>
      <c r="O68" s="4" t="n">
        <f aca="false">O10-O38</f>
        <v>0</v>
      </c>
      <c r="P68" s="4" t="n">
        <f aca="false">P10-P38</f>
        <v>0</v>
      </c>
      <c r="Q68" s="4" t="n">
        <f aca="false">Q10-Q38</f>
        <v>-0.191077679557058</v>
      </c>
      <c r="R68" s="4" t="n">
        <f aca="false">R10-R38</f>
        <v>-89.1385015552417</v>
      </c>
      <c r="S68" s="4" t="n">
        <f aca="false">S10-S38</f>
        <v>0</v>
      </c>
      <c r="T68" s="4" t="n">
        <f aca="false">T10-T38</f>
        <v>0</v>
      </c>
      <c r="U68" s="4" t="n">
        <f aca="false">U10-U38</f>
        <v>0</v>
      </c>
      <c r="V68" s="4" t="n">
        <f aca="false">V10-V38</f>
        <v>-48.7545487985378</v>
      </c>
      <c r="W68" s="4" t="n">
        <f aca="false">W10-W38</f>
        <v>-673.255329733882</v>
      </c>
      <c r="X68" s="4" t="n">
        <f aca="false">X10-X38</f>
        <v>-330.523864331376</v>
      </c>
      <c r="Y68" s="4" t="n">
        <f aca="false">Y10-Y38</f>
        <v>0</v>
      </c>
      <c r="Z68" s="4" t="n">
        <f aca="false">Z10-Z38</f>
        <v>-3.18066636210666</v>
      </c>
      <c r="AA68" s="4" t="n">
        <f aca="false">AA10-AA38</f>
        <v>-0.109242305582267</v>
      </c>
      <c r="AB68" s="4" t="n">
        <f aca="false">AB10-AB38</f>
        <v>-1.81709009572333</v>
      </c>
      <c r="AC68" s="4" t="n">
        <f aca="false">AC10-AC38</f>
        <v>0.916899061127615</v>
      </c>
      <c r="AD68" s="4" t="n">
        <f aca="false">AD10-AD38</f>
        <v>-0.297477022450077</v>
      </c>
      <c r="AE68" s="4" t="n">
        <f aca="false">AE10-AE38</f>
        <v>-0.280299830815017</v>
      </c>
      <c r="AF68" s="4" t="n">
        <f aca="false">AF10-AF38</f>
        <v>-0.288776873740124</v>
      </c>
      <c r="AG68" s="4" t="n">
        <f aca="false">AG10-AG38</f>
        <v>-0.06221225959667</v>
      </c>
      <c r="AH68" s="4" t="n">
        <f aca="false">AH10-AH38</f>
        <v>-0.663627417474586</v>
      </c>
      <c r="AI68" s="4" t="n">
        <f aca="false">AI10-AI38</f>
        <v>0.025382031328477</v>
      </c>
      <c r="AJ68" s="4" t="n">
        <f aca="false">AJ10-AJ38</f>
        <v>-0.662810358776885</v>
      </c>
      <c r="AK68" s="4" t="n">
        <f aca="false">AK10-AK38</f>
        <v>-0.366751227898534</v>
      </c>
      <c r="AL68" s="4" t="n">
        <f aca="false">AL10-AL38</f>
        <v>-0.184159542784224</v>
      </c>
      <c r="AM68" s="4" t="n">
        <f aca="false">AM10-AM38</f>
        <v>-0.123989352779957</v>
      </c>
      <c r="AN68" s="4" t="n">
        <f aca="false">AN10-AN38</f>
        <v>-0.0240192411225552</v>
      </c>
      <c r="AO68" s="4" t="n">
        <f aca="false">AO10-AO38</f>
        <v>-0.683195946713407</v>
      </c>
      <c r="AP68" s="4" t="n">
        <f aca="false">AP10-AP38</f>
        <v>-0.608872083961597</v>
      </c>
      <c r="AQ68" s="4" t="n">
        <f aca="false">AQ10-AQ38</f>
        <v>-0.0943949578946732</v>
      </c>
      <c r="AR68" s="4" t="n">
        <f aca="false">AR10-AR38</f>
        <v>-0.0908123997373195</v>
      </c>
      <c r="AS68" s="4" t="n">
        <f aca="false">AS10-AS38</f>
        <v>-0.0320975886831511</v>
      </c>
      <c r="AT68" s="4" t="n">
        <f aca="false">AT10-AT38</f>
        <v>-0.59914303928789</v>
      </c>
      <c r="AU68" s="4" t="n">
        <f aca="false">AU10-AU38</f>
        <v>-1.56433649976224</v>
      </c>
      <c r="AV68" s="4" t="n">
        <f aca="false">AV10-AV38</f>
        <v>-0.152154899402214</v>
      </c>
      <c r="AW68" s="4" t="n">
        <f aca="false">AW10-AW38</f>
        <v>0.492156939025366</v>
      </c>
      <c r="AX68" s="4" t="n">
        <f aca="false">AX10-AX38</f>
        <v>-0.056374426814945</v>
      </c>
      <c r="AY68" s="4" t="n">
        <f aca="false">AY10-AY38</f>
        <v>0.0212830516716834</v>
      </c>
      <c r="AZ68" s="4" t="n">
        <f aca="false">AZ10-AZ38</f>
        <v>0.0844780905559184</v>
      </c>
      <c r="BA68" s="4" t="n">
        <f aca="false">BA10-BA38</f>
        <v>0</v>
      </c>
      <c r="BB68" s="4" t="n">
        <f aca="false">BB10-BB38</f>
        <v>-0.290461575614873</v>
      </c>
      <c r="BC68" s="4" t="n">
        <f aca="false">BC10-BC38</f>
        <v>-0.0590179484155409</v>
      </c>
      <c r="BD68" s="4" t="n">
        <f aca="false">BD10-BD38</f>
        <v>-0.00284651805263481</v>
      </c>
      <c r="BE68" s="4" t="n">
        <f aca="false">BE10-BE38</f>
        <v>-0.0648952255016314</v>
      </c>
      <c r="BF68" s="4" t="n">
        <f aca="false">BF10-BF38</f>
        <v>-1.97950383288077</v>
      </c>
      <c r="BG68" s="4" t="n">
        <f aca="false">BG10-BG38</f>
        <v>-0.802757453616699</v>
      </c>
      <c r="BH68" s="4" t="n">
        <f aca="false">BH10-BH38</f>
        <v>-0.00120127942783201</v>
      </c>
      <c r="BI68" s="4" t="n">
        <f aca="false">BI10-BI38</f>
        <v>-10.1566506028859</v>
      </c>
      <c r="BJ68" s="4" t="n">
        <f aca="false">BJ10-BJ38</f>
        <v>-410.295340078496</v>
      </c>
      <c r="BK68" s="4" t="n">
        <f aca="false">BK10-BK38</f>
        <v>-5.07832530144295</v>
      </c>
      <c r="BL68" s="4" t="n">
        <f aca="false">BL10-BL38</f>
        <v>-366.601670574702</v>
      </c>
      <c r="BM68" s="4" t="n">
        <f aca="false">BM10-BM38</f>
        <v>-37.3553608472365</v>
      </c>
      <c r="BN68" s="4" t="n">
        <f aca="false">BN10-BN38</f>
        <v>0</v>
      </c>
      <c r="BO68" s="4" t="n">
        <f aca="false">BO10-BO38</f>
        <v>0.816576977721513</v>
      </c>
      <c r="BP68" s="4" t="n">
        <f aca="false">BP10-BP38</f>
        <v>1.68938292263147</v>
      </c>
      <c r="BQ68" s="4" t="n">
        <f aca="false">BQ10-BQ38</f>
        <v>0</v>
      </c>
      <c r="BR68" s="4" t="n">
        <f aca="false">BR10-BR38</f>
        <v>0.0272192236536324</v>
      </c>
      <c r="BS68" s="4" t="n">
        <f aca="false">BS10-BS38</f>
        <v>0.00272191981898044</v>
      </c>
      <c r="BT68" s="4" t="n">
        <f aca="false">BT10-BT38</f>
        <v>0</v>
      </c>
      <c r="BU68" s="4" t="n">
        <f aca="false">BU10-BU38</f>
        <v>0</v>
      </c>
      <c r="BV68" s="4" t="n">
        <f aca="false">BV10-BV38</f>
        <v>0</v>
      </c>
      <c r="BW68" s="4" t="n">
        <f aca="false">BW10-BW38</f>
        <v>0</v>
      </c>
      <c r="BX68" s="4" t="n">
        <f aca="false">BX10-BX38</f>
        <v>-0.168211497688265</v>
      </c>
      <c r="BY68" s="4" t="n">
        <f aca="false">BY10-BY38</f>
        <v>-45.7789374730336</v>
      </c>
      <c r="BZ68" s="4" t="n">
        <f aca="false">BZ10-BZ38</f>
        <v>-0.0406601179293782</v>
      </c>
      <c r="CA68" s="4" t="n">
        <f aca="false">CA10-CA38</f>
        <v>-0.0672883388699217</v>
      </c>
      <c r="CB68" s="4" t="n">
        <f aca="false">CB10-CB38</f>
        <v>-201.924006197849</v>
      </c>
      <c r="CC68" s="4" t="n">
        <f aca="false">CC10-CC38</f>
        <v>-61.911707931668</v>
      </c>
      <c r="CD68" s="4" t="n">
        <f aca="false">CD10-CD38</f>
        <v>0</v>
      </c>
      <c r="CE68" s="4" t="n">
        <f aca="false">CE10-CE38</f>
        <v>-0.301851202857778</v>
      </c>
      <c r="CF68" s="4" t="n">
        <f aca="false">CF10-CF38</f>
        <v>-680.037098689008</v>
      </c>
      <c r="CG68" s="4" t="n">
        <f aca="false">CG10-CG38</f>
        <v>2.90563307854246</v>
      </c>
      <c r="CH68" s="4" t="n">
        <f aca="false">CH10-CH38</f>
        <v>3.64109140367698</v>
      </c>
      <c r="CI68" s="4" t="n">
        <f aca="false">CI10-CI38</f>
        <v>-0.129577697248145</v>
      </c>
      <c r="CJ68" s="4" t="n">
        <f aca="false">CJ10-CJ38</f>
        <v>-0.0253714409396</v>
      </c>
      <c r="CK68" s="4" t="n">
        <f aca="false">CK10-CK38</f>
        <v>-1.95461975957323</v>
      </c>
      <c r="CL68" s="7" t="s">
        <v>322</v>
      </c>
    </row>
    <row r="69" customFormat="false" ht="12.8" hidden="false" customHeight="false" outlineLevel="0" collapsed="false">
      <c r="A69" s="4" t="s">
        <v>143</v>
      </c>
      <c r="B69" s="7" t="s">
        <v>39</v>
      </c>
      <c r="C69" s="4" t="n">
        <f aca="false">C11-C39</f>
        <v>0.0181874653721292</v>
      </c>
      <c r="D69" s="4" t="n">
        <f aca="false">D11-D39</f>
        <v>1843.39732827577</v>
      </c>
      <c r="E69" s="4" t="n">
        <f aca="false">E11-E39</f>
        <v>191.242174157864</v>
      </c>
      <c r="F69" s="4" t="n">
        <f aca="false">F11-F39</f>
        <v>0</v>
      </c>
      <c r="G69" s="4" t="n">
        <f aca="false">G11-G39</f>
        <v>328.439292042787</v>
      </c>
      <c r="H69" s="4" t="n">
        <f aca="false">H11-H39</f>
        <v>0</v>
      </c>
      <c r="I69" s="4" t="n">
        <f aca="false">I11-I39</f>
        <v>2.10344458776147</v>
      </c>
      <c r="J69" s="4" t="n">
        <f aca="false">J11-J39</f>
        <v>-0.0168992610376466</v>
      </c>
      <c r="K69" s="4" t="n">
        <f aca="false">K11-K39</f>
        <v>0</v>
      </c>
      <c r="L69" s="4" t="n">
        <f aca="false">L11-L39</f>
        <v>0</v>
      </c>
      <c r="M69" s="4" t="n">
        <f aca="false">M11-M39</f>
        <v>0</v>
      </c>
      <c r="N69" s="4" t="n">
        <f aca="false">N11-N39</f>
        <v>617.050400857705</v>
      </c>
      <c r="O69" s="4" t="n">
        <f aca="false">O11-O39</f>
        <v>0</v>
      </c>
      <c r="P69" s="4" t="n">
        <f aca="false">P11-P39</f>
        <v>0</v>
      </c>
      <c r="Q69" s="4" t="n">
        <f aca="false">Q11-Q39</f>
        <v>3.85700528758199</v>
      </c>
      <c r="R69" s="4" t="n">
        <f aca="false">R11-R39</f>
        <v>80.0170032404749</v>
      </c>
      <c r="S69" s="4" t="n">
        <f aca="false">S11-S39</f>
        <v>0</v>
      </c>
      <c r="T69" s="4" t="n">
        <f aca="false">T11-T39</f>
        <v>0</v>
      </c>
      <c r="U69" s="4" t="n">
        <f aca="false">U11-U39</f>
        <v>0</v>
      </c>
      <c r="V69" s="4" t="n">
        <f aca="false">V11-V39</f>
        <v>63.9745212758497</v>
      </c>
      <c r="W69" s="4" t="n">
        <f aca="false">W11-W39</f>
        <v>192.361770471619</v>
      </c>
      <c r="X69" s="4" t="n">
        <f aca="false">X11-X39</f>
        <v>176.064172415142</v>
      </c>
      <c r="Y69" s="4" t="n">
        <f aca="false">Y11-Y39</f>
        <v>0</v>
      </c>
      <c r="Z69" s="4" t="n">
        <f aca="false">Z11-Z39</f>
        <v>18.8640178238905</v>
      </c>
      <c r="AA69" s="4" t="n">
        <f aca="false">AA11-AA39</f>
        <v>0.761849650696469</v>
      </c>
      <c r="AB69" s="4" t="n">
        <f aca="false">AB11-AB39</f>
        <v>6.01902365317706</v>
      </c>
      <c r="AC69" s="4" t="n">
        <f aca="false">AC11-AC39</f>
        <v>-1.68975581938939</v>
      </c>
      <c r="AD69" s="4" t="n">
        <f aca="false">AD11-AD39</f>
        <v>0.985378346741219</v>
      </c>
      <c r="AE69" s="4" t="n">
        <f aca="false">AE11-AE39</f>
        <v>-0.00320001671563919</v>
      </c>
      <c r="AF69" s="4" t="n">
        <f aca="false">AF11-AF39</f>
        <v>0.393173364950322</v>
      </c>
      <c r="AG69" s="4" t="n">
        <f aca="false">AG11-AG39</f>
        <v>2.62420776718502</v>
      </c>
      <c r="AH69" s="4" t="n">
        <f aca="false">AH11-AH39</f>
        <v>0.695068255267684</v>
      </c>
      <c r="AI69" s="4" t="n">
        <f aca="false">AI11-AI39</f>
        <v>0.246610140364526</v>
      </c>
      <c r="AJ69" s="4" t="n">
        <f aca="false">AJ11-AJ39</f>
        <v>0.844676383666637</v>
      </c>
      <c r="AK69" s="4" t="n">
        <f aca="false">AK11-AK39</f>
        <v>0.148932970385464</v>
      </c>
      <c r="AL69" s="4" t="n">
        <f aca="false">AL11-AL39</f>
        <v>0.144448980318192</v>
      </c>
      <c r="AM69" s="4" t="n">
        <f aca="false">AM11-AM39</f>
        <v>1.29427242140689</v>
      </c>
      <c r="AN69" s="4" t="n">
        <f aca="false">AN11-AN39</f>
        <v>-0.220058145235421</v>
      </c>
      <c r="AO69" s="4" t="n">
        <f aca="false">AO11-AO39</f>
        <v>0.201545172604395</v>
      </c>
      <c r="AP69" s="4" t="n">
        <f aca="false">AP11-AP39</f>
        <v>1.20576038667185</v>
      </c>
      <c r="AQ69" s="4" t="n">
        <f aca="false">AQ11-AQ39</f>
        <v>0.0252658829060661</v>
      </c>
      <c r="AR69" s="4" t="n">
        <f aca="false">AR11-AR39</f>
        <v>-0.031188949440363</v>
      </c>
      <c r="AS69" s="4" t="n">
        <f aca="false">AS11-AS39</f>
        <v>0.178613821458672</v>
      </c>
      <c r="AT69" s="4" t="n">
        <f aca="false">AT11-AT39</f>
        <v>0.483466881339505</v>
      </c>
      <c r="AU69" s="4" t="n">
        <f aca="false">AU11-AU39</f>
        <v>2.40688967646511</v>
      </c>
      <c r="AV69" s="4" t="n">
        <f aca="false">AV11-AV39</f>
        <v>0.165537181578729</v>
      </c>
      <c r="AW69" s="4" t="n">
        <f aca="false">AW11-AW39</f>
        <v>-0.844290979371221</v>
      </c>
      <c r="AX69" s="4" t="n">
        <f aca="false">AX11-AX39</f>
        <v>0.125645448563871</v>
      </c>
      <c r="AY69" s="4" t="n">
        <f aca="false">AY11-AY39</f>
        <v>-0.0414422314784538</v>
      </c>
      <c r="AZ69" s="4" t="n">
        <f aca="false">AZ11-AZ39</f>
        <v>0.205329761194822</v>
      </c>
      <c r="BA69" s="4" t="n">
        <f aca="false">BA11-BA39</f>
        <v>0</v>
      </c>
      <c r="BB69" s="4" t="n">
        <f aca="false">BB11-BB39</f>
        <v>0.0019659557714099</v>
      </c>
      <c r="BC69" s="4" t="n">
        <f aca="false">BC11-BC39</f>
        <v>0.239633413665203</v>
      </c>
      <c r="BD69" s="4" t="n">
        <f aca="false">BD11-BD39</f>
        <v>0.0732975296677672</v>
      </c>
      <c r="BE69" s="4" t="n">
        <f aca="false">BE11-BE39</f>
        <v>0.0344009670763725</v>
      </c>
      <c r="BF69" s="4" t="n">
        <f aca="false">BF11-BF39</f>
        <v>3.95478493272178</v>
      </c>
      <c r="BG69" s="4" t="n">
        <f aca="false">BG11-BG39</f>
        <v>1.63456746130818</v>
      </c>
      <c r="BH69" s="4" t="n">
        <f aca="false">BH11-BH39</f>
        <v>0.767668277605999</v>
      </c>
      <c r="BI69" s="4" t="n">
        <f aca="false">BI11-BI39</f>
        <v>14.6408268721259</v>
      </c>
      <c r="BJ69" s="4" t="n">
        <f aca="false">BJ11-BJ39</f>
        <v>10.6669789721834</v>
      </c>
      <c r="BK69" s="4" t="n">
        <f aca="false">BK11-BK39</f>
        <v>7.32041343606295</v>
      </c>
      <c r="BL69" s="4" t="n">
        <f aca="false">BL11-BL39</f>
        <v>155.889469805411</v>
      </c>
      <c r="BM69" s="4" t="n">
        <f aca="false">BM11-BM39</f>
        <v>23.270701565491</v>
      </c>
      <c r="BN69" s="4" t="n">
        <f aca="false">BN11-BN39</f>
        <v>0</v>
      </c>
      <c r="BO69" s="4" t="n">
        <f aca="false">BO11-BO39</f>
        <v>-23.8889164605456</v>
      </c>
      <c r="BP69" s="4" t="n">
        <f aca="false">BP11-BP39</f>
        <v>-25.445315604342</v>
      </c>
      <c r="BQ69" s="4" t="n">
        <f aca="false">BQ11-BQ39</f>
        <v>0</v>
      </c>
      <c r="BR69" s="4" t="n">
        <f aca="false">BR11-BR39</f>
        <v>-0.796297147575311</v>
      </c>
      <c r="BS69" s="4" t="n">
        <f aca="false">BS11-BS39</f>
        <v>-0.0796296475495484</v>
      </c>
      <c r="BT69" s="4" t="n">
        <f aca="false">BT11-BT39</f>
        <v>0</v>
      </c>
      <c r="BU69" s="4" t="n">
        <f aca="false">BU11-BU39</f>
        <v>0</v>
      </c>
      <c r="BV69" s="4" t="n">
        <f aca="false">BV11-BV39</f>
        <v>0</v>
      </c>
      <c r="BW69" s="4" t="n">
        <f aca="false">BW11-BW39</f>
        <v>0</v>
      </c>
      <c r="BX69" s="4" t="n">
        <f aca="false">BX11-BX39</f>
        <v>3.0821472520477</v>
      </c>
      <c r="BY69" s="4" t="n">
        <f aca="false">BY11-BY39</f>
        <v>80.1889478878583</v>
      </c>
      <c r="BZ69" s="4" t="n">
        <f aca="false">BZ11-BZ39</f>
        <v>0.0492256219893751</v>
      </c>
      <c r="CA69" s="4" t="n">
        <f aca="false">CA11-CA39</f>
        <v>0.0130411279098671</v>
      </c>
      <c r="CB69" s="4" t="n">
        <f aca="false">CB11-CB39</f>
        <v>273.238640479415</v>
      </c>
      <c r="CC69" s="4" t="n">
        <f aca="false">CC11-CC39</f>
        <v>64.3337673430152</v>
      </c>
      <c r="CD69" s="4" t="n">
        <f aca="false">CD11-CD39</f>
        <v>0</v>
      </c>
      <c r="CE69" s="4" t="n">
        <f aca="false">CE11-CE39</f>
        <v>0.379363907938171</v>
      </c>
      <c r="CF69" s="4" t="n">
        <f aca="false">CF11-CF39</f>
        <v>90.8345506891077</v>
      </c>
      <c r="CG69" s="4" t="n">
        <f aca="false">CG11-CG39</f>
        <v>-2.30876683417724</v>
      </c>
      <c r="CH69" s="4" t="n">
        <f aca="false">CH11-CH39</f>
        <v>-0.332350019202579</v>
      </c>
      <c r="CI69" s="4" t="n">
        <f aca="false">CI11-CI39</f>
        <v>0.0414194343596031</v>
      </c>
      <c r="CJ69" s="4" t="n">
        <f aca="false">CJ11-CJ39</f>
        <v>0.0217324461347953</v>
      </c>
      <c r="CK69" s="4" t="n">
        <f aca="false">CK11-CK39</f>
        <v>0.464798327891671</v>
      </c>
      <c r="CL69" s="7" t="s">
        <v>322</v>
      </c>
    </row>
    <row r="70" customFormat="false" ht="12.8" hidden="false" customHeight="false" outlineLevel="0" collapsed="false">
      <c r="A70" s="4" t="s">
        <v>144</v>
      </c>
      <c r="B70" s="7" t="s">
        <v>39</v>
      </c>
      <c r="C70" s="4" t="n">
        <f aca="false">C12-C40</f>
        <v>-0.00792079739936149</v>
      </c>
      <c r="D70" s="4" t="n">
        <f aca="false">D12-D40</f>
        <v>-656.290991349496</v>
      </c>
      <c r="E70" s="4" t="n">
        <f aca="false">E12-E40</f>
        <v>-29.2197167089279</v>
      </c>
      <c r="F70" s="4" t="n">
        <f aca="false">F12-F40</f>
        <v>0</v>
      </c>
      <c r="G70" s="4" t="n">
        <f aca="false">G12-G40</f>
        <v>-89.5831722988663</v>
      </c>
      <c r="H70" s="4" t="n">
        <f aca="false">H12-H40</f>
        <v>0</v>
      </c>
      <c r="I70" s="4" t="n">
        <f aca="false">I12-I40</f>
        <v>0.94772102804761</v>
      </c>
      <c r="J70" s="4" t="n">
        <f aca="false">J12-J40</f>
        <v>-0.17391545192339</v>
      </c>
      <c r="K70" s="4" t="n">
        <f aca="false">K12-K40</f>
        <v>0</v>
      </c>
      <c r="L70" s="4" t="n">
        <f aca="false">L12-L40</f>
        <v>0</v>
      </c>
      <c r="M70" s="4" t="n">
        <f aca="false">M12-M40</f>
        <v>0</v>
      </c>
      <c r="N70" s="4" t="n">
        <f aca="false">N12-N40</f>
        <v>-100.000535908562</v>
      </c>
      <c r="O70" s="4" t="n">
        <f aca="false">O12-O40</f>
        <v>0</v>
      </c>
      <c r="P70" s="4" t="n">
        <f aca="false">P12-P40</f>
        <v>0</v>
      </c>
      <c r="Q70" s="4" t="n">
        <f aca="false">Q12-Q40</f>
        <v>-5.28462389978795</v>
      </c>
      <c r="R70" s="4" t="n">
        <f aca="false">R12-R40</f>
        <v>-83.0719116247869</v>
      </c>
      <c r="S70" s="4" t="n">
        <f aca="false">S12-S40</f>
        <v>0</v>
      </c>
      <c r="T70" s="4" t="n">
        <f aca="false">T12-T40</f>
        <v>0</v>
      </c>
      <c r="U70" s="4" t="n">
        <f aca="false">U12-U40</f>
        <v>0</v>
      </c>
      <c r="V70" s="4" t="n">
        <f aca="false">V12-V40</f>
        <v>-155.4818004998</v>
      </c>
      <c r="W70" s="4" t="n">
        <f aca="false">W12-W40</f>
        <v>-648.014916112284</v>
      </c>
      <c r="X70" s="4" t="n">
        <f aca="false">X12-X40</f>
        <v>-792.456739559893</v>
      </c>
      <c r="Y70" s="4" t="n">
        <f aca="false">Y12-Y40</f>
        <v>0</v>
      </c>
      <c r="Z70" s="4" t="n">
        <f aca="false">Z12-Z40</f>
        <v>-3.93984964738266</v>
      </c>
      <c r="AA70" s="4" t="n">
        <f aca="false">AA12-AA40</f>
        <v>-0.186401878007022</v>
      </c>
      <c r="AB70" s="4" t="n">
        <f aca="false">AB12-AB40</f>
        <v>-1.22171849241759</v>
      </c>
      <c r="AC70" s="4" t="n">
        <f aca="false">AC12-AC40</f>
        <v>0.930924346973199</v>
      </c>
      <c r="AD70" s="4" t="n">
        <f aca="false">AD12-AD40</f>
        <v>-0.200008343148174</v>
      </c>
      <c r="AE70" s="4" t="n">
        <f aca="false">AE12-AE40</f>
        <v>-0.272126374441398</v>
      </c>
      <c r="AF70" s="4" t="n">
        <f aca="false">AF12-AF40</f>
        <v>-0.550463042091821</v>
      </c>
      <c r="AG70" s="4" t="n">
        <f aca="false">AG12-AG40</f>
        <v>-0.185701327233557</v>
      </c>
      <c r="AH70" s="4" t="n">
        <f aca="false">AH12-AH40</f>
        <v>0.195276674677784</v>
      </c>
      <c r="AI70" s="4" t="n">
        <f aca="false">AI12-AI40</f>
        <v>-0.215212833533474</v>
      </c>
      <c r="AJ70" s="4" t="n">
        <f aca="false">AJ12-AJ40</f>
        <v>-0.160496357707386</v>
      </c>
      <c r="AK70" s="4" t="n">
        <f aca="false">AK12-AK40</f>
        <v>-0.374666361846001</v>
      </c>
      <c r="AL70" s="4" t="n">
        <f aca="false">AL12-AL40</f>
        <v>-0.394373724590213</v>
      </c>
      <c r="AM70" s="4" t="n">
        <f aca="false">AM12-AM40</f>
        <v>-0.675077473047679</v>
      </c>
      <c r="AN70" s="4" t="n">
        <f aca="false">AN12-AN40</f>
        <v>-0.46250147419664</v>
      </c>
      <c r="AO70" s="4" t="n">
        <f aca="false">AO12-AO40</f>
        <v>-1.62204905494932</v>
      </c>
      <c r="AP70" s="4" t="n">
        <f aca="false">AP12-AP40</f>
        <v>-0.600168762236721</v>
      </c>
      <c r="AQ70" s="4" t="n">
        <f aca="false">AQ12-AQ40</f>
        <v>0.0204317460623375</v>
      </c>
      <c r="AR70" s="4" t="n">
        <f aca="false">AR12-AR40</f>
        <v>-0.00161763232889885</v>
      </c>
      <c r="AS70" s="4" t="n">
        <f aca="false">AS12-AS40</f>
        <v>-0.0698349648949566</v>
      </c>
      <c r="AT70" s="4" t="n">
        <f aca="false">AT12-AT40</f>
        <v>-0.954660988309835</v>
      </c>
      <c r="AU70" s="4" t="n">
        <f aca="false">AU12-AU40</f>
        <v>-0.927344589713082</v>
      </c>
      <c r="AV70" s="4" t="n">
        <f aca="false">AV12-AV40</f>
        <v>0.011447902678241</v>
      </c>
      <c r="AW70" s="4" t="n">
        <f aca="false">AW12-AW40</f>
        <v>0.491994404400124</v>
      </c>
      <c r="AX70" s="4" t="n">
        <f aca="false">AX12-AX40</f>
        <v>-0.049274922854965</v>
      </c>
      <c r="AY70" s="4" t="n">
        <f aca="false">AY12-AY40</f>
        <v>0.0336147858097022</v>
      </c>
      <c r="AZ70" s="4" t="n">
        <f aca="false">AZ12-AZ40</f>
        <v>0.174136973860145</v>
      </c>
      <c r="BA70" s="4" t="n">
        <f aca="false">BA12-BA40</f>
        <v>0</v>
      </c>
      <c r="BB70" s="4" t="n">
        <f aca="false">BB12-BB40</f>
        <v>0.0287487300104968</v>
      </c>
      <c r="BC70" s="4" t="n">
        <f aca="false">BC12-BC40</f>
        <v>-0.120997941332208</v>
      </c>
      <c r="BD70" s="4" t="n">
        <f aca="false">BD12-BD40</f>
        <v>-0.0457579495535101</v>
      </c>
      <c r="BE70" s="4" t="n">
        <f aca="false">BE12-BE40</f>
        <v>-0.0220934575892262</v>
      </c>
      <c r="BF70" s="4" t="n">
        <f aca="false">BF12-BF40</f>
        <v>-0.231043643876528</v>
      </c>
      <c r="BG70" s="4" t="n">
        <f aca="false">BG12-BG40</f>
        <v>-1.15605804666444</v>
      </c>
      <c r="BH70" s="4" t="n">
        <f aca="false">BH12-BH40</f>
        <v>-0.00121913724869804</v>
      </c>
      <c r="BI70" s="4" t="n">
        <f aca="false">BI12-BI40</f>
        <v>-10.6610483159388</v>
      </c>
      <c r="BJ70" s="4" t="n">
        <f aca="false">BJ12-BJ40</f>
        <v>-176.840995951174</v>
      </c>
      <c r="BK70" s="4" t="n">
        <f aca="false">BK12-BK40</f>
        <v>-5.33052415796939</v>
      </c>
      <c r="BL70" s="4" t="n">
        <f aca="false">BL12-BL40</f>
        <v>-251.48685286662</v>
      </c>
      <c r="BM70" s="4" t="n">
        <f aca="false">BM12-BM40</f>
        <v>-22.3066216266225</v>
      </c>
      <c r="BN70" s="4" t="n">
        <f aca="false">BN12-BN40</f>
        <v>0</v>
      </c>
      <c r="BO70" s="4" t="n">
        <f aca="false">BO12-BO40</f>
        <v>1.73327248334672</v>
      </c>
      <c r="BP70" s="4" t="n">
        <f aca="false">BP12-BP40</f>
        <v>3.45934626795736</v>
      </c>
      <c r="BQ70" s="4" t="n">
        <f aca="false">BQ12-BQ40</f>
        <v>0</v>
      </c>
      <c r="BR70" s="4" t="n">
        <f aca="false">BR12-BR40</f>
        <v>0.0577757335728526</v>
      </c>
      <c r="BS70" s="4" t="n">
        <f aca="false">BS12-BS40</f>
        <v>0.00577756748693911</v>
      </c>
      <c r="BT70" s="4" t="n">
        <f aca="false">BT12-BT40</f>
        <v>0</v>
      </c>
      <c r="BU70" s="4" t="n">
        <f aca="false">BU12-BU40</f>
        <v>0</v>
      </c>
      <c r="BV70" s="4" t="n">
        <f aca="false">BV12-BV40</f>
        <v>0</v>
      </c>
      <c r="BW70" s="4" t="n">
        <f aca="false">BW12-BW40</f>
        <v>0</v>
      </c>
      <c r="BX70" s="4" t="n">
        <f aca="false">BX12-BX40</f>
        <v>-2.06973282745887</v>
      </c>
      <c r="BY70" s="4" t="n">
        <f aca="false">BY12-BY40</f>
        <v>-62.8847504189901</v>
      </c>
      <c r="BZ70" s="4" t="n">
        <f aca="false">BZ12-BZ40</f>
        <v>-0.293827471455567</v>
      </c>
      <c r="CA70" s="4" t="n">
        <f aca="false">CA12-CA40</f>
        <v>-0.0160456645346367</v>
      </c>
      <c r="CB70" s="4" t="n">
        <f aca="false">CB12-CB40</f>
        <v>-265.138960324799</v>
      </c>
      <c r="CC70" s="4" t="n">
        <f aca="false">CC12-CC40</f>
        <v>-86.5492396796382</v>
      </c>
      <c r="CD70" s="4" t="n">
        <f aca="false">CD12-CD40</f>
        <v>0</v>
      </c>
      <c r="CE70" s="4" t="n">
        <f aca="false">CE12-CE40</f>
        <v>-0.98555032004837</v>
      </c>
      <c r="CF70" s="4" t="n">
        <f aca="false">CF12-CF40</f>
        <v>-720.040722443337</v>
      </c>
      <c r="CG70" s="4" t="n">
        <f aca="false">CG12-CG40</f>
        <v>2.89058505115394</v>
      </c>
      <c r="CH70" s="4" t="n">
        <f aca="false">CH12-CH40</f>
        <v>3.77099689272998</v>
      </c>
      <c r="CI70" s="4" t="n">
        <f aca="false">CI12-CI40</f>
        <v>-0.0892074895390136</v>
      </c>
      <c r="CJ70" s="4" t="n">
        <f aca="false">CJ12-CJ40</f>
        <v>-0.0303079189448545</v>
      </c>
      <c r="CK70" s="4" t="n">
        <f aca="false">CK12-CK40</f>
        <v>-4.91756758640203</v>
      </c>
      <c r="CL70" s="7" t="s">
        <v>322</v>
      </c>
    </row>
    <row r="71" customFormat="false" ht="12.8" hidden="false" customHeight="false" outlineLevel="0" collapsed="false">
      <c r="A71" s="4" t="s">
        <v>145</v>
      </c>
      <c r="B71" s="7" t="s">
        <v>39</v>
      </c>
      <c r="C71" s="4" t="n">
        <f aca="false">C13-C41</f>
        <v>-0.00164905077953338</v>
      </c>
      <c r="D71" s="4" t="n">
        <f aca="false">D13-D41</f>
        <v>-200.065140252015</v>
      </c>
      <c r="E71" s="4" t="n">
        <f aca="false">E13-E41</f>
        <v>-58.4113939101303</v>
      </c>
      <c r="F71" s="4" t="n">
        <f aca="false">F13-F41</f>
        <v>0</v>
      </c>
      <c r="G71" s="4" t="n">
        <f aca="false">G13-G41</f>
        <v>-47.2825612226802</v>
      </c>
      <c r="H71" s="4" t="n">
        <f aca="false">H13-H41</f>
        <v>0</v>
      </c>
      <c r="I71" s="4" t="n">
        <f aca="false">I13-I41</f>
        <v>1.40511848913776</v>
      </c>
      <c r="J71" s="4" t="n">
        <f aca="false">J13-J41</f>
        <v>0.0381002888269002</v>
      </c>
      <c r="K71" s="4" t="n">
        <f aca="false">K13-K41</f>
        <v>0</v>
      </c>
      <c r="L71" s="4" t="n">
        <f aca="false">L13-L41</f>
        <v>0</v>
      </c>
      <c r="M71" s="4" t="n">
        <f aca="false">M13-M41</f>
        <v>0</v>
      </c>
      <c r="N71" s="4" t="n">
        <f aca="false">N13-N41</f>
        <v>-84.4749385420763</v>
      </c>
      <c r="O71" s="4" t="n">
        <f aca="false">O13-O41</f>
        <v>0</v>
      </c>
      <c r="P71" s="4" t="n">
        <f aca="false">P13-P41</f>
        <v>0</v>
      </c>
      <c r="Q71" s="4" t="n">
        <f aca="false">Q13-Q41</f>
        <v>-1.86737104774554</v>
      </c>
      <c r="R71" s="4" t="n">
        <f aca="false">R13-R41</f>
        <v>-18.9769761015057</v>
      </c>
      <c r="S71" s="4" t="n">
        <f aca="false">S13-S41</f>
        <v>0</v>
      </c>
      <c r="T71" s="4" t="n">
        <f aca="false">T13-T41</f>
        <v>0</v>
      </c>
      <c r="U71" s="4" t="n">
        <f aca="false">U13-U41</f>
        <v>0</v>
      </c>
      <c r="V71" s="4" t="n">
        <f aca="false">V13-V41</f>
        <v>-12.5108489761331</v>
      </c>
      <c r="W71" s="4" t="n">
        <f aca="false">W13-W41</f>
        <v>-46.8429872503921</v>
      </c>
      <c r="X71" s="4" t="n">
        <f aca="false">X13-X41</f>
        <v>-10.015060377351</v>
      </c>
      <c r="Y71" s="4" t="n">
        <f aca="false">Y13-Y41</f>
        <v>0</v>
      </c>
      <c r="Z71" s="4" t="n">
        <f aca="false">Z13-Z41</f>
        <v>8.17291383071148</v>
      </c>
      <c r="AA71" s="4" t="n">
        <f aca="false">AA13-AA41</f>
        <v>-1.75248896258542</v>
      </c>
      <c r="AB71" s="4" t="n">
        <f aca="false">AB13-AB41</f>
        <v>-7.64716418868334</v>
      </c>
      <c r="AC71" s="4" t="n">
        <f aca="false">AC13-AC41</f>
        <v>-0.610784336180991</v>
      </c>
      <c r="AD71" s="4" t="n">
        <f aca="false">AD13-AD41</f>
        <v>-1.25192231160713</v>
      </c>
      <c r="AE71" s="4" t="n">
        <f aca="false">AE13-AE41</f>
        <v>-0.780279796257215</v>
      </c>
      <c r="AF71" s="4" t="n">
        <f aca="false">AF13-AF41</f>
        <v>-0.0615865062699548</v>
      </c>
      <c r="AG71" s="4" t="n">
        <f aca="false">AG13-AG41</f>
        <v>0.853861658948735</v>
      </c>
      <c r="AH71" s="4" t="n">
        <f aca="false">AH13-AH41</f>
        <v>-0.0514476255653775</v>
      </c>
      <c r="AI71" s="4" t="n">
        <f aca="false">AI13-AI41</f>
        <v>0.185512410892515</v>
      </c>
      <c r="AJ71" s="4" t="n">
        <f aca="false">AJ13-AJ41</f>
        <v>-0.423810007976644</v>
      </c>
      <c r="AK71" s="4" t="n">
        <f aca="false">AK13-AK41</f>
        <v>-0.326081834687235</v>
      </c>
      <c r="AL71" s="4" t="n">
        <f aca="false">AL13-AL41</f>
        <v>-0.0385121611079549</v>
      </c>
      <c r="AM71" s="4" t="n">
        <f aca="false">AM13-AM41</f>
        <v>-0.598569928225972</v>
      </c>
      <c r="AN71" s="4" t="n">
        <f aca="false">AN13-AN41</f>
        <v>-0.283239309325852</v>
      </c>
      <c r="AO71" s="4" t="n">
        <f aca="false">AO13-AO41</f>
        <v>-0.553745405817428</v>
      </c>
      <c r="AP71" s="4" t="n">
        <f aca="false">AP13-AP41</f>
        <v>-0.368399435594386</v>
      </c>
      <c r="AQ71" s="4" t="n">
        <f aca="false">AQ13-AQ41</f>
        <v>0.0183324299385154</v>
      </c>
      <c r="AR71" s="4" t="n">
        <f aca="false">AR13-AR41</f>
        <v>0.00172278107030524</v>
      </c>
      <c r="AS71" s="4" t="n">
        <f aca="false">AS13-AS41</f>
        <v>-0.0871742822578656</v>
      </c>
      <c r="AT71" s="4" t="n">
        <f aca="false">AT13-AT41</f>
        <v>-0.051178735342555</v>
      </c>
      <c r="AU71" s="4" t="n">
        <f aca="false">AU13-AU41</f>
        <v>0.890774500073056</v>
      </c>
      <c r="AV71" s="4" t="n">
        <f aca="false">AV13-AV41</f>
        <v>-0.0114989769374081</v>
      </c>
      <c r="AW71" s="4" t="n">
        <f aca="false">AW13-AW41</f>
        <v>-0.357191470727913</v>
      </c>
      <c r="AX71" s="4" t="n">
        <f aca="false">AX13-AX41</f>
        <v>0.0036249128001046</v>
      </c>
      <c r="AY71" s="4" t="n">
        <f aca="false">AY13-AY41</f>
        <v>-0.0783036961176101</v>
      </c>
      <c r="AZ71" s="4" t="n">
        <f aca="false">AZ13-AZ41</f>
        <v>-0.857430818159108</v>
      </c>
      <c r="BA71" s="4" t="n">
        <f aca="false">BA13-BA41</f>
        <v>0</v>
      </c>
      <c r="BB71" s="4" t="n">
        <f aca="false">BB13-BB41</f>
        <v>-0.112914723154175</v>
      </c>
      <c r="BC71" s="4" t="n">
        <f aca="false">BC13-BC41</f>
        <v>0.0588427032591106</v>
      </c>
      <c r="BD71" s="4" t="n">
        <f aca="false">BD13-BD41</f>
        <v>-0.0667895772137532</v>
      </c>
      <c r="BE71" s="4" t="n">
        <f aca="false">BE13-BE41</f>
        <v>-0.00862417187424008</v>
      </c>
      <c r="BF71" s="4" t="n">
        <f aca="false">BF13-BF41</f>
        <v>-1.35976822965877</v>
      </c>
      <c r="BG71" s="4" t="n">
        <f aca="false">BG13-BG41</f>
        <v>-4.0490172897689</v>
      </c>
      <c r="BH71" s="4" t="n">
        <f aca="false">BH13-BH41</f>
        <v>-9.11265618484918</v>
      </c>
      <c r="BI71" s="4" t="n">
        <f aca="false">BI13-BI41</f>
        <v>-5.69771587054272</v>
      </c>
      <c r="BJ71" s="4" t="n">
        <f aca="false">BJ13-BJ41</f>
        <v>-43.4943209690463</v>
      </c>
      <c r="BK71" s="4" t="n">
        <f aca="false">BK13-BK41</f>
        <v>-2.84885793527136</v>
      </c>
      <c r="BL71" s="4" t="n">
        <f aca="false">BL13-BL41</f>
        <v>-78.9081960759708</v>
      </c>
      <c r="BM71" s="4" t="n">
        <f aca="false">BM13-BM41</f>
        <v>-7.61244170604875</v>
      </c>
      <c r="BN71" s="4" t="n">
        <f aca="false">BN13-BN41</f>
        <v>0</v>
      </c>
      <c r="BO71" s="4" t="n">
        <f aca="false">BO13-BO41</f>
        <v>-8.44249146628456</v>
      </c>
      <c r="BP71" s="4" t="n">
        <f aca="false">BP13-BP41</f>
        <v>-10.4054659555666</v>
      </c>
      <c r="BQ71" s="4" t="n">
        <f aca="false">BQ13-BQ41</f>
        <v>0</v>
      </c>
      <c r="BR71" s="4" t="n">
        <f aca="false">BR13-BR41</f>
        <v>-0.281416324089303</v>
      </c>
      <c r="BS71" s="4" t="n">
        <f aca="false">BS13-BS41</f>
        <v>-0.0281416048046605</v>
      </c>
      <c r="BT71" s="4" t="n">
        <f aca="false">BT13-BT41</f>
        <v>0</v>
      </c>
      <c r="BU71" s="4" t="n">
        <f aca="false">BU13-BU41</f>
        <v>0</v>
      </c>
      <c r="BV71" s="4" t="n">
        <f aca="false">BV13-BV41</f>
        <v>0</v>
      </c>
      <c r="BW71" s="4" t="n">
        <f aca="false">BW13-BW41</f>
        <v>0</v>
      </c>
      <c r="BX71" s="4" t="n">
        <f aca="false">BX13-BX41</f>
        <v>-0.114198254039877</v>
      </c>
      <c r="BY71" s="4" t="n">
        <f aca="false">BY13-BY41</f>
        <v>-7.21869755056525</v>
      </c>
      <c r="BZ71" s="4" t="n">
        <f aca="false">BZ13-BZ41</f>
        <v>0.01922235789789</v>
      </c>
      <c r="CA71" s="4" t="n">
        <f aca="false">CA13-CA41</f>
        <v>0.00811290524549703</v>
      </c>
      <c r="CB71" s="4" t="n">
        <f aca="false">CB13-CB41</f>
        <v>-73.5010551200246</v>
      </c>
      <c r="CC71" s="4" t="n">
        <f aca="false">CC13-CC41</f>
        <v>-92.4133669780841</v>
      </c>
      <c r="CD71" s="4" t="n">
        <f aca="false">CD13-CD41</f>
        <v>0</v>
      </c>
      <c r="CE71" s="4" t="n">
        <f aca="false">CE13-CE41</f>
        <v>-0.653763763519764</v>
      </c>
      <c r="CF71" s="4" t="n">
        <f aca="false">CF13-CF41</f>
        <v>-77.3044775845488</v>
      </c>
      <c r="CG71" s="4" t="n">
        <f aca="false">CG13-CG41</f>
        <v>-0.90927631370741</v>
      </c>
      <c r="CH71" s="4" t="n">
        <f aca="false">CH13-CH41</f>
        <v>-0.983604658930978</v>
      </c>
      <c r="CI71" s="4" t="n">
        <f aca="false">CI13-CI41</f>
        <v>-0.0264243778590595</v>
      </c>
      <c r="CJ71" s="4" t="n">
        <f aca="false">CJ13-CJ41</f>
        <v>-0.010677687556959</v>
      </c>
      <c r="CK71" s="4" t="n">
        <f aca="false">CK13-CK41</f>
        <v>-0.706109611914753</v>
      </c>
      <c r="CL71" s="7" t="s">
        <v>322</v>
      </c>
    </row>
    <row r="72" customFormat="false" ht="12.8" hidden="false" customHeight="false" outlineLevel="0" collapsed="false">
      <c r="A72" s="4" t="s">
        <v>147</v>
      </c>
      <c r="B72" s="7" t="s">
        <v>39</v>
      </c>
      <c r="C72" s="4" t="n">
        <f aca="false">C14-C42</f>
        <v>-0.00551041714821474</v>
      </c>
      <c r="D72" s="4" t="n">
        <f aca="false">D14-D42</f>
        <v>-614.334319542322</v>
      </c>
      <c r="E72" s="4" t="n">
        <f aca="false">E14-E42</f>
        <v>-105.796606662282</v>
      </c>
      <c r="F72" s="4" t="n">
        <f aca="false">F14-F42</f>
        <v>0</v>
      </c>
      <c r="G72" s="4" t="n">
        <f aca="false">G14-G42</f>
        <v>-103.531657057222</v>
      </c>
      <c r="H72" s="4" t="n">
        <f aca="false">H14-H42</f>
        <v>0</v>
      </c>
      <c r="I72" s="4" t="n">
        <f aca="false">I14-I42</f>
        <v>0.891386328402886</v>
      </c>
      <c r="J72" s="4" t="n">
        <f aca="false">J14-J42</f>
        <v>1.26529426187075</v>
      </c>
      <c r="K72" s="4" t="n">
        <f aca="false">K14-K42</f>
        <v>0</v>
      </c>
      <c r="L72" s="4" t="n">
        <f aca="false">L14-L42</f>
        <v>0</v>
      </c>
      <c r="M72" s="4" t="n">
        <f aca="false">M14-M42</f>
        <v>0</v>
      </c>
      <c r="N72" s="4" t="n">
        <f aca="false">N14-N42</f>
        <v>-110.385992202364</v>
      </c>
      <c r="O72" s="4" t="n">
        <f aca="false">O14-O42</f>
        <v>0</v>
      </c>
      <c r="P72" s="4" t="n">
        <f aca="false">P14-P42</f>
        <v>0</v>
      </c>
      <c r="Q72" s="4" t="n">
        <f aca="false">Q14-Q42</f>
        <v>-4.86882265743501</v>
      </c>
      <c r="R72" s="4" t="n">
        <f aca="false">R14-R42</f>
        <v>-61.6645267555418</v>
      </c>
      <c r="S72" s="4" t="n">
        <f aca="false">S14-S42</f>
        <v>0</v>
      </c>
      <c r="T72" s="4" t="n">
        <f aca="false">T14-T42</f>
        <v>0</v>
      </c>
      <c r="U72" s="4" t="n">
        <f aca="false">U14-U42</f>
        <v>0</v>
      </c>
      <c r="V72" s="4" t="n">
        <f aca="false">V14-V42</f>
        <v>-54.0318830016858</v>
      </c>
      <c r="W72" s="4" t="n">
        <f aca="false">W14-W42</f>
        <v>109.137894888957</v>
      </c>
      <c r="X72" s="4" t="n">
        <f aca="false">X14-X42</f>
        <v>-1022.39120789028</v>
      </c>
      <c r="Y72" s="4" t="n">
        <f aca="false">Y14-Y42</f>
        <v>0</v>
      </c>
      <c r="Z72" s="4" t="n">
        <f aca="false">Z14-Z42</f>
        <v>10.9660958944456</v>
      </c>
      <c r="AA72" s="4" t="n">
        <f aca="false">AA14-AA42</f>
        <v>-1.13307982351837</v>
      </c>
      <c r="AB72" s="4" t="n">
        <f aca="false">AB14-AB42</f>
        <v>-6.55598536169847</v>
      </c>
      <c r="AC72" s="4" t="n">
        <f aca="false">AC14-AC42</f>
        <v>0.280625899209775</v>
      </c>
      <c r="AD72" s="4" t="n">
        <f aca="false">AD14-AD42</f>
        <v>-1.07328470350174</v>
      </c>
      <c r="AE72" s="4" t="n">
        <f aca="false">AE14-AE42</f>
        <v>-2.82658682948654</v>
      </c>
      <c r="AF72" s="4" t="n">
        <f aca="false">AF14-AF42</f>
        <v>-0.229886115037721</v>
      </c>
      <c r="AG72" s="4" t="n">
        <f aca="false">AG14-AG42</f>
        <v>-1.70487342032467</v>
      </c>
      <c r="AH72" s="4" t="n">
        <f aca="false">AH14-AH42</f>
        <v>-0.537025824045411</v>
      </c>
      <c r="AI72" s="4" t="n">
        <f aca="false">AI14-AI42</f>
        <v>-0.00148796645132089</v>
      </c>
      <c r="AJ72" s="4" t="n">
        <f aca="false">AJ14-AJ42</f>
        <v>-0.0097752790148376</v>
      </c>
      <c r="AK72" s="4" t="n">
        <f aca="false">AK14-AK42</f>
        <v>-0.402627299563244</v>
      </c>
      <c r="AL72" s="4" t="n">
        <f aca="false">AL14-AL42</f>
        <v>-0.143724206439788</v>
      </c>
      <c r="AM72" s="4" t="n">
        <f aca="false">AM14-AM42</f>
        <v>-0.0485418449223516</v>
      </c>
      <c r="AN72" s="4" t="n">
        <f aca="false">AN14-AN42</f>
        <v>-0.486372855947405</v>
      </c>
      <c r="AO72" s="4" t="n">
        <f aca="false">AO14-AO42</f>
        <v>-0.309338124505139</v>
      </c>
      <c r="AP72" s="4" t="n">
        <f aca="false">AP14-AP42</f>
        <v>0.0407822898912844</v>
      </c>
      <c r="AQ72" s="4" t="n">
        <f aca="false">AQ14-AQ42</f>
        <v>-0.0160229351357629</v>
      </c>
      <c r="AR72" s="4" t="n">
        <f aca="false">AR14-AR42</f>
        <v>-0.0491117661171696</v>
      </c>
      <c r="AS72" s="4" t="n">
        <f aca="false">AS14-AS42</f>
        <v>-0.351814393317585</v>
      </c>
      <c r="AT72" s="4" t="n">
        <f aca="false">AT14-AT42</f>
        <v>0.0180038290134321</v>
      </c>
      <c r="AU72" s="4" t="n">
        <f aca="false">AU14-AU42</f>
        <v>-2.09692357151421</v>
      </c>
      <c r="AV72" s="4" t="n">
        <f aca="false">AV14-AV42</f>
        <v>0.0208096848035984</v>
      </c>
      <c r="AW72" s="4" t="n">
        <f aca="false">AW14-AW42</f>
        <v>0.136498548685448</v>
      </c>
      <c r="AX72" s="4" t="n">
        <f aca="false">AX14-AX42</f>
        <v>-0.0182126829791949</v>
      </c>
      <c r="AY72" s="4" t="n">
        <f aca="false">AY14-AY42</f>
        <v>-0.0152040742522719</v>
      </c>
      <c r="AZ72" s="4" t="n">
        <f aca="false">AZ14-AZ42</f>
        <v>-0.474100443939829</v>
      </c>
      <c r="BA72" s="4" t="n">
        <f aca="false">BA14-BA42</f>
        <v>0</v>
      </c>
      <c r="BB72" s="4" t="n">
        <f aca="false">BB14-BB42</f>
        <v>-0.142164138211034</v>
      </c>
      <c r="BC72" s="4" t="n">
        <f aca="false">BC14-BC42</f>
        <v>-0.0302590954649962</v>
      </c>
      <c r="BD72" s="4" t="n">
        <f aca="false">BD14-BD42</f>
        <v>-0.0629831376900361</v>
      </c>
      <c r="BE72" s="4" t="n">
        <f aca="false">BE14-BE42</f>
        <v>-0.0239913964761264</v>
      </c>
      <c r="BF72" s="4" t="n">
        <f aca="false">BF14-BF42</f>
        <v>-2.80697555834751</v>
      </c>
      <c r="BG72" s="4" t="n">
        <f aca="false">BG14-BG42</f>
        <v>-2.07656107488449</v>
      </c>
      <c r="BH72" s="4" t="n">
        <f aca="false">BH14-BH42</f>
        <v>-4.38580440001985</v>
      </c>
      <c r="BI72" s="4" t="n">
        <f aca="false">BI14-BI42</f>
        <v>-12.2021313917023</v>
      </c>
      <c r="BJ72" s="4" t="n">
        <f aca="false">BJ14-BJ42</f>
        <v>-263.526074942611</v>
      </c>
      <c r="BK72" s="4" t="n">
        <f aca="false">BK14-BK42</f>
        <v>-6.10106569585117</v>
      </c>
      <c r="BL72" s="4" t="n">
        <f aca="false">BL14-BL42</f>
        <v>-16.1354511388148</v>
      </c>
      <c r="BM72" s="4" t="n">
        <f aca="false">BM14-BM42</f>
        <v>-45.1799128762005</v>
      </c>
      <c r="BN72" s="4" t="n">
        <f aca="false">BN14-BN42</f>
        <v>0</v>
      </c>
      <c r="BO72" s="4" t="n">
        <f aca="false">BO14-BO42</f>
        <v>-3.49514537183422</v>
      </c>
      <c r="BP72" s="4" t="n">
        <f aca="false">BP14-BP42</f>
        <v>-5.71932658721489</v>
      </c>
      <c r="BQ72" s="4" t="n">
        <f aca="false">BQ14-BQ42</f>
        <v>0</v>
      </c>
      <c r="BR72" s="4" t="n">
        <f aca="false">BR14-BR42</f>
        <v>-0.116504813373596</v>
      </c>
      <c r="BS72" s="4" t="n">
        <f aca="false">BS14-BS42</f>
        <v>-0.0116504568300498</v>
      </c>
      <c r="BT72" s="4" t="n">
        <f aca="false">BT14-BT42</f>
        <v>0</v>
      </c>
      <c r="BU72" s="4" t="n">
        <f aca="false">BU14-BU42</f>
        <v>0</v>
      </c>
      <c r="BV72" s="4" t="n">
        <f aca="false">BV14-BV42</f>
        <v>0</v>
      </c>
      <c r="BW72" s="4" t="n">
        <f aca="false">BW14-BW42</f>
        <v>0</v>
      </c>
      <c r="BX72" s="4" t="n">
        <f aca="false">BX14-BX42</f>
        <v>-0.150335585184306</v>
      </c>
      <c r="BY72" s="4" t="n">
        <f aca="false">BY14-BY42</f>
        <v>-73.1138054007432</v>
      </c>
      <c r="BZ72" s="4" t="n">
        <f aca="false">BZ14-BZ42</f>
        <v>-0.158418732377062</v>
      </c>
      <c r="CA72" s="4" t="n">
        <f aca="false">CA14-CA42</f>
        <v>-0.000622808451886295</v>
      </c>
      <c r="CB72" s="4" t="n">
        <f aca="false">CB14-CB42</f>
        <v>-116.438923562449</v>
      </c>
      <c r="CC72" s="4" t="n">
        <f aca="false">CC14-CC42</f>
        <v>-411.92183807512</v>
      </c>
      <c r="CD72" s="4" t="n">
        <f aca="false">CD14-CD42</f>
        <v>0</v>
      </c>
      <c r="CE72" s="4" t="n">
        <f aca="false">CE14-CE42</f>
        <v>-0.198874128574315</v>
      </c>
      <c r="CF72" s="4" t="n">
        <f aca="false">CF14-CF42</f>
        <v>-285.554706402385</v>
      </c>
      <c r="CG72" s="4" t="n">
        <f aca="false">CG14-CG42</f>
        <v>-0.0922482447225889</v>
      </c>
      <c r="CH72" s="4" t="n">
        <f aca="false">CH14-CH42</f>
        <v>-1.07472023536647</v>
      </c>
      <c r="CI72" s="4" t="n">
        <f aca="false">CI14-CI42</f>
        <v>-0.0107229184623036</v>
      </c>
      <c r="CJ72" s="4" t="n">
        <f aca="false">CJ14-CJ42</f>
        <v>-0.0239959615592513</v>
      </c>
      <c r="CK72" s="4" t="n">
        <f aca="false">CK14-CK42</f>
        <v>-0.434635079581802</v>
      </c>
      <c r="CL72" s="7" t="s">
        <v>322</v>
      </c>
    </row>
    <row r="73" customFormat="false" ht="12.8" hidden="false" customHeight="false" outlineLevel="0" collapsed="false">
      <c r="A73" s="4" t="s">
        <v>148</v>
      </c>
      <c r="B73" s="7" t="s">
        <v>39</v>
      </c>
      <c r="C73" s="4" t="n">
        <f aca="false">C15-C43</f>
        <v>0.00160867933905181</v>
      </c>
      <c r="D73" s="4" t="n">
        <f aca="false">D15-D43</f>
        <v>136.714457199479</v>
      </c>
      <c r="E73" s="4" t="n">
        <f aca="false">E15-E43</f>
        <v>17.5213241485527</v>
      </c>
      <c r="F73" s="4" t="n">
        <f aca="false">F15-F43</f>
        <v>0</v>
      </c>
      <c r="G73" s="4" t="n">
        <f aca="false">G15-G43</f>
        <v>25.0190274534987</v>
      </c>
      <c r="H73" s="4" t="n">
        <f aca="false">H15-H43</f>
        <v>0</v>
      </c>
      <c r="I73" s="4" t="n">
        <f aca="false">I15-I43</f>
        <v>0.580575375302507</v>
      </c>
      <c r="J73" s="4" t="n">
        <f aca="false">J15-J43</f>
        <v>1.31568886380771</v>
      </c>
      <c r="K73" s="4" t="n">
        <f aca="false">K15-K43</f>
        <v>0</v>
      </c>
      <c r="L73" s="4" t="n">
        <f aca="false">L15-L43</f>
        <v>0</v>
      </c>
      <c r="M73" s="4" t="n">
        <f aca="false">M15-M43</f>
        <v>0</v>
      </c>
      <c r="N73" s="4" t="n">
        <f aca="false">N15-N43</f>
        <v>-7.52234021292895</v>
      </c>
      <c r="O73" s="4" t="n">
        <f aca="false">O15-O43</f>
        <v>0</v>
      </c>
      <c r="P73" s="4" t="n">
        <f aca="false">P15-P43</f>
        <v>0</v>
      </c>
      <c r="Q73" s="4" t="n">
        <f aca="false">Q15-Q43</f>
        <v>-2.46178841232878</v>
      </c>
      <c r="R73" s="4" t="n">
        <f aca="false">R15-R43</f>
        <v>9.71475004704132</v>
      </c>
      <c r="S73" s="4" t="n">
        <f aca="false">S15-S43</f>
        <v>0</v>
      </c>
      <c r="T73" s="4" t="n">
        <f aca="false">T15-T43</f>
        <v>0</v>
      </c>
      <c r="U73" s="4" t="n">
        <f aca="false">U15-U43</f>
        <v>0</v>
      </c>
      <c r="V73" s="4" t="n">
        <f aca="false">V15-V43</f>
        <v>-30.2805805297395</v>
      </c>
      <c r="W73" s="4" t="n">
        <f aca="false">W15-W43</f>
        <v>94.2244010746785</v>
      </c>
      <c r="X73" s="4" t="n">
        <f aca="false">X15-X43</f>
        <v>767.703331747411</v>
      </c>
      <c r="Y73" s="4" t="n">
        <f aca="false">Y15-Y43</f>
        <v>0</v>
      </c>
      <c r="Z73" s="4" t="n">
        <f aca="false">Z15-Z43</f>
        <v>-5.58721194472508</v>
      </c>
      <c r="AA73" s="4" t="n">
        <f aca="false">AA15-AA43</f>
        <v>-1.8924346543035</v>
      </c>
      <c r="AB73" s="4" t="n">
        <f aca="false">AB15-AB43</f>
        <v>-5.875781024824</v>
      </c>
      <c r="AC73" s="4" t="n">
        <f aca="false">AC15-AC43</f>
        <v>1.02097680002323</v>
      </c>
      <c r="AD73" s="4" t="n">
        <f aca="false">AD15-AD43</f>
        <v>-0.961928001229634</v>
      </c>
      <c r="AE73" s="4" t="n">
        <f aca="false">AE15-AE43</f>
        <v>-0.404158763044156</v>
      </c>
      <c r="AF73" s="4" t="n">
        <f aca="false">AF15-AF43</f>
        <v>-0.0749101859015442</v>
      </c>
      <c r="AG73" s="4" t="n">
        <f aca="false">AG15-AG43</f>
        <v>-1.47255099040332</v>
      </c>
      <c r="AH73" s="4" t="n">
        <f aca="false">AH15-AH43</f>
        <v>-0.762851876041826</v>
      </c>
      <c r="AI73" s="4" t="n">
        <f aca="false">AI15-AI43</f>
        <v>-0.146340135682484</v>
      </c>
      <c r="AJ73" s="4" t="n">
        <f aca="false">AJ15-AJ43</f>
        <v>0.044260813952953</v>
      </c>
      <c r="AK73" s="4" t="n">
        <f aca="false">AK15-AK43</f>
        <v>0.201210976911984</v>
      </c>
      <c r="AL73" s="4" t="n">
        <f aca="false">AL15-AL43</f>
        <v>0.00395383597469773</v>
      </c>
      <c r="AM73" s="4" t="n">
        <f aca="false">AM15-AM43</f>
        <v>0.0421929964260138</v>
      </c>
      <c r="AN73" s="4" t="n">
        <f aca="false">AN15-AN43</f>
        <v>-0.151445495174189</v>
      </c>
      <c r="AO73" s="4" t="n">
        <f aca="false">AO15-AO43</f>
        <v>0.00619451008848992</v>
      </c>
      <c r="AP73" s="4" t="n">
        <f aca="false">AP15-AP43</f>
        <v>-0.357522655896592</v>
      </c>
      <c r="AQ73" s="4" t="n">
        <f aca="false">AQ15-AQ43</f>
        <v>0.0220166704783644</v>
      </c>
      <c r="AR73" s="4" t="n">
        <f aca="false">AR15-AR43</f>
        <v>-0.0934443212097455</v>
      </c>
      <c r="AS73" s="4" t="n">
        <f aca="false">AS15-AS43</f>
        <v>0.0625314014376938</v>
      </c>
      <c r="AT73" s="4" t="n">
        <f aca="false">AT15-AT43</f>
        <v>-1.3422448792818</v>
      </c>
      <c r="AU73" s="4" t="n">
        <f aca="false">AU15-AU43</f>
        <v>0.838785875843375</v>
      </c>
      <c r="AV73" s="4" t="n">
        <f aca="false">AV15-AV43</f>
        <v>-0.01231095840751</v>
      </c>
      <c r="AW73" s="4" t="n">
        <f aca="false">AW15-AW43</f>
        <v>0.525739930466831</v>
      </c>
      <c r="AX73" s="4" t="n">
        <f aca="false">AX15-AX43</f>
        <v>0.0380150060704132</v>
      </c>
      <c r="AY73" s="4" t="n">
        <f aca="false">AY15-AY43</f>
        <v>-0.0344872617085274</v>
      </c>
      <c r="AZ73" s="4" t="n">
        <f aca="false">AZ15-AZ43</f>
        <v>-0.454194712421531</v>
      </c>
      <c r="BA73" s="4" t="n">
        <f aca="false">BA15-BA43</f>
        <v>0</v>
      </c>
      <c r="BB73" s="4" t="n">
        <f aca="false">BB15-BB43</f>
        <v>-0.116727041926992</v>
      </c>
      <c r="BC73" s="4" t="n">
        <f aca="false">BC15-BC43</f>
        <v>-0.0258190714767507</v>
      </c>
      <c r="BD73" s="4" t="n">
        <f aca="false">BD15-BD43</f>
        <v>-0.0677996397818279</v>
      </c>
      <c r="BE73" s="4" t="n">
        <f aca="false">BE15-BE43</f>
        <v>-0.0175026208907777</v>
      </c>
      <c r="BF73" s="4" t="n">
        <f aca="false">BF15-BF43</f>
        <v>0.310921382843352</v>
      </c>
      <c r="BG73" s="4" t="n">
        <f aca="false">BG15-BG43</f>
        <v>-2.29981130966673</v>
      </c>
      <c r="BH73" s="4" t="n">
        <f aca="false">BH15-BH43</f>
        <v>-0.00313741819462495</v>
      </c>
      <c r="BI73" s="4" t="n">
        <f aca="false">BI15-BI43</f>
        <v>3.94561775389455</v>
      </c>
      <c r="BJ73" s="4" t="n">
        <f aca="false">BJ15-BJ43</f>
        <v>5.1300929311996</v>
      </c>
      <c r="BK73" s="4" t="n">
        <f aca="false">BK15-BK43</f>
        <v>1.97280887694728</v>
      </c>
      <c r="BL73" s="4" t="n">
        <f aca="false">BL15-BL43</f>
        <v>-99.9071533945929</v>
      </c>
      <c r="BM73" s="4" t="n">
        <f aca="false">BM15-BM43</f>
        <v>-1.67262459515714</v>
      </c>
      <c r="BN73" s="4" t="n">
        <f aca="false">BN15-BN43</f>
        <v>0</v>
      </c>
      <c r="BO73" s="4" t="n">
        <f aca="false">BO15-BO43</f>
        <v>-7.99571766775107</v>
      </c>
      <c r="BP73" s="4" t="n">
        <f aca="false">BP15-BP43</f>
        <v>-8.88944746105936</v>
      </c>
      <c r="BQ73" s="4" t="n">
        <f aca="false">BQ15-BQ43</f>
        <v>0</v>
      </c>
      <c r="BR73" s="4" t="n">
        <f aca="false">BR15-BR43</f>
        <v>-0.266523864656148</v>
      </c>
      <c r="BS73" s="4" t="n">
        <f aca="false">BS15-BS43</f>
        <v>-0.0266523383242159</v>
      </c>
      <c r="BT73" s="4" t="n">
        <f aca="false">BT15-BT43</f>
        <v>0</v>
      </c>
      <c r="BU73" s="4" t="n">
        <f aca="false">BU15-BU43</f>
        <v>0</v>
      </c>
      <c r="BV73" s="4" t="n">
        <f aca="false">BV15-BV43</f>
        <v>0</v>
      </c>
      <c r="BW73" s="4" t="n">
        <f aca="false">BW15-BW43</f>
        <v>0</v>
      </c>
      <c r="BX73" s="4" t="n">
        <f aca="false">BX15-BX43</f>
        <v>-1.00661579381189</v>
      </c>
      <c r="BY73" s="4" t="n">
        <f aca="false">BY15-BY43</f>
        <v>-18.5870669429989</v>
      </c>
      <c r="BZ73" s="4" t="n">
        <f aca="false">BZ15-BZ43</f>
        <v>0.0222886439363812</v>
      </c>
      <c r="CA73" s="4" t="n">
        <f aca="false">CA15-CA43</f>
        <v>0.00743972641081342</v>
      </c>
      <c r="CB73" s="4" t="n">
        <f aca="false">CB15-CB43</f>
        <v>-200.533538155773</v>
      </c>
      <c r="CC73" s="4" t="n">
        <f aca="false">CC15-CC43</f>
        <v>74.2481290243904</v>
      </c>
      <c r="CD73" s="4" t="n">
        <f aca="false">CD15-CD43</f>
        <v>0</v>
      </c>
      <c r="CE73" s="4" t="n">
        <f aca="false">CE15-CE43</f>
        <v>0.15936212117008</v>
      </c>
      <c r="CF73" s="4" t="n">
        <f aca="false">CF15-CF43</f>
        <v>21.3774745660751</v>
      </c>
      <c r="CG73" s="4" t="n">
        <f aca="false">CG15-CG43</f>
        <v>-1.24624648661083</v>
      </c>
      <c r="CH73" s="4" t="n">
        <f aca="false">CH15-CH43</f>
        <v>-0.0124984634011048</v>
      </c>
      <c r="CI73" s="4" t="n">
        <f aca="false">CI15-CI43</f>
        <v>-0.00910207157218366</v>
      </c>
      <c r="CJ73" s="4" t="n">
        <f aca="false">CJ15-CJ43</f>
        <v>-0.0030094753173805</v>
      </c>
      <c r="CK73" s="4" t="n">
        <f aca="false">CK15-CK43</f>
        <v>-0.603246290934893</v>
      </c>
      <c r="CL73" s="7" t="s">
        <v>322</v>
      </c>
    </row>
    <row r="74" customFormat="false" ht="12.8" hidden="false" customHeight="false" outlineLevel="0" collapsed="false">
      <c r="A74" s="4" t="s">
        <v>150</v>
      </c>
      <c r="B74" s="7" t="s">
        <v>39</v>
      </c>
      <c r="C74" s="4" t="n">
        <f aca="false">C16-C44</f>
        <v>-0.0054242500881999</v>
      </c>
      <c r="D74" s="4" t="n">
        <f aca="false">D16-D44</f>
        <v>-631.430609037453</v>
      </c>
      <c r="E74" s="4" t="n">
        <f aca="false">E16-E44</f>
        <v>-107.464073649465</v>
      </c>
      <c r="F74" s="4" t="n">
        <f aca="false">F16-F44</f>
        <v>0</v>
      </c>
      <c r="G74" s="4" t="n">
        <f aca="false">G16-G44</f>
        <v>-71.0537990613841</v>
      </c>
      <c r="H74" s="4" t="n">
        <f aca="false">H16-H44</f>
        <v>0</v>
      </c>
      <c r="I74" s="4" t="n">
        <f aca="false">I16-I44</f>
        <v>1.65469659565867</v>
      </c>
      <c r="J74" s="4" t="n">
        <f aca="false">J16-J44</f>
        <v>0.385330511238652</v>
      </c>
      <c r="K74" s="4" t="n">
        <f aca="false">K16-K44</f>
        <v>0</v>
      </c>
      <c r="L74" s="4" t="n">
        <f aca="false">L16-L44</f>
        <v>0</v>
      </c>
      <c r="M74" s="4" t="n">
        <f aca="false">M16-M44</f>
        <v>0</v>
      </c>
      <c r="N74" s="4" t="n">
        <f aca="false">N16-N44</f>
        <v>-183.252795226449</v>
      </c>
      <c r="O74" s="4" t="n">
        <f aca="false">O16-O44</f>
        <v>0</v>
      </c>
      <c r="P74" s="4" t="n">
        <f aca="false">P16-P44</f>
        <v>0</v>
      </c>
      <c r="Q74" s="4" t="n">
        <f aca="false">Q16-Q44</f>
        <v>-2.61307562641651</v>
      </c>
      <c r="R74" s="4" t="n">
        <f aca="false">R16-R44</f>
        <v>-59.1445378035531</v>
      </c>
      <c r="S74" s="4" t="n">
        <f aca="false">S16-S44</f>
        <v>0</v>
      </c>
      <c r="T74" s="4" t="n">
        <f aca="false">T16-T44</f>
        <v>0</v>
      </c>
      <c r="U74" s="4" t="n">
        <f aca="false">U16-U44</f>
        <v>0</v>
      </c>
      <c r="V74" s="4" t="n">
        <f aca="false">V16-V44</f>
        <v>-40.8714038663908</v>
      </c>
      <c r="W74" s="4" t="n">
        <f aca="false">W16-W44</f>
        <v>-111.783868891433</v>
      </c>
      <c r="X74" s="4" t="n">
        <f aca="false">X16-X44</f>
        <v>-1427.81799446137</v>
      </c>
      <c r="Y74" s="4" t="n">
        <f aca="false">Y16-Y44</f>
        <v>0</v>
      </c>
      <c r="Z74" s="4" t="n">
        <f aca="false">Z16-Z44</f>
        <v>7.75182082476022</v>
      </c>
      <c r="AA74" s="4" t="n">
        <f aca="false">AA16-AA44</f>
        <v>0.591156855316811</v>
      </c>
      <c r="AB74" s="4" t="n">
        <f aca="false">AB16-AB44</f>
        <v>-3.53854478153058</v>
      </c>
      <c r="AC74" s="4" t="n">
        <f aca="false">AC16-AC44</f>
        <v>-0.671818264143285</v>
      </c>
      <c r="AD74" s="4" t="n">
        <f aca="false">AD16-AD44</f>
        <v>-0.579297508633961</v>
      </c>
      <c r="AE74" s="4" t="n">
        <f aca="false">AE16-AE44</f>
        <v>-0.675075073631037</v>
      </c>
      <c r="AF74" s="4" t="n">
        <f aca="false">AF16-AF44</f>
        <v>0.120376344237404</v>
      </c>
      <c r="AG74" s="4" t="n">
        <f aca="false">AG16-AG44</f>
        <v>-2.17514373080417</v>
      </c>
      <c r="AH74" s="4" t="n">
        <f aca="false">AH16-AH44</f>
        <v>-1.47011096787464</v>
      </c>
      <c r="AI74" s="4" t="n">
        <f aca="false">AI16-AI44</f>
        <v>-0.174405483428149</v>
      </c>
      <c r="AJ74" s="4" t="n">
        <f aca="false">AJ16-AJ44</f>
        <v>-0.307658552122693</v>
      </c>
      <c r="AK74" s="4" t="n">
        <f aca="false">AK16-AK44</f>
        <v>-0.266660833147957</v>
      </c>
      <c r="AL74" s="4" t="n">
        <f aca="false">AL16-AL44</f>
        <v>-0.193653236922995</v>
      </c>
      <c r="AM74" s="4" t="n">
        <f aca="false">AM16-AM44</f>
        <v>-1.11632433099995</v>
      </c>
      <c r="AN74" s="4" t="n">
        <f aca="false">AN16-AN44</f>
        <v>0.0925397752706905</v>
      </c>
      <c r="AO74" s="4" t="n">
        <f aca="false">AO16-AO44</f>
        <v>-1.18937132050411</v>
      </c>
      <c r="AP74" s="4" t="n">
        <f aca="false">AP16-AP44</f>
        <v>-0.623189337502168</v>
      </c>
      <c r="AQ74" s="4" t="n">
        <f aca="false">AQ16-AQ44</f>
        <v>-0.0275894302054459</v>
      </c>
      <c r="AR74" s="4" t="n">
        <f aca="false">AR16-AR44</f>
        <v>-0.0121882627912796</v>
      </c>
      <c r="AS74" s="4" t="n">
        <f aca="false">AS16-AS44</f>
        <v>-0.0265761674075782</v>
      </c>
      <c r="AT74" s="4" t="n">
        <f aca="false">AT16-AT44</f>
        <v>-1.50783404325909</v>
      </c>
      <c r="AU74" s="4" t="n">
        <f aca="false">AU16-AU44</f>
        <v>-0.58789748115106</v>
      </c>
      <c r="AV74" s="4" t="n">
        <f aca="false">AV16-AV44</f>
        <v>-0.111534827287564</v>
      </c>
      <c r="AW74" s="4" t="n">
        <f aca="false">AW16-AW44</f>
        <v>-0.301085792895553</v>
      </c>
      <c r="AX74" s="4" t="n">
        <f aca="false">AX16-AX44</f>
        <v>0.0533843254611211</v>
      </c>
      <c r="AY74" s="4" t="n">
        <f aca="false">AY16-AY44</f>
        <v>-0.0402495741186139</v>
      </c>
      <c r="AZ74" s="4" t="n">
        <f aca="false">AZ16-AZ44</f>
        <v>-0.49204752516637</v>
      </c>
      <c r="BA74" s="4" t="n">
        <f aca="false">BA16-BA44</f>
        <v>0</v>
      </c>
      <c r="BB74" s="4" t="n">
        <f aca="false">BB16-BB44</f>
        <v>-0.176505674392799</v>
      </c>
      <c r="BC74" s="4" t="n">
        <f aca="false">BC16-BC44</f>
        <v>-0.185837419263489</v>
      </c>
      <c r="BD74" s="4" t="n">
        <f aca="false">BD16-BD44</f>
        <v>-0.11799954744525</v>
      </c>
      <c r="BE74" s="4" t="n">
        <f aca="false">BE16-BE44</f>
        <v>-0.059404526077256</v>
      </c>
      <c r="BF74" s="4" t="n">
        <f aca="false">BF16-BF44</f>
        <v>-8.7555888278671</v>
      </c>
      <c r="BG74" s="4" t="n">
        <f aca="false">BG16-BG44</f>
        <v>-2.80453702062005</v>
      </c>
      <c r="BH74" s="4" t="n">
        <f aca="false">BH16-BH44</f>
        <v>-5.45376957379474</v>
      </c>
      <c r="BI74" s="4" t="n">
        <f aca="false">BI16-BI44</f>
        <v>-15.9026577842813</v>
      </c>
      <c r="BJ74" s="4" t="n">
        <f aca="false">BJ16-BJ44</f>
        <v>-368.105881623371</v>
      </c>
      <c r="BK74" s="4" t="n">
        <f aca="false">BK16-BK44</f>
        <v>-7.95132889214063</v>
      </c>
      <c r="BL74" s="4" t="n">
        <f aca="false">BL16-BL44</f>
        <v>-247.972868935531</v>
      </c>
      <c r="BM74" s="4" t="n">
        <f aca="false">BM16-BM44</f>
        <v>-23.8165874335841</v>
      </c>
      <c r="BN74" s="4" t="n">
        <f aca="false">BN16-BN44</f>
        <v>0</v>
      </c>
      <c r="BO74" s="4" t="n">
        <f aca="false">BO16-BO44</f>
        <v>-5.9408135624939</v>
      </c>
      <c r="BP74" s="4" t="n">
        <f aca="false">BP16-BP44</f>
        <v>-10.8485294311788</v>
      </c>
      <c r="BQ74" s="4" t="n">
        <f aca="false">BQ16-BQ44</f>
        <v>0</v>
      </c>
      <c r="BR74" s="4" t="n">
        <f aca="false">BR16-BR44</f>
        <v>-0.198027087645134</v>
      </c>
      <c r="BS74" s="4" t="n">
        <f aca="false">BS16-BS44</f>
        <v>-0.0198026949181989</v>
      </c>
      <c r="BT74" s="4" t="n">
        <f aca="false">BT16-BT44</f>
        <v>0</v>
      </c>
      <c r="BU74" s="4" t="n">
        <f aca="false">BU16-BU44</f>
        <v>0</v>
      </c>
      <c r="BV74" s="4" t="n">
        <f aca="false">BV16-BV44</f>
        <v>0</v>
      </c>
      <c r="BW74" s="4" t="n">
        <f aca="false">BW16-BW44</f>
        <v>0</v>
      </c>
      <c r="BX74" s="4" t="n">
        <f aca="false">BX16-BX44</f>
        <v>-1.9820699589993</v>
      </c>
      <c r="BY74" s="4" t="n">
        <f aca="false">BY16-BY44</f>
        <v>-7.99840349976244</v>
      </c>
      <c r="BZ74" s="4" t="n">
        <f aca="false">BZ16-BZ44</f>
        <v>-0.113237213278833</v>
      </c>
      <c r="CA74" s="4" t="n">
        <f aca="false">CA16-CA44</f>
        <v>-0.0155534025709193</v>
      </c>
      <c r="CB74" s="4" t="n">
        <f aca="false">CB16-CB44</f>
        <v>-103.39780514382</v>
      </c>
      <c r="CC74" s="4" t="n">
        <f aca="false">CC16-CC44</f>
        <v>-34.4056891980381</v>
      </c>
      <c r="CD74" s="4" t="n">
        <f aca="false">CD16-CD44</f>
        <v>0</v>
      </c>
      <c r="CE74" s="4" t="n">
        <f aca="false">CE16-CE44</f>
        <v>-1.83389775738403</v>
      </c>
      <c r="CF74" s="4" t="n">
        <f aca="false">CF16-CF44</f>
        <v>-112.184105458181</v>
      </c>
      <c r="CG74" s="4" t="n">
        <f aca="false">CG16-CG44</f>
        <v>-4.15744938702041</v>
      </c>
      <c r="CH74" s="4" t="n">
        <f aca="false">CH16-CH44</f>
        <v>-1.38647598473113</v>
      </c>
      <c r="CI74" s="4" t="n">
        <f aca="false">CI16-CI44</f>
        <v>-0.0559829971059272</v>
      </c>
      <c r="CJ74" s="4" t="n">
        <f aca="false">CJ16-CJ44</f>
        <v>-0.00926794561976088</v>
      </c>
      <c r="CK74" s="4" t="n">
        <f aca="false">CK16-CK44</f>
        <v>-2.11596581867424</v>
      </c>
      <c r="CL74" s="7" t="s">
        <v>322</v>
      </c>
    </row>
    <row r="75" customFormat="false" ht="12.8" hidden="false" customHeight="false" outlineLevel="0" collapsed="false">
      <c r="A75" s="4" t="s">
        <v>151</v>
      </c>
      <c r="B75" s="7" t="s">
        <v>39</v>
      </c>
      <c r="C75" s="4" t="n">
        <f aca="false">C17-C45</f>
        <v>0.027963785524214</v>
      </c>
      <c r="D75" s="4" t="n">
        <f aca="false">D17-D45</f>
        <v>2521.32490604504</v>
      </c>
      <c r="E75" s="4" t="n">
        <f aca="false">E17-E45</f>
        <v>315.451653434691</v>
      </c>
      <c r="F75" s="4" t="n">
        <f aca="false">F17-F45</f>
        <v>0</v>
      </c>
      <c r="G75" s="4" t="n">
        <f aca="false">G17-G45</f>
        <v>498.779302197151</v>
      </c>
      <c r="H75" s="4" t="n">
        <f aca="false">H17-H45</f>
        <v>0</v>
      </c>
      <c r="I75" s="4" t="n">
        <f aca="false">I17-I45</f>
        <v>-0.121471031159128</v>
      </c>
      <c r="J75" s="4" t="n">
        <f aca="false">J17-J45</f>
        <v>0.268630798564225</v>
      </c>
      <c r="K75" s="4" t="n">
        <f aca="false">K17-K45</f>
        <v>0</v>
      </c>
      <c r="L75" s="4" t="n">
        <f aca="false">L17-L45</f>
        <v>0</v>
      </c>
      <c r="M75" s="4" t="n">
        <f aca="false">M17-M45</f>
        <v>0</v>
      </c>
      <c r="N75" s="4" t="n">
        <f aca="false">N17-N45</f>
        <v>682.505403591365</v>
      </c>
      <c r="O75" s="4" t="n">
        <f aca="false">O17-O45</f>
        <v>0</v>
      </c>
      <c r="P75" s="4" t="n">
        <f aca="false">P17-P45</f>
        <v>0</v>
      </c>
      <c r="Q75" s="4" t="n">
        <f aca="false">Q17-Q45</f>
        <v>5.54081367877988</v>
      </c>
      <c r="R75" s="4" t="n">
        <f aca="false">R17-R45</f>
        <v>105.11739455514</v>
      </c>
      <c r="S75" s="4" t="n">
        <f aca="false">S17-S45</f>
        <v>0</v>
      </c>
      <c r="T75" s="4" t="n">
        <f aca="false">T17-T45</f>
        <v>0</v>
      </c>
      <c r="U75" s="4" t="n">
        <f aca="false">U17-U45</f>
        <v>0</v>
      </c>
      <c r="V75" s="4" t="n">
        <f aca="false">V17-V45</f>
        <v>18.4189755588274</v>
      </c>
      <c r="W75" s="4" t="n">
        <f aca="false">W17-W45</f>
        <v>615.317353707344</v>
      </c>
      <c r="X75" s="4" t="n">
        <f aca="false">X17-X45</f>
        <v>1494.80906447282</v>
      </c>
      <c r="Y75" s="4" t="n">
        <f aca="false">Y17-Y45</f>
        <v>0</v>
      </c>
      <c r="Z75" s="4" t="n">
        <f aca="false">Z17-Z45</f>
        <v>22.3076658682672</v>
      </c>
      <c r="AA75" s="4" t="n">
        <f aca="false">AA17-AA45</f>
        <v>-0.796376363123706</v>
      </c>
      <c r="AB75" s="4" t="n">
        <f aca="false">AB17-AB45</f>
        <v>2.74585112825427</v>
      </c>
      <c r="AC75" s="4" t="n">
        <f aca="false">AC17-AC45</f>
        <v>-1.07091174062206</v>
      </c>
      <c r="AD75" s="4" t="n">
        <f aca="false">AD17-AD45</f>
        <v>0.449525105907922</v>
      </c>
      <c r="AE75" s="4" t="n">
        <f aca="false">AE17-AE45</f>
        <v>2.31710365010791</v>
      </c>
      <c r="AF75" s="4" t="n">
        <f aca="false">AF17-AF45</f>
        <v>0.105636773283374</v>
      </c>
      <c r="AG75" s="4" t="n">
        <f aca="false">AG17-AG45</f>
        <v>2.75599626392541</v>
      </c>
      <c r="AH75" s="4" t="n">
        <f aca="false">AH17-AH45</f>
        <v>2.1769662803654</v>
      </c>
      <c r="AI75" s="4" t="n">
        <f aca="false">AI17-AI45</f>
        <v>-0.112549765365596</v>
      </c>
      <c r="AJ75" s="4" t="n">
        <f aca="false">AJ17-AJ45</f>
        <v>0.877060021854875</v>
      </c>
      <c r="AK75" s="4" t="n">
        <f aca="false">AK17-AK45</f>
        <v>0.434199404773595</v>
      </c>
      <c r="AL75" s="4" t="n">
        <f aca="false">AL17-AL45</f>
        <v>0.0471482007712157</v>
      </c>
      <c r="AM75" s="4" t="n">
        <f aca="false">AM17-AM45</f>
        <v>0.142909318635666</v>
      </c>
      <c r="AN75" s="4" t="n">
        <f aca="false">AN17-AN45</f>
        <v>0.743586067153762</v>
      </c>
      <c r="AO75" s="4" t="n">
        <f aca="false">AO17-AO45</f>
        <v>0.790477985197332</v>
      </c>
      <c r="AP75" s="4" t="n">
        <f aca="false">AP17-AP45</f>
        <v>1.11081017603029</v>
      </c>
      <c r="AQ75" s="4" t="n">
        <f aca="false">AQ17-AQ45</f>
        <v>0.104787987415493</v>
      </c>
      <c r="AR75" s="4" t="n">
        <f aca="false">AR17-AR45</f>
        <v>-0.0404390200902834</v>
      </c>
      <c r="AS75" s="4" t="n">
        <f aca="false">AS17-AS45</f>
        <v>0.211327737984093</v>
      </c>
      <c r="AT75" s="4" t="n">
        <f aca="false">AT17-AT45</f>
        <v>-0.758183539581385</v>
      </c>
      <c r="AU75" s="4" t="n">
        <f aca="false">AU17-AU45</f>
        <v>-1.07052045980916</v>
      </c>
      <c r="AV75" s="4" t="n">
        <f aca="false">AV17-AV45</f>
        <v>0.0156793138039372</v>
      </c>
      <c r="AW75" s="4" t="n">
        <f aca="false">AW17-AW45</f>
        <v>-0.551856667324391</v>
      </c>
      <c r="AX75" s="4" t="n">
        <f aca="false">AX17-AX45</f>
        <v>0.185492463630012</v>
      </c>
      <c r="AY75" s="4" t="n">
        <f aca="false">AY17-AY45</f>
        <v>-0.0116635126603201</v>
      </c>
      <c r="AZ75" s="4" t="n">
        <f aca="false">AZ17-AZ45</f>
        <v>0.072850665828613</v>
      </c>
      <c r="BA75" s="4" t="n">
        <f aca="false">BA17-BA45</f>
        <v>0</v>
      </c>
      <c r="BB75" s="4" t="n">
        <f aca="false">BB17-BB45</f>
        <v>0.203292344146803</v>
      </c>
      <c r="BC75" s="4" t="n">
        <f aca="false">BC17-BC45</f>
        <v>0.0894101897921323</v>
      </c>
      <c r="BD75" s="4" t="n">
        <f aca="false">BD17-BD45</f>
        <v>0.149181506530192</v>
      </c>
      <c r="BE75" s="4" t="n">
        <f aca="false">BE17-BE45</f>
        <v>0.0472509468169138</v>
      </c>
      <c r="BF75" s="4" t="n">
        <f aca="false">BF17-BF45</f>
        <v>-4.52140800296374</v>
      </c>
      <c r="BG75" s="4" t="n">
        <f aca="false">BG17-BG45</f>
        <v>0.793561919192925</v>
      </c>
      <c r="BH75" s="4" t="n">
        <f aca="false">BH17-BH45</f>
        <v>4.01183107734805</v>
      </c>
      <c r="BI75" s="4" t="n">
        <f aca="false">BI17-BI45</f>
        <v>31.790461688805</v>
      </c>
      <c r="BJ75" s="4" t="n">
        <f aca="false">BJ17-BJ45</f>
        <v>112.50587753098</v>
      </c>
      <c r="BK75" s="4" t="n">
        <f aca="false">BK17-BK45</f>
        <v>15.8952308444025</v>
      </c>
      <c r="BL75" s="4" t="n">
        <f aca="false">BL17-BL45</f>
        <v>245.106917685367</v>
      </c>
      <c r="BM75" s="4" t="n">
        <f aca="false">BM17-BM45</f>
        <v>10.0598827282658</v>
      </c>
      <c r="BN75" s="4" t="n">
        <f aca="false">BN17-BN45</f>
        <v>0</v>
      </c>
      <c r="BO75" s="4" t="n">
        <f aca="false">BO17-BO45</f>
        <v>-26.7295224799723</v>
      </c>
      <c r="BP75" s="4" t="n">
        <f aca="false">BP17-BP45</f>
        <v>-24.9457309545191</v>
      </c>
      <c r="BQ75" s="4" t="n">
        <f aca="false">BQ17-BQ45</f>
        <v>0</v>
      </c>
      <c r="BR75" s="4" t="n">
        <f aca="false">BR17-BR45</f>
        <v>-0.890984034380736</v>
      </c>
      <c r="BS75" s="4" t="n">
        <f aca="false">BS17-BS45</f>
        <v>-0.0890982987479289</v>
      </c>
      <c r="BT75" s="4" t="n">
        <f aca="false">BT17-BT45</f>
        <v>0</v>
      </c>
      <c r="BU75" s="4" t="n">
        <f aca="false">BU17-BU45</f>
        <v>0</v>
      </c>
      <c r="BV75" s="4" t="n">
        <f aca="false">BV17-BV45</f>
        <v>0</v>
      </c>
      <c r="BW75" s="4" t="n">
        <f aca="false">BW17-BW45</f>
        <v>0</v>
      </c>
      <c r="BX75" s="4" t="n">
        <f aca="false">BX17-BX45</f>
        <v>0.402108385079591</v>
      </c>
      <c r="BY75" s="4" t="n">
        <f aca="false">BY17-BY45</f>
        <v>53.0202873336001</v>
      </c>
      <c r="BZ75" s="4" t="n">
        <f aca="false">BZ17-BZ45</f>
        <v>0.0636710849258942</v>
      </c>
      <c r="CA75" s="4" t="n">
        <f aca="false">CA17-CA45</f>
        <v>0.0713227795014479</v>
      </c>
      <c r="CB75" s="4" t="n">
        <f aca="false">CB17-CB45</f>
        <v>416.508590771738</v>
      </c>
      <c r="CC75" s="4" t="n">
        <f aca="false">CC17-CC45</f>
        <v>343.421219190473</v>
      </c>
      <c r="CD75" s="4" t="n">
        <f aca="false">CD17-CD45</f>
        <v>0</v>
      </c>
      <c r="CE75" s="4" t="n">
        <f aca="false">CE17-CE45</f>
        <v>0.426076994462167</v>
      </c>
      <c r="CF75" s="4" t="n">
        <f aca="false">CF17-CF45</f>
        <v>148.60396979308</v>
      </c>
      <c r="CG75" s="4" t="n">
        <f aca="false">CG17-CG45</f>
        <v>-1.35270900991326</v>
      </c>
      <c r="CH75" s="4" t="n">
        <f aca="false">CH17-CH45</f>
        <v>-0.0901357035438597</v>
      </c>
      <c r="CI75" s="4" t="n">
        <f aca="false">CI17-CI45</f>
        <v>0.0587003893410496</v>
      </c>
      <c r="CJ75" s="4" t="n">
        <f aca="false">CJ17-CJ45</f>
        <v>0.0259351468899062</v>
      </c>
      <c r="CK75" s="4" t="n">
        <f aca="false">CK17-CK45</f>
        <v>0.320608592897604</v>
      </c>
      <c r="CL75" s="7" t="s">
        <v>322</v>
      </c>
    </row>
    <row r="76" s="20" customFormat="true" ht="12.8" hidden="false" customHeight="false" outlineLevel="0" collapsed="false">
      <c r="A76" s="20" t="s">
        <v>152</v>
      </c>
      <c r="B76" s="21" t="s">
        <v>39</v>
      </c>
      <c r="C76" s="20" t="n">
        <f aca="false">C18-C46</f>
        <v>-0.00300777874773148</v>
      </c>
      <c r="D76" s="20" t="n">
        <f aca="false">D18-D46</f>
        <v>44.7770114598147</v>
      </c>
      <c r="E76" s="20" t="n">
        <f aca="false">E18-E46</f>
        <v>-65.5117105426786</v>
      </c>
      <c r="F76" s="20" t="n">
        <f aca="false">F18-F46</f>
        <v>0</v>
      </c>
      <c r="G76" s="20" t="n">
        <f aca="false">G18-G46</f>
        <v>0.681597878180657</v>
      </c>
      <c r="H76" s="20" t="n">
        <f aca="false">H18-H46</f>
        <v>0</v>
      </c>
      <c r="I76" s="20" t="n">
        <f aca="false">I18-I46</f>
        <v>-0.999460884958989</v>
      </c>
      <c r="J76" s="20" t="n">
        <f aca="false">J18-J46</f>
        <v>2.28483745272381</v>
      </c>
      <c r="K76" s="20" t="n">
        <f aca="false">K18-K46</f>
        <v>0</v>
      </c>
      <c r="L76" s="20" t="n">
        <f aca="false">L18-L46</f>
        <v>0</v>
      </c>
      <c r="M76" s="20" t="n">
        <f aca="false">M18-M46</f>
        <v>0</v>
      </c>
      <c r="N76" s="20" t="n">
        <f aca="false">N18-N46</f>
        <v>74.6286933080478</v>
      </c>
      <c r="O76" s="20" t="n">
        <f aca="false">O18-O46</f>
        <v>0</v>
      </c>
      <c r="P76" s="20" t="n">
        <f aca="false">P18-P46</f>
        <v>0</v>
      </c>
      <c r="Q76" s="20" t="n">
        <f aca="false">Q18-Q46</f>
        <v>0.188310813064693</v>
      </c>
      <c r="R76" s="20" t="n">
        <f aca="false">R18-R46</f>
        <v>-12.839173099875</v>
      </c>
      <c r="S76" s="20" t="n">
        <f aca="false">S18-S46</f>
        <v>0</v>
      </c>
      <c r="T76" s="20" t="n">
        <f aca="false">T18-T46</f>
        <v>0</v>
      </c>
      <c r="U76" s="20" t="n">
        <f aca="false">U18-U46</f>
        <v>0</v>
      </c>
      <c r="V76" s="20" t="n">
        <f aca="false">V18-V46</f>
        <v>-69.5730331237603</v>
      </c>
      <c r="W76" s="20" t="n">
        <f aca="false">W18-W46</f>
        <v>419.863394389333</v>
      </c>
      <c r="X76" s="20" t="n">
        <f aca="false">X18-X46</f>
        <v>-415.909997856211</v>
      </c>
      <c r="Y76" s="20" t="n">
        <f aca="false">Y18-Y46</f>
        <v>0</v>
      </c>
      <c r="Z76" s="20" t="n">
        <f aca="false">Z18-Z46</f>
        <v>35.3209746111623</v>
      </c>
      <c r="AA76" s="20" t="n">
        <f aca="false">AA18-AA46</f>
        <v>2.10565914933965</v>
      </c>
      <c r="AB76" s="20" t="n">
        <f aca="false">AB18-AB46</f>
        <v>8.90659646773189</v>
      </c>
      <c r="AC76" s="20" t="n">
        <f aca="false">AC18-AC46</f>
        <v>1.09589827038295</v>
      </c>
      <c r="AD76" s="20" t="n">
        <f aca="false">AD18-AD46</f>
        <v>1.45810480373047</v>
      </c>
      <c r="AE76" s="20" t="n">
        <f aca="false">AE18-AE46</f>
        <v>4.68933235070968</v>
      </c>
      <c r="AF76" s="20" t="n">
        <f aca="false">AF18-AF46</f>
        <v>0.33323844241795</v>
      </c>
      <c r="AG76" s="20" t="n">
        <f aca="false">AG18-AG46</f>
        <v>0.537150197583321</v>
      </c>
      <c r="AH76" s="20" t="n">
        <f aca="false">AH18-AH46</f>
        <v>3.40653938401188</v>
      </c>
      <c r="AI76" s="20" t="n">
        <f aca="false">AI18-AI46</f>
        <v>0.26451173684025</v>
      </c>
      <c r="AJ76" s="20" t="n">
        <f aca="false">AJ18-AJ46</f>
        <v>0.287919305878218</v>
      </c>
      <c r="AK76" s="20" t="n">
        <f aca="false">AK18-AK46</f>
        <v>0.309998165787336</v>
      </c>
      <c r="AL76" s="20" t="n">
        <f aca="false">AL18-AL46</f>
        <v>0.367391625587271</v>
      </c>
      <c r="AM76" s="20" t="n">
        <f aca="false">AM18-AM46</f>
        <v>0.894149041594381</v>
      </c>
      <c r="AN76" s="20" t="n">
        <f aca="false">AN18-AN46</f>
        <v>0.648182779251378</v>
      </c>
      <c r="AO76" s="20" t="n">
        <f aca="false">AO18-AO46</f>
        <v>1.23408562027347</v>
      </c>
      <c r="AP76" s="20" t="n">
        <f aca="false">AP18-AP46</f>
        <v>0.810087229944575</v>
      </c>
      <c r="AQ76" s="20" t="n">
        <f aca="false">AQ18-AQ46</f>
        <v>-0.02757793776424</v>
      </c>
      <c r="AR76" s="20" t="n">
        <f aca="false">AR18-AR46</f>
        <v>0.0927482188911911</v>
      </c>
      <c r="AS76" s="20" t="n">
        <f aca="false">AS18-AS46</f>
        <v>0.103909734736755</v>
      </c>
      <c r="AT76" s="20" t="n">
        <f aca="false">AT18-AT46</f>
        <v>2.99933385338284</v>
      </c>
      <c r="AU76" s="20" t="n">
        <f aca="false">AU18-AU46</f>
        <v>3.35397373499367</v>
      </c>
      <c r="AV76" s="20" t="n">
        <f aca="false">AV18-AV46</f>
        <v>0.136508511448126</v>
      </c>
      <c r="AW76" s="20" t="n">
        <f aca="false">AW18-AW46</f>
        <v>0.713151073862153</v>
      </c>
      <c r="AX76" s="20" t="n">
        <f aca="false">AX18-AX46</f>
        <v>0.198108200381505</v>
      </c>
      <c r="AY76" s="20" t="n">
        <f aca="false">AY18-AY46</f>
        <v>0.218611664348678</v>
      </c>
      <c r="AZ76" s="20" t="n">
        <f aca="false">AZ18-AZ46</f>
        <v>1.68213292933054</v>
      </c>
      <c r="BA76" s="20" t="n">
        <f aca="false">BA18-BA46</f>
        <v>0</v>
      </c>
      <c r="BB76" s="20" t="n">
        <f aca="false">BB18-BB46</f>
        <v>0.401762010726307</v>
      </c>
      <c r="BC76" s="20" t="n">
        <f aca="false">BC18-BC46</f>
        <v>0.14112112459424</v>
      </c>
      <c r="BD76" s="20" t="n">
        <f aca="false">BD18-BD46</f>
        <v>0.0696381378936773</v>
      </c>
      <c r="BE76" s="20" t="n">
        <f aca="false">BE18-BE46</f>
        <v>0.0384894643981128</v>
      </c>
      <c r="BF76" s="20" t="n">
        <f aca="false">BF18-BF46</f>
        <v>2.81078071498588</v>
      </c>
      <c r="BG76" s="20" t="n">
        <f aca="false">BG18-BG46</f>
        <v>-0.278778156586689</v>
      </c>
      <c r="BH76" s="20" t="n">
        <f aca="false">BH18-BH46</f>
        <v>1.061856436654</v>
      </c>
      <c r="BI76" s="20" t="n">
        <f aca="false">BI18-BI46</f>
        <v>16.242825082547</v>
      </c>
      <c r="BJ76" s="20" t="n">
        <f aca="false">BJ18-BJ46</f>
        <v>198.206271567157</v>
      </c>
      <c r="BK76" s="20" t="n">
        <f aca="false">BK18-BK46</f>
        <v>8.12141254127348</v>
      </c>
      <c r="BL76" s="20" t="n">
        <f aca="false">BL18-BL46</f>
        <v>423.936231655923</v>
      </c>
      <c r="BM76" s="20" t="n">
        <f aca="false">BM18-BM46</f>
        <v>26.5938028620285</v>
      </c>
      <c r="BN76" s="20" t="n">
        <f aca="false">BN18-BN46</f>
        <v>0</v>
      </c>
      <c r="BO76" s="20" t="n">
        <f aca="false">BO18-BO46</f>
        <v>67.1262678423176</v>
      </c>
      <c r="BP76" s="20" t="n">
        <f aca="false">BP18-BP46</f>
        <v>70.3933949416953</v>
      </c>
      <c r="BQ76" s="20" t="n">
        <f aca="false">BQ18-BQ46</f>
        <v>0</v>
      </c>
      <c r="BR76" s="20" t="n">
        <f aca="false">BR18-BR46</f>
        <v>2.23754208533659</v>
      </c>
      <c r="BS76" s="20" t="n">
        <f aca="false">BS18-BS46</f>
        <v>0.223754078106935</v>
      </c>
      <c r="BT76" s="20" t="n">
        <f aca="false">BT18-BT46</f>
        <v>0</v>
      </c>
      <c r="BU76" s="20" t="n">
        <f aca="false">BU18-BU46</f>
        <v>0</v>
      </c>
      <c r="BV76" s="20" t="n">
        <f aca="false">BV18-BV46</f>
        <v>0</v>
      </c>
      <c r="BW76" s="20" t="n">
        <f aca="false">BW18-BW46</f>
        <v>0</v>
      </c>
      <c r="BX76" s="20" t="n">
        <f aca="false">BX18-BX46</f>
        <v>3.35841462602913</v>
      </c>
      <c r="BY76" s="20" t="n">
        <f aca="false">BY18-BY46</f>
        <v>62.5886312636033</v>
      </c>
      <c r="BZ76" s="20" t="n">
        <f aca="false">BZ18-BZ46</f>
        <v>0.115521223403184</v>
      </c>
      <c r="CA76" s="20" t="n">
        <f aca="false">CA18-CA46</f>
        <v>0.00939829494287258</v>
      </c>
      <c r="CB76" s="20" t="n">
        <f aca="false">CB18-CB46</f>
        <v>294.877006509589</v>
      </c>
      <c r="CC76" s="20" t="n">
        <f aca="false">CC18-CC46</f>
        <v>135.34574957875</v>
      </c>
      <c r="CD76" s="20" t="n">
        <f aca="false">CD18-CD46</f>
        <v>0</v>
      </c>
      <c r="CE76" s="20" t="n">
        <f aca="false">CE18-CE46</f>
        <v>1.20289023978421</v>
      </c>
      <c r="CF76" s="20" t="n">
        <f aca="false">CF18-CF46</f>
        <v>144.540833224046</v>
      </c>
      <c r="CG76" s="20" t="n">
        <f aca="false">CG18-CG46</f>
        <v>10.088274753874</v>
      </c>
      <c r="CH76" s="20" t="n">
        <f aca="false">CH18-CH46</f>
        <v>13.547017290807</v>
      </c>
      <c r="CI76" s="20" t="n">
        <f aca="false">CI18-CI46</f>
        <v>0.138951927020041</v>
      </c>
      <c r="CJ76" s="20" t="n">
        <f aca="false">CJ18-CJ46</f>
        <v>0.0302028617528422</v>
      </c>
      <c r="CK76" s="20" t="n">
        <f aca="false">CK18-CK46</f>
        <v>2.52033537341147</v>
      </c>
      <c r="CL76" s="21" t="s">
        <v>322</v>
      </c>
      <c r="AMJ76" s="17"/>
    </row>
    <row r="77" customFormat="false" ht="12.8" hidden="false" customHeight="false" outlineLevel="0" collapsed="false">
      <c r="A77" s="4" t="s">
        <v>153</v>
      </c>
      <c r="B77" s="7" t="s">
        <v>39</v>
      </c>
      <c r="C77" s="4" t="n">
        <f aca="false">C19-C47</f>
        <v>-0.00511137063349159</v>
      </c>
      <c r="D77" s="4" t="n">
        <f aca="false">D19-D47</f>
        <v>-289.470017693049</v>
      </c>
      <c r="E77" s="4" t="n">
        <f aca="false">E19-E47</f>
        <v>-114.717187523305</v>
      </c>
      <c r="F77" s="4" t="n">
        <f aca="false">F19-F47</f>
        <v>0</v>
      </c>
      <c r="G77" s="4" t="n">
        <f aca="false">G19-G47</f>
        <v>-11.8433737608435</v>
      </c>
      <c r="H77" s="4" t="n">
        <f aca="false">H19-H47</f>
        <v>0</v>
      </c>
      <c r="I77" s="4" t="n">
        <f aca="false">I19-I47</f>
        <v>0.89154083656714</v>
      </c>
      <c r="J77" s="4" t="n">
        <f aca="false">J19-J47</f>
        <v>1.3168187601743</v>
      </c>
      <c r="K77" s="4" t="n">
        <f aca="false">K19-K47</f>
        <v>0</v>
      </c>
      <c r="L77" s="4" t="n">
        <f aca="false">L19-L47</f>
        <v>0</v>
      </c>
      <c r="M77" s="4" t="n">
        <f aca="false">M19-M47</f>
        <v>0</v>
      </c>
      <c r="N77" s="4" t="n">
        <f aca="false">N19-N47</f>
        <v>-217.229729608689</v>
      </c>
      <c r="O77" s="4" t="n">
        <f aca="false">O19-O47</f>
        <v>0</v>
      </c>
      <c r="P77" s="4" t="n">
        <f aca="false">P19-P47</f>
        <v>0</v>
      </c>
      <c r="Q77" s="4" t="n">
        <f aca="false">Q19-Q47</f>
        <v>-0.103010323917831</v>
      </c>
      <c r="R77" s="4" t="n">
        <f aca="false">R19-R47</f>
        <v>-37.7440664390324</v>
      </c>
      <c r="S77" s="4" t="n">
        <f aca="false">S19-S47</f>
        <v>0</v>
      </c>
      <c r="T77" s="4" t="n">
        <f aca="false">T19-T47</f>
        <v>0</v>
      </c>
      <c r="U77" s="4" t="n">
        <f aca="false">U19-U47</f>
        <v>0</v>
      </c>
      <c r="V77" s="4" t="n">
        <f aca="false">V19-V47</f>
        <v>88.7987397665392</v>
      </c>
      <c r="W77" s="4" t="n">
        <f aca="false">W19-W47</f>
        <v>102.101523556951</v>
      </c>
      <c r="X77" s="4" t="n">
        <f aca="false">X19-X47</f>
        <v>7.50558811116196</v>
      </c>
      <c r="Y77" s="4" t="n">
        <f aca="false">Y19-Y47</f>
        <v>0</v>
      </c>
      <c r="Z77" s="4" t="n">
        <f aca="false">Z19-Z47</f>
        <v>-18.0465891024098</v>
      </c>
      <c r="AA77" s="4" t="n">
        <f aca="false">AA19-AA47</f>
        <v>1.05224872703917</v>
      </c>
      <c r="AB77" s="4" t="n">
        <f aca="false">AB19-AB47</f>
        <v>4.18470222994757</v>
      </c>
      <c r="AC77" s="4" t="n">
        <f aca="false">AC19-AC47</f>
        <v>-1.83907885185045</v>
      </c>
      <c r="AD77" s="4" t="n">
        <f aca="false">AD19-AD47</f>
        <v>0.685080372258294</v>
      </c>
      <c r="AE77" s="4" t="n">
        <f aca="false">AE19-AE47</f>
        <v>-1.57136431239207</v>
      </c>
      <c r="AF77" s="4" t="n">
        <f aca="false">AF19-AF47</f>
        <v>-0.411964103972379</v>
      </c>
      <c r="AG77" s="4" t="n">
        <f aca="false">AG19-AG47</f>
        <v>0.648149750358443</v>
      </c>
      <c r="AH77" s="4" t="n">
        <f aca="false">AH19-AH47</f>
        <v>-1.68504789018532</v>
      </c>
      <c r="AI77" s="4" t="n">
        <f aca="false">AI19-AI47</f>
        <v>-0.190450733705736</v>
      </c>
      <c r="AJ77" s="4" t="n">
        <f aca="false">AJ19-AJ47</f>
        <v>0.37266650433404</v>
      </c>
      <c r="AK77" s="4" t="n">
        <f aca="false">AK19-AK47</f>
        <v>-0.296110405753895</v>
      </c>
      <c r="AL77" s="4" t="n">
        <f aca="false">AL19-AL47</f>
        <v>-0.106439909615619</v>
      </c>
      <c r="AM77" s="4" t="n">
        <f aca="false">AM19-AM47</f>
        <v>0.679786311183383</v>
      </c>
      <c r="AN77" s="4" t="n">
        <f aca="false">AN19-AN47</f>
        <v>-0.0776052684802469</v>
      </c>
      <c r="AO77" s="4" t="n">
        <f aca="false">AO19-AO47</f>
        <v>-0.956881498743922</v>
      </c>
      <c r="AP77" s="4" t="n">
        <f aca="false">AP19-AP47</f>
        <v>0.483260819801125</v>
      </c>
      <c r="AQ77" s="4" t="n">
        <f aca="false">AQ19-AQ47</f>
        <v>-0.0026653189021876</v>
      </c>
      <c r="AR77" s="4" t="n">
        <f aca="false">AR19-AR47</f>
        <v>0.0609584209890426</v>
      </c>
      <c r="AS77" s="4" t="n">
        <f aca="false">AS19-AS47</f>
        <v>0.104422401790389</v>
      </c>
      <c r="AT77" s="4" t="n">
        <f aca="false">AT19-AT47</f>
        <v>-3.08631862437381</v>
      </c>
      <c r="AU77" s="4" t="n">
        <f aca="false">AU19-AU47</f>
        <v>0.653370202071294</v>
      </c>
      <c r="AV77" s="4" t="n">
        <f aca="false">AV19-AV47</f>
        <v>0.00962096231938318</v>
      </c>
      <c r="AW77" s="4" t="n">
        <f aca="false">AW19-AW47</f>
        <v>-0.966252821831799</v>
      </c>
      <c r="AX77" s="4" t="n">
        <f aca="false">AX19-AX47</f>
        <v>-0.0959866514282394</v>
      </c>
      <c r="AY77" s="4" t="n">
        <f aca="false">AY19-AY47</f>
        <v>-0.0499400548949111</v>
      </c>
      <c r="AZ77" s="4" t="n">
        <f aca="false">AZ19-AZ47</f>
        <v>0.0229018141185118</v>
      </c>
      <c r="BA77" s="4" t="n">
        <f aca="false">BA19-BA47</f>
        <v>0</v>
      </c>
      <c r="BB77" s="4" t="n">
        <f aca="false">BB19-BB47</f>
        <v>0.155538064967691</v>
      </c>
      <c r="BC77" s="4" t="n">
        <f aca="false">BC19-BC47</f>
        <v>-0.151202370473839</v>
      </c>
      <c r="BD77" s="4" t="n">
        <f aca="false">BD19-BD47</f>
        <v>-0.0437558560053407</v>
      </c>
      <c r="BE77" s="4" t="n">
        <f aca="false">BE19-BE47</f>
        <v>0.00916889824652738</v>
      </c>
      <c r="BF77" s="4" t="n">
        <f aca="false">BF19-BF47</f>
        <v>2.62939061750038</v>
      </c>
      <c r="BG77" s="4" t="n">
        <f aca="false">BG19-BG47</f>
        <v>-0.81690021372048</v>
      </c>
      <c r="BH77" s="4" t="n">
        <f aca="false">BH19-BH47</f>
        <v>-1.60556004720618</v>
      </c>
      <c r="BI77" s="4" t="n">
        <f aca="false">BI19-BI47</f>
        <v>-10.6544529379183</v>
      </c>
      <c r="BJ77" s="4" t="n">
        <f aca="false">BJ19-BJ47</f>
        <v>-10.7655384115049</v>
      </c>
      <c r="BK77" s="4" t="n">
        <f aca="false">BK19-BK47</f>
        <v>-5.32722646895914</v>
      </c>
      <c r="BL77" s="4" t="n">
        <f aca="false">BL19-BL47</f>
        <v>-22.7542030836806</v>
      </c>
      <c r="BM77" s="4" t="n">
        <f aca="false">BM19-BM47</f>
        <v>-4.49472156802359</v>
      </c>
      <c r="BN77" s="4" t="n">
        <f aca="false">BN19-BN47</f>
        <v>0</v>
      </c>
      <c r="BO77" s="4" t="n">
        <f aca="false">BO19-BO47</f>
        <v>-9.83045568655099</v>
      </c>
      <c r="BP77" s="4" t="n">
        <f aca="false">BP19-BP47</f>
        <v>-17.5108498987377</v>
      </c>
      <c r="BQ77" s="4" t="n">
        <f aca="false">BQ19-BQ47</f>
        <v>0</v>
      </c>
      <c r="BR77" s="4" t="n">
        <f aca="false">BR19-BR47</f>
        <v>-0.327681809413991</v>
      </c>
      <c r="BS77" s="4" t="n">
        <f aca="false">BS19-BS47</f>
        <v>-0.0327681537693774</v>
      </c>
      <c r="BT77" s="4" t="n">
        <f aca="false">BT19-BT47</f>
        <v>0</v>
      </c>
      <c r="BU77" s="4" t="n">
        <f aca="false">BU19-BU47</f>
        <v>0</v>
      </c>
      <c r="BV77" s="4" t="n">
        <f aca="false">BV19-BV47</f>
        <v>0</v>
      </c>
      <c r="BW77" s="4" t="n">
        <f aca="false">BW19-BW47</f>
        <v>0</v>
      </c>
      <c r="BX77" s="4" t="n">
        <f aca="false">BX19-BX47</f>
        <v>-0.00304208190611774</v>
      </c>
      <c r="BY77" s="4" t="n">
        <f aca="false">BY19-BY47</f>
        <v>-6.06074251745784</v>
      </c>
      <c r="BZ77" s="4" t="n">
        <f aca="false">BZ19-BZ47</f>
        <v>-0.0890722117508045</v>
      </c>
      <c r="CA77" s="4" t="n">
        <f aca="false">CA19-CA47</f>
        <v>-0.0464378148103559</v>
      </c>
      <c r="CB77" s="4" t="n">
        <f aca="false">CB19-CB47</f>
        <v>-50.3120429972141</v>
      </c>
      <c r="CC77" s="4" t="n">
        <f aca="false">CC19-CC47</f>
        <v>-257.846348556675</v>
      </c>
      <c r="CD77" s="4" t="n">
        <f aca="false">CD19-CD47</f>
        <v>0</v>
      </c>
      <c r="CE77" s="4" t="n">
        <f aca="false">CE19-CE47</f>
        <v>-1.2993047365555</v>
      </c>
      <c r="CF77" s="4" t="n">
        <f aca="false">CF19-CF47</f>
        <v>-190.688696563324</v>
      </c>
      <c r="CG77" s="4" t="n">
        <f aca="false">CG19-CG47</f>
        <v>-1.57233108482347</v>
      </c>
      <c r="CH77" s="4" t="n">
        <f aca="false">CH19-CH47</f>
        <v>-0.587152396454546</v>
      </c>
      <c r="CI77" s="4" t="n">
        <f aca="false">CI19-CI47</f>
        <v>-0.00146941298414321</v>
      </c>
      <c r="CJ77" s="4" t="n">
        <f aca="false">CJ19-CJ47</f>
        <v>-0.00288602220189545</v>
      </c>
      <c r="CK77" s="4" t="n">
        <f aca="false">CK19-CK47</f>
        <v>-0.178460355311128</v>
      </c>
      <c r="CL77" s="7" t="s">
        <v>322</v>
      </c>
    </row>
    <row r="78" customFormat="false" ht="12.8" hidden="false" customHeight="false" outlineLevel="0" collapsed="false">
      <c r="A78" s="4" t="s">
        <v>155</v>
      </c>
      <c r="B78" s="7" t="s">
        <v>39</v>
      </c>
      <c r="C78" s="4" t="n">
        <f aca="false">C20-C48</f>
        <v>-0.0030253924300169</v>
      </c>
      <c r="D78" s="4" t="n">
        <f aca="false">D20-D48</f>
        <v>-237.762152782582</v>
      </c>
      <c r="E78" s="4" t="n">
        <f aca="false">E20-E48</f>
        <v>-19.7549683346367</v>
      </c>
      <c r="F78" s="4" t="n">
        <f aca="false">F20-F48</f>
        <v>0</v>
      </c>
      <c r="G78" s="4" t="n">
        <f aca="false">G20-G48</f>
        <v>-3.02542307812302</v>
      </c>
      <c r="H78" s="4" t="n">
        <f aca="false">H20-H48</f>
        <v>0</v>
      </c>
      <c r="I78" s="4" t="n">
        <f aca="false">I20-I48</f>
        <v>0.584606558506663</v>
      </c>
      <c r="J78" s="4" t="n">
        <f aca="false">J20-J48</f>
        <v>0.96774011379058</v>
      </c>
      <c r="K78" s="4" t="n">
        <f aca="false">K20-K48</f>
        <v>0</v>
      </c>
      <c r="L78" s="4" t="n">
        <f aca="false">L20-L48</f>
        <v>0</v>
      </c>
      <c r="M78" s="4" t="n">
        <f aca="false">M20-M48</f>
        <v>0</v>
      </c>
      <c r="N78" s="4" t="n">
        <f aca="false">N20-N48</f>
        <v>-26.0474891041357</v>
      </c>
      <c r="O78" s="4" t="n">
        <f aca="false">O20-O48</f>
        <v>0</v>
      </c>
      <c r="P78" s="4" t="n">
        <f aca="false">P20-P48</f>
        <v>0</v>
      </c>
      <c r="Q78" s="4" t="n">
        <f aca="false">Q20-Q48</f>
        <v>-0.625767937434067</v>
      </c>
      <c r="R78" s="4" t="n">
        <f aca="false">R20-R48</f>
        <v>-82.0453497303725</v>
      </c>
      <c r="S78" s="4" t="n">
        <f aca="false">S20-S48</f>
        <v>0</v>
      </c>
      <c r="T78" s="4" t="n">
        <f aca="false">T20-T48</f>
        <v>0</v>
      </c>
      <c r="U78" s="4" t="n">
        <f aca="false">U20-U48</f>
        <v>0</v>
      </c>
      <c r="V78" s="4" t="n">
        <f aca="false">V20-V48</f>
        <v>-97.1238744734114</v>
      </c>
      <c r="W78" s="4" t="n">
        <f aca="false">W20-W48</f>
        <v>-390.691220987714</v>
      </c>
      <c r="X78" s="4" t="n">
        <f aca="false">X20-X48</f>
        <v>-1837.1535189802</v>
      </c>
      <c r="Y78" s="4" t="n">
        <f aca="false">Y20-Y48</f>
        <v>0</v>
      </c>
      <c r="Z78" s="4" t="n">
        <f aca="false">Z20-Z48</f>
        <v>-0.478418953840152</v>
      </c>
      <c r="AA78" s="4" t="n">
        <f aca="false">AA20-AA48</f>
        <v>-0.0505821709692611</v>
      </c>
      <c r="AB78" s="4" t="n">
        <f aca="false">AB20-AB48</f>
        <v>-1.20682409226974</v>
      </c>
      <c r="AC78" s="4" t="n">
        <f aca="false">AC20-AC48</f>
        <v>0.28735642380965</v>
      </c>
      <c r="AD78" s="4" t="n">
        <f aca="false">AD20-AD48</f>
        <v>-0.19756997104016</v>
      </c>
      <c r="AE78" s="4" t="n">
        <f aca="false">AE20-AE48</f>
        <v>-0.609369217317128</v>
      </c>
      <c r="AF78" s="4" t="n">
        <f aca="false">AF20-AF48</f>
        <v>-0.350556936162233</v>
      </c>
      <c r="AG78" s="4" t="n">
        <f aca="false">AG20-AG48</f>
        <v>-1.13748851671851</v>
      </c>
      <c r="AH78" s="4" t="n">
        <f aca="false">AH20-AH48</f>
        <v>-0.240443576377067</v>
      </c>
      <c r="AI78" s="4" t="n">
        <f aca="false">AI20-AI48</f>
        <v>-0.194295794678178</v>
      </c>
      <c r="AJ78" s="4" t="n">
        <f aca="false">AJ20-AJ48</f>
        <v>-0.102344357579128</v>
      </c>
      <c r="AK78" s="4" t="n">
        <f aca="false">AK20-AK48</f>
        <v>-0.28451747184296</v>
      </c>
      <c r="AL78" s="4" t="n">
        <f aca="false">AL20-AL48</f>
        <v>-0.155445336322381</v>
      </c>
      <c r="AM78" s="4" t="n">
        <f aca="false">AM20-AM48</f>
        <v>-0.60543650792312</v>
      </c>
      <c r="AN78" s="4" t="n">
        <f aca="false">AN20-AN48</f>
        <v>-0.169377960815046</v>
      </c>
      <c r="AO78" s="4" t="n">
        <f aca="false">AO20-AO48</f>
        <v>-0.314129367616671</v>
      </c>
      <c r="AP78" s="4" t="n">
        <f aca="false">AP20-AP48</f>
        <v>-0.12341318167998</v>
      </c>
      <c r="AQ78" s="4" t="n">
        <f aca="false">AQ20-AQ48</f>
        <v>-0.0498276315411656</v>
      </c>
      <c r="AR78" s="4" t="n">
        <f aca="false">AR20-AR48</f>
        <v>-0.101832347860381</v>
      </c>
      <c r="AS78" s="4" t="n">
        <f aca="false">AS20-AS48</f>
        <v>-0.100885028965135</v>
      </c>
      <c r="AT78" s="4" t="n">
        <f aca="false">AT20-AT48</f>
        <v>-0.579072052435924</v>
      </c>
      <c r="AU78" s="4" t="n">
        <f aca="false">AU20-AU48</f>
        <v>-0.936771116761953</v>
      </c>
      <c r="AV78" s="4" t="n">
        <f aca="false">AV20-AV48</f>
        <v>-0.0599375114955528</v>
      </c>
      <c r="AW78" s="4" t="n">
        <f aca="false">AW20-AW48</f>
        <v>0.145714286752397</v>
      </c>
      <c r="AX78" s="4" t="n">
        <f aca="false">AX20-AX48</f>
        <v>-0.116682381927293</v>
      </c>
      <c r="AY78" s="4" t="n">
        <f aca="false">AY20-AY48</f>
        <v>0.00114140488248293</v>
      </c>
      <c r="AZ78" s="4" t="n">
        <f aca="false">AZ20-AZ48</f>
        <v>-0.0251209751499714</v>
      </c>
      <c r="BA78" s="4" t="n">
        <f aca="false">BA20-BA48</f>
        <v>0</v>
      </c>
      <c r="BB78" s="4" t="n">
        <f aca="false">BB20-BB48</f>
        <v>-0.131483938042594</v>
      </c>
      <c r="BC78" s="4" t="n">
        <f aca="false">BC20-BC48</f>
        <v>-0.132261287644616</v>
      </c>
      <c r="BD78" s="4" t="n">
        <f aca="false">BD20-BD48</f>
        <v>-0.0726724285426121</v>
      </c>
      <c r="BE78" s="4" t="n">
        <f aca="false">BE20-BE48</f>
        <v>-0.0292769224700501</v>
      </c>
      <c r="BF78" s="4" t="n">
        <f aca="false">BF20-BF48</f>
        <v>-2.55901327913502</v>
      </c>
      <c r="BG78" s="4" t="n">
        <f aca="false">BG20-BG48</f>
        <v>-0.457318439546918</v>
      </c>
      <c r="BH78" s="4" t="n">
        <f aca="false">BH20-BH48</f>
        <v>-0.00188441238155275</v>
      </c>
      <c r="BI78" s="4" t="n">
        <f aca="false">BI20-BI48</f>
        <v>-4.30437369056071</v>
      </c>
      <c r="BJ78" s="4" t="n">
        <f aca="false">BJ20-BJ48</f>
        <v>-241.467003237802</v>
      </c>
      <c r="BK78" s="4" t="n">
        <f aca="false">BK20-BK48</f>
        <v>-2.15218684528035</v>
      </c>
      <c r="BL78" s="4" t="n">
        <f aca="false">BL20-BL48</f>
        <v>-242.721486025722</v>
      </c>
      <c r="BM78" s="4" t="n">
        <f aca="false">BM20-BM48</f>
        <v>-11.8761398322988</v>
      </c>
      <c r="BN78" s="4" t="n">
        <f aca="false">BN20-BN48</f>
        <v>0</v>
      </c>
      <c r="BO78" s="4" t="n">
        <f aca="false">BO20-BO48</f>
        <v>0.0121477142881875</v>
      </c>
      <c r="BP78" s="4" t="n">
        <f aca="false">BP20-BP48</f>
        <v>0.0457143374437666</v>
      </c>
      <c r="BQ78" s="4" t="n">
        <f aca="false">BQ20-BQ48</f>
        <v>0</v>
      </c>
      <c r="BR78" s="4" t="n">
        <f aca="false">BR20-BR48</f>
        <v>0.000404922767525565</v>
      </c>
      <c r="BS78" s="4" t="n">
        <f aca="false">BS20-BS48</f>
        <v>4.04921020000945E-005</v>
      </c>
      <c r="BT78" s="4" t="n">
        <f aca="false">BT20-BT48</f>
        <v>0</v>
      </c>
      <c r="BU78" s="4" t="n">
        <f aca="false">BU20-BU48</f>
        <v>0</v>
      </c>
      <c r="BV78" s="4" t="n">
        <f aca="false">BV20-BV48</f>
        <v>0</v>
      </c>
      <c r="BW78" s="4" t="n">
        <f aca="false">BW20-BW48</f>
        <v>0</v>
      </c>
      <c r="BX78" s="4" t="n">
        <f aca="false">BX20-BX48</f>
        <v>-1.17519735378432</v>
      </c>
      <c r="BY78" s="4" t="n">
        <f aca="false">BY20-BY48</f>
        <v>-43.8046409363796</v>
      </c>
      <c r="BZ78" s="4" t="n">
        <f aca="false">BZ20-BZ48</f>
        <v>-0.054572029851963</v>
      </c>
      <c r="CA78" s="4" t="n">
        <f aca="false">CA20-CA48</f>
        <v>-0.0253467994744422</v>
      </c>
      <c r="CB78" s="4" t="n">
        <f aca="false">CB20-CB48</f>
        <v>-160.322630048427</v>
      </c>
      <c r="CC78" s="4" t="n">
        <f aca="false">CC20-CC48</f>
        <v>-316.868364454729</v>
      </c>
      <c r="CD78" s="4" t="n">
        <f aca="false">CD20-CD48</f>
        <v>0</v>
      </c>
      <c r="CE78" s="4" t="n">
        <f aca="false">CE20-CE48</f>
        <v>-0.120416118320018</v>
      </c>
      <c r="CF78" s="4" t="n">
        <f aca="false">CF20-CF48</f>
        <v>-315.198416136932</v>
      </c>
      <c r="CG78" s="4" t="n">
        <f aca="false">CG20-CG48</f>
        <v>0.0183963015978831</v>
      </c>
      <c r="CH78" s="4" t="n">
        <f aca="false">CH20-CH48</f>
        <v>0.326862732925585</v>
      </c>
      <c r="CI78" s="4" t="n">
        <f aca="false">CI20-CI48</f>
        <v>-0.0509577712499399</v>
      </c>
      <c r="CJ78" s="4" t="n">
        <f aca="false">CJ20-CJ48</f>
        <v>-0.00361026006167678</v>
      </c>
      <c r="CK78" s="4" t="n">
        <f aca="false">CK20-CK48</f>
        <v>-1.88092435418379</v>
      </c>
      <c r="CL78" s="7" t="s">
        <v>322</v>
      </c>
    </row>
    <row r="79" customFormat="false" ht="12.8" hidden="false" customHeight="false" outlineLevel="0" collapsed="false">
      <c r="A79" s="4" t="s">
        <v>156</v>
      </c>
      <c r="B79" s="7" t="s">
        <v>39</v>
      </c>
      <c r="C79" s="4" t="n">
        <f aca="false">C21-C49</f>
        <v>0.0129219784556229</v>
      </c>
      <c r="D79" s="4" t="n">
        <f aca="false">D21-D49</f>
        <v>2386.3608092211</v>
      </c>
      <c r="E79" s="4" t="n">
        <f aca="false">E21-E49</f>
        <v>190.987840310206</v>
      </c>
      <c r="F79" s="4" t="n">
        <f aca="false">F21-F49</f>
        <v>0</v>
      </c>
      <c r="G79" s="4" t="n">
        <f aca="false">G21-G49</f>
        <v>914.572142784927</v>
      </c>
      <c r="H79" s="4" t="n">
        <f aca="false">H21-H49</f>
        <v>0</v>
      </c>
      <c r="I79" s="4" t="n">
        <f aca="false">I21-I49</f>
        <v>2.00149884724052</v>
      </c>
      <c r="J79" s="4" t="n">
        <f aca="false">J21-J49</f>
        <v>-3.57927314666522</v>
      </c>
      <c r="K79" s="4" t="n">
        <f aca="false">K21-K49</f>
        <v>0</v>
      </c>
      <c r="L79" s="4" t="n">
        <f aca="false">L21-L49</f>
        <v>0</v>
      </c>
      <c r="M79" s="4" t="n">
        <f aca="false">M21-M49</f>
        <v>0</v>
      </c>
      <c r="N79" s="4" t="n">
        <f aca="false">N21-N49</f>
        <v>427.949059686289</v>
      </c>
      <c r="O79" s="4" t="n">
        <f aca="false">O21-O49</f>
        <v>0</v>
      </c>
      <c r="P79" s="4" t="n">
        <f aca="false">P21-P49</f>
        <v>0</v>
      </c>
      <c r="Q79" s="4" t="n">
        <f aca="false">Q21-Q49</f>
        <v>16.7170573120322</v>
      </c>
      <c r="R79" s="4" t="n">
        <f aca="false">R21-R49</f>
        <v>74.4094347345405</v>
      </c>
      <c r="S79" s="4" t="n">
        <f aca="false">S21-S49</f>
        <v>0</v>
      </c>
      <c r="T79" s="4" t="n">
        <f aca="false">T21-T49</f>
        <v>0</v>
      </c>
      <c r="U79" s="4" t="n">
        <f aca="false">U21-U49</f>
        <v>0</v>
      </c>
      <c r="V79" s="4" t="n">
        <f aca="false">V21-V49</f>
        <v>237.695142005319</v>
      </c>
      <c r="W79" s="4" t="n">
        <f aca="false">W21-W49</f>
        <v>722.104314650944</v>
      </c>
      <c r="X79" s="4" t="n">
        <f aca="false">X21-X49</f>
        <v>1193.14783584665</v>
      </c>
      <c r="Y79" s="4" t="n">
        <f aca="false">Y21-Y49</f>
        <v>0</v>
      </c>
      <c r="Z79" s="4" t="n">
        <f aca="false">Z21-Z49</f>
        <v>-47.2733802491235</v>
      </c>
      <c r="AA79" s="4" t="n">
        <f aca="false">AA21-AA49</f>
        <v>3.39954935381394</v>
      </c>
      <c r="AB79" s="4" t="n">
        <f aca="false">AB21-AB49</f>
        <v>15.9518724865204</v>
      </c>
      <c r="AC79" s="4" t="n">
        <f aca="false">AC21-AC49</f>
        <v>-4.9449828629818</v>
      </c>
      <c r="AD79" s="4" t="n">
        <f aca="false">AD21-AD49</f>
        <v>2.61149160460556</v>
      </c>
      <c r="AE79" s="4" t="n">
        <f aca="false">AE21-AE49</f>
        <v>1.43073428993194</v>
      </c>
      <c r="AF79" s="4" t="n">
        <f aca="false">AF21-AF49</f>
        <v>1.04499975095846</v>
      </c>
      <c r="AG79" s="4" t="n">
        <f aca="false">AG21-AG49</f>
        <v>2.48775838493624</v>
      </c>
      <c r="AH79" s="4" t="n">
        <f aca="false">AH21-AH49</f>
        <v>1.11639692435205</v>
      </c>
      <c r="AI79" s="4" t="n">
        <f aca="false">AI21-AI49</f>
        <v>0.5607732666015</v>
      </c>
      <c r="AJ79" s="4" t="n">
        <f aca="false">AJ21-AJ49</f>
        <v>1.06791830262768</v>
      </c>
      <c r="AK79" s="4" t="n">
        <f aca="false">AK21-AK49</f>
        <v>0.597834796990862</v>
      </c>
      <c r="AL79" s="4" t="n">
        <f aca="false">AL21-AL49</f>
        <v>0.625282270602822</v>
      </c>
      <c r="AM79" s="4" t="n">
        <f aca="false">AM21-AM49</f>
        <v>1.18210396828446</v>
      </c>
      <c r="AN79" s="4" t="n">
        <f aca="false">AN21-AN49</f>
        <v>0.72109582078407</v>
      </c>
      <c r="AO79" s="4" t="n">
        <f aca="false">AO21-AO49</f>
        <v>2.75690819018897</v>
      </c>
      <c r="AP79" s="4" t="n">
        <f aca="false">AP21-AP49</f>
        <v>0.583369002878027</v>
      </c>
      <c r="AQ79" s="4" t="n">
        <f aca="false">AQ21-AQ49</f>
        <v>0.092842123367571</v>
      </c>
      <c r="AR79" s="4" t="n">
        <f aca="false">AR21-AR49</f>
        <v>0.131725514563167</v>
      </c>
      <c r="AS79" s="4" t="n">
        <f aca="false">AS21-AS49</f>
        <v>0.247751662297933</v>
      </c>
      <c r="AT79" s="4" t="n">
        <f aca="false">AT21-AT49</f>
        <v>5.65501186048353</v>
      </c>
      <c r="AU79" s="4" t="n">
        <f aca="false">AU21-AU49</f>
        <v>-0.829899253463387</v>
      </c>
      <c r="AV79" s="4" t="n">
        <f aca="false">AV21-AV49</f>
        <v>0.164989681414985</v>
      </c>
      <c r="AW79" s="4" t="n">
        <f aca="false">AW21-AW49</f>
        <v>-2.57261421022034</v>
      </c>
      <c r="AX79" s="4" t="n">
        <f aca="false">AX21-AX49</f>
        <v>-0.0779712995186757</v>
      </c>
      <c r="AY79" s="4" t="n">
        <f aca="false">AY21-AY49</f>
        <v>-0.035924283474827</v>
      </c>
      <c r="AZ79" s="4" t="n">
        <f aca="false">AZ21-AZ49</f>
        <v>0.656618960074109</v>
      </c>
      <c r="BA79" s="4" t="n">
        <f aca="false">BA21-BA49</f>
        <v>0</v>
      </c>
      <c r="BB79" s="4" t="n">
        <f aca="false">BB21-BB49</f>
        <v>0.232997302654237</v>
      </c>
      <c r="BC79" s="4" t="n">
        <f aca="false">BC21-BC49</f>
        <v>0.327333923442459</v>
      </c>
      <c r="BD79" s="4" t="n">
        <f aca="false">BD21-BD49</f>
        <v>0.22272322417914</v>
      </c>
      <c r="BE79" s="4" t="n">
        <f aca="false">BE21-BE49</f>
        <v>0.0959407087694697</v>
      </c>
      <c r="BF79" s="4" t="n">
        <f aca="false">BF21-BF49</f>
        <v>4.53034045140518</v>
      </c>
      <c r="BG79" s="4" t="n">
        <f aca="false">BG21-BG49</f>
        <v>-1.0580907493885</v>
      </c>
      <c r="BH79" s="4" t="n">
        <f aca="false">BH21-BH49</f>
        <v>0.655236255414053</v>
      </c>
      <c r="BI79" s="4" t="n">
        <f aca="false">BI21-BI49</f>
        <v>44.9062018972472</v>
      </c>
      <c r="BJ79" s="4" t="n">
        <f aca="false">BJ21-BJ49</f>
        <v>246.429095223203</v>
      </c>
      <c r="BK79" s="4" t="n">
        <f aca="false">BK21-BK49</f>
        <v>22.4531009486236</v>
      </c>
      <c r="BL79" s="4" t="n">
        <f aca="false">BL21-BL49</f>
        <v>14.7388855113336</v>
      </c>
      <c r="BM79" s="4" t="n">
        <f aca="false">BM21-BM49</f>
        <v>104.475124979307</v>
      </c>
      <c r="BN79" s="4" t="n">
        <f aca="false">BN21-BN49</f>
        <v>0</v>
      </c>
      <c r="BO79" s="4" t="n">
        <f aca="false">BO21-BO49</f>
        <v>-42.7213562781802</v>
      </c>
      <c r="BP79" s="4" t="n">
        <f aca="false">BP21-BP49</f>
        <v>-44.0065322362353</v>
      </c>
      <c r="BQ79" s="4" t="n">
        <f aca="false">BQ21-BQ49</f>
        <v>0</v>
      </c>
      <c r="BR79" s="4" t="n">
        <f aca="false">BR21-BR49</f>
        <v>-1.42404512344233</v>
      </c>
      <c r="BS79" s="4" t="n">
        <f aca="false">BS21-BS49</f>
        <v>-0.142404404333602</v>
      </c>
      <c r="BT79" s="4" t="n">
        <f aca="false">BT21-BT49</f>
        <v>0</v>
      </c>
      <c r="BU79" s="4" t="n">
        <f aca="false">BU21-BU49</f>
        <v>0</v>
      </c>
      <c r="BV79" s="4" t="n">
        <f aca="false">BV21-BV49</f>
        <v>0</v>
      </c>
      <c r="BW79" s="4" t="n">
        <f aca="false">BW21-BW49</f>
        <v>0</v>
      </c>
      <c r="BX79" s="4" t="n">
        <f aca="false">BX21-BX49</f>
        <v>6.91343467677225</v>
      </c>
      <c r="BY79" s="4" t="n">
        <f aca="false">BY21-BY49</f>
        <v>32.2478834122676</v>
      </c>
      <c r="BZ79" s="4" t="n">
        <f aca="false">BZ21-BZ49</f>
        <v>0.0406690920375054</v>
      </c>
      <c r="CA79" s="4" t="n">
        <f aca="false">CA21-CA49</f>
        <v>0.0122616596097708</v>
      </c>
      <c r="CB79" s="4" t="n">
        <f aca="false">CB21-CB49</f>
        <v>50.7652948682053</v>
      </c>
      <c r="CC79" s="4" t="n">
        <f aca="false">CC21-CC49</f>
        <v>74.5361129188169</v>
      </c>
      <c r="CD79" s="4" t="n">
        <f aca="false">CD21-CD49</f>
        <v>0</v>
      </c>
      <c r="CE79" s="4" t="n">
        <f aca="false">CE21-CE49</f>
        <v>9.01128085130095</v>
      </c>
      <c r="CF79" s="4" t="n">
        <f aca="false">CF21-CF49</f>
        <v>17.445617890577</v>
      </c>
      <c r="CG79" s="4" t="n">
        <f aca="false">CG21-CG49</f>
        <v>-0.680799904888523</v>
      </c>
      <c r="CH79" s="4" t="n">
        <f aca="false">CH21-CH49</f>
        <v>-0.682025055411579</v>
      </c>
      <c r="CI79" s="4" t="n">
        <f aca="false">CI21-CI49</f>
        <v>0.178890640521003</v>
      </c>
      <c r="CJ79" s="4" t="n">
        <f aca="false">CJ21-CJ49</f>
        <v>0.0502502402316713</v>
      </c>
      <c r="CK79" s="4" t="n">
        <f aca="false">CK21-CK49</f>
        <v>7.64021271763492</v>
      </c>
      <c r="CL79" s="7" t="s">
        <v>322</v>
      </c>
    </row>
    <row r="80" customFormat="false" ht="12.8" hidden="false" customHeight="false" outlineLevel="0" collapsed="false">
      <c r="A80" s="4" t="s">
        <v>157</v>
      </c>
      <c r="B80" s="7" t="s">
        <v>39</v>
      </c>
      <c r="C80" s="4" t="n">
        <f aca="false">C22-C50</f>
        <v>-0.00656310724645225</v>
      </c>
      <c r="D80" s="4" t="n">
        <f aca="false">D22-D50</f>
        <v>-544.796390504009</v>
      </c>
      <c r="E80" s="4" t="n">
        <f aca="false">E22-E50</f>
        <v>-28.404913854475</v>
      </c>
      <c r="F80" s="4" t="n">
        <f aca="false">F22-F50</f>
        <v>0</v>
      </c>
      <c r="G80" s="4" t="n">
        <f aca="false">G22-G50</f>
        <v>-77.310194589241</v>
      </c>
      <c r="H80" s="4" t="n">
        <f aca="false">H22-H50</f>
        <v>0</v>
      </c>
      <c r="I80" s="4" t="n">
        <f aca="false">I22-I50</f>
        <v>0.797726801493833</v>
      </c>
      <c r="J80" s="4" t="n">
        <f aca="false">J22-J50</f>
        <v>0.465227925294409</v>
      </c>
      <c r="K80" s="4" t="n">
        <f aca="false">K22-K50</f>
        <v>0</v>
      </c>
      <c r="L80" s="4" t="n">
        <f aca="false">L22-L50</f>
        <v>0</v>
      </c>
      <c r="M80" s="4" t="n">
        <f aca="false">M22-M50</f>
        <v>0</v>
      </c>
      <c r="N80" s="4" t="n">
        <f aca="false">N22-N50</f>
        <v>-51.6966720017357</v>
      </c>
      <c r="O80" s="4" t="n">
        <f aca="false">O22-O50</f>
        <v>0</v>
      </c>
      <c r="P80" s="4" t="n">
        <f aca="false">P22-P50</f>
        <v>0</v>
      </c>
      <c r="Q80" s="4" t="n">
        <f aca="false">Q22-Q50</f>
        <v>-6.59202548479828</v>
      </c>
      <c r="R80" s="4" t="n">
        <f aca="false">R22-R50</f>
        <v>-83.4490566799177</v>
      </c>
      <c r="S80" s="4" t="n">
        <f aca="false">S22-S50</f>
        <v>0</v>
      </c>
      <c r="T80" s="4" t="n">
        <f aca="false">T22-T50</f>
        <v>0</v>
      </c>
      <c r="U80" s="4" t="n">
        <f aca="false">U22-U50</f>
        <v>0</v>
      </c>
      <c r="V80" s="4" t="n">
        <f aca="false">V22-V50</f>
        <v>5.64215446511965</v>
      </c>
      <c r="W80" s="4" t="n">
        <f aca="false">W22-W50</f>
        <v>-143.532507129972</v>
      </c>
      <c r="X80" s="4" t="n">
        <f aca="false">X22-X50</f>
        <v>-1259.13801109462</v>
      </c>
      <c r="Y80" s="4" t="n">
        <f aca="false">Y22-Y50</f>
        <v>0</v>
      </c>
      <c r="Z80" s="4" t="n">
        <f aca="false">Z22-Z50</f>
        <v>-2.2495913601926</v>
      </c>
      <c r="AA80" s="4" t="n">
        <f aca="false">AA22-AA50</f>
        <v>-0.333825059282854</v>
      </c>
      <c r="AB80" s="4" t="n">
        <f aca="false">AB22-AB50</f>
        <v>-2.16519420442718</v>
      </c>
      <c r="AC80" s="4" t="n">
        <f aca="false">AC22-AC50</f>
        <v>0.788776166330027</v>
      </c>
      <c r="AD80" s="4" t="n">
        <f aca="false">AD22-AD50</f>
        <v>-0.354465376524307</v>
      </c>
      <c r="AE80" s="4" t="n">
        <f aca="false">AE22-AE50</f>
        <v>-0.832992843084067</v>
      </c>
      <c r="AF80" s="4" t="n">
        <f aca="false">AF22-AF50</f>
        <v>-0.522308827761595</v>
      </c>
      <c r="AG80" s="4" t="n">
        <f aca="false">AG22-AG50</f>
        <v>-1.20185966214583</v>
      </c>
      <c r="AH80" s="4" t="n">
        <f aca="false">AH22-AH50</f>
        <v>-0.848442085730766</v>
      </c>
      <c r="AI80" s="4" t="n">
        <f aca="false">AI22-AI50</f>
        <v>-0.0963579493259743</v>
      </c>
      <c r="AJ80" s="4" t="n">
        <f aca="false">AJ22-AJ50</f>
        <v>0.032675623278246</v>
      </c>
      <c r="AK80" s="4" t="n">
        <f aca="false">AK22-AK50</f>
        <v>0.0390883146766011</v>
      </c>
      <c r="AL80" s="4" t="n">
        <f aca="false">AL22-AL50</f>
        <v>-0.0872201109537846</v>
      </c>
      <c r="AM80" s="4" t="n">
        <f aca="false">AM22-AM50</f>
        <v>-0.240659189395734</v>
      </c>
      <c r="AN80" s="4" t="n">
        <f aca="false">AN22-AN50</f>
        <v>0.00685163276554118</v>
      </c>
      <c r="AO80" s="4" t="n">
        <f aca="false">AO22-AO50</f>
        <v>-0.241709293269182</v>
      </c>
      <c r="AP80" s="4" t="n">
        <f aca="false">AP22-AP50</f>
        <v>-0.109002859263214</v>
      </c>
      <c r="AQ80" s="4" t="n">
        <f aca="false">AQ22-AQ50</f>
        <v>-0.0316131571773112</v>
      </c>
      <c r="AR80" s="4" t="n">
        <f aca="false">AR22-AR50</f>
        <v>-0.0806710169411187</v>
      </c>
      <c r="AS80" s="4" t="n">
        <f aca="false">AS22-AS50</f>
        <v>-0.204237029870738</v>
      </c>
      <c r="AT80" s="4" t="n">
        <f aca="false">AT22-AT50</f>
        <v>-1.29347999373567</v>
      </c>
      <c r="AU80" s="4" t="n">
        <f aca="false">AU22-AU50</f>
        <v>-0.14492636768933</v>
      </c>
      <c r="AV80" s="4" t="n">
        <f aca="false">AV22-AV50</f>
        <v>-0.0721420486946247</v>
      </c>
      <c r="AW80" s="4" t="n">
        <f aca="false">AW22-AW50</f>
        <v>0.413304124851694</v>
      </c>
      <c r="AX80" s="4" t="n">
        <f aca="false">AX22-AX50</f>
        <v>-0.0767404670047705</v>
      </c>
      <c r="AY80" s="4" t="n">
        <f aca="false">AY22-AY50</f>
        <v>0.0121902146798239</v>
      </c>
      <c r="AZ80" s="4" t="n">
        <f aca="false">AZ22-AZ50</f>
        <v>0.0287737025650809</v>
      </c>
      <c r="BA80" s="4" t="n">
        <f aca="false">BA22-BA50</f>
        <v>0</v>
      </c>
      <c r="BB80" s="4" t="n">
        <f aca="false">BB22-BB50</f>
        <v>-0.235390146838362</v>
      </c>
      <c r="BC80" s="4" t="n">
        <f aca="false">BC22-BC50</f>
        <v>-0.213304486107447</v>
      </c>
      <c r="BD80" s="4" t="n">
        <f aca="false">BD22-BD50</f>
        <v>-0.0566414250966629</v>
      </c>
      <c r="BE80" s="4" t="n">
        <f aca="false">BE22-BE50</f>
        <v>-0.00455625272900367</v>
      </c>
      <c r="BF80" s="4" t="n">
        <f aca="false">BF22-BF50</f>
        <v>-2.04133657063872</v>
      </c>
      <c r="BG80" s="4" t="n">
        <f aca="false">BG22-BG50</f>
        <v>-0.859426548633012</v>
      </c>
      <c r="BH80" s="4" t="n">
        <f aca="false">BH22-BH50</f>
        <v>-0.0012657147053065</v>
      </c>
      <c r="BI80" s="4" t="n">
        <f aca="false">BI22-BI50</f>
        <v>-8.62535570551303</v>
      </c>
      <c r="BJ80" s="4" t="n">
        <f aca="false">BJ22-BJ50</f>
        <v>-149.233264639455</v>
      </c>
      <c r="BK80" s="4" t="n">
        <f aca="false">BK22-BK50</f>
        <v>-4.31267785275652</v>
      </c>
      <c r="BL80" s="4" t="n">
        <f aca="false">BL22-BL50</f>
        <v>-553.963122709007</v>
      </c>
      <c r="BM80" s="4" t="n">
        <f aca="false">BM22-BM50</f>
        <v>-34.9512983545958</v>
      </c>
      <c r="BN80" s="4" t="n">
        <f aca="false">BN22-BN50</f>
        <v>0</v>
      </c>
      <c r="BO80" s="4" t="n">
        <f aca="false">BO22-BO50</f>
        <v>0.813875777020182</v>
      </c>
      <c r="BP80" s="4" t="n">
        <f aca="false">BP22-BP50</f>
        <v>1.59963938383466</v>
      </c>
      <c r="BQ80" s="4" t="n">
        <f aca="false">BQ22-BQ50</f>
        <v>0</v>
      </c>
      <c r="BR80" s="4" t="n">
        <f aca="false">BR22-BR50</f>
        <v>0.0271291838902024</v>
      </c>
      <c r="BS80" s="4" t="n">
        <f aca="false">BS22-BS50</f>
        <v>0.00271291569226895</v>
      </c>
      <c r="BT80" s="4" t="n">
        <f aca="false">BT22-BT50</f>
        <v>0</v>
      </c>
      <c r="BU80" s="4" t="n">
        <f aca="false">BU22-BU50</f>
        <v>0</v>
      </c>
      <c r="BV80" s="4" t="n">
        <f aca="false">BV22-BV50</f>
        <v>0</v>
      </c>
      <c r="BW80" s="4" t="n">
        <f aca="false">BW22-BW50</f>
        <v>0</v>
      </c>
      <c r="BX80" s="4" t="n">
        <f aca="false">BX22-BX50</f>
        <v>-0.709329451910485</v>
      </c>
      <c r="BY80" s="4" t="n">
        <f aca="false">BY22-BY50</f>
        <v>-5.25761168819039</v>
      </c>
      <c r="BZ80" s="4" t="n">
        <f aca="false">BZ22-BZ50</f>
        <v>-0.287353947750808</v>
      </c>
      <c r="CA80" s="4" t="n">
        <f aca="false">CA22-CA50</f>
        <v>-0.0141433568039485</v>
      </c>
      <c r="CB80" s="4" t="n">
        <f aca="false">CB22-CB50</f>
        <v>-295.902702422898</v>
      </c>
      <c r="CC80" s="4" t="n">
        <f aca="false">CC22-CC50</f>
        <v>-330.933302108531</v>
      </c>
      <c r="CD80" s="4" t="n">
        <f aca="false">CD22-CD50</f>
        <v>0</v>
      </c>
      <c r="CE80" s="4" t="n">
        <f aca="false">CE22-CE50</f>
        <v>-0.630942675124437</v>
      </c>
      <c r="CF80" s="4" t="n">
        <f aca="false">CF22-CF50</f>
        <v>-521.821414643528</v>
      </c>
      <c r="CG80" s="4" t="n">
        <f aca="false">CG22-CG50</f>
        <v>0.93218108136956</v>
      </c>
      <c r="CH80" s="4" t="n">
        <f aca="false">CH22-CH50</f>
        <v>2.32566363602402</v>
      </c>
      <c r="CI80" s="4" t="n">
        <f aca="false">CI22-CI50</f>
        <v>-0.133013725498022</v>
      </c>
      <c r="CJ80" s="4" t="n">
        <f aca="false">CJ22-CJ50</f>
        <v>-0.00577329184065007</v>
      </c>
      <c r="CK80" s="4" t="n">
        <f aca="false">CK22-CK50</f>
        <v>-4.47943563036654</v>
      </c>
      <c r="CL80" s="7" t="s">
        <v>322</v>
      </c>
    </row>
    <row r="81" customFormat="false" ht="12.8" hidden="false" customHeight="false" outlineLevel="0" collapsed="false">
      <c r="A81" s="4" t="s">
        <v>158</v>
      </c>
      <c r="B81" s="7" t="s">
        <v>39</v>
      </c>
      <c r="C81" s="4" t="n">
        <f aca="false">C23-C51</f>
        <v>0.0128132120337457</v>
      </c>
      <c r="D81" s="4" t="n">
        <f aca="false">D23-D51</f>
        <v>748.849376073631</v>
      </c>
      <c r="E81" s="4" t="n">
        <f aca="false">E23-E51</f>
        <v>154.459963404035</v>
      </c>
      <c r="F81" s="4" t="n">
        <f aca="false">F23-F51</f>
        <v>0</v>
      </c>
      <c r="G81" s="4" t="n">
        <f aca="false">G23-G51</f>
        <v>70.616040461454</v>
      </c>
      <c r="H81" s="4" t="n">
        <f aca="false">H23-H51</f>
        <v>0</v>
      </c>
      <c r="I81" s="4" t="n">
        <f aca="false">I23-I51</f>
        <v>2.21621002627044</v>
      </c>
      <c r="J81" s="4" t="n">
        <f aca="false">J23-J51</f>
        <v>-0.334230003274698</v>
      </c>
      <c r="K81" s="4" t="n">
        <f aca="false">K23-K51</f>
        <v>0</v>
      </c>
      <c r="L81" s="4" t="n">
        <f aca="false">L23-L51</f>
        <v>0</v>
      </c>
      <c r="M81" s="4" t="n">
        <f aca="false">M23-M51</f>
        <v>0</v>
      </c>
      <c r="N81" s="4" t="n">
        <f aca="false">N23-N51</f>
        <v>126.808357144361</v>
      </c>
      <c r="O81" s="4" t="n">
        <f aca="false">O23-O51</f>
        <v>0</v>
      </c>
      <c r="P81" s="4" t="n">
        <f aca="false">P23-P51</f>
        <v>0</v>
      </c>
      <c r="Q81" s="4" t="n">
        <f aca="false">Q23-Q51</f>
        <v>-0.536959690351607</v>
      </c>
      <c r="R81" s="4" t="n">
        <f aca="false">R23-R51</f>
        <v>49.7004314363591</v>
      </c>
      <c r="S81" s="4" t="n">
        <f aca="false">S23-S51</f>
        <v>0</v>
      </c>
      <c r="T81" s="4" t="n">
        <f aca="false">T23-T51</f>
        <v>0</v>
      </c>
      <c r="U81" s="4" t="n">
        <f aca="false">U23-U51</f>
        <v>0</v>
      </c>
      <c r="V81" s="4" t="n">
        <f aca="false">V23-V51</f>
        <v>24.2090342192261</v>
      </c>
      <c r="W81" s="4" t="n">
        <f aca="false">W23-W51</f>
        <v>-151.218908777622</v>
      </c>
      <c r="X81" s="4" t="n">
        <f aca="false">X23-X51</f>
        <v>338.038712024768</v>
      </c>
      <c r="Y81" s="4" t="n">
        <f aca="false">Y23-Y51</f>
        <v>0</v>
      </c>
      <c r="Z81" s="4" t="n">
        <f aca="false">Z23-Z51</f>
        <v>-17.8778775266488</v>
      </c>
      <c r="AA81" s="4" t="n">
        <f aca="false">AA23-AA51</f>
        <v>1.9668569040483</v>
      </c>
      <c r="AB81" s="4" t="n">
        <f aca="false">AB23-AB51</f>
        <v>-1.08788261253543</v>
      </c>
      <c r="AC81" s="4" t="n">
        <f aca="false">AC23-AC51</f>
        <v>1.66794299104954</v>
      </c>
      <c r="AD81" s="4" t="n">
        <f aca="false">AD23-AD51</f>
        <v>-0.178097982655849</v>
      </c>
      <c r="AE81" s="4" t="n">
        <f aca="false">AE23-AE51</f>
        <v>-2.3398553284748</v>
      </c>
      <c r="AF81" s="4" t="n">
        <f aca="false">AF23-AF51</f>
        <v>-0.124588496939079</v>
      </c>
      <c r="AG81" s="4" t="n">
        <f aca="false">AG23-AG51</f>
        <v>-2.04786591308565</v>
      </c>
      <c r="AH81" s="4" t="n">
        <f aca="false">AH23-AH51</f>
        <v>1.12270751935329</v>
      </c>
      <c r="AI81" s="4" t="n">
        <f aca="false">AI23-AI51</f>
        <v>-0.0965787821939483</v>
      </c>
      <c r="AJ81" s="4" t="n">
        <f aca="false">AJ23-AJ51</f>
        <v>-0.900765732105166</v>
      </c>
      <c r="AK81" s="4" t="n">
        <f aca="false">AK23-AK51</f>
        <v>0.305609955899421</v>
      </c>
      <c r="AL81" s="4" t="n">
        <f aca="false">AL23-AL51</f>
        <v>-0.186456625178024</v>
      </c>
      <c r="AM81" s="4" t="n">
        <f aca="false">AM23-AM51</f>
        <v>-0.675593384416243</v>
      </c>
      <c r="AN81" s="4" t="n">
        <f aca="false">AN23-AN51</f>
        <v>-0.336865330509388</v>
      </c>
      <c r="AO81" s="4" t="n">
        <f aca="false">AO23-AO51</f>
        <v>-0.78553102618991</v>
      </c>
      <c r="AP81" s="4" t="n">
        <f aca="false">AP23-AP51</f>
        <v>-0.601083137090671</v>
      </c>
      <c r="AQ81" s="4" t="n">
        <f aca="false">AQ23-AQ51</f>
        <v>-0.0462780494669515</v>
      </c>
      <c r="AR81" s="4" t="n">
        <f aca="false">AR23-AR51</f>
        <v>-0.0576575949924383</v>
      </c>
      <c r="AS81" s="4" t="n">
        <f aca="false">AS23-AS51</f>
        <v>0.215661618493625</v>
      </c>
      <c r="AT81" s="4" t="n">
        <f aca="false">AT23-AT51</f>
        <v>1.20172981581841</v>
      </c>
      <c r="AU81" s="4" t="n">
        <f aca="false">AU23-AU51</f>
        <v>1.56408513112062</v>
      </c>
      <c r="AV81" s="4" t="n">
        <f aca="false">AV23-AV51</f>
        <v>-0.0086297642080124</v>
      </c>
      <c r="AW81" s="4" t="n">
        <f aca="false">AW23-AW51</f>
        <v>0.763191531353578</v>
      </c>
      <c r="AX81" s="4" t="n">
        <f aca="false">AX23-AX51</f>
        <v>-0.0331211111261891</v>
      </c>
      <c r="AY81" s="4" t="n">
        <f aca="false">AY23-AY51</f>
        <v>0.0565160371164195</v>
      </c>
      <c r="AZ81" s="4" t="n">
        <f aca="false">AZ23-AZ51</f>
        <v>-0.0959106690273184</v>
      </c>
      <c r="BA81" s="4" t="n">
        <f aca="false">BA23-BA51</f>
        <v>0</v>
      </c>
      <c r="BB81" s="4" t="n">
        <f aca="false">BB23-BB51</f>
        <v>0.15483968518993</v>
      </c>
      <c r="BC81" s="4" t="n">
        <f aca="false">BC23-BC51</f>
        <v>0.0731000221484333</v>
      </c>
      <c r="BD81" s="4" t="n">
        <f aca="false">BD23-BD51</f>
        <v>0.000851304090315808</v>
      </c>
      <c r="BE81" s="4" t="n">
        <f aca="false">BE23-BE51</f>
        <v>0.0171046427820045</v>
      </c>
      <c r="BF81" s="4" t="n">
        <f aca="false">BF23-BF51</f>
        <v>4.83090026359488</v>
      </c>
      <c r="BG81" s="4" t="n">
        <f aca="false">BG23-BG51</f>
        <v>5.01470219636273</v>
      </c>
      <c r="BH81" s="4" t="n">
        <f aca="false">BH23-BH51</f>
        <v>12.7188237226631</v>
      </c>
      <c r="BI81" s="4" t="n">
        <f aca="false">BI23-BI51</f>
        <v>10.1529572780826</v>
      </c>
      <c r="BJ81" s="4" t="n">
        <f aca="false">BJ23-BJ51</f>
        <v>189.075898906513</v>
      </c>
      <c r="BK81" s="4" t="n">
        <f aca="false">BK23-BK51</f>
        <v>5.07647863904131</v>
      </c>
      <c r="BL81" s="4" t="n">
        <f aca="false">BL23-BL51</f>
        <v>-40.5979423358461</v>
      </c>
      <c r="BM81" s="4" t="n">
        <f aca="false">BM23-BM51</f>
        <v>-7.04299605695377</v>
      </c>
      <c r="BN81" s="4" t="n">
        <f aca="false">BN23-BN51</f>
        <v>0</v>
      </c>
      <c r="BO81" s="4" t="n">
        <f aca="false">BO23-BO51</f>
        <v>-12.6904899686891</v>
      </c>
      <c r="BP81" s="4" t="n">
        <f aca="false">BP23-BP51</f>
        <v>-17.9643388888611</v>
      </c>
      <c r="BQ81" s="4" t="n">
        <f aca="false">BQ23-BQ51</f>
        <v>0</v>
      </c>
      <c r="BR81" s="4" t="n">
        <f aca="false">BR23-BR51</f>
        <v>-0.423016282273595</v>
      </c>
      <c r="BS81" s="4" t="n">
        <f aca="false">BS23-BS51</f>
        <v>-0.0423015838318471</v>
      </c>
      <c r="BT81" s="4" t="n">
        <f aca="false">BT23-BT51</f>
        <v>0</v>
      </c>
      <c r="BU81" s="4" t="n">
        <f aca="false">BU23-BU51</f>
        <v>0</v>
      </c>
      <c r="BV81" s="4" t="n">
        <f aca="false">BV23-BV51</f>
        <v>0</v>
      </c>
      <c r="BW81" s="4" t="n">
        <f aca="false">BW23-BW51</f>
        <v>0</v>
      </c>
      <c r="BX81" s="4" t="n">
        <f aca="false">BX23-BX51</f>
        <v>-0.181407015519366</v>
      </c>
      <c r="BY81" s="4" t="n">
        <f aca="false">BY23-BY51</f>
        <v>-4.36552763452561</v>
      </c>
      <c r="BZ81" s="4" t="n">
        <f aca="false">BZ23-BZ51</f>
        <v>0.086900605966618</v>
      </c>
      <c r="CA81" s="4" t="n">
        <f aca="false">CA23-CA51</f>
        <v>0.00834208703696719</v>
      </c>
      <c r="CB81" s="4" t="n">
        <f aca="false">CB23-CB51</f>
        <v>-15.9171908959093</v>
      </c>
      <c r="CC81" s="4" t="n">
        <f aca="false">CC23-CC51</f>
        <v>166.797159798246</v>
      </c>
      <c r="CD81" s="4" t="n">
        <f aca="false">CD23-CD51</f>
        <v>0</v>
      </c>
      <c r="CE81" s="4" t="n">
        <f aca="false">CE23-CE51</f>
        <v>0.0733194642663624</v>
      </c>
      <c r="CF81" s="4" t="n">
        <f aca="false">CF23-CF51</f>
        <v>120.102445432054</v>
      </c>
      <c r="CG81" s="4" t="n">
        <f aca="false">CG23-CG51</f>
        <v>-1.43897878067635</v>
      </c>
      <c r="CH81" s="4" t="n">
        <f aca="false">CH23-CH51</f>
        <v>-0.888037214142433</v>
      </c>
      <c r="CI81" s="4" t="n">
        <f aca="false">CI23-CI51</f>
        <v>-0.0183644384967877</v>
      </c>
      <c r="CJ81" s="4" t="n">
        <f aca="false">CJ23-CJ51</f>
        <v>-0.00846641151439824</v>
      </c>
      <c r="CK81" s="4" t="n">
        <f aca="false">CK23-CK51</f>
        <v>-0.0309071055604505</v>
      </c>
      <c r="CL81" s="7" t="s">
        <v>322</v>
      </c>
    </row>
    <row r="82" customFormat="false" ht="12.8" hidden="false" customHeight="false" outlineLevel="0" collapsed="false">
      <c r="A82" s="4" t="s">
        <v>159</v>
      </c>
      <c r="B82" s="7" t="s">
        <v>39</v>
      </c>
      <c r="C82" s="4" t="n">
        <f aca="false">C24-C52</f>
        <v>-0.0031590274336854</v>
      </c>
      <c r="D82" s="4" t="n">
        <f aca="false">D24-D52</f>
        <v>-167.364495587494</v>
      </c>
      <c r="E82" s="4" t="n">
        <f aca="false">E24-E52</f>
        <v>-20.124821515321</v>
      </c>
      <c r="F82" s="4" t="n">
        <f aca="false">F24-F52</f>
        <v>0</v>
      </c>
      <c r="G82" s="4" t="n">
        <f aca="false">G24-G52</f>
        <v>-12.6732519945514</v>
      </c>
      <c r="H82" s="4" t="n">
        <f aca="false">H24-H52</f>
        <v>0</v>
      </c>
      <c r="I82" s="4" t="n">
        <f aca="false">I24-I52</f>
        <v>1.0848357388153</v>
      </c>
      <c r="J82" s="4" t="n">
        <f aca="false">J24-J52</f>
        <v>0.788055973561697</v>
      </c>
      <c r="K82" s="4" t="n">
        <f aca="false">K24-K52</f>
        <v>0</v>
      </c>
      <c r="L82" s="4" t="n">
        <f aca="false">L24-L52</f>
        <v>0</v>
      </c>
      <c r="M82" s="4" t="n">
        <f aca="false">M24-M52</f>
        <v>0</v>
      </c>
      <c r="N82" s="4" t="n">
        <f aca="false">N24-N52</f>
        <v>-18.2817526579711</v>
      </c>
      <c r="O82" s="4" t="n">
        <f aca="false">O24-O52</f>
        <v>0</v>
      </c>
      <c r="P82" s="4" t="n">
        <f aca="false">P24-P52</f>
        <v>0</v>
      </c>
      <c r="Q82" s="4" t="n">
        <f aca="false">Q24-Q52</f>
        <v>-3.66411078533435</v>
      </c>
      <c r="R82" s="4" t="n">
        <f aca="false">R24-R52</f>
        <v>-42.2332749670149</v>
      </c>
      <c r="S82" s="4" t="n">
        <f aca="false">S24-S52</f>
        <v>0</v>
      </c>
      <c r="T82" s="4" t="n">
        <f aca="false">T24-T52</f>
        <v>0</v>
      </c>
      <c r="U82" s="4" t="n">
        <f aca="false">U24-U52</f>
        <v>0</v>
      </c>
      <c r="V82" s="4" t="n">
        <f aca="false">V24-V52</f>
        <v>-59.3501516821764</v>
      </c>
      <c r="W82" s="4" t="n">
        <f aca="false">W24-W52</f>
        <v>-52.5162967352844</v>
      </c>
      <c r="X82" s="4" t="n">
        <f aca="false">X24-X52</f>
        <v>93.2908627476416</v>
      </c>
      <c r="Y82" s="4" t="n">
        <f aca="false">Y24-Y52</f>
        <v>0</v>
      </c>
      <c r="Z82" s="4" t="n">
        <f aca="false">Z24-Z52</f>
        <v>1.70725644641372</v>
      </c>
      <c r="AA82" s="4" t="n">
        <f aca="false">AA24-AA52</f>
        <v>-0.0539514897308386</v>
      </c>
      <c r="AB82" s="4" t="n">
        <f aca="false">AB24-AB52</f>
        <v>-1.04128405552081</v>
      </c>
      <c r="AC82" s="4" t="n">
        <f aca="false">AC24-AC52</f>
        <v>0.269592843463718</v>
      </c>
      <c r="AD82" s="4" t="n">
        <f aca="false">AD24-AD52</f>
        <v>-0.170469302039625</v>
      </c>
      <c r="AE82" s="4" t="n">
        <f aca="false">AE24-AE52</f>
        <v>0.0789578162336687</v>
      </c>
      <c r="AF82" s="4" t="n">
        <f aca="false">AF24-AF52</f>
        <v>-0.305840749367101</v>
      </c>
      <c r="AG82" s="4" t="n">
        <f aca="false">AG24-AG52</f>
        <v>-2.09692697717364</v>
      </c>
      <c r="AH82" s="4" t="n">
        <f aca="false">AH24-AH52</f>
        <v>-1.43270799505379</v>
      </c>
      <c r="AI82" s="4" t="n">
        <f aca="false">AI24-AI52</f>
        <v>0.0168906708633449</v>
      </c>
      <c r="AJ82" s="4" t="n">
        <f aca="false">AJ24-AJ52</f>
        <v>-0.186506930007102</v>
      </c>
      <c r="AK82" s="4" t="n">
        <f aca="false">AK24-AK52</f>
        <v>-0.0120477410935398</v>
      </c>
      <c r="AL82" s="4" t="n">
        <f aca="false">AL24-AL52</f>
        <v>-0.038324924178342</v>
      </c>
      <c r="AM82" s="4" t="n">
        <f aca="false">AM24-AM52</f>
        <v>0.0521473959490017</v>
      </c>
      <c r="AN82" s="4" t="n">
        <f aca="false">AN24-AN52</f>
        <v>-0.488192804063782</v>
      </c>
      <c r="AO82" s="4" t="n">
        <f aca="false">AO24-AO52</f>
        <v>-0.573307865992663</v>
      </c>
      <c r="AP82" s="4" t="n">
        <f aca="false">AP24-AP52</f>
        <v>-0.488709592095324</v>
      </c>
      <c r="AQ82" s="4" t="n">
        <f aca="false">AQ24-AQ52</f>
        <v>-0.0347874444707167</v>
      </c>
      <c r="AR82" s="4" t="n">
        <f aca="false">AR24-AR52</f>
        <v>-0.0108317595845748</v>
      </c>
      <c r="AS82" s="4" t="n">
        <f aca="false">AS24-AS52</f>
        <v>-0.138646907756251</v>
      </c>
      <c r="AT82" s="4" t="n">
        <f aca="false">AT24-AT52</f>
        <v>-1.86315280267038</v>
      </c>
      <c r="AU82" s="4" t="n">
        <f aca="false">AU24-AU52</f>
        <v>-3.07289921520961</v>
      </c>
      <c r="AV82" s="4" t="n">
        <f aca="false">AV24-AV52</f>
        <v>-0.00587919825804673</v>
      </c>
      <c r="AW82" s="4" t="n">
        <f aca="false">AW24-AW52</f>
        <v>0.127301867584583</v>
      </c>
      <c r="AX82" s="4" t="n">
        <f aca="false">AX24-AX52</f>
        <v>-0.153124494211811</v>
      </c>
      <c r="AY82" s="4" t="n">
        <f aca="false">AY24-AY52</f>
        <v>-0.00108279300524152</v>
      </c>
      <c r="AZ82" s="4" t="n">
        <f aca="false">AZ24-AZ52</f>
        <v>-0.0591655779320738</v>
      </c>
      <c r="BA82" s="4" t="n">
        <f aca="false">BA24-BA52</f>
        <v>0</v>
      </c>
      <c r="BB82" s="4" t="n">
        <f aca="false">BB24-BB52</f>
        <v>-0.0367130365790051</v>
      </c>
      <c r="BC82" s="4" t="n">
        <f aca="false">BC24-BC52</f>
        <v>-0.104911088795756</v>
      </c>
      <c r="BD82" s="4" t="n">
        <f aca="false">BD24-BD52</f>
        <v>-0.0153467529565787</v>
      </c>
      <c r="BE82" s="4" t="n">
        <f aca="false">BE24-BE52</f>
        <v>-0.0593531669226142</v>
      </c>
      <c r="BF82" s="4" t="n">
        <f aca="false">BF24-BF52</f>
        <v>0.08803420429548</v>
      </c>
      <c r="BG82" s="4" t="n">
        <f aca="false">BG24-BG52</f>
        <v>0.33456795148506</v>
      </c>
      <c r="BH82" s="4" t="n">
        <f aca="false">BH24-BH52</f>
        <v>0.580159443133454</v>
      </c>
      <c r="BI82" s="4" t="n">
        <f aca="false">BI24-BI52</f>
        <v>-5.24574432198945</v>
      </c>
      <c r="BJ82" s="4" t="n">
        <f aca="false">BJ24-BJ52</f>
        <v>-203.23365897754</v>
      </c>
      <c r="BK82" s="4" t="n">
        <f aca="false">BK24-BK52</f>
        <v>-2.62287216099472</v>
      </c>
      <c r="BL82" s="4" t="n">
        <f aca="false">BL24-BL52</f>
        <v>-400.346784165535</v>
      </c>
      <c r="BM82" s="4" t="n">
        <f aca="false">BM24-BM52</f>
        <v>-11.2514969590912</v>
      </c>
      <c r="BN82" s="4" t="n">
        <f aca="false">BN24-BN52</f>
        <v>0</v>
      </c>
      <c r="BO82" s="4" t="n">
        <f aca="false">BO24-BO52</f>
        <v>-0.5012183992117</v>
      </c>
      <c r="BP82" s="4" t="n">
        <f aca="false">BP24-BP52</f>
        <v>-1.64787605927952</v>
      </c>
      <c r="BQ82" s="4" t="n">
        <f aca="false">BQ24-BQ52</f>
        <v>0</v>
      </c>
      <c r="BR82" s="4" t="n">
        <f aca="false">BR24-BR52</f>
        <v>-0.0167072721694447</v>
      </c>
      <c r="BS82" s="4" t="n">
        <f aca="false">BS24-BS52</f>
        <v>-0.00167072416834617</v>
      </c>
      <c r="BT82" s="4" t="n">
        <f aca="false">BT24-BT52</f>
        <v>0</v>
      </c>
      <c r="BU82" s="4" t="n">
        <f aca="false">BU24-BU52</f>
        <v>0</v>
      </c>
      <c r="BV82" s="4" t="n">
        <f aca="false">BV24-BV52</f>
        <v>0</v>
      </c>
      <c r="BW82" s="4" t="n">
        <f aca="false">BW24-BW52</f>
        <v>0</v>
      </c>
      <c r="BX82" s="4" t="n">
        <f aca="false">BX24-BX52</f>
        <v>-2.1614148661246</v>
      </c>
      <c r="BY82" s="4" t="n">
        <f aca="false">BY24-BY52</f>
        <v>-62.0929221304449</v>
      </c>
      <c r="BZ82" s="4" t="n">
        <f aca="false">BZ24-BZ52</f>
        <v>-0.240574234184909</v>
      </c>
      <c r="CA82" s="4" t="n">
        <f aca="false">CA24-CA52</f>
        <v>-0.0802433539695216</v>
      </c>
      <c r="CB82" s="4" t="n">
        <f aca="false">CB24-CB52</f>
        <v>-263.787068470726</v>
      </c>
      <c r="CC82" s="4" t="n">
        <f aca="false">CC24-CC52</f>
        <v>-840.13028245958</v>
      </c>
      <c r="CD82" s="4" t="n">
        <f aca="false">CD24-CD52</f>
        <v>0</v>
      </c>
      <c r="CE82" s="4" t="n">
        <f aca="false">CE24-CE52</f>
        <v>-0.0328977948075329</v>
      </c>
      <c r="CF82" s="4" t="n">
        <f aca="false">CF24-CF52</f>
        <v>-1162.70345052004</v>
      </c>
      <c r="CG82" s="4" t="n">
        <f aca="false">CG24-CG52</f>
        <v>-0.112624843750833</v>
      </c>
      <c r="CH82" s="4" t="n">
        <f aca="false">CH24-CH52</f>
        <v>-0.420068422594386</v>
      </c>
      <c r="CI82" s="4" t="n">
        <f aca="false">CI24-CI52</f>
        <v>-0.106223764647806</v>
      </c>
      <c r="CJ82" s="4" t="n">
        <f aca="false">CJ24-CJ52</f>
        <v>-0.0432347053520233</v>
      </c>
      <c r="CK82" s="4" t="n">
        <f aca="false">CK24-CK52</f>
        <v>-0.191676403514849</v>
      </c>
      <c r="CL82" s="7" t="s">
        <v>322</v>
      </c>
    </row>
    <row r="83" customFormat="false" ht="12.8" hidden="false" customHeight="false" outlineLevel="0" collapsed="false">
      <c r="A83" s="4" t="s">
        <v>160</v>
      </c>
      <c r="B83" s="7" t="s">
        <v>39</v>
      </c>
      <c r="C83" s="4" t="n">
        <f aca="false">C25-C53</f>
        <v>-9.91435116733351E-005</v>
      </c>
      <c r="D83" s="4" t="n">
        <f aca="false">D25-D53</f>
        <v>-20.9686138047792</v>
      </c>
      <c r="E83" s="4" t="n">
        <f aca="false">E25-E53</f>
        <v>-10.3853978964147</v>
      </c>
      <c r="F83" s="4" t="n">
        <f aca="false">F25-F53</f>
        <v>0</v>
      </c>
      <c r="G83" s="4" t="n">
        <f aca="false">G25-G53</f>
        <v>-2.24709477185102</v>
      </c>
      <c r="H83" s="4" t="n">
        <f aca="false">H25-H53</f>
        <v>0</v>
      </c>
      <c r="I83" s="4" t="n">
        <f aca="false">I25-I53</f>
        <v>2.98909265259217</v>
      </c>
      <c r="J83" s="4" t="n">
        <f aca="false">J25-J53</f>
        <v>-2.51704416632335</v>
      </c>
      <c r="K83" s="4" t="n">
        <f aca="false">K25-K53</f>
        <v>0</v>
      </c>
      <c r="L83" s="4" t="n">
        <f aca="false">L25-L53</f>
        <v>0</v>
      </c>
      <c r="M83" s="4" t="n">
        <f aca="false">M25-M53</f>
        <v>0</v>
      </c>
      <c r="N83" s="4" t="n">
        <f aca="false">N25-N53</f>
        <v>0.407717838839602</v>
      </c>
      <c r="O83" s="4" t="n">
        <f aca="false">O25-O53</f>
        <v>0</v>
      </c>
      <c r="P83" s="4" t="n">
        <f aca="false">P25-P53</f>
        <v>0</v>
      </c>
      <c r="Q83" s="4" t="n">
        <f aca="false">Q25-Q53</f>
        <v>-3.74422844826847</v>
      </c>
      <c r="R83" s="4" t="n">
        <f aca="false">R25-R53</f>
        <v>-13.2893178582737</v>
      </c>
      <c r="S83" s="4" t="n">
        <f aca="false">S25-S53</f>
        <v>0</v>
      </c>
      <c r="T83" s="4" t="n">
        <f aca="false">T25-T53</f>
        <v>0</v>
      </c>
      <c r="U83" s="4" t="n">
        <f aca="false">U25-U53</f>
        <v>0</v>
      </c>
      <c r="V83" s="4" t="n">
        <f aca="false">V25-V53</f>
        <v>-62.3029805474446</v>
      </c>
      <c r="W83" s="4" t="n">
        <f aca="false">W25-W53</f>
        <v>-168.119305895569</v>
      </c>
      <c r="X83" s="4" t="n">
        <f aca="false">X25-X53</f>
        <v>572.264602172726</v>
      </c>
      <c r="Y83" s="4" t="n">
        <f aca="false">Y25-Y53</f>
        <v>0</v>
      </c>
      <c r="Z83" s="4" t="n">
        <f aca="false">Z25-Z53</f>
        <v>1.33977193236517</v>
      </c>
      <c r="AA83" s="4" t="n">
        <f aca="false">AA25-AA53</f>
        <v>-0.370399337162486</v>
      </c>
      <c r="AB83" s="4" t="n">
        <f aca="false">AB25-AB53</f>
        <v>-1.04469542044189</v>
      </c>
      <c r="AC83" s="4" t="n">
        <f aca="false">AC25-AC53</f>
        <v>0.229630956893886</v>
      </c>
      <c r="AD83" s="4" t="n">
        <f aca="false">AD25-AD53</f>
        <v>-0.171027778849113</v>
      </c>
      <c r="AE83" s="4" t="n">
        <f aca="false">AE25-AE53</f>
        <v>-1.04082473699894</v>
      </c>
      <c r="AF83" s="4" t="n">
        <f aca="false">AF25-AF53</f>
        <v>-0.0805715859162392</v>
      </c>
      <c r="AG83" s="4" t="n">
        <f aca="false">AG25-AG53</f>
        <v>-1.75931111222179</v>
      </c>
      <c r="AH83" s="4" t="n">
        <f aca="false">AH25-AH53</f>
        <v>-1.79298718366745</v>
      </c>
      <c r="AI83" s="4" t="n">
        <f aca="false">AI25-AI53</f>
        <v>-0.0186206926359257</v>
      </c>
      <c r="AJ83" s="4" t="n">
        <f aca="false">AJ25-AJ53</f>
        <v>-0.837884916700127</v>
      </c>
      <c r="AK83" s="4" t="n">
        <f aca="false">AK25-AK53</f>
        <v>-0.493614651140933</v>
      </c>
      <c r="AL83" s="4" t="n">
        <f aca="false">AL25-AL53</f>
        <v>-0.00404143075965752</v>
      </c>
      <c r="AM83" s="4" t="n">
        <f aca="false">AM25-AM53</f>
        <v>-0.689876848628999</v>
      </c>
      <c r="AN83" s="4" t="n">
        <f aca="false">AN25-AN53</f>
        <v>-0.531883131767474</v>
      </c>
      <c r="AO83" s="4" t="n">
        <f aca="false">AO25-AO53</f>
        <v>-0.423965370712853</v>
      </c>
      <c r="AP83" s="4" t="n">
        <f aca="false">AP25-AP53</f>
        <v>-0.0339547608570045</v>
      </c>
      <c r="AQ83" s="4" t="n">
        <f aca="false">AQ25-AQ53</f>
        <v>-0.0760648168718495</v>
      </c>
      <c r="AR83" s="4" t="n">
        <f aca="false">AR25-AR53</f>
        <v>0.0141007639429369</v>
      </c>
      <c r="AS83" s="4" t="n">
        <f aca="false">AS25-AS53</f>
        <v>-0.154707127167448</v>
      </c>
      <c r="AT83" s="4" t="n">
        <f aca="false">AT25-AT53</f>
        <v>-2.41426807757299</v>
      </c>
      <c r="AU83" s="4" t="n">
        <f aca="false">AU25-AU53</f>
        <v>-1.28395737890803</v>
      </c>
      <c r="AV83" s="4" t="n">
        <f aca="false">AV25-AV53</f>
        <v>-0.140096971893192</v>
      </c>
      <c r="AW83" s="4" t="n">
        <f aca="false">AW25-AW53</f>
        <v>0.104755980493018</v>
      </c>
      <c r="AX83" s="4" t="n">
        <f aca="false">AX25-AX53</f>
        <v>-0.141524549967602</v>
      </c>
      <c r="AY83" s="4" t="n">
        <f aca="false">AY25-AY53</f>
        <v>-0.010121401547808</v>
      </c>
      <c r="AZ83" s="4" t="n">
        <f aca="false">AZ25-AZ53</f>
        <v>-0.0749920481922055</v>
      </c>
      <c r="BA83" s="4" t="n">
        <f aca="false">BA25-BA53</f>
        <v>0</v>
      </c>
      <c r="BB83" s="4" t="n">
        <f aca="false">BB25-BB53</f>
        <v>-0.254204814531141</v>
      </c>
      <c r="BC83" s="4" t="n">
        <f aca="false">BC25-BC53</f>
        <v>-0.0975399225936752</v>
      </c>
      <c r="BD83" s="4" t="n">
        <f aca="false">BD25-BD53</f>
        <v>-5.32641317231193E-005</v>
      </c>
      <c r="BE83" s="4" t="n">
        <f aca="false">BE25-BE53</f>
        <v>-0.0398237775338454</v>
      </c>
      <c r="BF83" s="4" t="n">
        <f aca="false">BF25-BF53</f>
        <v>1.51744855632567</v>
      </c>
      <c r="BG83" s="4" t="n">
        <f aca="false">BG25-BG53</f>
        <v>0.548581459846512</v>
      </c>
      <c r="BH83" s="4" t="n">
        <f aca="false">BH25-BH53</f>
        <v>0.988512526774477</v>
      </c>
      <c r="BI83" s="4" t="n">
        <f aca="false">BI25-BI53</f>
        <v>-6.69600600573837</v>
      </c>
      <c r="BJ83" s="4" t="n">
        <f aca="false">BJ25-BJ53</f>
        <v>-251.010661174192</v>
      </c>
      <c r="BK83" s="4" t="n">
        <f aca="false">BK25-BK53</f>
        <v>-3.34800300286919</v>
      </c>
      <c r="BL83" s="4" t="n">
        <f aca="false">BL25-BL53</f>
        <v>-309.497496298923</v>
      </c>
      <c r="BM83" s="4" t="n">
        <f aca="false">BM25-BM53</f>
        <v>-17.2486165386475</v>
      </c>
      <c r="BN83" s="4" t="n">
        <f aca="false">BN25-BN53</f>
        <v>0</v>
      </c>
      <c r="BO83" s="4" t="n">
        <f aca="false">BO25-BO53</f>
        <v>-1.24479607948506</v>
      </c>
      <c r="BP83" s="4" t="n">
        <f aca="false">BP25-BP53</f>
        <v>-2.84034211000038</v>
      </c>
      <c r="BQ83" s="4" t="n">
        <f aca="false">BQ25-BQ53</f>
        <v>0</v>
      </c>
      <c r="BR83" s="4" t="n">
        <f aca="false">BR25-BR53</f>
        <v>-0.0414931860716163</v>
      </c>
      <c r="BS83" s="4" t="n">
        <f aca="false">BS25-BS53</f>
        <v>-0.00414931148856064</v>
      </c>
      <c r="BT83" s="4" t="n">
        <f aca="false">BT25-BT53</f>
        <v>0</v>
      </c>
      <c r="BU83" s="4" t="n">
        <f aca="false">BU25-BU53</f>
        <v>0</v>
      </c>
      <c r="BV83" s="4" t="n">
        <f aca="false">BV25-BV53</f>
        <v>0</v>
      </c>
      <c r="BW83" s="4" t="n">
        <f aca="false">BW25-BW53</f>
        <v>0</v>
      </c>
      <c r="BX83" s="4" t="n">
        <f aca="false">BX25-BX53</f>
        <v>-2.16308245887607</v>
      </c>
      <c r="BY83" s="4" t="n">
        <f aca="false">BY25-BY53</f>
        <v>-24.9276882458179</v>
      </c>
      <c r="BZ83" s="4" t="n">
        <f aca="false">BZ25-BZ53</f>
        <v>-0.334995987506023</v>
      </c>
      <c r="CA83" s="4" t="n">
        <f aca="false">CA25-CA53</f>
        <v>-0.0315595132703017</v>
      </c>
      <c r="CB83" s="4" t="n">
        <f aca="false">CB25-CB53</f>
        <v>-134.744945434474</v>
      </c>
      <c r="CC83" s="4" t="n">
        <f aca="false">CC25-CC53</f>
        <v>-428.173603165249</v>
      </c>
      <c r="CD83" s="4" t="n">
        <f aca="false">CD25-CD53</f>
        <v>0</v>
      </c>
      <c r="CE83" s="4" t="n">
        <f aca="false">CE25-CE53</f>
        <v>-0.311465280107868</v>
      </c>
      <c r="CF83" s="4" t="n">
        <f aca="false">CF25-CF53</f>
        <v>-696.164798342206</v>
      </c>
      <c r="CG83" s="4" t="n">
        <f aca="false">CG25-CG53</f>
        <v>-0.621333617195824</v>
      </c>
      <c r="CH83" s="4" t="n">
        <f aca="false">CH25-CH53</f>
        <v>-1.75476848647731</v>
      </c>
      <c r="CI83" s="4" t="n">
        <f aca="false">CI25-CI53</f>
        <v>-0.0394326780905162</v>
      </c>
      <c r="CJ83" s="4" t="n">
        <f aca="false">CJ25-CJ53</f>
        <v>-0.010709016654596</v>
      </c>
      <c r="CK83" s="4" t="n">
        <f aca="false">CK25-CK53</f>
        <v>-1.03845559327188</v>
      </c>
      <c r="CL83" s="7" t="s">
        <v>322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50"/>
  <sheetViews>
    <sheetView showFormulas="false" showGridLines="true" showRowColHeaders="true" showZeros="true" rightToLeft="false" tabSelected="false" showOutlineSymbols="true" defaultGridColor="true" view="normal" topLeftCell="CQ1" colorId="64" zoomScale="75" zoomScaleNormal="75" zoomScalePageLayoutView="100" workbookViewId="0">
      <pane xSplit="0" ySplit="1" topLeftCell="A80" activePane="bottomLeft" state="frozen"/>
      <selection pane="topLeft" activeCell="CQ1" activeCellId="0" sqref="CQ1"/>
      <selection pane="bottomLeft" activeCell="DD91" activeCellId="0" sqref="DD91"/>
    </sheetView>
  </sheetViews>
  <sheetFormatPr defaultRowHeight="12.8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0" width="3.9"/>
    <col collapsed="false" customWidth="true" hidden="false" outlineLevel="0" max="5" min="3" style="0" width="11.84"/>
    <col collapsed="false" customWidth="true" hidden="false" outlineLevel="0" max="6" min="6" style="0" width="9.96"/>
    <col collapsed="false" customWidth="true" hidden="false" outlineLevel="0" max="7" min="7" style="0" width="12.28"/>
    <col collapsed="false" customWidth="true" hidden="false" outlineLevel="0" max="8" min="8" style="0" width="9.82"/>
    <col collapsed="false" customWidth="true" hidden="false" outlineLevel="0" max="10" min="9" style="0" width="10.84"/>
    <col collapsed="false" customWidth="true" hidden="false" outlineLevel="0" max="11" min="11" style="0" width="16.17"/>
    <col collapsed="false" customWidth="true" hidden="false" outlineLevel="0" max="12" min="12" style="0" width="9.96"/>
    <col collapsed="false" customWidth="true" hidden="false" outlineLevel="0" max="13" min="13" style="0" width="9.39"/>
    <col collapsed="false" customWidth="true" hidden="false" outlineLevel="0" max="14" min="14" style="0" width="11.84"/>
    <col collapsed="false" customWidth="true" hidden="false" outlineLevel="0" max="15" min="15" style="0" width="10.25"/>
    <col collapsed="false" customWidth="true" hidden="false" outlineLevel="0" max="18" min="16" style="0" width="11.84"/>
    <col collapsed="false" customWidth="true" hidden="false" outlineLevel="0" max="19" min="19" style="0" width="14.44"/>
    <col collapsed="false" customWidth="true" hidden="false" outlineLevel="0" max="20" min="20" style="0" width="13.87"/>
    <col collapsed="false" customWidth="true" hidden="false" outlineLevel="0" max="21" min="21" style="0" width="10.84"/>
    <col collapsed="false" customWidth="true" hidden="false" outlineLevel="0" max="23" min="22" style="0" width="13.43"/>
    <col collapsed="false" customWidth="true" hidden="false" outlineLevel="0" max="24" min="24" style="0" width="11.84"/>
    <col collapsed="false" customWidth="true" hidden="false" outlineLevel="0" max="25" min="25" style="0" width="9.82"/>
    <col collapsed="false" customWidth="true" hidden="false" outlineLevel="0" max="26" min="26" style="0" width="13.29"/>
    <col collapsed="false" customWidth="true" hidden="false" outlineLevel="0" max="27" min="27" style="0" width="12.71"/>
    <col collapsed="false" customWidth="true" hidden="false" outlineLevel="0" max="28" min="28" style="0" width="15.02"/>
    <col collapsed="false" customWidth="true" hidden="false" outlineLevel="0" max="29" min="29" style="0" width="14.16"/>
    <col collapsed="false" customWidth="true" hidden="false" outlineLevel="0" max="30" min="30" style="0" width="14.44"/>
    <col collapsed="false" customWidth="true" hidden="false" outlineLevel="0" max="31" min="31" style="0" width="14.01"/>
    <col collapsed="false" customWidth="true" hidden="false" outlineLevel="0" max="32" min="32" style="0" width="16.17"/>
    <col collapsed="false" customWidth="true" hidden="false" outlineLevel="0" max="33" min="33" style="0" width="11.7"/>
    <col collapsed="false" customWidth="true" hidden="false" outlineLevel="0" max="34" min="34" style="0" width="11.99"/>
    <col collapsed="false" customWidth="true" hidden="false" outlineLevel="0" max="35" min="35" style="0" width="11.84"/>
    <col collapsed="false" customWidth="true" hidden="false" outlineLevel="0" max="36" min="36" style="0" width="13.14"/>
    <col collapsed="false" customWidth="true" hidden="false" outlineLevel="0" max="37" min="37" style="0" width="11.99"/>
    <col collapsed="false" customWidth="true" hidden="false" outlineLevel="0" max="38" min="38" style="0" width="13.87"/>
    <col collapsed="false" customWidth="true" hidden="false" outlineLevel="0" max="39" min="39" style="0" width="11.84"/>
    <col collapsed="false" customWidth="true" hidden="false" outlineLevel="0" max="40" min="40" style="0" width="10.84"/>
    <col collapsed="false" customWidth="true" hidden="false" outlineLevel="0" max="41" min="41" style="0" width="14.44"/>
    <col collapsed="false" customWidth="true" hidden="false" outlineLevel="0" max="42" min="42" style="0" width="13.71"/>
    <col collapsed="false" customWidth="true" hidden="false" outlineLevel="0" max="43" min="43" style="0" width="15.74"/>
    <col collapsed="false" customWidth="true" hidden="false" outlineLevel="0" max="44" min="44" style="0" width="15.45"/>
    <col collapsed="false" customWidth="true" hidden="false" outlineLevel="0" max="45" min="45" style="0" width="11.7"/>
    <col collapsed="false" customWidth="true" hidden="false" outlineLevel="0" max="46" min="46" style="0" width="10.84"/>
    <col collapsed="false" customWidth="true" hidden="false" outlineLevel="0" max="47" min="47" style="0" width="11.84"/>
    <col collapsed="false" customWidth="true" hidden="false" outlineLevel="0" max="48" min="48" style="0" width="13.43"/>
    <col collapsed="false" customWidth="true" hidden="false" outlineLevel="0" max="49" min="49" style="0" width="12.99"/>
    <col collapsed="false" customWidth="true" hidden="false" outlineLevel="0" max="50" min="50" style="0" width="12.42"/>
    <col collapsed="false" customWidth="true" hidden="false" outlineLevel="0" max="51" min="51" style="0" width="14.3"/>
    <col collapsed="false" customWidth="true" hidden="false" outlineLevel="0" max="52" min="52" style="0" width="10.84"/>
    <col collapsed="false" customWidth="true" hidden="false" outlineLevel="0" max="53" min="53" style="0" width="12.13"/>
    <col collapsed="false" customWidth="true" hidden="false" outlineLevel="0" max="54" min="54" style="0" width="11.84"/>
    <col collapsed="false" customWidth="true" hidden="false" outlineLevel="0" max="55" min="55" style="0" width="10.84"/>
    <col collapsed="false" customWidth="true" hidden="false" outlineLevel="0" max="56" min="56" style="0" width="11.84"/>
    <col collapsed="false" customWidth="true" hidden="false" outlineLevel="0" max="57" min="57" style="0" width="10.84"/>
    <col collapsed="false" customWidth="true" hidden="false" outlineLevel="0" max="58" min="58" style="0" width="11.84"/>
    <col collapsed="false" customWidth="true" hidden="false" outlineLevel="0" max="60" min="59" style="0" width="15.16"/>
    <col collapsed="false" customWidth="true" hidden="false" outlineLevel="0" max="61" min="61" style="0" width="12.71"/>
    <col collapsed="false" customWidth="true" hidden="false" outlineLevel="0" max="62" min="62" style="0" width="11.84"/>
    <col collapsed="false" customWidth="true" hidden="false" outlineLevel="0" max="63" min="63" style="0" width="18.2"/>
    <col collapsed="false" customWidth="true" hidden="false" outlineLevel="0" max="64" min="64" style="0" width="16.17"/>
    <col collapsed="false" customWidth="true" hidden="false" outlineLevel="0" max="65" min="65" style="0" width="17.19"/>
    <col collapsed="false" customWidth="true" hidden="false" outlineLevel="0" max="66" min="66" style="0" width="9.82"/>
    <col collapsed="false" customWidth="true" hidden="false" outlineLevel="0" max="67" min="67" style="0" width="18.05"/>
    <col collapsed="false" customWidth="true" hidden="false" outlineLevel="0" max="69" min="68" style="0" width="20.65"/>
    <col collapsed="false" customWidth="true" hidden="false" outlineLevel="0" max="71" min="70" style="0" width="17.04"/>
    <col collapsed="false" customWidth="true" hidden="false" outlineLevel="0" max="74" min="72" style="0" width="12.56"/>
    <col collapsed="false" customWidth="true" hidden="false" outlineLevel="0" max="75" min="75" style="0" width="10.25"/>
    <col collapsed="false" customWidth="true" hidden="false" outlineLevel="0" max="76" min="76" style="0" width="11.84"/>
    <col collapsed="false" customWidth="true" hidden="false" outlineLevel="0" max="77" min="77" style="0" width="15.88"/>
    <col collapsed="false" customWidth="true" hidden="false" outlineLevel="0" max="78" min="78" style="0" width="14.73"/>
    <col collapsed="false" customWidth="true" hidden="false" outlineLevel="0" max="79" min="79" style="0" width="14.88"/>
    <col collapsed="false" customWidth="true" hidden="false" outlineLevel="0" max="80" min="80" style="0" width="12.85"/>
    <col collapsed="false" customWidth="true" hidden="false" outlineLevel="0" max="81" min="81" style="0" width="9.82"/>
    <col collapsed="false" customWidth="true" hidden="false" outlineLevel="0" max="82" min="82" style="0" width="15.02"/>
    <col collapsed="false" customWidth="true" hidden="false" outlineLevel="0" max="83" min="83" style="0" width="18.2"/>
    <col collapsed="false" customWidth="true" hidden="false" outlineLevel="0" max="84" min="84" style="0" width="16.75"/>
    <col collapsed="false" customWidth="true" hidden="false" outlineLevel="0" max="86" min="85" style="0" width="14.44"/>
    <col collapsed="false" customWidth="true" hidden="false" outlineLevel="0" max="87" min="87" style="0" width="12.13"/>
    <col collapsed="false" customWidth="true" hidden="false" outlineLevel="0" max="88" min="88" style="0" width="15.31"/>
    <col collapsed="false" customWidth="true" hidden="false" outlineLevel="0" max="89" min="89" style="0" width="12.99"/>
    <col collapsed="false" customWidth="true" hidden="false" outlineLevel="0" max="90" min="90" style="0" width="4.48"/>
    <col collapsed="false" customWidth="true" hidden="false" outlineLevel="0" max="91" min="91" style="0" width="14.01"/>
    <col collapsed="false" customWidth="true" hidden="false" outlineLevel="0" max="92" min="92" style="0" width="18.92"/>
    <col collapsed="false" customWidth="true" hidden="false" outlineLevel="0" max="93" min="93" style="0" width="14.01"/>
    <col collapsed="false" customWidth="true" hidden="false" outlineLevel="0" max="94" min="94" style="0" width="12.42"/>
    <col collapsed="false" customWidth="true" hidden="false" outlineLevel="0" max="95" min="95" style="0" width="14.01"/>
    <col collapsed="false" customWidth="true" hidden="false" outlineLevel="0" max="96" min="96" style="0" width="21.23"/>
    <col collapsed="false" customWidth="true" hidden="false" outlineLevel="0" max="97" min="97" style="0" width="12.42"/>
    <col collapsed="false" customWidth="true" hidden="false" outlineLevel="0" max="98" min="98" style="0" width="11.41"/>
    <col collapsed="false" customWidth="true" hidden="false" outlineLevel="0" max="99" min="99" style="0" width="12.42"/>
    <col collapsed="false" customWidth="true" hidden="false" outlineLevel="0" max="100" min="100" style="0" width="10.39"/>
    <col collapsed="false" customWidth="false" hidden="false" outlineLevel="0" max="101" min="101" style="0" width="11.52"/>
    <col collapsed="false" customWidth="true" hidden="false" outlineLevel="0" max="102" min="102" style="0" width="10.84"/>
    <col collapsed="false" customWidth="true" hidden="false" outlineLevel="0" max="103" min="103" style="0" width="14.44"/>
    <col collapsed="false" customWidth="true" hidden="false" outlineLevel="0" max="104" min="104" style="0" width="14.73"/>
    <col collapsed="false" customWidth="true" hidden="false" outlineLevel="0" max="105" min="105" style="0" width="14.44"/>
    <col collapsed="false" customWidth="true" hidden="false" outlineLevel="0" max="106" min="106" style="0" width="15.45"/>
    <col collapsed="false" customWidth="false" hidden="false" outlineLevel="0" max="107" min="107" style="0" width="11.52"/>
    <col collapsed="false" customWidth="true" hidden="false" outlineLevel="0" max="108" min="108" style="0" width="10.54"/>
    <col collapsed="false" customWidth="true" hidden="false" outlineLevel="0" max="112" min="109" style="0" width="10.25"/>
    <col collapsed="false" customWidth="false" hidden="false" outlineLevel="0" max="1025" min="113" style="0" width="11.52"/>
  </cols>
  <sheetData>
    <row r="1" customFormat="false" ht="12.8" hidden="false" customHeight="false" outlineLevel="0" collapsed="false">
      <c r="A1" s="18" t="s">
        <v>269</v>
      </c>
      <c r="B1" s="7" t="s">
        <v>39</v>
      </c>
      <c r="C1" s="7" t="s">
        <v>327</v>
      </c>
      <c r="D1" s="7" t="s">
        <v>328</v>
      </c>
      <c r="E1" s="7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52</v>
      </c>
      <c r="L1" s="2" t="s">
        <v>53</v>
      </c>
      <c r="M1" s="1" t="s">
        <v>54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3" t="s">
        <v>385</v>
      </c>
      <c r="BM1" s="1" t="s">
        <v>386</v>
      </c>
      <c r="BN1" s="1" t="s">
        <v>387</v>
      </c>
      <c r="BO1" s="1" t="s">
        <v>388</v>
      </c>
      <c r="BP1" s="1" t="s">
        <v>389</v>
      </c>
      <c r="BQ1" s="1" t="s">
        <v>390</v>
      </c>
      <c r="BR1" s="1" t="s">
        <v>391</v>
      </c>
      <c r="BS1" s="1" t="s">
        <v>392</v>
      </c>
      <c r="BT1" s="1" t="s">
        <v>393</v>
      </c>
      <c r="BU1" s="1" t="s">
        <v>394</v>
      </c>
      <c r="BV1" s="1" t="s">
        <v>395</v>
      </c>
      <c r="BW1" s="1" t="s">
        <v>396</v>
      </c>
      <c r="BX1" s="1" t="s">
        <v>397</v>
      </c>
      <c r="BY1" s="1" t="s">
        <v>398</v>
      </c>
      <c r="BZ1" s="1" t="s">
        <v>399</v>
      </c>
      <c r="CA1" s="1" t="s">
        <v>400</v>
      </c>
      <c r="CB1" s="1" t="s">
        <v>401</v>
      </c>
      <c r="CC1" s="1" t="s">
        <v>402</v>
      </c>
      <c r="CD1" s="1" t="s">
        <v>403</v>
      </c>
      <c r="CE1" s="1" t="s">
        <v>124</v>
      </c>
      <c r="CF1" s="1" t="s">
        <v>404</v>
      </c>
      <c r="CG1" s="1" t="s">
        <v>405</v>
      </c>
      <c r="CH1" s="1" t="s">
        <v>127</v>
      </c>
      <c r="CI1" s="1" t="s">
        <v>128</v>
      </c>
      <c r="CJ1" s="1" t="s">
        <v>129</v>
      </c>
      <c r="CK1" s="1" t="s">
        <v>130</v>
      </c>
      <c r="CL1" s="7" t="s">
        <v>322</v>
      </c>
    </row>
    <row r="2" customFormat="false" ht="12.8" hidden="false" customHeight="false" outlineLevel="0" collapsed="false">
      <c r="A2" s="18" t="s">
        <v>323</v>
      </c>
      <c r="B2" s="18" t="s">
        <v>39</v>
      </c>
      <c r="C2" s="18" t="n">
        <v>1</v>
      </c>
      <c r="D2" s="18" t="n">
        <v>2</v>
      </c>
      <c r="E2" s="18" t="n">
        <v>3</v>
      </c>
      <c r="F2" s="18" t="n">
        <v>4</v>
      </c>
      <c r="G2" s="18" t="n">
        <v>5</v>
      </c>
      <c r="H2" s="18" t="n">
        <v>6</v>
      </c>
      <c r="I2" s="18" t="n">
        <v>7</v>
      </c>
      <c r="J2" s="18" t="n">
        <v>8</v>
      </c>
      <c r="K2" s="18" t="n">
        <v>9</v>
      </c>
      <c r="L2" s="18" t="n">
        <v>10</v>
      </c>
      <c r="M2" s="18" t="n">
        <v>11</v>
      </c>
      <c r="N2" s="18" t="n">
        <v>12</v>
      </c>
      <c r="O2" s="18" t="n">
        <v>13</v>
      </c>
      <c r="P2" s="18" t="n">
        <v>14</v>
      </c>
      <c r="Q2" s="18" t="n">
        <v>15</v>
      </c>
      <c r="R2" s="18" t="n">
        <v>16</v>
      </c>
      <c r="S2" s="18" t="n">
        <v>17</v>
      </c>
      <c r="T2" s="18" t="n">
        <v>18</v>
      </c>
      <c r="U2" s="18" t="n">
        <v>19</v>
      </c>
      <c r="V2" s="18" t="n">
        <v>20</v>
      </c>
      <c r="W2" s="18" t="n">
        <v>21</v>
      </c>
      <c r="X2" s="18" t="n">
        <v>22</v>
      </c>
      <c r="Y2" s="18" t="n">
        <v>23</v>
      </c>
      <c r="Z2" s="18" t="n">
        <v>24</v>
      </c>
      <c r="AA2" s="18" t="n">
        <v>25</v>
      </c>
      <c r="AB2" s="18" t="n">
        <v>26</v>
      </c>
      <c r="AC2" s="18" t="n">
        <v>27</v>
      </c>
      <c r="AD2" s="18" t="n">
        <v>28</v>
      </c>
      <c r="AE2" s="18" t="n">
        <v>29</v>
      </c>
      <c r="AF2" s="18" t="n">
        <v>30</v>
      </c>
      <c r="AG2" s="18" t="n">
        <v>31</v>
      </c>
      <c r="AH2" s="18" t="n">
        <v>32</v>
      </c>
      <c r="AI2" s="18" t="n">
        <v>33</v>
      </c>
      <c r="AJ2" s="18" t="n">
        <v>34</v>
      </c>
      <c r="AK2" s="18" t="n">
        <v>35</v>
      </c>
      <c r="AL2" s="18" t="n">
        <v>36</v>
      </c>
      <c r="AM2" s="18" t="n">
        <v>37</v>
      </c>
      <c r="AN2" s="18" t="n">
        <v>38</v>
      </c>
      <c r="AO2" s="18" t="n">
        <v>39</v>
      </c>
      <c r="AP2" s="18" t="n">
        <v>40</v>
      </c>
      <c r="AQ2" s="18" t="n">
        <v>41</v>
      </c>
      <c r="AR2" s="18" t="n">
        <v>42</v>
      </c>
      <c r="AS2" s="18" t="n">
        <v>43</v>
      </c>
      <c r="AT2" s="18" t="n">
        <v>44</v>
      </c>
      <c r="AU2" s="18" t="n">
        <v>45</v>
      </c>
      <c r="AV2" s="18" t="n">
        <v>46</v>
      </c>
      <c r="AW2" s="18" t="n">
        <v>47</v>
      </c>
      <c r="AX2" s="18" t="n">
        <v>48</v>
      </c>
      <c r="AY2" s="18" t="n">
        <v>49</v>
      </c>
      <c r="AZ2" s="18" t="n">
        <v>50</v>
      </c>
      <c r="BA2" s="18" t="n">
        <v>51</v>
      </c>
      <c r="BB2" s="18" t="n">
        <v>52</v>
      </c>
      <c r="BC2" s="18" t="n">
        <v>53</v>
      </c>
      <c r="BD2" s="18" t="n">
        <v>54</v>
      </c>
      <c r="BE2" s="18" t="n">
        <v>55</v>
      </c>
      <c r="BF2" s="18" t="n">
        <v>56</v>
      </c>
      <c r="BG2" s="18" t="n">
        <v>57</v>
      </c>
      <c r="BH2" s="18" t="n">
        <v>58</v>
      </c>
      <c r="BI2" s="18" t="n">
        <v>59</v>
      </c>
      <c r="BJ2" s="18" t="n">
        <v>60</v>
      </c>
      <c r="BK2" s="18" t="n">
        <v>61</v>
      </c>
      <c r="BL2" s="18" t="n">
        <v>62</v>
      </c>
      <c r="BM2" s="18" t="n">
        <v>63</v>
      </c>
      <c r="BN2" s="18" t="n">
        <v>64</v>
      </c>
      <c r="BO2" s="18" t="n">
        <v>65</v>
      </c>
      <c r="BP2" s="18" t="n">
        <v>66</v>
      </c>
      <c r="BQ2" s="18" t="n">
        <v>67</v>
      </c>
      <c r="BR2" s="18" t="n">
        <v>68</v>
      </c>
      <c r="BS2" s="18" t="n">
        <v>69</v>
      </c>
      <c r="BT2" s="18" t="n">
        <v>70</v>
      </c>
      <c r="BU2" s="18" t="n">
        <v>71</v>
      </c>
      <c r="BV2" s="18" t="n">
        <v>72</v>
      </c>
      <c r="BW2" s="18" t="n">
        <v>73</v>
      </c>
      <c r="BX2" s="18" t="n">
        <v>74</v>
      </c>
      <c r="BY2" s="18" t="n">
        <v>75</v>
      </c>
      <c r="BZ2" s="18" t="n">
        <v>76</v>
      </c>
      <c r="CA2" s="18" t="n">
        <v>77</v>
      </c>
      <c r="CB2" s="18" t="n">
        <v>78</v>
      </c>
      <c r="CC2" s="18" t="n">
        <v>79</v>
      </c>
      <c r="CD2" s="18" t="n">
        <v>80</v>
      </c>
      <c r="CE2" s="18" t="n">
        <v>81</v>
      </c>
      <c r="CF2" s="18" t="n">
        <v>82</v>
      </c>
      <c r="CG2" s="18" t="n">
        <v>83</v>
      </c>
      <c r="CH2" s="18" t="n">
        <v>84</v>
      </c>
      <c r="CI2" s="18" t="n">
        <v>85</v>
      </c>
      <c r="CJ2" s="18" t="n">
        <v>86</v>
      </c>
      <c r="CK2" s="18" t="n">
        <v>87</v>
      </c>
      <c r="CL2" s="7" t="s">
        <v>322</v>
      </c>
      <c r="CM2" s="10" t="n">
        <f aca="false">Flows!BT18*BT$3*BT$4</f>
        <v>7473743170.30647</v>
      </c>
      <c r="CN2" s="10" t="s">
        <v>406</v>
      </c>
    </row>
    <row r="3" customFormat="false" ht="12.8" hidden="false" customHeight="false" outlineLevel="0" collapsed="false">
      <c r="A3" s="18" t="s">
        <v>407</v>
      </c>
      <c r="B3" s="18" t="s">
        <v>39</v>
      </c>
      <c r="C3" s="23" t="n">
        <v>1</v>
      </c>
      <c r="D3" s="23" t="n">
        <v>1</v>
      </c>
      <c r="E3" s="23" t="n">
        <v>1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1</v>
      </c>
      <c r="K3" s="23" t="n">
        <v>1</v>
      </c>
      <c r="L3" s="23" t="n">
        <v>1</v>
      </c>
      <c r="M3" s="23" t="n">
        <v>1</v>
      </c>
      <c r="N3" s="23" t="n">
        <v>1</v>
      </c>
      <c r="O3" s="23" t="n">
        <v>1</v>
      </c>
      <c r="P3" s="23" t="n">
        <v>1</v>
      </c>
      <c r="Q3" s="23" t="n">
        <v>1</v>
      </c>
      <c r="R3" s="23" t="n">
        <v>1</v>
      </c>
      <c r="S3" s="23" t="n">
        <v>1</v>
      </c>
      <c r="T3" s="23" t="n">
        <v>1</v>
      </c>
      <c r="U3" s="23" t="n">
        <v>1</v>
      </c>
      <c r="V3" s="23" t="n">
        <v>1</v>
      </c>
      <c r="W3" s="23" t="n">
        <v>1</v>
      </c>
      <c r="X3" s="23" t="n">
        <v>1</v>
      </c>
      <c r="Y3" s="23" t="n">
        <v>5</v>
      </c>
      <c r="Z3" s="23" t="n">
        <f aca="false">AA3</f>
        <v>50</v>
      </c>
      <c r="AA3" s="23" t="n">
        <v>50</v>
      </c>
      <c r="AB3" s="23" t="n">
        <v>50</v>
      </c>
      <c r="AC3" s="23" t="n">
        <v>100</v>
      </c>
      <c r="AD3" s="23" t="n">
        <v>100</v>
      </c>
      <c r="AE3" s="23" t="n">
        <v>20</v>
      </c>
      <c r="AF3" s="23" t="n">
        <v>20</v>
      </c>
      <c r="AG3" s="23" t="n">
        <v>5</v>
      </c>
      <c r="AH3" s="23" t="n">
        <v>5</v>
      </c>
      <c r="AI3" s="23" t="n">
        <v>5</v>
      </c>
      <c r="AJ3" s="23" t="n">
        <v>5</v>
      </c>
      <c r="AK3" s="23" t="n">
        <v>5</v>
      </c>
      <c r="AL3" s="23" t="n">
        <v>5</v>
      </c>
      <c r="AM3" s="23" t="n">
        <v>5</v>
      </c>
      <c r="AN3" s="23" t="n">
        <v>5</v>
      </c>
      <c r="AO3" s="23" t="n">
        <v>5</v>
      </c>
      <c r="AP3" s="23" t="n">
        <v>5</v>
      </c>
      <c r="AQ3" s="23" t="n">
        <v>5</v>
      </c>
      <c r="AR3" s="23" t="n">
        <v>5</v>
      </c>
      <c r="AS3" s="23" t="n">
        <v>5</v>
      </c>
      <c r="AT3" s="23" t="n">
        <v>5</v>
      </c>
      <c r="AU3" s="23" t="n">
        <v>5</v>
      </c>
      <c r="AV3" s="23" t="n">
        <v>5</v>
      </c>
      <c r="AW3" s="23" t="n">
        <v>5</v>
      </c>
      <c r="AX3" s="23" t="n">
        <v>10</v>
      </c>
      <c r="AY3" s="23" t="n">
        <v>5</v>
      </c>
      <c r="AZ3" s="23" t="n">
        <v>5</v>
      </c>
      <c r="BA3" s="23" t="n">
        <v>20</v>
      </c>
      <c r="BB3" s="23" t="n">
        <v>5</v>
      </c>
      <c r="BC3" s="23" t="n">
        <v>10</v>
      </c>
      <c r="BD3" s="23" t="n">
        <v>5</v>
      </c>
      <c r="BE3" s="23" t="n">
        <v>10</v>
      </c>
      <c r="BF3" s="23" t="n">
        <v>1</v>
      </c>
      <c r="BG3" s="23" t="n">
        <v>1</v>
      </c>
      <c r="BH3" s="23" t="n">
        <v>1</v>
      </c>
      <c r="BI3" s="23" t="n">
        <v>1</v>
      </c>
      <c r="BJ3" s="23" t="n">
        <v>1</v>
      </c>
      <c r="BK3" s="23" t="n">
        <v>1</v>
      </c>
      <c r="BL3" s="23" t="n">
        <v>10</v>
      </c>
      <c r="BM3" s="23" t="n">
        <v>10</v>
      </c>
      <c r="BN3" s="23" t="n">
        <f aca="false">$BT$3</f>
        <v>20</v>
      </c>
      <c r="BO3" s="23" t="n">
        <f aca="false">$BT$3</f>
        <v>20</v>
      </c>
      <c r="BP3" s="23" t="n">
        <v>5</v>
      </c>
      <c r="BQ3" s="23" t="n">
        <f aca="false">$BT$3</f>
        <v>20</v>
      </c>
      <c r="BR3" s="23" t="n">
        <f aca="false">$BT$3</f>
        <v>20</v>
      </c>
      <c r="BS3" s="23" t="n">
        <f aca="false">$BT$3</f>
        <v>20</v>
      </c>
      <c r="BT3" s="23" t="n">
        <v>20</v>
      </c>
      <c r="BU3" s="23" t="n">
        <f aca="false">$BT$3</f>
        <v>20</v>
      </c>
      <c r="BV3" s="23" t="n">
        <f aca="false">$BT$3</f>
        <v>20</v>
      </c>
      <c r="BW3" s="23" t="n">
        <v>1</v>
      </c>
      <c r="BX3" s="23" t="n">
        <v>5</v>
      </c>
      <c r="BY3" s="23" t="n">
        <v>5</v>
      </c>
      <c r="BZ3" s="23" t="n">
        <v>1</v>
      </c>
      <c r="CA3" s="23" t="n">
        <v>1</v>
      </c>
      <c r="CB3" s="23" t="n">
        <v>1</v>
      </c>
      <c r="CC3" s="23" t="n">
        <v>20</v>
      </c>
      <c r="CD3" s="23" t="n">
        <v>1</v>
      </c>
      <c r="CE3" s="23" t="n">
        <v>20</v>
      </c>
      <c r="CF3" s="23" t="n">
        <v>10</v>
      </c>
      <c r="CG3" s="23" t="n">
        <v>20</v>
      </c>
      <c r="CH3" s="23" t="n">
        <v>20</v>
      </c>
      <c r="CI3" s="23" t="n">
        <v>2</v>
      </c>
      <c r="CJ3" s="23" t="n">
        <v>20</v>
      </c>
      <c r="CK3" s="23" t="n">
        <v>20</v>
      </c>
      <c r="CL3" s="7" t="s">
        <v>322</v>
      </c>
    </row>
    <row r="4" customFormat="false" ht="12.8" hidden="false" customHeight="false" outlineLevel="0" collapsed="false">
      <c r="A4" s="18" t="s">
        <v>408</v>
      </c>
      <c r="B4" s="18" t="s">
        <v>39</v>
      </c>
      <c r="C4" s="24" t="n">
        <f aca="false">16*1000*2000</f>
        <v>32000000</v>
      </c>
      <c r="D4" s="24" t="n">
        <f aca="false">1000*2000</f>
        <v>2000000</v>
      </c>
      <c r="E4" s="24" t="n">
        <f aca="false">1000*2000</f>
        <v>2000000</v>
      </c>
      <c r="F4" s="24" t="n">
        <f aca="false">1000*2000</f>
        <v>2000000</v>
      </c>
      <c r="G4" s="24" t="n">
        <f aca="false">1000*2000</f>
        <v>2000000</v>
      </c>
      <c r="H4" s="24" t="n">
        <f aca="false">1000*2000</f>
        <v>2000000</v>
      </c>
      <c r="I4" s="24" t="n">
        <f aca="false">1000*2000</f>
        <v>2000000</v>
      </c>
      <c r="J4" s="24" t="n">
        <f aca="false">1000*2000</f>
        <v>2000000</v>
      </c>
      <c r="K4" s="24" t="n">
        <v>1</v>
      </c>
      <c r="L4" s="24" t="n">
        <v>1</v>
      </c>
      <c r="M4" s="24" t="n">
        <v>1</v>
      </c>
      <c r="N4" s="24" t="n">
        <f aca="false">1000*2000</f>
        <v>2000000</v>
      </c>
      <c r="O4" s="24" t="n">
        <f aca="false">1000*2000</f>
        <v>2000000</v>
      </c>
      <c r="P4" s="24" t="n">
        <f aca="false">1000*2000/0.75</f>
        <v>2666666.66666667</v>
      </c>
      <c r="Q4" s="24" t="n">
        <f aca="false">1000*2000</f>
        <v>2000000</v>
      </c>
      <c r="R4" s="24" t="n">
        <f aca="false">1000*2000</f>
        <v>2000000</v>
      </c>
      <c r="S4" s="24" t="n">
        <f aca="false">1000*2000</f>
        <v>2000000</v>
      </c>
      <c r="T4" s="24" t="n">
        <f aca="false">1000*2000</f>
        <v>2000000</v>
      </c>
      <c r="U4" s="24" t="n">
        <f aca="false">16*1000*2000</f>
        <v>32000000</v>
      </c>
      <c r="V4" s="24" t="n">
        <f aca="false">1000*2000/8.34</f>
        <v>239808.153477218</v>
      </c>
      <c r="W4" s="24" t="n">
        <f aca="false">1000*2000</f>
        <v>2000000</v>
      </c>
      <c r="X4" s="24" t="n">
        <f aca="false">1000*2000</f>
        <v>2000000</v>
      </c>
      <c r="Y4" s="24" t="n">
        <f aca="false">1000*2000</f>
        <v>2000000</v>
      </c>
      <c r="Z4" s="24" t="n">
        <f aca="false">1/Capacity!$AT$36</f>
        <v>533.333333333333</v>
      </c>
      <c r="AA4" s="24" t="n">
        <f aca="false">1/Capacity!$AT$36</f>
        <v>533.333333333333</v>
      </c>
      <c r="AB4" s="24" t="n">
        <f aca="false">1/Capacity!$AT$36</f>
        <v>533.333333333333</v>
      </c>
      <c r="AC4" s="24" t="n">
        <f aca="false">1/Capacity!$AW$30</f>
        <v>258.585858585859</v>
      </c>
      <c r="AD4" s="24" t="n">
        <f aca="false">1/Capacity!$AW$30</f>
        <v>258.585858585859</v>
      </c>
      <c r="AE4" s="24" t="n">
        <f aca="false">1000*Capacity!$AY$30</f>
        <v>555.555555555556</v>
      </c>
      <c r="AF4" s="24" t="n">
        <f aca="false">1000/Capacity!AZ$30</f>
        <v>800000</v>
      </c>
      <c r="AG4" s="24" t="n">
        <f aca="false">1000/Capacity!BA$30</f>
        <v>666666.666666667</v>
      </c>
      <c r="AH4" s="24" t="n">
        <f aca="false">1000/Capacity!BB$30</f>
        <v>1333333.33333333</v>
      </c>
      <c r="AI4" s="24" t="n">
        <f aca="false">1000/Capacity!BC$30</f>
        <v>1666666.66666667</v>
      </c>
      <c r="AJ4" s="24" t="n">
        <f aca="false">1000/Capacity!BD$30</f>
        <v>1333333.33333333</v>
      </c>
      <c r="AK4" s="24" t="n">
        <f aca="false">1000/Capacity!BE$30</f>
        <v>5490196.07843137</v>
      </c>
      <c r="AL4" s="24" t="n">
        <f aca="false">1000/Capacity!BF$30</f>
        <v>4571428.57142857</v>
      </c>
      <c r="AM4" s="24" t="n">
        <f aca="false">1000/Capacity!BG$30</f>
        <v>1000000</v>
      </c>
      <c r="AN4" s="24" t="n">
        <f aca="false">1000/Capacity!BH$30</f>
        <v>1333333.33333333</v>
      </c>
      <c r="AO4" s="24" t="n">
        <f aca="false">1000/Capacity!BI$30</f>
        <v>50000</v>
      </c>
      <c r="AP4" s="24" t="n">
        <f aca="false">1000/Capacity!BJ$30</f>
        <v>38197.0970206264</v>
      </c>
      <c r="AQ4" s="24" t="n">
        <f aca="false">1000/Capacity!BK$30</f>
        <v>1185185.18518519</v>
      </c>
      <c r="AR4" s="24" t="n">
        <f aca="false">1000/Capacity!BL$30</f>
        <v>592592.592592593</v>
      </c>
      <c r="AS4" s="24" t="n">
        <f aca="false">1000/Capacity!BM$30</f>
        <v>2370370.37037037</v>
      </c>
      <c r="AT4" s="24" t="n">
        <f aca="false">1000/Capacity!BN$30</f>
        <v>666666.666666667</v>
      </c>
      <c r="AU4" s="24" t="n">
        <f aca="false">1000/Capacity!BO$30</f>
        <v>615384.615384615</v>
      </c>
      <c r="AV4" s="24" t="n">
        <f aca="false">1000/Capacity!BP$30</f>
        <v>1333333.33333333</v>
      </c>
      <c r="AW4" s="24" t="n">
        <f aca="false">Capacity!BQ30</f>
        <v>30000000</v>
      </c>
      <c r="AX4" s="24" t="n">
        <f aca="false">Capacity!$BR$30</f>
        <v>1000000</v>
      </c>
      <c r="AY4" s="24" t="n">
        <f aca="false">Capacity!BS30</f>
        <v>8000000</v>
      </c>
      <c r="AZ4" s="24" t="n">
        <f aca="false">Capacity!BT30</f>
        <v>4444444.44444444</v>
      </c>
      <c r="BA4" s="24" t="n">
        <f aca="false">Capacity!BU32</f>
        <v>4000000</v>
      </c>
      <c r="BB4" s="24" t="n">
        <f aca="false">Capacity!BV30</f>
        <v>1269841.26984127</v>
      </c>
      <c r="BC4" s="24" t="n">
        <f aca="false">Capacity!BW30</f>
        <v>2222222.22222222</v>
      </c>
      <c r="BD4" s="24" t="n">
        <f aca="false">Capacity!BX30</f>
        <v>1777777.77777778</v>
      </c>
      <c r="BE4" s="24" t="n">
        <f aca="false">Capacity!BY30</f>
        <v>634920.634920635</v>
      </c>
      <c r="BF4" s="24" t="n">
        <f aca="false">1000*2000</f>
        <v>2000000</v>
      </c>
      <c r="BG4" s="24" t="n">
        <f aca="false">1000*2000</f>
        <v>2000000</v>
      </c>
      <c r="BH4" s="24" t="n">
        <f aca="false">1000*2000</f>
        <v>2000000</v>
      </c>
      <c r="BI4" s="24" t="n">
        <f aca="false">1000*2000</f>
        <v>2000000</v>
      </c>
      <c r="BJ4" s="24" t="n">
        <f aca="false">1000*2000</f>
        <v>2000000</v>
      </c>
      <c r="BK4" s="24" t="n">
        <f aca="false">1000*2000</f>
        <v>2000000</v>
      </c>
      <c r="BL4" s="24" t="n">
        <f aca="false">1000*2000/(32*8.34)</f>
        <v>7494.00479616307</v>
      </c>
      <c r="BM4" s="24" t="n">
        <f aca="false">1000*2000/8.34</f>
        <v>239808.153477218</v>
      </c>
      <c r="BN4" s="24" t="n">
        <f aca="false">1000*2000</f>
        <v>2000000</v>
      </c>
      <c r="BO4" s="24" t="n">
        <f aca="false">1000*2000</f>
        <v>2000000</v>
      </c>
      <c r="BP4" s="24" t="n">
        <f aca="false">1000*2000</f>
        <v>2000000</v>
      </c>
      <c r="BQ4" s="24" t="n">
        <f aca="false">1000*2000</f>
        <v>2000000</v>
      </c>
      <c r="BR4" s="24" t="n">
        <f aca="false">1000*2000</f>
        <v>2000000</v>
      </c>
      <c r="BS4" s="24" t="n">
        <f aca="false">1000*2000</f>
        <v>2000000</v>
      </c>
      <c r="BT4" s="24" t="n">
        <f aca="false">16*1000*2000</f>
        <v>32000000</v>
      </c>
      <c r="BU4" s="24" t="n">
        <f aca="false">16*1000*2000</f>
        <v>32000000</v>
      </c>
      <c r="BV4" s="24" t="n">
        <f aca="false">16*1000*2000</f>
        <v>32000000</v>
      </c>
      <c r="BW4" s="24" t="n">
        <f aca="false">1000*2000/8.34</f>
        <v>239808.153477218</v>
      </c>
      <c r="BX4" s="24" t="n">
        <f aca="false">50000000/3</f>
        <v>16666666.6666667</v>
      </c>
      <c r="BY4" s="24" t="n">
        <f aca="false">1500000/3</f>
        <v>500000</v>
      </c>
      <c r="BZ4" s="24" t="n">
        <f aca="false">1000*2000/(0.8*8.34)</f>
        <v>299760.191846523</v>
      </c>
      <c r="CA4" s="24" t="n">
        <f aca="false">1000*2000</f>
        <v>2000000</v>
      </c>
      <c r="CB4" s="24" t="n">
        <f aca="false">1000*2000/8.34</f>
        <v>239808.153477218</v>
      </c>
      <c r="CC4" s="24" t="n">
        <f aca="false">Capacity!CW31</f>
        <v>33333.3333333333</v>
      </c>
      <c r="CD4" s="24" t="n">
        <f aca="false">1000*2000</f>
        <v>2000000</v>
      </c>
      <c r="CE4" s="24" t="n">
        <f aca="false">4000000</f>
        <v>4000000</v>
      </c>
      <c r="CF4" s="24" t="n">
        <f aca="false">1000*2000</f>
        <v>2000000</v>
      </c>
      <c r="CG4" s="24" t="n">
        <f aca="false">1000*2000/0.5</f>
        <v>4000000</v>
      </c>
      <c r="CH4" s="24" t="n">
        <f aca="false">1000*2000/0.5</f>
        <v>4000000</v>
      </c>
      <c r="CI4" s="24" t="n">
        <v>100000000</v>
      </c>
      <c r="CJ4" s="24" t="n">
        <v>4000000</v>
      </c>
      <c r="CK4" s="24" t="n">
        <v>80000</v>
      </c>
      <c r="CL4" s="7" t="s">
        <v>39</v>
      </c>
    </row>
    <row r="5" customFormat="false" ht="12.8" hidden="false" customHeight="false" outlineLevel="0" collapsed="false">
      <c r="A5" s="7" t="s">
        <v>409</v>
      </c>
      <c r="B5" s="7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7" t="s">
        <v>39</v>
      </c>
    </row>
    <row r="6" customFormat="false" ht="12.8" hidden="false" customHeight="false" outlineLevel="0" collapsed="false">
      <c r="A6" s="7" t="s">
        <v>131</v>
      </c>
      <c r="B6" s="7" t="s">
        <v>39</v>
      </c>
      <c r="C6" s="10" t="n">
        <f aca="false">IF(Flows!C3*C$3*C$4&lt;0.002,100,MAX($CM$2/(Flows!C3*C$3*C$4),1))</f>
        <v>21038.3663991903</v>
      </c>
      <c r="D6" s="10" t="n">
        <f aca="false">IF(Flows!D3*D$3*D$4&lt;0.002,100,MAX($CM$2/(Flows!D3*D$3*D$4),1))</f>
        <v>7.26673678026503</v>
      </c>
      <c r="E6" s="10" t="n">
        <f aca="false">IF(Flows!E3*E$3*E$4&lt;0.002,100,MAX($CM$2/(Flows!E3*E$3*E$4),1))</f>
        <v>76.8724700489671</v>
      </c>
      <c r="F6" s="10" t="n">
        <f aca="false">IF(Flows!F3*F$3*F$4&lt;0.002,100,MAX($CM$2/(Flows!F3*F$3*F$4),1))</f>
        <v>236.152227990427</v>
      </c>
      <c r="G6" s="10" t="n">
        <f aca="false">IF(Flows!G3*G$3*G$4&lt;0.002,100,MAX($CM$2/(Flows!G3*G$3*G$4),1))</f>
        <v>6299.99796556526</v>
      </c>
      <c r="H6" s="10" t="n">
        <f aca="false">IF(Flows!H3*H$3*H$4&lt;0.002,100,MAX($CM$2/(Flows!H3*H$3*H$4),1))</f>
        <v>100</v>
      </c>
      <c r="I6" s="10" t="n">
        <f aca="false">IF(Flows!I3*I$3*I$4&lt;0.002,100,MAX($CM$2/(Flows!I3*I$3*I$4),1))</f>
        <v>1060.84991987665</v>
      </c>
      <c r="J6" s="10" t="n">
        <f aca="false">IF(Flows!J3*J$3*J$4&lt;0.002,100,MAX($CM$2/(Flows!J3*J$3*J$4),1))</f>
        <v>1225.21171050501</v>
      </c>
      <c r="K6" s="10" t="n">
        <f aca="false">IF(Flows!K3*K$3*K$4&lt;0.002,100,MAX($CM$2/(Flows!K3*K$3*K$4),1))</f>
        <v>14530.1698450756</v>
      </c>
      <c r="L6" s="10" t="n">
        <f aca="false">IF(Flows!L3*L$3*L$4&lt;0.002,100,MAX($CM$2/(Flows!L3*L$3*L$4),1))</f>
        <v>79369.1717927925</v>
      </c>
      <c r="M6" s="10" t="n">
        <f aca="false">IF(Flows!M3*M$3*M$4&lt;0.002,100,MAX($CM$2/(Flows!M3*M$3*M$4),1))</f>
        <v>57903.3940863881</v>
      </c>
      <c r="N6" s="10" t="n">
        <f aca="false">IF(Flows!N3*N$3*N$4&lt;0.002,100,MAX($CM$2/(Flows!N3*N$3*N$4),1))</f>
        <v>69.8211940229642</v>
      </c>
      <c r="O6" s="10" t="n">
        <f aca="false">IF(Flows!O3*O$3*O$4&lt;0.002,100,MAX($CM$2/(Flows!O3*O$3*O$4),1))</f>
        <v>8.29664027384179</v>
      </c>
      <c r="P6" s="10" t="n">
        <f aca="false">IF(Flows!P3*P$3*P$4&lt;0.002,100,MAX($CM$2/(Flows!P3*P$3*P$4),1))</f>
        <v>15.5562005134533</v>
      </c>
      <c r="Q6" s="10" t="n">
        <f aca="false">IF(Flows!Q3*Q$3*Q$4&lt;0.002,100,MAX($CM$2/(Flows!Q3*Q$3*Q$4),1))</f>
        <v>191546.432201941</v>
      </c>
      <c r="R6" s="10" t="n">
        <f aca="false">IF(Flows!R3*R$3*R$4&lt;0.002,100,MAX($CM$2/(Flows!R3*R$3*R$4),1))</f>
        <v>39.8086845070566</v>
      </c>
      <c r="S6" s="10" t="n">
        <f aca="false">IF(Flows!S3*S$3*S$4&lt;0.002,100,MAX($CM$2/(Flows!S3*S$3*S$4),1))</f>
        <v>680.307186795363</v>
      </c>
      <c r="T6" s="10" t="n">
        <f aca="false">IF(Flows!T3*T$3*T$4&lt;0.002,100,MAX($CM$2/(Flows!T3*T$3*T$4),1))</f>
        <v>1217.21629009955</v>
      </c>
      <c r="U6" s="10" t="n">
        <f aca="false">IF(Flows!U3*U$3*U$4&lt;0.002,100,MAX($CM$2/(Flows!U3*U$3*U$4),1))</f>
        <v>241.264142026617</v>
      </c>
      <c r="V6" s="10" t="n">
        <f aca="false">IF(Flows!V3*V$3*V$4&lt;0.002,100,MAX($CM$2/(Flows!V3*V$3*V$4),1))</f>
        <v>2490.18231949741</v>
      </c>
      <c r="W6" s="10" t="n">
        <f aca="false">IF(Flows!W3*W$3*W$4&lt;0.002,100,MAX($CM$2/(Flows!W3*W$3*W$4),1))</f>
        <v>65.6451903901334</v>
      </c>
      <c r="X6" s="10" t="n">
        <f aca="false">IF(Flows!X3*X$3*X$4&lt;0.002,100,MAX($CM$2/(Flows!X3*X$3*X$4),1))</f>
        <v>3.39298055998299</v>
      </c>
      <c r="Y6" s="10" t="n">
        <f aca="false">IF(Flows!Y3*Y$3*Y$4&lt;0.002,100,MAX($CM$2/(Flows!Y3*Y$3*Y$4),1))</f>
        <v>396.845858963963</v>
      </c>
      <c r="Z6" s="10" t="n">
        <f aca="false">IF(Flows!Z3*Z$3*Z$4&lt;0.002,100,MAX($CM$2/(Flows!Z3*Z$3*Z$4),1))</f>
        <v>51259.6374475183</v>
      </c>
      <c r="AA6" s="10" t="n">
        <f aca="false">IF(Flows!AA3*AA$3*AA$4&lt;0.002,100,MAX($CM$2/(Flows!AA3*AA$3*AA$4),1))</f>
        <v>92079.6360087806</v>
      </c>
      <c r="AB6" s="10" t="n">
        <f aca="false">IF(Flows!AB3*AB$3*AB$4&lt;0.002,100,MAX($CM$2/(Flows!AB3*AB$3*AB$4),1))</f>
        <v>85817.7607169</v>
      </c>
      <c r="AC6" s="10" t="n">
        <f aca="false">IF(Flows!AC3*AC$3*AC$4&lt;0.002,100,MAX($CM$2/(Flows!AC3*AC$3*AC$4),1))</f>
        <v>314895.112118103</v>
      </c>
      <c r="AD6" s="10" t="n">
        <f aca="false">IF(Flows!AD3*AD$3*AD$4&lt;0.002,100,MAX($CM$2/(Flows!AD3*AD$3*AD$4),1))</f>
        <v>540585.229259818</v>
      </c>
      <c r="AE6" s="10" t="n">
        <f aca="false">IF(Flows!AE3*AE$3*AE$4&lt;0.002,100,MAX($CM$2/(Flows!AE3*AE$3*AE$4),1))</f>
        <v>1745308.36181175</v>
      </c>
      <c r="AF6" s="10" t="n">
        <f aca="false">IF(Flows!AF3*AF$3*AF$4&lt;0.002,100,MAX($CM$2/(Flows!AF3*AF$3*AF$4),1))</f>
        <v>5378.67700504183</v>
      </c>
      <c r="AG6" s="10" t="n">
        <f aca="false">IF(Flows!AG3*AG$3*AG$4&lt;0.002,100,MAX($CM$2/(Flows!AG3*AG$3*AG$4),1))</f>
        <v>6615.38264957988</v>
      </c>
      <c r="AH6" s="10" t="n">
        <f aca="false">IF(Flows!AH3*AH$3*AH$4&lt;0.002,100,MAX($CM$2/(Flows!AH3*AH$3*AH$4),1))</f>
        <v>2961.50687692102</v>
      </c>
      <c r="AI6" s="10" t="n">
        <f aca="false">IF(Flows!AI3*AI$3*AI$4&lt;0.002,100,MAX($CM$2/(Flows!AI3*AI$3*AI$4),1))</f>
        <v>16343.027894616</v>
      </c>
      <c r="AJ6" s="10" t="n">
        <f aca="false">IF(Flows!AJ3*AJ$3*AJ$4&lt;0.002,100,MAX($CM$2/(Flows!AJ3*AJ$3*AJ$4),1))</f>
        <v>7678.10498393086</v>
      </c>
      <c r="AK6" s="10" t="n">
        <f aca="false">IF(Flows!AK3*AK$3*AK$4&lt;0.002,100,MAX($CM$2/(Flows!AK3*AK$3*AK$4),1))</f>
        <v>3430.94426853728</v>
      </c>
      <c r="AL6" s="10" t="n">
        <f aca="false">IF(Flows!AL3*AL$3*AL$4&lt;0.002,100,MAX($CM$2/(Flows!AL3*AL$3*AL$4),1))</f>
        <v>6234.45329777622</v>
      </c>
      <c r="AM6" s="10" t="n">
        <f aca="false">IF(Flows!AM3*AM$3*AM$4&lt;0.002,100,MAX($CM$2/(Flows!AM3*AM$3*AM$4),1))</f>
        <v>13751.2905859604</v>
      </c>
      <c r="AN6" s="10" t="n">
        <f aca="false">IF(Flows!AN3*AN$3*AN$4&lt;0.002,100,MAX($CM$2/(Flows!AN3*AN$3*AN$4),1))</f>
        <v>16381.8861449474</v>
      </c>
      <c r="AO6" s="10" t="n">
        <f aca="false">IF(Flows!AO3*AO$3*AO$4&lt;0.002,100,MAX($CM$2/(Flows!AO3*AO$3*AO$4),1))</f>
        <v>178214.23932001</v>
      </c>
      <c r="AP6" s="10" t="n">
        <f aca="false">IF(Flows!AP3*AP$3*AP$4&lt;0.002,100,MAX($CM$2/(Flows!AP3*AP$3*AP$4),1))</f>
        <v>291312.803225554</v>
      </c>
      <c r="AQ6" s="10" t="n">
        <f aca="false">IF(Flows!AQ3*AQ$3*AQ$4&lt;0.002,100,MAX($CM$2/(Flows!AQ3*AQ$3*AQ$4),1))</f>
        <v>123084.352871746</v>
      </c>
      <c r="AR6" s="10" t="n">
        <f aca="false">IF(Flows!AR3*AR$3*AR$4&lt;0.002,100,MAX($CM$2/(Flows!AR3*AR$3*AR$4),1))</f>
        <v>151781.965479458</v>
      </c>
      <c r="AS6" s="10" t="n">
        <f aca="false">IF(Flows!AS3*AS$3*AS$4&lt;0.002,100,MAX($CM$2/(Flows!AS3*AS$3*AS$4),1))</f>
        <v>17471.0132797173</v>
      </c>
      <c r="AT6" s="10" t="n">
        <f aca="false">IF(Flows!AT3*AT$3*AT$4&lt;0.002,100,MAX($CM$2/(Flows!AT3*AT$3*AT$4),1))</f>
        <v>6304.61777786309</v>
      </c>
      <c r="AU6" s="10" t="n">
        <f aca="false">IF(Flows!AU3*AU$3*AU$4&lt;0.002,100,MAX($CM$2/(Flows!AU3*AU$3*AU$4),1))</f>
        <v>6361.0101131353</v>
      </c>
      <c r="AV6" s="10" t="n">
        <f aca="false">IF(Flows!AV3*AV$3*AV$4&lt;0.002,100,MAX($CM$2/(Flows!AV3*AV$3*AV$4),1))</f>
        <v>65806.1656587805</v>
      </c>
      <c r="AW6" s="10" t="n">
        <f aca="false">IF(Flows!AW3*AW$3*AW$4&lt;0.002,100,MAX($CM$2/(Flows!AW3*AW$3*AW$4),1))</f>
        <v>98.4216470646711</v>
      </c>
      <c r="AX6" s="10" t="n">
        <f aca="false">IF(Flows!AX3*AX$3*AX$4&lt;0.002,100,MAX($CM$2/(Flows!AX3*AX$3*AX$4),1))</f>
        <v>12256.8127362822</v>
      </c>
      <c r="AY6" s="10" t="n">
        <f aca="false">IF(Flows!AY3*AY$3*AY$4&lt;0.002,100,MAX($CM$2/(Flows!AY3*AY$3*AY$4),1))</f>
        <v>4703.07530841604</v>
      </c>
      <c r="AZ6" s="10" t="n">
        <f aca="false">IF(Flows!AZ3*AZ$3*AZ$4&lt;0.002,100,MAX($CM$2/(Flows!AZ3*AZ$3*AZ$4),1))</f>
        <v>1284.23807568769</v>
      </c>
      <c r="BA6" s="10" t="n">
        <f aca="false">IF(Flows!BA3*BA$3*BA$4&lt;0.002,100,MAX($CM$2/(Flows!BA3*BA$3*BA$4),1))</f>
        <v>4047.82776143242</v>
      </c>
      <c r="BB6" s="10" t="n">
        <f aca="false">IF(Flows!BB3*BB$3*BB$4&lt;0.002,100,MAX($CM$2/(Flows!BB3*BB$3*BB$4),1))</f>
        <v>25109.6553634954</v>
      </c>
      <c r="BC6" s="10" t="n">
        <f aca="false">IF(Flows!BC3*BC$3*BC$4&lt;0.002,100,MAX($CM$2/(Flows!BC3*BC$3*BC$4),1))</f>
        <v>10460.0468094071</v>
      </c>
      <c r="BD6" s="10" t="n">
        <f aca="false">IF(Flows!BD3*BD$3*BD$4&lt;0.002,100,MAX($CM$2/(Flows!BD3*BD$3*BD$4),1))</f>
        <v>41420.8609154534</v>
      </c>
      <c r="BE6" s="10" t="n">
        <f aca="false">IF(Flows!BE3*BE$3*BE$4&lt;0.002,100,MAX($CM$2/(Flows!BE3*BE$3*BE$4),1))</f>
        <v>110545.965287607</v>
      </c>
      <c r="BF6" s="10" t="n">
        <f aca="false">IF(Flows!BF3*BF$3*BF$4&lt;0.002,100,MAX($CM$2/(Flows!BF3*BF$3*BF$4),1))</f>
        <v>2844.42823278722</v>
      </c>
      <c r="BG6" s="10" t="n">
        <f aca="false">IF(Flows!BG3*BG$3*BG$4&lt;0.002,100,MAX($CM$2/(Flows!BG3*BG$3*BG$4),1))</f>
        <v>866.487159234878</v>
      </c>
      <c r="BH6" s="10" t="n">
        <f aca="false">IF(Flows!BH3*BH$3*BH$4&lt;0.002,100,MAX($CM$2/(Flows!BH3*BH$3*BH$4),1))</f>
        <v>468.156107284036</v>
      </c>
      <c r="BI6" s="10" t="n">
        <f aca="false">IF(Flows!BI3*BI$3*BI$4&lt;0.002,100,MAX($CM$2/(Flows!BI3*BI$3*BI$4),1))</f>
        <v>1050.32156387399</v>
      </c>
      <c r="BJ6" s="10" t="n">
        <f aca="false">IF(Flows!BJ3*BJ$3*BJ$4&lt;0.002,100,MAX($CM$2/(Flows!BJ3*BJ$3*BJ$4),1))</f>
        <v>16.2287287231697</v>
      </c>
      <c r="BK6" s="10" t="n">
        <f aca="false">IF(Flows!BK3*BK$3*BK$4&lt;0.002,100,MAX($CM$2/(Flows!BK3*BK$3*BK$4),1))</f>
        <v>2100.64312774798</v>
      </c>
      <c r="BL6" s="10" t="n">
        <f aca="false">IF(Flows!BL3*BL$3*BL$4&lt;0.002,100,MAX($CM$2/(Flows!BL3*BL$3*BL$4),1))</f>
        <v>670.650427423369</v>
      </c>
      <c r="BM6" s="10" t="n">
        <f aca="false">IF(Flows!BM3*BM$3*BM$4&lt;0.002,100,MAX($CM$2/(Flows!BM3*BM$3*BM$4),1))</f>
        <v>1073.30972480729</v>
      </c>
      <c r="BN6" s="10" t="n">
        <f aca="false">IF(Flows!BN3*BN$3*BN$4&lt;0.002,100,MAX($CM$2/(Flows!BN3*BN$3*BN$4),1))</f>
        <v>2144018.09896671</v>
      </c>
      <c r="BO6" s="10" t="n">
        <f aca="false">IF(Flows!BO3*BO$3*BO$4&lt;0.002,100,MAX($CM$2/(Flows!BO3*BO$3*BO$4),1))</f>
        <v>357336349.827786</v>
      </c>
      <c r="BP6" s="10" t="n">
        <f aca="false">IF(Flows!BP3*BP$3*BP$4&lt;0.002,100,MAX($CM$2/(Flows!BP3*BP$3*BP$4),1))</f>
        <v>69084707790.7519</v>
      </c>
      <c r="BQ6" s="10" t="n">
        <f aca="false">IF(Flows!BQ3*BQ$3*BQ$4&lt;0.002,100,MAX($CM$2/(Flows!BQ3*BQ$3*BQ$4),1))</f>
        <v>100</v>
      </c>
      <c r="BR6" s="10" t="n">
        <f aca="false">IF(Flows!BR3*BR$3*BR$4&lt;0.002,100,MAX($CM$2/(Flows!BR3*BR$3*BR$4),1))</f>
        <v>3573363498.27786</v>
      </c>
      <c r="BS6" s="10" t="n">
        <f aca="false">IF(Flows!BS3*BS$3*BS$4&lt;0.002,100,MAX($CM$2/(Flows!BS3*BS$3*BS$4),1))</f>
        <v>17866843738.2691</v>
      </c>
      <c r="BT6" s="10" t="n">
        <f aca="false">IF(Flows!BT3*BT$3*BT$4&lt;0.002,100,MAX($CM$2/(Flows!BT3*BT$3*BT$4),1))</f>
        <v>31.9067544793344</v>
      </c>
      <c r="BU6" s="10" t="n">
        <f aca="false">IF(Flows!BU3*BU$3*BU$4&lt;0.002,100,MAX($CM$2/(Flows!BU3*BU$3*BU$4),1))</f>
        <v>319.067544793344</v>
      </c>
      <c r="BV6" s="10" t="n">
        <f aca="false">IF(Flows!BV3*BV$3*BV$4&lt;0.002,100,MAX($CM$2/(Flows!BV3*BV$3*BV$4),1))</f>
        <v>3190.67544793344</v>
      </c>
      <c r="BW6" s="10" t="n">
        <f aca="false">IF(Flows!BW3*BW$3*BW$4&lt;0.002,100,MAX($CM$2/(Flows!BW3*BW$3*BW$4),1))</f>
        <v>103.278392312956</v>
      </c>
      <c r="BX6" s="10" t="n">
        <f aca="false">IF(Flows!BX3*BX$3*BX$4&lt;0.002,100,MAX($CM$2/(Flows!BX3*BX$3*BX$4),1))</f>
        <v>252.155659941289</v>
      </c>
      <c r="BY6" s="10" t="n">
        <f aca="false">IF(Flows!BY3*BY$3*BY$4&lt;0.002,100,MAX($CM$2/(Flows!BY3*BY$3*BY$4),1))</f>
        <v>92.8058904860064</v>
      </c>
      <c r="BZ6" s="10" t="n">
        <f aca="false">IF(Flows!BZ3*BZ$3*BZ$4&lt;0.002,100,MAX($CM$2/(Flows!BZ3*BZ$3*BZ$4),1))</f>
        <v>130167.331779273</v>
      </c>
      <c r="CA6" s="10" t="n">
        <f aca="false">IF(Flows!CA3*CA$3*CA$4&lt;0.002,100,MAX($CM$2/(Flows!CA3*CA$3*CA$4),1))</f>
        <v>50474.4542127332</v>
      </c>
      <c r="CB6" s="10" t="n">
        <f aca="false">IF(Flows!CB3*CB$3*CB$4&lt;0.002,100,MAX($CM$2/(Flows!CB3*CB$3*CB$4),1))</f>
        <v>519.876730851804</v>
      </c>
      <c r="CC6" s="10" t="n">
        <f aca="false">IF(Flows!CC3*CC$3*CC$4&lt;0.002,100,MAX($CM$2/(Flows!CC3*CC$3*CC$4),1))</f>
        <v>37.2296350622334</v>
      </c>
      <c r="CD6" s="10" t="n">
        <f aca="false">IF(Flows!CD3*CD$3*CD$4&lt;0.002,100,MAX($CM$2/(Flows!CD3*CD$3*CD$4),1))</f>
        <v>388.889320441392</v>
      </c>
      <c r="CE6" s="10" t="n">
        <f aca="false">IF(Flows!CE3*CE$3*CE$4&lt;0.002,100,MAX($CM$2/(Flows!CE3*CE$3*CE$4),1))</f>
        <v>265.257033001108</v>
      </c>
      <c r="CF6" s="10" t="n">
        <f aca="false">IF(Flows!CF3*CF$3*CF$4&lt;0.002,100,MAX($CM$2/(Flows!CF3*CF$3*CF$4),1))</f>
        <v>7.00490065082577</v>
      </c>
      <c r="CG6" s="10" t="n">
        <f aca="false">IF(Flows!CG3*CG$3*CG$4&lt;0.002,100,MAX($CM$2/(Flows!CG3*CG$3*CG$4),1))</f>
        <v>11151491.9290437</v>
      </c>
      <c r="CH6" s="10" t="n">
        <f aca="false">IF(Flows!CH3*CH$3*CH$4&lt;0.002,100,MAX($CM$2/(Flows!CH3*CH$3*CH$4),1))</f>
        <v>2046355.08192333</v>
      </c>
      <c r="CI6" s="10" t="n">
        <f aca="false">IF(Flows!CI3*CI$3*CI$4&lt;0.002,100,MAX($CM$2/(Flows!CI3*CI$3*CI$4),1))</f>
        <v>1194.72570180413</v>
      </c>
      <c r="CJ6" s="10" t="n">
        <f aca="false">IF(Flows!CJ3*CJ$3*CJ$4&lt;0.002,100,MAX($CM$2/(Flows!CJ3*CJ$3*CJ$4),1))</f>
        <v>12092.6661334999</v>
      </c>
      <c r="CK6" s="10" t="n">
        <f aca="false">IF(Flows!CK3*CK$3*CK$4&lt;0.002,100,MAX($CM$2/(Flows!CK3*CK$3*CK$4),1))</f>
        <v>4815.2339282471</v>
      </c>
      <c r="CL6" s="7" t="s">
        <v>39</v>
      </c>
    </row>
    <row r="7" customFormat="false" ht="12.8" hidden="false" customHeight="false" outlineLevel="0" collapsed="false">
      <c r="A7" s="7" t="s">
        <v>133</v>
      </c>
      <c r="B7" s="7" t="s">
        <v>39</v>
      </c>
      <c r="C7" s="10" t="n">
        <f aca="false">IF(Flows!C4*C$3*C$4&lt;0.002,100,MAX($CM$2/(Flows!C4*C$3*C$4),1))</f>
        <v>12572.5615949671</v>
      </c>
      <c r="D7" s="10" t="n">
        <f aca="false">IF(Flows!D4*D$3*D$4&lt;0.002,100,MAX($CM$2/(Flows!D4*D$3*D$4),1))</f>
        <v>4.31719655638091</v>
      </c>
      <c r="E7" s="10" t="n">
        <f aca="false">IF(Flows!E4*E$3*E$4&lt;0.002,100,MAX($CM$2/(Flows!E4*E$3*E$4),1))</f>
        <v>23.2855145425023</v>
      </c>
      <c r="F7" s="10" t="n">
        <f aca="false">IF(Flows!F4*F$3*F$4&lt;0.002,100,MAX($CM$2/(Flows!F4*F$3*F$4),1))</f>
        <v>45.262277324468</v>
      </c>
      <c r="G7" s="10" t="n">
        <f aca="false">IF(Flows!G4*G$3*G$4&lt;0.002,100,MAX($CM$2/(Flows!G4*G$3*G$4),1))</f>
        <v>84.8806835165797</v>
      </c>
      <c r="H7" s="10" t="n">
        <f aca="false">IF(Flows!H4*H$3*H$4&lt;0.002,100,MAX($CM$2/(Flows!H4*H$3*H$4),1))</f>
        <v>100</v>
      </c>
      <c r="I7" s="10" t="n">
        <f aca="false">IF(Flows!I4*I$3*I$4&lt;0.002,100,MAX($CM$2/(Flows!I4*I$3*I$4),1))</f>
        <v>699.170597136454</v>
      </c>
      <c r="J7" s="10" t="n">
        <f aca="false">IF(Flows!J4*J$3*J$4&lt;0.002,100,MAX($CM$2/(Flows!J4*J$3*J$4),1))</f>
        <v>712.935249227657</v>
      </c>
      <c r="K7" s="10" t="n">
        <f aca="false">IF(Flows!K4*K$3*K$4&lt;0.002,100,MAX($CM$2/(Flows!K4*K$3*K$4),1))</f>
        <v>8364.71524904818</v>
      </c>
      <c r="L7" s="10" t="n">
        <f aca="false">IF(Flows!L4*L$3*L$4&lt;0.002,100,MAX($CM$2/(Flows!L4*L$3*L$4),1))</f>
        <v>30207.9109104842</v>
      </c>
      <c r="M7" s="10" t="n">
        <f aca="false">IF(Flows!M4*M$3*M$4&lt;0.002,100,MAX($CM$2/(Flows!M4*M$3*M$4),1))</f>
        <v>20644.1390601721</v>
      </c>
      <c r="N7" s="10" t="n">
        <f aca="false">IF(Flows!N4*N$3*N$4&lt;0.002,100,MAX($CM$2/(Flows!N4*N$3*N$4),1))</f>
        <v>41.1435339306363</v>
      </c>
      <c r="O7" s="10" t="n">
        <f aca="false">IF(Flows!O4*O$3*O$4&lt;0.002,100,MAX($CM$2/(Flows!O4*O$3*O$4),1))</f>
        <v>4.09560218996532</v>
      </c>
      <c r="P7" s="10" t="n">
        <f aca="false">IF(Flows!P4*P$3*P$4&lt;0.002,100,MAX($CM$2/(Flows!P4*P$3*P$4),1))</f>
        <v>7.67925410618497</v>
      </c>
      <c r="Q7" s="10" t="n">
        <f aca="false">IF(Flows!Q4*Q$3*Q$4&lt;0.002,100,MAX($CM$2/(Flows!Q4*Q$3*Q$4),1))</f>
        <v>1978.86219310458</v>
      </c>
      <c r="R7" s="10" t="n">
        <f aca="false">IF(Flows!R4*R$3*R$4&lt;0.002,100,MAX($CM$2/(Flows!R4*R$3*R$4),1))</f>
        <v>22.9170280795841</v>
      </c>
      <c r="S7" s="10" t="n">
        <f aca="false">IF(Flows!S4*S$3*S$4&lt;0.002,100,MAX($CM$2/(Flows!S4*S$3*S$4),1))</f>
        <v>258.924950661293</v>
      </c>
      <c r="T7" s="10" t="n">
        <f aca="false">IF(Flows!T4*T$3*T$4&lt;0.002,100,MAX($CM$2/(Flows!T4*T$3*T$4),1))</f>
        <v>463.272583291038</v>
      </c>
      <c r="U7" s="10" t="n">
        <f aca="false">IF(Flows!U4*U$3*U$4&lt;0.002,100,MAX($CM$2/(Flows!U4*U$3*U$4),1))</f>
        <v>86.0172460840506</v>
      </c>
      <c r="V7" s="10" t="n">
        <f aca="false">IF(Flows!V4*V$3*V$4&lt;0.002,100,MAX($CM$2/(Flows!V4*V$3*V$4),1))</f>
        <v>1163.19461930952</v>
      </c>
      <c r="W7" s="10" t="n">
        <f aca="false">IF(Flows!W4*W$3*W$4&lt;0.002,100,MAX($CM$2/(Flows!W4*W$3*W$4),1))</f>
        <v>37.1806394158175</v>
      </c>
      <c r="X7" s="10" t="n">
        <f aca="false">IF(Flows!X4*X$3*X$4&lt;0.002,100,MAX($CM$2/(Flows!X4*X$3*X$4),1))</f>
        <v>3.64945627054114</v>
      </c>
      <c r="Y7" s="10" t="n">
        <f aca="false">IF(Flows!Y4*Y$3*Y$4&lt;0.002,100,MAX($CM$2/(Flows!Y4*Y$3*Y$4),1))</f>
        <v>151.039554552421</v>
      </c>
      <c r="Z7" s="10" t="n">
        <f aca="false">IF(Flows!Z4*Z$3*Z$4&lt;0.002,100,MAX($CM$2/(Flows!Z4*Z$3*Z$4),1))</f>
        <v>642795.30522599</v>
      </c>
      <c r="AA7" s="10" t="n">
        <f aca="false">IF(Flows!AA4*AA$3*AA$4&lt;0.002,100,MAX($CM$2/(Flows!AA4*AA$3*AA$4),1))</f>
        <v>63770.2628827126</v>
      </c>
      <c r="AB7" s="10" t="n">
        <f aca="false">IF(Flows!AB4*AB$3*AB$4&lt;0.002,100,MAX($CM$2/(Flows!AB4*AB$3*AB$4),1))</f>
        <v>53409.1400784733</v>
      </c>
      <c r="AC7" s="10" t="n">
        <f aca="false">IF(Flows!AC4*AC$3*AC$4&lt;0.002,100,MAX($CM$2/(Flows!AC4*AC$3*AC$4),1))</f>
        <v>157296.707183219</v>
      </c>
      <c r="AD7" s="10" t="n">
        <f aca="false">IF(Flows!AD4*AD$3*AD$4&lt;0.002,100,MAX($CM$2/(Flows!AD4*AD$3*AD$4),1))</f>
        <v>336436.094261843</v>
      </c>
      <c r="AE7" s="10" t="n">
        <f aca="false">IF(Flows!AE4*AE$3*AE$4&lt;0.002,100,MAX($CM$2/(Flows!AE4*AE$3*AE$4),1))</f>
        <v>978052.812292573</v>
      </c>
      <c r="AF7" s="10" t="n">
        <f aca="false">IF(Flows!AF4*AF$3*AF$4&lt;0.002,100,MAX($CM$2/(Flows!AF4*AF$3*AF$4),1))</f>
        <v>3209.74864258277</v>
      </c>
      <c r="AG7" s="10" t="n">
        <f aca="false">IF(Flows!AG4*AG$3*AG$4&lt;0.002,100,MAX($CM$2/(Flows!AG4*AG$3*AG$4),1))</f>
        <v>3791.56966858052</v>
      </c>
      <c r="AH7" s="10" t="n">
        <f aca="false">IF(Flows!AH4*AH$3*AH$4&lt;0.002,100,MAX($CM$2/(Flows!AH4*AH$3*AH$4),1))</f>
        <v>2190.08857118305</v>
      </c>
      <c r="AI7" s="10" t="n">
        <f aca="false">IF(Flows!AI4*AI$3*AI$4&lt;0.002,100,MAX($CM$2/(Flows!AI4*AI$3*AI$4),1))</f>
        <v>10163.3023572101</v>
      </c>
      <c r="AJ7" s="10" t="n">
        <f aca="false">IF(Flows!AJ4*AJ$3*AJ$4&lt;0.002,100,MAX($CM$2/(Flows!AJ4*AJ$3*AJ$4),1))</f>
        <v>5563.63755471867</v>
      </c>
      <c r="AK7" s="10" t="n">
        <f aca="false">IF(Flows!AK4*AK$3*AK$4&lt;0.002,100,MAX($CM$2/(Flows!AK4*AK$3*AK$4),1))</f>
        <v>2470.65634290482</v>
      </c>
      <c r="AL7" s="10" t="n">
        <f aca="false">IF(Flows!AL4*AL$3*AL$4&lt;0.002,100,MAX($CM$2/(Flows!AL4*AL$3*AL$4),1))</f>
        <v>3716.72677449085</v>
      </c>
      <c r="AM7" s="10" t="n">
        <f aca="false">IF(Flows!AM4*AM$3*AM$4&lt;0.002,100,MAX($CM$2/(Flows!AM4*AM$3*AM$4),1))</f>
        <v>6670.87897391502</v>
      </c>
      <c r="AN7" s="10" t="n">
        <f aca="false">IF(Flows!AN4*AN$3*AN$4&lt;0.002,100,MAX($CM$2/(Flows!AN4*AN$3*AN$4),1))</f>
        <v>8962.52187212325</v>
      </c>
      <c r="AO7" s="10" t="n">
        <f aca="false">IF(Flows!AO4*AO$3*AO$4&lt;0.002,100,MAX($CM$2/(Flows!AO4*AO$3*AO$4),1))</f>
        <v>83870.7267811801</v>
      </c>
      <c r="AP7" s="10" t="n">
        <f aca="false">IF(Flows!AP4*AP$3*AP$4&lt;0.002,100,MAX($CM$2/(Flows!AP4*AP$3*AP$4),1))</f>
        <v>186797.87396233</v>
      </c>
      <c r="AQ7" s="10" t="n">
        <f aca="false">IF(Flows!AQ4*AQ$3*AQ$4&lt;0.002,100,MAX($CM$2/(Flows!AQ4*AQ$3*AQ$4),1))</f>
        <v>70450.7379216157</v>
      </c>
      <c r="AR7" s="10" t="n">
        <f aca="false">IF(Flows!AR4*AR$3*AR$4&lt;0.002,100,MAX($CM$2/(Flows!AR4*AR$3*AR$4),1))</f>
        <v>72494.0537698266</v>
      </c>
      <c r="AS7" s="10" t="n">
        <f aca="false">IF(Flows!AS4*AS$3*AS$4&lt;0.002,100,MAX($CM$2/(Flows!AS4*AS$3*AS$4),1))</f>
        <v>9581.64184023213</v>
      </c>
      <c r="AT7" s="10" t="n">
        <f aca="false">IF(Flows!AT4*AT$3*AT$4&lt;0.002,100,MAX($CM$2/(Flows!AT4*AT$3*AT$4),1))</f>
        <v>2903.79094314197</v>
      </c>
      <c r="AU7" s="10" t="n">
        <f aca="false">IF(Flows!AU4*AU$3*AU$4&lt;0.002,100,MAX($CM$2/(Flows!AU4*AU$3*AU$4),1))</f>
        <v>6200.05239308162</v>
      </c>
      <c r="AV7" s="10" t="n">
        <f aca="false">IF(Flows!AV4*AV$3*AV$4&lt;0.002,100,MAX($CM$2/(Flows!AV4*AV$3*AV$4),1))</f>
        <v>41616.8240116578</v>
      </c>
      <c r="AW7" s="10" t="n">
        <f aca="false">IF(Flows!AW4*AW$3*AW$4&lt;0.002,100,MAX($CM$2/(Flows!AW4*AW$3*AW$4),1))</f>
        <v>49.2550919688429</v>
      </c>
      <c r="AX7" s="10" t="n">
        <f aca="false">IF(Flows!AX4*AX$3*AX$4&lt;0.002,100,MAX($CM$2/(Flows!AX4*AX$3*AX$4),1))</f>
        <v>6582.21986633118</v>
      </c>
      <c r="AY7" s="10" t="n">
        <f aca="false">IF(Flows!AY4*AY$3*AY$4&lt;0.002,100,MAX($CM$2/(Flows!AY4*AY$3*AY$4),1))</f>
        <v>3209.83863570252</v>
      </c>
      <c r="AZ7" s="10" t="n">
        <f aca="false">IF(Flows!AZ4*AZ$3*AZ$4&lt;0.002,100,MAX($CM$2/(Flows!AZ4*AZ$3*AZ$4),1))</f>
        <v>822.122422922442</v>
      </c>
      <c r="BA7" s="10" t="n">
        <f aca="false">IF(Flows!BA4*BA$3*BA$4&lt;0.002,100,MAX($CM$2/(Flows!BA4*BA$3*BA$4),1))</f>
        <v>1540.6034564347</v>
      </c>
      <c r="BB7" s="10" t="n">
        <f aca="false">IF(Flows!BB4*BB$3*BB$4&lt;0.002,100,MAX($CM$2/(Flows!BB4*BB$3*BB$4),1))</f>
        <v>19616.4879744625</v>
      </c>
      <c r="BC7" s="10" t="n">
        <f aca="false">IF(Flows!BC4*BC$3*BC$4&lt;0.002,100,MAX($CM$2/(Flows!BC4*BC$3*BC$4),1))</f>
        <v>7840.85553618558</v>
      </c>
      <c r="BD7" s="10" t="n">
        <f aca="false">IF(Flows!BD4*BD$3*BD$4&lt;0.002,100,MAX($CM$2/(Flows!BD4*BD$3*BD$4),1))</f>
        <v>30191.0892482036</v>
      </c>
      <c r="BE7" s="10" t="n">
        <f aca="false">IF(Flows!BE4*BE$3*BE$4&lt;0.002,100,MAX($CM$2/(Flows!BE4*BE$3*BE$4),1))</f>
        <v>69824.4531412275</v>
      </c>
      <c r="BF7" s="10" t="n">
        <f aca="false">IF(Flows!BF4*BF$3*BF$4&lt;0.002,100,MAX($CM$2/(Flows!BF4*BF$3*BF$4),1))</f>
        <v>1100.99590016295</v>
      </c>
      <c r="BG7" s="10" t="n">
        <f aca="false">IF(Flows!BG4*BG$3*BG$4&lt;0.002,100,MAX($CM$2/(Flows!BG4*BG$3*BG$4),1))</f>
        <v>390.887204012252</v>
      </c>
      <c r="BH7" s="10" t="n">
        <f aca="false">IF(Flows!BH4*BH$3*BH$4&lt;0.002,100,MAX($CM$2/(Flows!BH4*BH$3*BH$4),1))</f>
        <v>809706.072443956</v>
      </c>
      <c r="BI7" s="10" t="n">
        <f aca="false">IF(Flows!BI4*BI$3*BI$4&lt;0.002,100,MAX($CM$2/(Flows!BI4*BI$3*BI$4),1))</f>
        <v>144.634185531612</v>
      </c>
      <c r="BJ7" s="10" t="n">
        <f aca="false">IF(Flows!BJ4*BJ$3*BJ$4&lt;0.002,100,MAX($CM$2/(Flows!BJ4*BJ$3*BJ$4),1))</f>
        <v>7.53012800979407</v>
      </c>
      <c r="BK7" s="10" t="n">
        <f aca="false">IF(Flows!BK4*BK$3*BK$4&lt;0.002,100,MAX($CM$2/(Flows!BK4*BK$3*BK$4),1))</f>
        <v>289.268371063224</v>
      </c>
      <c r="BL7" s="10" t="n">
        <f aca="false">IF(Flows!BL4*BL$3*BL$4&lt;0.002,100,MAX($CM$2/(Flows!BL4*BL$3*BL$4),1))</f>
        <v>588.900743581854</v>
      </c>
      <c r="BM7" s="10" t="n">
        <f aca="false">IF(Flows!BM4*BM$3*BM$4&lt;0.002,100,MAX($CM$2/(Flows!BM4*BM$3*BM$4),1))</f>
        <v>432.39493676268</v>
      </c>
      <c r="BN7" s="10" t="n">
        <f aca="false">IF(Flows!BN4*BN$3*BN$4&lt;0.002,100,MAX($CM$2/(Flows!BN4*BN$3*BN$4),1))</f>
        <v>1</v>
      </c>
      <c r="BO7" s="10" t="n">
        <f aca="false">IF(Flows!BO4*BO$3*BO$4&lt;0.002,100,MAX($CM$2/(Flows!BO4*BO$3*BO$4),1))</f>
        <v>37.7787067564033</v>
      </c>
      <c r="BP7" s="10" t="n">
        <f aca="false">IF(Flows!BP4*BP$3*BP$4&lt;0.002,100,MAX($CM$2/(Flows!BP4*BP$3*BP$4),1))</f>
        <v>137.557029529565</v>
      </c>
      <c r="BQ7" s="10" t="n">
        <f aca="false">IF(Flows!BQ4*BQ$3*BQ$4&lt;0.002,100,MAX($CM$2/(Flows!BQ4*BQ$3*BQ$4),1))</f>
        <v>100</v>
      </c>
      <c r="BR7" s="10" t="n">
        <f aca="false">IF(Flows!BR4*BR$3*BR$4&lt;0.002,100,MAX($CM$2/(Flows!BR4*BR$3*BR$4),1))</f>
        <v>1133.3612026921</v>
      </c>
      <c r="BS7" s="10" t="n">
        <f aca="false">IF(Flows!BS4*BS$3*BS$4&lt;0.002,100,MAX($CM$2/(Flows!BS4*BS$3*BS$4),1))</f>
        <v>11333.6170182361</v>
      </c>
      <c r="BT7" s="10" t="n">
        <f aca="false">IF(Flows!BT4*BT$3*BT$4&lt;0.002,100,MAX($CM$2/(Flows!BT4*BT$3*BT$4),1))</f>
        <v>8.80562808400574</v>
      </c>
      <c r="BU7" s="10" t="n">
        <f aca="false">IF(Flows!BU4*BU$3*BU$4&lt;0.002,100,MAX($CM$2/(Flows!BU4*BU$3*BU$4),1))</f>
        <v>88.0562808400575</v>
      </c>
      <c r="BV7" s="10" t="n">
        <f aca="false">IF(Flows!BV4*BV$3*BV$4&lt;0.002,100,MAX($CM$2/(Flows!BV4*BV$3*BV$4),1))</f>
        <v>880.562808400574</v>
      </c>
      <c r="BW7" s="10" t="n">
        <f aca="false">IF(Flows!BW4*BW$3*BW$4&lt;0.002,100,MAX($CM$2/(Flows!BW4*BW$3*BW$4),1))</f>
        <v>48.556946051518</v>
      </c>
      <c r="BX7" s="10" t="n">
        <f aca="false">IF(Flows!BX4*BX$3*BX$4&lt;0.002,100,MAX($CM$2/(Flows!BX4*BX$3*BX$4),1))</f>
        <v>66.9795737313806</v>
      </c>
      <c r="BY7" s="10" t="n">
        <f aca="false">IF(Flows!BY4*BY$3*BY$4&lt;0.002,100,MAX($CM$2/(Flows!BY4*BY$3*BY$4),1))</f>
        <v>149.409009440304</v>
      </c>
      <c r="BZ7" s="10" t="n">
        <f aca="false">IF(Flows!BZ4*BZ$3*BZ$4&lt;0.002,100,MAX($CM$2/(Flows!BZ4*BZ$3*BZ$4),1))</f>
        <v>54729.4601081642</v>
      </c>
      <c r="CA7" s="10" t="n">
        <f aca="false">IF(Flows!CA4*CA$3*CA$4&lt;0.002,100,MAX($CM$2/(Flows!CA4*CA$3*CA$4),1))</f>
        <v>33857.3414750932</v>
      </c>
      <c r="CB7" s="10" t="n">
        <f aca="false">IF(Flows!CB4*CB$3*CB$4&lt;0.002,100,MAX($CM$2/(Flows!CB4*CB$3*CB$4),1))</f>
        <v>895.485433991553</v>
      </c>
      <c r="CC7" s="10" t="n">
        <f aca="false">IF(Flows!CC4*CC$3*CC$4&lt;0.002,100,MAX($CM$2/(Flows!CC4*CC$3*CC$4),1))</f>
        <v>5547.72443258057</v>
      </c>
      <c r="CD7" s="10" t="n">
        <f aca="false">IF(Flows!CD4*CD$3*CD$4&lt;0.002,100,MAX($CM$2/(Flows!CD4*CD$3*CD$4),1))</f>
        <v>118.229290395352</v>
      </c>
      <c r="CE7" s="10" t="n">
        <f aca="false">IF(Flows!CE4*CE$3*CE$4&lt;0.002,100,MAX($CM$2/(Flows!CE4*CE$3*CE$4),1))</f>
        <v>71.7046977709476</v>
      </c>
      <c r="CF7" s="10" t="n">
        <f aca="false">IF(Flows!CF4*CF$3*CF$4&lt;0.002,100,MAX($CM$2/(Flows!CF4*CF$3*CF$4),1))</f>
        <v>1</v>
      </c>
      <c r="CG7" s="10" t="n">
        <f aca="false">IF(Flows!CG4*CG$3*CG$4&lt;0.002,100,MAX($CM$2/(Flows!CG4*CG$3*CG$4),1))</f>
        <v>11.2592894572664</v>
      </c>
      <c r="CH7" s="10" t="n">
        <f aca="false">IF(Flows!CH4*CH$3*CH$4&lt;0.002,100,MAX($CM$2/(Flows!CH4*CH$3*CH$4),1))</f>
        <v>26.3298691476064</v>
      </c>
      <c r="CI7" s="10" t="n">
        <f aca="false">IF(Flows!CI4*CI$3*CI$4&lt;0.002,100,MAX($CM$2/(Flows!CI4*CI$3*CI$4),1))</f>
        <v>1310.53901086417</v>
      </c>
      <c r="CJ7" s="10" t="n">
        <f aca="false">IF(Flows!CJ4*CJ$3*CJ$4&lt;0.002,100,MAX($CM$2/(Flows!CJ4*CJ$3*CJ$4),1))</f>
        <v>12932.1604247966</v>
      </c>
      <c r="CK7" s="10" t="n">
        <f aca="false">IF(Flows!CK4*CK$3*CK$4&lt;0.002,100,MAX($CM$2/(Flows!CK4*CK$3*CK$4),1))</f>
        <v>2102.36706909685</v>
      </c>
      <c r="CL7" s="7" t="s">
        <v>39</v>
      </c>
    </row>
    <row r="8" customFormat="false" ht="12.8" hidden="false" customHeight="false" outlineLevel="0" collapsed="false">
      <c r="A8" s="7" t="s">
        <v>135</v>
      </c>
      <c r="B8" s="7" t="s">
        <v>39</v>
      </c>
      <c r="C8" s="10" t="n">
        <f aca="false">IF(Flows!C5*C$3*C$4&lt;0.002,100,MAX($CM$2/(Flows!C5*C$3*C$4),1))</f>
        <v>7250.14975138356</v>
      </c>
      <c r="D8" s="10" t="n">
        <f aca="false">IF(Flows!D5*D$3*D$4&lt;0.002,100,MAX($CM$2/(Flows!D5*D$3*D$4),1))</f>
        <v>1.49920976978444</v>
      </c>
      <c r="E8" s="10" t="n">
        <f aca="false">IF(Flows!E5*E$3*E$4&lt;0.002,100,MAX($CM$2/(Flows!E5*E$3*E$4),1))</f>
        <v>10.9435171025453</v>
      </c>
      <c r="F8" s="10" t="n">
        <f aca="false">IF(Flows!F5*F$3*F$4&lt;0.002,100,MAX($CM$2/(Flows!F5*F$3*F$4),1))</f>
        <v>30.5149496621293</v>
      </c>
      <c r="G8" s="10" t="n">
        <f aca="false">IF(Flows!G5*G$3*G$4&lt;0.002,100,MAX($CM$2/(Flows!G5*G$3*G$4),1))</f>
        <v>7.34622327553481</v>
      </c>
      <c r="H8" s="10" t="n">
        <f aca="false">IF(Flows!H5*H$3*H$4&lt;0.002,100,MAX($CM$2/(Flows!H5*H$3*H$4),1))</f>
        <v>100</v>
      </c>
      <c r="I8" s="10" t="n">
        <f aca="false">IF(Flows!I5*I$3*I$4&lt;0.002,100,MAX($CM$2/(Flows!I5*I$3*I$4),1))</f>
        <v>1106.41254974413</v>
      </c>
      <c r="J8" s="10" t="n">
        <f aca="false">IF(Flows!J5*J$3*J$4&lt;0.002,100,MAX($CM$2/(Flows!J5*J$3*J$4),1))</f>
        <v>1786.89955933833</v>
      </c>
      <c r="K8" s="10" t="n">
        <f aca="false">IF(Flows!K5*K$3*K$4&lt;0.002,100,MAX($CM$2/(Flows!K5*K$3*K$4),1))</f>
        <v>6473.53377660761</v>
      </c>
      <c r="L8" s="10" t="n">
        <f aca="false">IF(Flows!L5*L$3*L$4&lt;0.002,100,MAX($CM$2/(Flows!L5*L$3*L$4),1))</f>
        <v>22311.0491223187</v>
      </c>
      <c r="M8" s="10" t="n">
        <f aca="false">IF(Flows!M5*M$3*M$4&lt;0.002,100,MAX($CM$2/(Flows!M5*M$3*M$4),1))</f>
        <v>15162.0046944655</v>
      </c>
      <c r="N8" s="10" t="n">
        <f aca="false">IF(Flows!N5*N$3*N$4&lt;0.002,100,MAX($CM$2/(Flows!N5*N$3*N$4),1))</f>
        <v>6.64231909638446</v>
      </c>
      <c r="O8" s="10" t="n">
        <f aca="false">IF(Flows!O5*O$3*O$4&lt;0.002,100,MAX($CM$2/(Flows!O5*O$3*O$4),1))</f>
        <v>2.19199759267036</v>
      </c>
      <c r="P8" s="10" t="n">
        <f aca="false">IF(Flows!P5*P$3*P$4&lt;0.002,100,MAX($CM$2/(Flows!P5*P$3*P$4),1))</f>
        <v>4.10999548625691</v>
      </c>
      <c r="Q8" s="10" t="n">
        <f aca="false">IF(Flows!Q5*Q$3*Q$4&lt;0.002,100,MAX($CM$2/(Flows!Q5*Q$3*Q$4),1))</f>
        <v>294.449189212576</v>
      </c>
      <c r="R8" s="10" t="n">
        <f aca="false">IF(Flows!R5*R$3*R$4&lt;0.002,100,MAX($CM$2/(Flows!R5*R$3*R$4),1))</f>
        <v>17.7357089770072</v>
      </c>
      <c r="S8" s="10" t="n">
        <f aca="false">IF(Flows!S5*S$3*S$4&lt;0.002,100,MAX($CM$2/(Flows!S5*S$3*S$4),1))</f>
        <v>191.237563905588</v>
      </c>
      <c r="T8" s="10" t="n">
        <f aca="false">IF(Flows!T5*T$3*T$4&lt;0.002,100,MAX($CM$2/(Flows!T5*T$3*T$4),1))</f>
        <v>342.165249144803</v>
      </c>
      <c r="U8" s="10" t="n">
        <f aca="false">IF(Flows!U5*U$3*U$4&lt;0.002,100,MAX($CM$2/(Flows!U5*U$3*U$4),1))</f>
        <v>63.1750195602728</v>
      </c>
      <c r="V8" s="10" t="n">
        <f aca="false">IF(Flows!V5*V$3*V$4&lt;0.002,100,MAX($CM$2/(Flows!V5*V$3*V$4),1))</f>
        <v>363.386713299475</v>
      </c>
      <c r="W8" s="10" t="n">
        <f aca="false">IF(Flows!W5*W$3*W$4&lt;0.002,100,MAX($CM$2/(Flows!W5*W$3*W$4),1))</f>
        <v>7.56827297400732</v>
      </c>
      <c r="X8" s="10" t="n">
        <f aca="false">IF(Flows!X5*X$3*X$4&lt;0.002,100,MAX($CM$2/(Flows!X5*X$3*X$4),1))</f>
        <v>2.19483244287771</v>
      </c>
      <c r="Y8" s="10" t="n">
        <f aca="false">IF(Flows!Y5*Y$3*Y$4&lt;0.002,100,MAX($CM$2/(Flows!Y5*Y$3*Y$4),1))</f>
        <v>111.555245611593</v>
      </c>
      <c r="Z8" s="10" t="n">
        <f aca="false">IF(Flows!Z5*Z$3*Z$4&lt;0.002,100,MAX($CM$2/(Flows!Z5*Z$3*Z$4),1))</f>
        <v>4943.71369458471</v>
      </c>
      <c r="AA8" s="10" t="n">
        <f aca="false">IF(Flows!AA5*AA$3*AA$4&lt;0.002,100,MAX($CM$2/(Flows!AA5*AA$3*AA$4),1))</f>
        <v>10239.6307673562</v>
      </c>
      <c r="AB8" s="10" t="n">
        <f aca="false">IF(Flows!AB5*AB$3*AB$4&lt;0.002,100,MAX($CM$2/(Flows!AB5*AB$3*AB$4),1))</f>
        <v>9823.53299323434</v>
      </c>
      <c r="AC8" s="10" t="n">
        <f aca="false">IF(Flows!AC5*AC$3*AC$4&lt;0.002,100,MAX($CM$2/(Flows!AC5*AC$3*AC$4),1))</f>
        <v>51979.4665281773</v>
      </c>
      <c r="AD8" s="10" t="n">
        <f aca="false">IF(Flows!AD5*AD$3*AD$4&lt;0.002,100,MAX($CM$2/(Flows!AD5*AD$3*AD$4),1))</f>
        <v>61880.6269346433</v>
      </c>
      <c r="AE8" s="10" t="n">
        <f aca="false">IF(Flows!AE5*AE$3*AE$4&lt;0.002,100,MAX($CM$2/(Flows!AE5*AE$3*AE$4),1))</f>
        <v>232603.777069983</v>
      </c>
      <c r="AF8" s="10" t="n">
        <f aca="false">IF(Flows!AF5*AF$3*AF$4&lt;0.002,100,MAX($CM$2/(Flows!AF5*AF$3*AF$4),1))</f>
        <v>994.745186218923</v>
      </c>
      <c r="AG8" s="10" t="n">
        <f aca="false">IF(Flows!AG5*AG$3*AG$4&lt;0.002,100,MAX($CM$2/(Flows!AG5*AG$3*AG$4),1))</f>
        <v>890.915591138734</v>
      </c>
      <c r="AH8" s="10" t="n">
        <f aca="false">IF(Flows!AH5*AH$3*AH$4&lt;0.002,100,MAX($CM$2/(Flows!AH5*AH$3*AH$4),1))</f>
        <v>444.941658856343</v>
      </c>
      <c r="AI8" s="10" t="n">
        <f aca="false">IF(Flows!AI5*AI$3*AI$4&lt;0.002,100,MAX($CM$2/(Flows!AI5*AI$3*AI$4),1))</f>
        <v>2789.74516919064</v>
      </c>
      <c r="AJ8" s="10" t="n">
        <f aca="false">IF(Flows!AJ5*AJ$3*AJ$4&lt;0.002,100,MAX($CM$2/(Flows!AJ5*AJ$3*AJ$4),1))</f>
        <v>1128.8136385076</v>
      </c>
      <c r="AK8" s="10" t="n">
        <f aca="false">IF(Flows!AK5*AK$3*AK$4&lt;0.002,100,MAX($CM$2/(Flows!AK5*AK$3*AK$4),1))</f>
        <v>482.666466549215</v>
      </c>
      <c r="AL8" s="10" t="n">
        <f aca="false">IF(Flows!AL5*AL$3*AL$4&lt;0.002,100,MAX($CM$2/(Flows!AL5*AL$3*AL$4),1))</f>
        <v>1055.66819523431</v>
      </c>
      <c r="AM8" s="10" t="n">
        <f aca="false">IF(Flows!AM5*AM$3*AM$4&lt;0.002,100,MAX($CM$2/(Flows!AM5*AM$3*AM$4),1))</f>
        <v>1796.66818160169</v>
      </c>
      <c r="AN8" s="10" t="n">
        <f aca="false">IF(Flows!AN5*AN$3*AN$4&lt;0.002,100,MAX($CM$2/(Flows!AN5*AN$3*AN$4),1))</f>
        <v>1887.19206638643</v>
      </c>
      <c r="AO8" s="10" t="n">
        <f aca="false">IF(Flows!AO5*AO$3*AO$4&lt;0.002,100,MAX($CM$2/(Flows!AO5*AO$3*AO$4),1))</f>
        <v>25483.5697121023</v>
      </c>
      <c r="AP8" s="10" t="n">
        <f aca="false">IF(Flows!AP5*AP$3*AP$4&lt;0.002,100,MAX($CM$2/(Flows!AP5*AP$3*AP$4),1))</f>
        <v>40111.639077632</v>
      </c>
      <c r="AQ8" s="10" t="n">
        <f aca="false">IF(Flows!AQ5*AQ$3*AQ$4&lt;0.002,100,MAX($CM$2/(Flows!AQ5*AQ$3*AQ$4),1))</f>
        <v>15847.5078010137</v>
      </c>
      <c r="AR8" s="10" t="n">
        <f aca="false">IF(Flows!AR5*AR$3*AR$4&lt;0.002,100,MAX($CM$2/(Flows!AR5*AR$3*AR$4),1))</f>
        <v>25386.9306478393</v>
      </c>
      <c r="AS8" s="10" t="n">
        <f aca="false">IF(Flows!AS5*AS$3*AS$4&lt;0.002,100,MAX($CM$2/(Flows!AS5*AS$3*AS$4),1))</f>
        <v>1837.91499564757</v>
      </c>
      <c r="AT8" s="10" t="n">
        <f aca="false">IF(Flows!AT5*AT$3*AT$4&lt;0.002,100,MAX($CM$2/(Flows!AT5*AT$3*AT$4),1))</f>
        <v>852.940756058394</v>
      </c>
      <c r="AU8" s="10" t="n">
        <f aca="false">IF(Flows!AU5*AU$3*AU$4&lt;0.002,100,MAX($CM$2/(Flows!AU5*AU$3*AU$4),1))</f>
        <v>1079.80355696584</v>
      </c>
      <c r="AV8" s="10" t="n">
        <f aca="false">IF(Flows!AV5*AV$3*AV$4&lt;0.002,100,MAX($CM$2/(Flows!AV5*AV$3*AV$4),1))</f>
        <v>10296.2156243881</v>
      </c>
      <c r="AW8" s="10" t="n">
        <f aca="false">IF(Flows!AW5*AW$3*AW$4&lt;0.002,100,MAX($CM$2/(Flows!AW5*AW$3*AW$4),1))</f>
        <v>16.2176263971887</v>
      </c>
      <c r="AX8" s="10" t="n">
        <f aca="false">IF(Flows!AX5*AX$3*AX$4&lt;0.002,100,MAX($CM$2/(Flows!AX5*AX$3*AX$4),1))</f>
        <v>2824.63977717397</v>
      </c>
      <c r="AY8" s="10" t="n">
        <f aca="false">IF(Flows!AY5*AY$3*AY$4&lt;0.002,100,MAX($CM$2/(Flows!AY5*AY$3*AY$4),1))</f>
        <v>527.563601136767</v>
      </c>
      <c r="AZ8" s="10" t="n">
        <f aca="false">IF(Flows!AZ5*AZ$3*AZ$4&lt;0.002,100,MAX($CM$2/(Flows!AZ5*AZ$3*AZ$4),1))</f>
        <v>145.056915957591</v>
      </c>
      <c r="BA8" s="10" t="n">
        <f aca="false">IF(Flows!BA5*BA$3*BA$4&lt;0.002,100,MAX($CM$2/(Flows!BA5*BA$3*BA$4),1))</f>
        <v>1137.86350523825</v>
      </c>
      <c r="BB8" s="10" t="n">
        <f aca="false">IF(Flows!BB5*BB$3*BB$4&lt;0.002,100,MAX($CM$2/(Flows!BB5*BB$3*BB$4),1))</f>
        <v>3364.79624609396</v>
      </c>
      <c r="BC8" s="10" t="n">
        <f aca="false">IF(Flows!BC5*BC$3*BC$4&lt;0.002,100,MAX($CM$2/(Flows!BC5*BC$3*BC$4),1))</f>
        <v>1646.23660510674</v>
      </c>
      <c r="BD8" s="10" t="n">
        <f aca="false">IF(Flows!BD5*BD$3*BD$4&lt;0.002,100,MAX($CM$2/(Flows!BD5*BD$3*BD$4),1))</f>
        <v>6259.95340408152</v>
      </c>
      <c r="BE8" s="10" t="n">
        <f aca="false">IF(Flows!BE5*BE$3*BE$4&lt;0.002,100,MAX($CM$2/(Flows!BE5*BE$3*BE$4),1))</f>
        <v>13687.7919699847</v>
      </c>
      <c r="BF8" s="10" t="n">
        <f aca="false">IF(Flows!BF5*BF$3*BF$4&lt;0.002,100,MAX($CM$2/(Flows!BF5*BF$3*BF$4),1))</f>
        <v>466.373033165036</v>
      </c>
      <c r="BG8" s="10" t="n">
        <f aca="false">IF(Flows!BG5*BG$3*BG$4&lt;0.002,100,MAX($CM$2/(Flows!BG5*BG$3*BG$4),1))</f>
        <v>142.402618097433</v>
      </c>
      <c r="BH8" s="10" t="n">
        <f aca="false">IF(Flows!BH5*BH$3*BH$4&lt;0.002,100,MAX($CM$2/(Flows!BH5*BH$3*BH$4),1))</f>
        <v>86.0915310198811</v>
      </c>
      <c r="BI8" s="10" t="n">
        <f aca="false">IF(Flows!BI5*BI$3*BI$4&lt;0.002,100,MAX($CM$2/(Flows!BI5*BI$3*BI$4),1))</f>
        <v>76.4162269501562</v>
      </c>
      <c r="BJ8" s="10" t="n">
        <f aca="false">IF(Flows!BJ5*BJ$3*BJ$4&lt;0.002,100,MAX($CM$2/(Flows!BJ5*BJ$3*BJ$4),1))</f>
        <v>3.69729156603471</v>
      </c>
      <c r="BK8" s="10" t="n">
        <f aca="false">IF(Flows!BK5*BK$3*BK$4&lt;0.002,100,MAX($CM$2/(Flows!BK5*BK$3*BK$4),1))</f>
        <v>152.832453900312</v>
      </c>
      <c r="BL8" s="10" t="n">
        <f aca="false">IF(Flows!BL5*BL$3*BL$4&lt;0.002,100,MAX($CM$2/(Flows!BL5*BL$3*BL$4),1))</f>
        <v>294.521946188791</v>
      </c>
      <c r="BM8" s="10" t="n">
        <f aca="false">IF(Flows!BM5*BM$3*BM$4&lt;0.002,100,MAX($CM$2/(Flows!BM5*BM$3*BM$4),1))</f>
        <v>30.6919344936325</v>
      </c>
      <c r="BN8" s="10" t="n">
        <f aca="false">IF(Flows!BN5*BN$3*BN$4&lt;0.002,100,MAX($CM$2/(Flows!BN5*BN$3*BN$4),1))</f>
        <v>167141.357218797</v>
      </c>
      <c r="BO8" s="10" t="n">
        <f aca="false">IF(Flows!BO5*BO$3*BO$4&lt;0.002,100,MAX($CM$2/(Flows!BO5*BO$3*BO$4),1))</f>
        <v>27856892.8697994</v>
      </c>
      <c r="BP8" s="10" t="n">
        <f aca="false">IF(Flows!BP5*BP$3*BP$4&lt;0.002,100,MAX($CM$2/(Flows!BP5*BP$3*BP$4),1))</f>
        <v>10351063950.0853</v>
      </c>
      <c r="BQ8" s="10" t="n">
        <f aca="false">IF(Flows!BQ5*BQ$3*BQ$4&lt;0.002,100,MAX($CM$2/(Flows!BQ5*BQ$3*BQ$4),1))</f>
        <v>100</v>
      </c>
      <c r="BR8" s="10" t="n">
        <f aca="false">IF(Flows!BR5*BR$3*BR$4&lt;0.002,100,MAX($CM$2/(Flows!BR5*BR$3*BR$4),1))</f>
        <v>278568928.697994</v>
      </c>
      <c r="BS8" s="10" t="n">
        <f aca="false">IF(Flows!BS5*BS$3*BS$4&lt;0.002,100,MAX($CM$2/(Flows!BS5*BS$3*BS$4),1))</f>
        <v>1392847037.15626</v>
      </c>
      <c r="BT8" s="10" t="n">
        <f aca="false">IF(Flows!BT5*BT$3*BT$4&lt;0.002,100,MAX($CM$2/(Flows!BT5*BT$3*BT$4),1))</f>
        <v>2.36631396167401</v>
      </c>
      <c r="BU8" s="10" t="n">
        <f aca="false">IF(Flows!BU5*BU$3*BU$4&lt;0.002,100,MAX($CM$2/(Flows!BU5*BU$3*BU$4),1))</f>
        <v>23.6631396167401</v>
      </c>
      <c r="BV8" s="10" t="n">
        <f aca="false">IF(Flows!BV5*BV$3*BV$4&lt;0.002,100,MAX($CM$2/(Flows!BV5*BV$3*BV$4),1))</f>
        <v>236.631396167401</v>
      </c>
      <c r="BW8" s="10" t="n">
        <f aca="false">IF(Flows!BW5*BW$3*BW$4&lt;0.002,100,MAX($CM$2/(Flows!BW5*BW$3*BW$4),1))</f>
        <v>17.7992650782371</v>
      </c>
      <c r="BX8" s="10" t="n">
        <f aca="false">IF(Flows!BX5*BX$3*BX$4&lt;0.002,100,MAX($CM$2/(Flows!BX5*BX$3*BX$4),1))</f>
        <v>15.7742717683718</v>
      </c>
      <c r="BY8" s="10" t="n">
        <f aca="false">IF(Flows!BY5*BY$3*BY$4&lt;0.002,100,MAX($CM$2/(Flows!BY5*BY$3*BY$4),1))</f>
        <v>20.7545536570799</v>
      </c>
      <c r="BZ8" s="10" t="n">
        <f aca="false">IF(Flows!BZ5*BZ$3*BZ$4&lt;0.002,100,MAX($CM$2/(Flows!BZ5*BZ$3*BZ$4),1))</f>
        <v>283483.652074988</v>
      </c>
      <c r="CA8" s="10" t="n">
        <f aca="false">IF(Flows!CA5*CA$3*CA$4&lt;0.002,100,MAX($CM$2/(Flows!CA5*CA$3*CA$4),1))</f>
        <v>29673.2454961982</v>
      </c>
      <c r="CB8" s="10" t="n">
        <f aca="false">IF(Flows!CB5*CB$3*CB$4&lt;0.002,100,MAX($CM$2/(Flows!CB5*CB$3*CB$4),1))</f>
        <v>187.106173145627</v>
      </c>
      <c r="CC8" s="10" t="n">
        <f aca="false">IF(Flows!CC5*CC$3*CC$4&lt;0.002,100,MAX($CM$2/(Flows!CC5*CC$3*CC$4),1))</f>
        <v>58.8283611659588</v>
      </c>
      <c r="CD8" s="10" t="n">
        <f aca="false">IF(Flows!CD5*CD$3*CD$4&lt;0.002,100,MAX($CM$2/(Flows!CD5*CD$3*CD$4),1))</f>
        <v>49.8385449077928</v>
      </c>
      <c r="CE8" s="10" t="n">
        <f aca="false">IF(Flows!CE5*CE$3*CE$4&lt;0.002,100,MAX($CM$2/(Flows!CE5*CE$3*CE$4),1))</f>
        <v>17.078029854912</v>
      </c>
      <c r="CF8" s="10" t="n">
        <f aca="false">IF(Flows!CF5*CF$3*CF$4&lt;0.002,100,MAX($CM$2/(Flows!CF5*CF$3*CF$4),1))</f>
        <v>1</v>
      </c>
      <c r="CG8" s="10" t="n">
        <f aca="false">IF(Flows!CG5*CG$3*CG$4&lt;0.002,100,MAX($CM$2/(Flows!CG5*CG$3*CG$4),1))</f>
        <v>427843.189231237</v>
      </c>
      <c r="CH8" s="10" t="n">
        <f aca="false">IF(Flows!CH5*CH$3*CH$4&lt;0.002,100,MAX($CM$2/(Flows!CH5*CH$3*CH$4),1))</f>
        <v>2847132.97497386</v>
      </c>
      <c r="CI8" s="10" t="n">
        <f aca="false">IF(Flows!CI5*CI$3*CI$4&lt;0.002,100,MAX($CM$2/(Flows!CI5*CI$3*CI$4),1))</f>
        <v>252.887169701241</v>
      </c>
      <c r="CJ8" s="10" t="n">
        <f aca="false">IF(Flows!CJ5*CJ$3*CJ$4&lt;0.002,100,MAX($CM$2/(Flows!CJ5*CJ$3*CJ$4),1))</f>
        <v>12746.2754924534</v>
      </c>
      <c r="CK8" s="10" t="n">
        <f aca="false">IF(Flows!CK5*CK$3*CK$4&lt;0.002,100,MAX($CM$2/(Flows!CK5*CK$3*CK$4),1))</f>
        <v>812.132146404846</v>
      </c>
      <c r="CL8" s="7" t="s">
        <v>39</v>
      </c>
    </row>
    <row r="9" customFormat="false" ht="12.8" hidden="false" customHeight="false" outlineLevel="0" collapsed="false">
      <c r="A9" s="7" t="s">
        <v>137</v>
      </c>
      <c r="B9" s="7" t="s">
        <v>39</v>
      </c>
      <c r="C9" s="10" t="n">
        <f aca="false">IF(Flows!C6*C$3*C$4&lt;0.002,100,MAX($CM$2/(Flows!C6*C$3*C$4),1))</f>
        <v>571.336597237623</v>
      </c>
      <c r="D9" s="10" t="n">
        <f aca="false">IF(Flows!D6*D$3*D$4&lt;0.002,100,MAX($CM$2/(Flows!D6*D$3*D$4),1))</f>
        <v>1</v>
      </c>
      <c r="E9" s="10" t="n">
        <f aca="false">IF(Flows!E6*E$3*E$4&lt;0.002,100,MAX($CM$2/(Flows!E6*E$3*E$4),1))</f>
        <v>1.28144692266052</v>
      </c>
      <c r="F9" s="10" t="n">
        <f aca="false">IF(Flows!F6*F$3*F$4&lt;0.002,100,MAX($CM$2/(Flows!F6*F$3*F$4),1))</f>
        <v>3.69568087122037</v>
      </c>
      <c r="G9" s="10" t="n">
        <f aca="false">IF(Flows!G6*G$3*G$4&lt;0.002,100,MAX($CM$2/(Flows!G6*G$3*G$4),1))</f>
        <v>1.02911854385632</v>
      </c>
      <c r="H9" s="10" t="n">
        <f aca="false">IF(Flows!H6*H$3*H$4&lt;0.002,100,MAX($CM$2/(Flows!H6*H$3*H$4),1))</f>
        <v>100</v>
      </c>
      <c r="I9" s="10" t="n">
        <f aca="false">IF(Flows!I6*I$3*I$4&lt;0.002,100,MAX($CM$2/(Flows!I6*I$3*I$4),1))</f>
        <v>273.425538621732</v>
      </c>
      <c r="J9" s="10" t="n">
        <f aca="false">IF(Flows!J6*J$3*J$4&lt;0.002,100,MAX($CM$2/(Flows!J6*J$3*J$4),1))</f>
        <v>410.143664257913</v>
      </c>
      <c r="K9" s="10" t="n">
        <f aca="false">IF(Flows!K6*K$3*K$4&lt;0.002,100,MAX($CM$2/(Flows!K6*K$3*K$4),1))</f>
        <v>2200.53834497448</v>
      </c>
      <c r="L9" s="10" t="n">
        <f aca="false">IF(Flows!L6*L$3*L$4&lt;0.002,100,MAX($CM$2/(Flows!L6*L$3*L$4),1))</f>
        <v>6656.02957899286</v>
      </c>
      <c r="M9" s="10" t="n">
        <f aca="false">IF(Flows!M6*M$3*M$4&lt;0.002,100,MAX($CM$2/(Flows!M6*M$3*M$4),1))</f>
        <v>4459.3548411311</v>
      </c>
      <c r="N9" s="10" t="n">
        <f aca="false">IF(Flows!N6*N$3*N$4&lt;0.002,100,MAX($CM$2/(Flows!N6*N$3*N$4),1))</f>
        <v>1</v>
      </c>
      <c r="O9" s="10" t="n">
        <f aca="false">IF(Flows!O6*O$3*O$4&lt;0.002,100,MAX($CM$2/(Flows!O6*O$3*O$4),1))</f>
        <v>1</v>
      </c>
      <c r="P9" s="10" t="n">
        <f aca="false">IF(Flows!P6*P$3*P$4&lt;0.002,100,MAX($CM$2/(Flows!P6*P$3*P$4),1))</f>
        <v>1.66108710850332</v>
      </c>
      <c r="Q9" s="10" t="n">
        <f aca="false">IF(Flows!Q6*Q$3*Q$4&lt;0.002,100,MAX($CM$2/(Flows!Q6*Q$3*Q$4),1))</f>
        <v>109.210692844193</v>
      </c>
      <c r="R9" s="10" t="n">
        <f aca="false">IF(Flows!R6*R$3*R$4&lt;0.002,100,MAX($CM$2/(Flows!R6*R$3*R$4),1))</f>
        <v>6.02887217801228</v>
      </c>
      <c r="S9" s="10" t="n">
        <f aca="false">IF(Flows!S6*S$3*S$4&lt;0.002,100,MAX($CM$2/(Flows!S6*S$3*S$4),1))</f>
        <v>57.051682105653</v>
      </c>
      <c r="T9" s="10" t="n">
        <f aca="false">IF(Flows!T6*T$3*T$4&lt;0.002,100,MAX($CM$2/(Flows!T6*T$3*T$4),1))</f>
        <v>102.077764551781</v>
      </c>
      <c r="U9" s="10" t="n">
        <f aca="false">IF(Flows!U6*U$3*U$4&lt;0.002,100,MAX($CM$2/(Flows!U6*U$3*U$4),1))</f>
        <v>18.5806451713796</v>
      </c>
      <c r="V9" s="10" t="n">
        <f aca="false">IF(Flows!V6*V$3*V$4&lt;0.002,100,MAX($CM$2/(Flows!V6*V$3*V$4),1))</f>
        <v>147.230051616082</v>
      </c>
      <c r="W9" s="10" t="n">
        <f aca="false">IF(Flows!W6*W$3*W$4&lt;0.002,100,MAX($CM$2/(Flows!W6*W$3*W$4),1))</f>
        <v>3.17024897175124</v>
      </c>
      <c r="X9" s="10" t="n">
        <f aca="false">IF(Flows!X6*X$3*X$4&lt;0.002,100,MAX($CM$2/(Flows!X6*X$3*X$4),1))</f>
        <v>1</v>
      </c>
      <c r="Y9" s="10" t="n">
        <f aca="false">IF(Flows!Y6*Y$3*Y$4&lt;0.002,100,MAX($CM$2/(Flows!Y6*Y$3*Y$4),1))</f>
        <v>33.2801478949643</v>
      </c>
      <c r="Z9" s="10" t="n">
        <f aca="false">IF(Flows!Z6*Z$3*Z$4&lt;0.002,100,MAX($CM$2/(Flows!Z6*Z$3*Z$4),1))</f>
        <v>27372.633670159</v>
      </c>
      <c r="AA9" s="10" t="n">
        <f aca="false">IF(Flows!AA6*AA$3*AA$4&lt;0.002,100,MAX($CM$2/(Flows!AA6*AA$3*AA$4),1))</f>
        <v>4487.4792671852</v>
      </c>
      <c r="AB9" s="10" t="n">
        <f aca="false">IF(Flows!AB6*AB$3*AB$4&lt;0.002,100,MAX($CM$2/(Flows!AB6*AB$3*AB$4),1))</f>
        <v>4405.68343394057</v>
      </c>
      <c r="AC9" s="10" t="n">
        <f aca="false">IF(Flows!AC6*AC$3*AC$4&lt;0.002,100,MAX($CM$2/(Flows!AC6*AC$3*AC$4),1))</f>
        <v>18100.0119263336</v>
      </c>
      <c r="AD9" s="10" t="n">
        <f aca="false">IF(Flows!AD6*AD$3*AD$4&lt;0.002,100,MAX($CM$2/(Flows!AD6*AD$3*AD$4),1))</f>
        <v>27752.3832979009</v>
      </c>
      <c r="AE9" s="10" t="n">
        <f aca="false">IF(Flows!AE6*AE$3*AE$4&lt;0.002,100,MAX($CM$2/(Flows!AE6*AE$3*AE$4),1))</f>
        <v>97787.9526339242</v>
      </c>
      <c r="AF9" s="10" t="n">
        <f aca="false">IF(Flows!AF6*AF$3*AF$4&lt;0.002,100,MAX($CM$2/(Flows!AF6*AF$3*AF$4),1))</f>
        <v>401.18002787702</v>
      </c>
      <c r="AG9" s="10" t="n">
        <f aca="false">IF(Flows!AG6*AG$3*AG$4&lt;0.002,100,MAX($CM$2/(Flows!AG6*AG$3*AG$4),1))</f>
        <v>375.028826604996</v>
      </c>
      <c r="AH9" s="10" t="n">
        <f aca="false">IF(Flows!AH6*AH$3*AH$4&lt;0.002,100,MAX($CM$2/(Flows!AH6*AH$3*AH$4),1))</f>
        <v>192.418054663457</v>
      </c>
      <c r="AI9" s="10" t="n">
        <f aca="false">IF(Flows!AI6*AI$3*AI$4&lt;0.002,100,MAX($CM$2/(Flows!AI6*AI$3*AI$4),1))</f>
        <v>1213.60068012767</v>
      </c>
      <c r="AJ9" s="10" t="n">
        <f aca="false">IF(Flows!AJ6*AJ$3*AJ$4&lt;0.002,100,MAX($CM$2/(Flows!AJ6*AJ$3*AJ$4),1))</f>
        <v>492.598717515588</v>
      </c>
      <c r="AK9" s="10" t="n">
        <f aca="false">IF(Flows!AK6*AK$3*AK$4&lt;0.002,100,MAX($CM$2/(Flows!AK6*AK$3*AK$4),1))</f>
        <v>198.487596905728</v>
      </c>
      <c r="AL9" s="10" t="n">
        <f aca="false">IF(Flows!AL6*AL$3*AL$4&lt;0.002,100,MAX($CM$2/(Flows!AL6*AL$3*AL$4),1))</f>
        <v>422.392708339391</v>
      </c>
      <c r="AM9" s="10" t="n">
        <f aca="false">IF(Flows!AM6*AM$3*AM$4&lt;0.002,100,MAX($CM$2/(Flows!AM6*AM$3*AM$4),1))</f>
        <v>827.654086928275</v>
      </c>
      <c r="AN9" s="10" t="n">
        <f aca="false">IF(Flows!AN6*AN$3*AN$4&lt;0.002,100,MAX($CM$2/(Flows!AN6*AN$3*AN$4),1))</f>
        <v>792.277959188055</v>
      </c>
      <c r="AO9" s="10" t="n">
        <f aca="false">IF(Flows!AO6*AO$3*AO$4&lt;0.002,100,MAX($CM$2/(Flows!AO6*AO$3*AO$4),1))</f>
        <v>9270.07574319762</v>
      </c>
      <c r="AP9" s="10" t="n">
        <f aca="false">IF(Flows!AP6*AP$3*AP$4&lt;0.002,100,MAX($CM$2/(Flows!AP6*AP$3*AP$4),1))</f>
        <v>18044.1636034887</v>
      </c>
      <c r="AQ9" s="10" t="n">
        <f aca="false">IF(Flows!AQ6*AQ$3*AQ$4&lt;0.002,100,MAX($CM$2/(Flows!AQ6*AQ$3*AQ$4),1))</f>
        <v>6245.47218769968</v>
      </c>
      <c r="AR9" s="10" t="n">
        <f aca="false">IF(Flows!AR6*AR$3*AR$4&lt;0.002,100,MAX($CM$2/(Flows!AR6*AR$3*AR$4),1))</f>
        <v>9786.12074316016</v>
      </c>
      <c r="AS9" s="10" t="n">
        <f aca="false">IF(Flows!AS6*AS$3*AS$4&lt;0.002,100,MAX($CM$2/(Flows!AS6*AS$3*AS$4),1))</f>
        <v>856.591639522723</v>
      </c>
      <c r="AT9" s="10" t="n">
        <f aca="false">IF(Flows!AT6*AT$3*AT$4&lt;0.002,100,MAX($CM$2/(Flows!AT6*AT$3*AT$4),1))</f>
        <v>349.686485474874</v>
      </c>
      <c r="AU9" s="10" t="n">
        <f aca="false">IF(Flows!AU6*AU$3*AU$4&lt;0.002,100,MAX($CM$2/(Flows!AU6*AU$3*AU$4),1))</f>
        <v>503.813248709668</v>
      </c>
      <c r="AV9" s="10" t="n">
        <f aca="false">IF(Flows!AV6*AV$3*AV$4&lt;0.002,100,MAX($CM$2/(Flows!AV6*AV$3*AV$4),1))</f>
        <v>4743.19424023055</v>
      </c>
      <c r="AW9" s="10" t="n">
        <f aca="false">IF(Flows!AW6*AW$3*AW$4&lt;0.002,100,MAX($CM$2/(Flows!AW6*AW$3*AW$4),1))</f>
        <v>5.69214529698751</v>
      </c>
      <c r="AX9" s="10" t="n">
        <f aca="false">IF(Flows!AX6*AX$3*AX$4&lt;0.002,100,MAX($CM$2/(Flows!AX6*AX$3*AX$4),1))</f>
        <v>1042.42355368533</v>
      </c>
      <c r="AY9" s="10" t="n">
        <f aca="false">IF(Flows!AY6*AY$3*AY$4&lt;0.002,100,MAX($CM$2/(Flows!AY6*AY$3*AY$4),1))</f>
        <v>230.016247737276</v>
      </c>
      <c r="AZ9" s="10" t="n">
        <f aca="false">IF(Flows!AZ6*AZ$3*AZ$4&lt;0.002,100,MAX($CM$2/(Flows!AZ6*AZ$3*AZ$4),1))</f>
        <v>65.0057701946228</v>
      </c>
      <c r="BA9" s="10" t="n">
        <f aca="false">IF(Flows!BA6*BA$3*BA$4&lt;0.002,100,MAX($CM$2/(Flows!BA6*BA$3*BA$4),1))</f>
        <v>339.457508528636</v>
      </c>
      <c r="BB9" s="10" t="n">
        <f aca="false">IF(Flows!BB6*BB$3*BB$4&lt;0.002,100,MAX($CM$2/(Flows!BB6*BB$3*BB$4),1))</f>
        <v>1485.71760613223</v>
      </c>
      <c r="BC9" s="10" t="n">
        <f aca="false">IF(Flows!BC6*BC$3*BC$4&lt;0.002,100,MAX($CM$2/(Flows!BC6*BC$3*BC$4),1))</f>
        <v>700.833528251839</v>
      </c>
      <c r="BD9" s="10" t="n">
        <f aca="false">IF(Flows!BD6*BD$3*BD$4&lt;0.002,100,MAX($CM$2/(Flows!BD6*BD$3*BD$4),1))</f>
        <v>2669.62320113395</v>
      </c>
      <c r="BE9" s="10" t="n">
        <f aca="false">IF(Flows!BE6*BE$3*BE$4&lt;0.002,100,MAX($CM$2/(Flows!BE6*BE$3*BE$4),1))</f>
        <v>5737.12304518191</v>
      </c>
      <c r="BF9" s="10" t="n">
        <f aca="false">IF(Flows!BF6*BF$3*BF$4&lt;0.002,100,MAX($CM$2/(Flows!BF6*BF$3*BF$4),1))</f>
        <v>170.846065388511</v>
      </c>
      <c r="BG9" s="10" t="n">
        <f aca="false">IF(Flows!BG6*BG$3*BG$4&lt;0.002,100,MAX($CM$2/(Flows!BG6*BG$3*BG$4),1))</f>
        <v>52.2278510828752</v>
      </c>
      <c r="BH9" s="10" t="n">
        <f aca="false">IF(Flows!BH6*BH$3*BH$4&lt;0.002,100,MAX($CM$2/(Flows!BH6*BH$3*BH$4),1))</f>
        <v>285.199549940978</v>
      </c>
      <c r="BI9" s="10" t="n">
        <f aca="false">IF(Flows!BI6*BI$3*BI$4&lt;0.002,100,MAX($CM$2/(Flows!BI6*BI$3*BI$4),1))</f>
        <v>8.48192870629179</v>
      </c>
      <c r="BJ9" s="10" t="n">
        <f aca="false">IF(Flows!BJ6*BJ$3*BJ$4&lt;0.002,100,MAX($CM$2/(Flows!BJ6*BJ$3*BJ$4),1))</f>
        <v>1.76279992524298</v>
      </c>
      <c r="BK9" s="10" t="n">
        <f aca="false">IF(Flows!BK6*BK$3*BK$4&lt;0.002,100,MAX($CM$2/(Flows!BK6*BK$3*BK$4),1))</f>
        <v>16.9638574125836</v>
      </c>
      <c r="BL9" s="10" t="n">
        <f aca="false">IF(Flows!BL6*BL$3*BL$4&lt;0.002,100,MAX($CM$2/(Flows!BL6*BL$3*BL$4),1))</f>
        <v>1083.116664286</v>
      </c>
      <c r="BM9" s="10" t="n">
        <f aca="false">IF(Flows!BM6*BM$3*BM$4&lt;0.002,100,MAX($CM$2/(Flows!BM6*BM$3*BM$4),1))</f>
        <v>33.8083675137474</v>
      </c>
      <c r="BN9" s="10" t="n">
        <f aca="false">IF(Flows!BN6*BN$3*BN$4&lt;0.002,100,MAX($CM$2/(Flows!BN6*BN$3*BN$4),1))</f>
        <v>49881.1862978724</v>
      </c>
      <c r="BO9" s="10" t="n">
        <f aca="false">IF(Flows!BO6*BO$3*BO$4&lt;0.002,100,MAX($CM$2/(Flows!BO6*BO$3*BO$4),1))</f>
        <v>8313531.04964541</v>
      </c>
      <c r="BP9" s="10" t="n">
        <f aca="false">IF(Flows!BP6*BP$3*BP$4&lt;0.002,100,MAX($CM$2/(Flows!BP6*BP$3*BP$4),1))</f>
        <v>6848525437.10282</v>
      </c>
      <c r="BQ9" s="10" t="n">
        <f aca="false">IF(Flows!BQ6*BQ$3*BQ$4&lt;0.002,100,MAX($CM$2/(Flows!BQ6*BQ$3*BQ$4),1))</f>
        <v>100</v>
      </c>
      <c r="BR9" s="10" t="n">
        <f aca="false">IF(Flows!BR6*BR$3*BR$4&lt;0.002,100,MAX($CM$2/(Flows!BR6*BR$3*BR$4),1))</f>
        <v>83135310.496454</v>
      </c>
      <c r="BS9" s="10" t="n">
        <f aca="false">IF(Flows!BS6*BS$3*BS$4&lt;0.002,100,MAX($CM$2/(Flows!BS6*BS$3*BS$4),1))</f>
        <v>415677037.055721</v>
      </c>
      <c r="BT9" s="10" t="n">
        <f aca="false">IF(Flows!BT6*BT$3*BT$4&lt;0.002,100,MAX($CM$2/(Flows!BT6*BT$3*BT$4),1))</f>
        <v>1</v>
      </c>
      <c r="BU9" s="10" t="n">
        <f aca="false">IF(Flows!BU6*BU$3*BU$4&lt;0.002,100,MAX($CM$2/(Flows!BU6*BU$3*BU$4),1))</f>
        <v>4.5078377466378</v>
      </c>
      <c r="BV9" s="10" t="n">
        <f aca="false">IF(Flows!BV6*BV$3*BV$4&lt;0.002,100,MAX($CM$2/(Flows!BV6*BV$3*BV$4),1))</f>
        <v>45.078377466378</v>
      </c>
      <c r="BW9" s="10" t="n">
        <f aca="false">IF(Flows!BW6*BW$3*BW$4&lt;0.002,100,MAX($CM$2/(Flows!BW6*BW$3*BW$4),1))</f>
        <v>7.40002118030053</v>
      </c>
      <c r="BX9" s="10" t="n">
        <f aca="false">IF(Flows!BX6*BX$3*BX$4&lt;0.002,100,MAX($CM$2/(Flows!BX6*BX$3*BX$4),1))</f>
        <v>12.232707580227</v>
      </c>
      <c r="BY9" s="10" t="n">
        <f aca="false">IF(Flows!BY6*BY$3*BY$4&lt;0.002,100,MAX($CM$2/(Flows!BY6*BY$3*BY$4),1))</f>
        <v>97.1466751104368</v>
      </c>
      <c r="BZ9" s="10" t="n">
        <f aca="false">IF(Flows!BZ6*BZ$3*BZ$4&lt;0.002,100,MAX($CM$2/(Flows!BZ6*BZ$3*BZ$4),1))</f>
        <v>53636.2336018758</v>
      </c>
      <c r="CA9" s="10" t="n">
        <f aca="false">IF(Flows!CA6*CA$3*CA$4&lt;0.002,100,MAX($CM$2/(Flows!CA6*CA$3*CA$4),1))</f>
        <v>46266.8284726562</v>
      </c>
      <c r="CB9" s="10" t="n">
        <f aca="false">IF(Flows!CB6*CB$3*CB$4&lt;0.002,100,MAX($CM$2/(Flows!CB6*CB$3*CB$4),1))</f>
        <v>24.4234965741064</v>
      </c>
      <c r="CC9" s="10" t="n">
        <f aca="false">IF(Flows!CC6*CC$3*CC$4&lt;0.002,100,MAX($CM$2/(Flows!CC6*CC$3*CC$4),1))</f>
        <v>17.5853483698228</v>
      </c>
      <c r="CD9" s="10" t="n">
        <f aca="false">IF(Flows!CD6*CD$3*CD$4&lt;0.002,100,MAX($CM$2/(Flows!CD6*CD$3*CD$4),1))</f>
        <v>15.6157977085344</v>
      </c>
      <c r="CE9" s="10" t="n">
        <f aca="false">IF(Flows!CE6*CE$3*CE$4&lt;0.002,100,MAX($CM$2/(Flows!CE6*CE$3*CE$4),1))</f>
        <v>2.45264600563223</v>
      </c>
      <c r="CF9" s="10" t="n">
        <f aca="false">IF(Flows!CF6*CF$3*CF$4&lt;0.002,100,MAX($CM$2/(Flows!CF6*CF$3*CF$4),1))</f>
        <v>1</v>
      </c>
      <c r="CG9" s="10" t="n">
        <f aca="false">IF(Flows!CG6*CG$3*CG$4&lt;0.002,100,MAX($CM$2/(Flows!CG6*CG$3*CG$4),1))</f>
        <v>35890117.8151371</v>
      </c>
      <c r="CH9" s="10" t="n">
        <f aca="false">IF(Flows!CH6*CH$3*CH$4&lt;0.002,100,MAX($CM$2/(Flows!CH6*CH$3*CH$4),1))</f>
        <v>21724857.3977232</v>
      </c>
      <c r="CI9" s="10" t="n">
        <f aca="false">IF(Flows!CI6*CI$3*CI$4&lt;0.002,100,MAX($CM$2/(Flows!CI6*CI$3*CI$4),1))</f>
        <v>120.403083201673</v>
      </c>
      <c r="CJ9" s="10" t="n">
        <f aca="false">IF(Flows!CJ6*CJ$3*CJ$4&lt;0.002,100,MAX($CM$2/(Flows!CJ6*CJ$3*CJ$4),1))</f>
        <v>849.191634956864</v>
      </c>
      <c r="CK9" s="10" t="n">
        <f aca="false">IF(Flows!CK6*CK$3*CK$4&lt;0.002,100,MAX($CM$2/(Flows!CK6*CK$3*CK$4),1))</f>
        <v>329.686068115778</v>
      </c>
      <c r="CL9" s="7" t="s">
        <v>39</v>
      </c>
    </row>
    <row r="10" customFormat="false" ht="12.8" hidden="false" customHeight="false" outlineLevel="0" collapsed="false">
      <c r="A10" s="7" t="s">
        <v>139</v>
      </c>
      <c r="B10" s="7" t="s">
        <v>39</v>
      </c>
      <c r="C10" s="10" t="n">
        <f aca="false">IF(Flows!C7*C$3*C$4&lt;0.002,100,MAX($CM$2/(Flows!C7*C$3*C$4),1))</f>
        <v>48639.1684516647</v>
      </c>
      <c r="D10" s="10" t="n">
        <f aca="false">IF(Flows!D7*D$3*D$4&lt;0.002,100,MAX($CM$2/(Flows!D7*D$3*D$4),1))</f>
        <v>14.9633269918606</v>
      </c>
      <c r="E10" s="10" t="n">
        <f aca="false">IF(Flows!E7*E$3*E$4&lt;0.002,100,MAX($CM$2/(Flows!E7*E$3*E$4),1))</f>
        <v>84.0021952974633</v>
      </c>
      <c r="F10" s="10" t="n">
        <f aca="false">IF(Flows!F7*F$3*F$4&lt;0.002,100,MAX($CM$2/(Flows!F7*F$3*F$4),1))</f>
        <v>163.283085391049</v>
      </c>
      <c r="G10" s="10" t="n">
        <f aca="false">IF(Flows!G7*G$3*G$4&lt;0.002,100,MAX($CM$2/(Flows!G7*G$3*G$4),1))</f>
        <v>276.339546959892</v>
      </c>
      <c r="H10" s="10" t="n">
        <f aca="false">IF(Flows!H7*H$3*H$4&lt;0.002,100,MAX($CM$2/(Flows!H7*H$3*H$4),1))</f>
        <v>100</v>
      </c>
      <c r="I10" s="10" t="n">
        <f aca="false">IF(Flows!I7*I$3*I$4&lt;0.002,100,MAX($CM$2/(Flows!I7*I$3*I$4),1))</f>
        <v>1356.22976455885</v>
      </c>
      <c r="J10" s="10" t="n">
        <f aca="false">IF(Flows!J7*J$3*J$4&lt;0.002,100,MAX($CM$2/(Flows!J7*J$3*J$4),1))</f>
        <v>1549.0536314603</v>
      </c>
      <c r="K10" s="10" t="n">
        <f aca="false">IF(Flows!K7*K$3*K$4&lt;0.002,100,MAX($CM$2/(Flows!K7*K$3*K$4),1))</f>
        <v>15122.6242440034</v>
      </c>
      <c r="L10" s="10" t="n">
        <f aca="false">IF(Flows!L7*L$3*L$4&lt;0.002,100,MAX($CM$2/(Flows!L7*L$3*L$4),1))</f>
        <v>60720.0751099874</v>
      </c>
      <c r="M10" s="10" t="n">
        <f aca="false">IF(Flows!M7*M$3*M$4&lt;0.002,100,MAX($CM$2/(Flows!M7*M$3*M$4),1))</f>
        <v>42076.8216609651</v>
      </c>
      <c r="N10" s="10" t="n">
        <f aca="false">IF(Flows!N7*N$3*N$4&lt;0.002,100,MAX($CM$2/(Flows!N7*N$3*N$4),1))</f>
        <v>147.246657631541</v>
      </c>
      <c r="O10" s="10" t="n">
        <f aca="false">IF(Flows!O7*O$3*O$4&lt;0.002,100,MAX($CM$2/(Flows!O7*O$3*O$4),1))</f>
        <v>7.74590808454983</v>
      </c>
      <c r="P10" s="10" t="n">
        <f aca="false">IF(Flows!P7*P$3*P$4&lt;0.002,100,MAX($CM$2/(Flows!P7*P$3*P$4),1))</f>
        <v>14.5235776585309</v>
      </c>
      <c r="Q10" s="10" t="n">
        <f aca="false">IF(Flows!Q7*Q$3*Q$4&lt;0.002,100,MAX($CM$2/(Flows!Q7*Q$3*Q$4),1))</f>
        <v>3513.66375465472</v>
      </c>
      <c r="R10" s="10" t="n">
        <f aca="false">IF(Flows!R7*R$3*R$4&lt;0.002,100,MAX($CM$2/(Flows!R7*R$3*R$4),1))</f>
        <v>41.4318472438448</v>
      </c>
      <c r="S10" s="10" t="n">
        <f aca="false">IF(Flows!S7*S$3*S$4&lt;0.002,100,MAX($CM$2/(Flows!S7*S$3*S$4),1))</f>
        <v>520.457786657033</v>
      </c>
      <c r="T10" s="10" t="n">
        <f aca="false">IF(Flows!T7*T$3*T$4&lt;0.002,100,MAX($CM$2/(Flows!T7*T$3*T$4),1))</f>
        <v>931.211235930476</v>
      </c>
      <c r="U10" s="10" t="n">
        <f aca="false">IF(Flows!U7*U$3*U$4&lt;0.002,100,MAX($CM$2/(Flows!U7*U$3*U$4),1))</f>
        <v>175.320090254021</v>
      </c>
      <c r="V10" s="10" t="n">
        <f aca="false">IF(Flows!V7*V$3*V$4&lt;0.002,100,MAX($CM$2/(Flows!V7*V$3*V$4),1))</f>
        <v>2716.0654236791</v>
      </c>
      <c r="W10" s="10" t="n">
        <f aca="false">IF(Flows!W7*W$3*W$4&lt;0.002,100,MAX($CM$2/(Flows!W7*W$3*W$4),1))</f>
        <v>69.2367174518605</v>
      </c>
      <c r="X10" s="10" t="n">
        <f aca="false">IF(Flows!X7*X$3*X$4&lt;0.002,100,MAX($CM$2/(Flows!X7*X$3*X$4),1))</f>
        <v>8.32408565325952</v>
      </c>
      <c r="Y10" s="10" t="n">
        <f aca="false">IF(Flows!Y7*Y$3*Y$4&lt;0.002,100,MAX($CM$2/(Flows!Y7*Y$3*Y$4),1))</f>
        <v>303.600375549937</v>
      </c>
      <c r="Z10" s="10" t="n">
        <f aca="false">IF(Flows!Z7*Z$3*Z$4&lt;0.002,100,MAX($CM$2/(Flows!Z7*Z$3*Z$4),1))</f>
        <v>1350542.80512955</v>
      </c>
      <c r="AA10" s="10" t="n">
        <f aca="false">IF(Flows!AA7*AA$3*AA$4&lt;0.002,100,MAX($CM$2/(Flows!AA7*AA$3*AA$4),1))</f>
        <v>114956.555785069</v>
      </c>
      <c r="AB10" s="10" t="n">
        <f aca="false">IF(Flows!AB7*AB$3*AB$4&lt;0.002,100,MAX($CM$2/(Flows!AB7*AB$3*AB$4),1))</f>
        <v>97715.7530449233</v>
      </c>
      <c r="AC10" s="10" t="n">
        <f aca="false">IF(Flows!AC7*AC$3*AC$4&lt;0.002,100,MAX($CM$2/(Flows!AC7*AC$3*AC$4),1))</f>
        <v>333117.578761279</v>
      </c>
      <c r="AD10" s="10" t="n">
        <f aca="false">IF(Flows!AD7*AD$3*AD$4&lt;0.002,100,MAX($CM$2/(Flows!AD7*AD$3*AD$4),1))</f>
        <v>615533.338563134</v>
      </c>
      <c r="AE10" s="10" t="n">
        <f aca="false">IF(Flows!AE7*AE$3*AE$4&lt;0.002,100,MAX($CM$2/(Flows!AE7*AE$3*AE$4),1))</f>
        <v>1953220.35879125</v>
      </c>
      <c r="AF10" s="10" t="n">
        <f aca="false">IF(Flows!AF7*AF$3*AF$4&lt;0.002,100,MAX($CM$2/(Flows!AF7*AF$3*AF$4),1))</f>
        <v>6114.08430481919</v>
      </c>
      <c r="AG10" s="10" t="n">
        <f aca="false">IF(Flows!AG7*AG$3*AG$4&lt;0.002,100,MAX($CM$2/(Flows!AG7*AG$3*AG$4),1))</f>
        <v>6933.04704131473</v>
      </c>
      <c r="AH10" s="10" t="n">
        <f aca="false">IF(Flows!AH7*AH$3*AH$4&lt;0.002,100,MAX($CM$2/(Flows!AH7*AH$3*AH$4),1))</f>
        <v>3897.76736650264</v>
      </c>
      <c r="AI10" s="10" t="n">
        <f aca="false">IF(Flows!AI7*AI$3*AI$4&lt;0.002,100,MAX($CM$2/(Flows!AI7*AI$3*AI$4),1))</f>
        <v>17568.9946425801</v>
      </c>
      <c r="AJ10" s="10" t="n">
        <f aca="false">IF(Flows!AJ7*AJ$3*AJ$4&lt;0.002,100,MAX($CM$2/(Flows!AJ7*AJ$3*AJ$4),1))</f>
        <v>8699.12913928801</v>
      </c>
      <c r="AK10" s="10" t="n">
        <f aca="false">IF(Flows!AK7*AK$3*AK$4&lt;0.002,100,MAX($CM$2/(Flows!AK7*AK$3*AK$4),1))</f>
        <v>4824.975088412</v>
      </c>
      <c r="AL10" s="10" t="n">
        <f aca="false">IF(Flows!AL7*AL$3*AL$4&lt;0.002,100,MAX($CM$2/(Flows!AL7*AL$3*AL$4),1))</f>
        <v>6052.98513974745</v>
      </c>
      <c r="AM10" s="10" t="n">
        <f aca="false">IF(Flows!AM7*AM$3*AM$4&lt;0.002,100,MAX($CM$2/(Flows!AM7*AM$3*AM$4),1))</f>
        <v>10921.7419185665</v>
      </c>
      <c r="AN10" s="10" t="n">
        <f aca="false">IF(Flows!AN7*AN$3*AN$4&lt;0.002,100,MAX($CM$2/(Flows!AN7*AN$3*AN$4),1))</f>
        <v>18344.2224734384</v>
      </c>
      <c r="AO10" s="10" t="n">
        <f aca="false">IF(Flows!AO7*AO$3*AO$4&lt;0.002,100,MAX($CM$2/(Flows!AO7*AO$3*AO$4),1))</f>
        <v>146182.742676636</v>
      </c>
      <c r="AP10" s="10" t="n">
        <f aca="false">IF(Flows!AP7*AP$3*AP$4&lt;0.002,100,MAX($CM$2/(Flows!AP7*AP$3*AP$4),1))</f>
        <v>319046.67799237</v>
      </c>
      <c r="AQ10" s="10" t="n">
        <f aca="false">IF(Flows!AQ7*AQ$3*AQ$4&lt;0.002,100,MAX($CM$2/(Flows!AQ7*AQ$3*AQ$4),1))</f>
        <v>148172.907002904</v>
      </c>
      <c r="AR10" s="10" t="n">
        <f aca="false">IF(Flows!AR7*AR$3*AR$4&lt;0.002,100,MAX($CM$2/(Flows!AR7*AR$3*AR$4),1))</f>
        <v>135437.853581828</v>
      </c>
      <c r="AS10" s="10" t="n">
        <f aca="false">IF(Flows!AS7*AS$3*AS$4&lt;0.002,100,MAX($CM$2/(Flows!AS7*AS$3*AS$4),1))</f>
        <v>14686.3819436986</v>
      </c>
      <c r="AT10" s="10" t="n">
        <f aca="false">IF(Flows!AT7*AT$3*AT$4&lt;0.002,100,MAX($CM$2/(Flows!AT7*AT$3*AT$4),1))</f>
        <v>5880.77114030595</v>
      </c>
      <c r="AU10" s="10" t="n">
        <f aca="false">IF(Flows!AU7*AU$3*AU$4&lt;0.002,100,MAX($CM$2/(Flows!AU7*AU$3*AU$4),1))</f>
        <v>7973.91843808987</v>
      </c>
      <c r="AV10" s="10" t="n">
        <f aca="false">IF(Flows!AV7*AV$3*AV$4&lt;0.002,100,MAX($CM$2/(Flows!AV7*AV$3*AV$4),1))</f>
        <v>67699.5467714779</v>
      </c>
      <c r="AW10" s="10" t="n">
        <f aca="false">IF(Flows!AW7*AW$3*AW$4&lt;0.002,100,MAX($CM$2/(Flows!AW7*AW$3*AW$4),1))</f>
        <v>104.222302758519</v>
      </c>
      <c r="AX10" s="10" t="n">
        <f aca="false">IF(Flows!AX7*AX$3*AX$4&lt;0.002,100,MAX($CM$2/(Flows!AX7*AX$3*AX$4),1))</f>
        <v>15046.6260352158</v>
      </c>
      <c r="AY10" s="10" t="n">
        <f aca="false">IF(Flows!AY7*AY$3*AY$4&lt;0.002,100,MAX($CM$2/(Flows!AY7*AY$3*AY$4),1))</f>
        <v>5765.20012175252</v>
      </c>
      <c r="AZ10" s="10" t="n">
        <f aca="false">IF(Flows!AZ7*AZ$3*AZ$4&lt;0.002,100,MAX($CM$2/(Flows!AZ7*AZ$3*AZ$4),1))</f>
        <v>1492.50486841273</v>
      </c>
      <c r="BA10" s="10" t="n">
        <f aca="false">IF(Flows!BA7*BA$3*BA$4&lt;0.002,100,MAX($CM$2/(Flows!BA7*BA$3*BA$4),1))</f>
        <v>3096.72383060936</v>
      </c>
      <c r="BB10" s="10" t="n">
        <f aca="false">IF(Flows!BB7*BB$3*BB$4&lt;0.002,100,MAX($CM$2/(Flows!BB7*BB$3*BB$4),1))</f>
        <v>31090.2799887388</v>
      </c>
      <c r="BC10" s="10" t="n">
        <f aca="false">IF(Flows!BC7*BC$3*BC$4&lt;0.002,100,MAX($CM$2/(Flows!BC7*BC$3*BC$4),1))</f>
        <v>11555.3984333719</v>
      </c>
      <c r="BD10" s="10" t="n">
        <f aca="false">IF(Flows!BD7*BD$3*BD$4&lt;0.002,100,MAX($CM$2/(Flows!BD7*BD$3*BD$4),1))</f>
        <v>48698.1301724783</v>
      </c>
      <c r="BE10" s="10" t="n">
        <f aca="false">IF(Flows!BE7*BE$3*BE$4&lt;0.002,100,MAX($CM$2/(Flows!BE7*BE$3*BE$4),1))</f>
        <v>122071.07513838</v>
      </c>
      <c r="BF10" s="10" t="n">
        <f aca="false">IF(Flows!BF7*BF$3*BF$4&lt;0.002,100,MAX($CM$2/(Flows!BF7*BF$3*BF$4),1))</f>
        <v>2417.26522841617</v>
      </c>
      <c r="BG10" s="10" t="n">
        <f aca="false">IF(Flows!BG7*BG$3*BG$4&lt;0.002,100,MAX($CM$2/(Flows!BG7*BG$3*BG$4),1))</f>
        <v>833.261025728189</v>
      </c>
      <c r="BH10" s="10" t="n">
        <f aca="false">IF(Flows!BH7*BH$3*BH$4&lt;0.002,100,MAX($CM$2/(Flows!BH7*BH$3*BH$4),1))</f>
        <v>850295.740263207</v>
      </c>
      <c r="BI10" s="10" t="n">
        <f aca="false">IF(Flows!BI7*BI$3*BI$4&lt;0.002,100,MAX($CM$2/(Flows!BI7*BI$3*BI$4),1))</f>
        <v>523.615761464919</v>
      </c>
      <c r="BJ10" s="10" t="n">
        <f aca="false">IF(Flows!BJ7*BJ$3*BJ$4&lt;0.002,100,MAX($CM$2/(Flows!BJ7*BJ$3*BJ$4),1))</f>
        <v>26.2309769346012</v>
      </c>
      <c r="BK10" s="10" t="n">
        <f aca="false">IF(Flows!BK7*BK$3*BK$4&lt;0.002,100,MAX($CM$2/(Flows!BK7*BK$3*BK$4),1))</f>
        <v>1047.23152292984</v>
      </c>
      <c r="BL10" s="10" t="n">
        <f aca="false">IF(Flows!BL7*BL$3*BL$4&lt;0.002,100,MAX($CM$2/(Flows!BL7*BL$3*BL$4),1))</f>
        <v>870.404211166191</v>
      </c>
      <c r="BM10" s="10" t="n">
        <f aca="false">IF(Flows!BM7*BM$3*BM$4&lt;0.002,100,MAX($CM$2/(Flows!BM7*BM$3*BM$4),1))</f>
        <v>292.215206442519</v>
      </c>
      <c r="BN10" s="10" t="n">
        <f aca="false">IF(Flows!BN7*BN$3*BN$4&lt;0.002,100,MAX($CM$2/(Flows!BN7*BN$3*BN$4),1))</f>
        <v>1.04794361962035</v>
      </c>
      <c r="BO10" s="10" t="n">
        <f aca="false">IF(Flows!BO7*BO$3*BO$4&lt;0.002,100,MAX($CM$2/(Flows!BO7*BO$3*BO$4),1))</f>
        <v>174.657269936726</v>
      </c>
      <c r="BP10" s="10" t="n">
        <f aca="false">IF(Flows!BP7*BP$3*BP$4&lt;0.002,100,MAX($CM$2/(Flows!BP7*BP$3*BP$4),1))</f>
        <v>387.789355473037</v>
      </c>
      <c r="BQ10" s="10" t="n">
        <f aca="false">IF(Flows!BQ7*BQ$3*BQ$4&lt;0.002,100,MAX($CM$2/(Flows!BQ7*BQ$3*BQ$4),1))</f>
        <v>100</v>
      </c>
      <c r="BR10" s="10" t="n">
        <f aca="false">IF(Flows!BR7*BR$3*BR$4&lt;0.002,100,MAX($CM$2/(Flows!BR7*BR$3*BR$4),1))</f>
        <v>5239.71809810176</v>
      </c>
      <c r="BS10" s="10" t="n">
        <f aca="false">IF(Flows!BS7*BS$3*BS$4&lt;0.002,100,MAX($CM$2/(Flows!BS7*BS$3*BS$4),1))</f>
        <v>52397.2073598453</v>
      </c>
      <c r="BT10" s="10" t="n">
        <f aca="false">IF(Flows!BT7*BT$3*BT$4&lt;0.002,100,MAX($CM$2/(Flows!BT7*BT$3*BT$4),1))</f>
        <v>25.412000435704</v>
      </c>
      <c r="BU10" s="10" t="n">
        <f aca="false">IF(Flows!BU7*BU$3*BU$4&lt;0.002,100,MAX($CM$2/(Flows!BU7*BU$3*BU$4),1))</f>
        <v>254.12000435704</v>
      </c>
      <c r="BV10" s="10" t="n">
        <f aca="false">IF(Flows!BV7*BV$3*BV$4&lt;0.002,100,MAX($CM$2/(Flows!BV7*BV$3*BV$4),1))</f>
        <v>2541.2000435704</v>
      </c>
      <c r="BW10" s="10" t="n">
        <f aca="false">IF(Flows!BW7*BW$3*BW$4&lt;0.002,100,MAX($CM$2/(Flows!BW7*BW$3*BW$4),1))</f>
        <v>98.0664441589974</v>
      </c>
      <c r="BX10" s="10" t="n">
        <f aca="false">IF(Flows!BX7*BX$3*BX$4&lt;0.002,100,MAX($CM$2/(Flows!BX7*BX$3*BX$4),1))</f>
        <v>140.360903271457</v>
      </c>
      <c r="BY10" s="10" t="n">
        <f aca="false">IF(Flows!BY7*BY$3*BY$4&lt;0.002,100,MAX($CM$2/(Flows!BY7*BY$3*BY$4),1))</f>
        <v>183.558035619009</v>
      </c>
      <c r="BZ10" s="10" t="n">
        <f aca="false">IF(Flows!BZ7*BZ$3*BZ$4&lt;0.002,100,MAX($CM$2/(Flows!BZ7*BZ$3*BZ$4),1))</f>
        <v>165010.681337873</v>
      </c>
      <c r="CA10" s="10" t="n">
        <f aca="false">IF(Flows!CA7*CA$3*CA$4&lt;0.002,100,MAX($CM$2/(Flows!CA7*CA$3*CA$4),1))</f>
        <v>59848.0381594992</v>
      </c>
      <c r="CB10" s="10" t="n">
        <f aca="false">IF(Flows!CB7*CB$3*CB$4&lt;0.002,100,MAX($CM$2/(Flows!CB7*CB$3*CB$4),1))</f>
        <v>1262.83602519671</v>
      </c>
      <c r="CC10" s="10" t="n">
        <f aca="false">IF(Flows!CC7*CC$3*CC$4&lt;0.002,100,MAX($CM$2/(Flows!CC7*CC$3*CC$4),1))</f>
        <v>33.744463597552</v>
      </c>
      <c r="CD10" s="10" t="n">
        <f aca="false">IF(Flows!CD7*CD$3*CD$4&lt;0.002,100,MAX($CM$2/(Flows!CD7*CD$3*CD$4),1))</f>
        <v>239.636240122352</v>
      </c>
      <c r="CE10" s="10" t="n">
        <f aca="false">IF(Flows!CE7*CE$3*CE$4&lt;0.002,100,MAX($CM$2/(Flows!CE7*CE$3*CE$4),1))</f>
        <v>1392.9472701766</v>
      </c>
      <c r="CF10" s="10" t="n">
        <f aca="false">IF(Flows!CF7*CF$3*CF$4&lt;0.002,100,MAX($CM$2/(Flows!CF7*CF$3*CF$4),1))</f>
        <v>1</v>
      </c>
      <c r="CG10" s="10" t="n">
        <f aca="false">IF(Flows!CG7*CG$3*CG$4&lt;0.002,100,MAX($CM$2/(Flows!CG7*CG$3*CG$4),1))</f>
        <v>42.37305278617</v>
      </c>
      <c r="CH10" s="10" t="n">
        <f aca="false">IF(Flows!CH7*CH$3*CH$4&lt;0.002,100,MAX($CM$2/(Flows!CH7*CH$3*CH$4),1))</f>
        <v>25.7359093950257</v>
      </c>
      <c r="CI10" s="10" t="n">
        <f aca="false">IF(Flows!CI7*CI$3*CI$4&lt;0.002,100,MAX($CM$2/(Flows!CI7*CI$3*CI$4),1))</f>
        <v>2256.77965265566</v>
      </c>
      <c r="CJ10" s="10" t="n">
        <f aca="false">IF(Flows!CJ7*CJ$3*CJ$4&lt;0.002,100,MAX($CM$2/(Flows!CJ7*CJ$3*CJ$4),1))</f>
        <v>110565.330954625</v>
      </c>
      <c r="CK10" s="10" t="n">
        <f aca="false">IF(Flows!CK7*CK$3*CK$4&lt;0.002,100,MAX($CM$2/(Flows!CK7*CK$3*CK$4),1))</f>
        <v>19965.4131035344</v>
      </c>
      <c r="CL10" s="7" t="s">
        <v>39</v>
      </c>
    </row>
    <row r="11" customFormat="false" ht="12.8" hidden="false" customHeight="false" outlineLevel="0" collapsed="false">
      <c r="A11" s="7" t="s">
        <v>140</v>
      </c>
      <c r="B11" s="7" t="s">
        <v>39</v>
      </c>
      <c r="C11" s="10" t="n">
        <f aca="false">IF(Flows!C8*C$3*C$4&lt;0.002,100,MAX($CM$2/(Flows!C8*C$3*C$4),1))</f>
        <v>12198.1260454927</v>
      </c>
      <c r="D11" s="10" t="n">
        <f aca="false">IF(Flows!D8*D$3*D$4&lt;0.002,100,MAX($CM$2/(Flows!D8*D$3*D$4),1))</f>
        <v>1.92823879767757</v>
      </c>
      <c r="E11" s="10" t="n">
        <f aca="false">IF(Flows!E8*E$3*E$4&lt;0.002,100,MAX($CM$2/(Flows!E8*E$3*E$4),1))</f>
        <v>15.923121130629</v>
      </c>
      <c r="F11" s="10" t="n">
        <f aca="false">IF(Flows!F8*F$3*F$4&lt;0.002,100,MAX($CM$2/(Flows!F8*F$3*F$4),1))</f>
        <v>44.4000987262241</v>
      </c>
      <c r="G11" s="10" t="n">
        <f aca="false">IF(Flows!G8*G$3*G$4&lt;0.002,100,MAX($CM$2/(Flows!G8*G$3*G$4),1))</f>
        <v>13.9154597154763</v>
      </c>
      <c r="H11" s="10" t="n">
        <f aca="false">IF(Flows!H8*H$3*H$4&lt;0.002,100,MAX($CM$2/(Flows!H8*H$3*H$4),1))</f>
        <v>100</v>
      </c>
      <c r="I11" s="10" t="n">
        <f aca="false">IF(Flows!I8*I$3*I$4&lt;0.002,100,MAX($CM$2/(Flows!I8*I$3*I$4),1))</f>
        <v>2136.97553266699</v>
      </c>
      <c r="J11" s="10" t="n">
        <f aca="false">IF(Flows!J8*J$3*J$4&lt;0.002,100,MAX($CM$2/(Flows!J8*J$3*J$4),1))</f>
        <v>2316.95428775247</v>
      </c>
      <c r="K11" s="10" t="n">
        <f aca="false">IF(Flows!K8*K$3*K$4&lt;0.002,100,MAX($CM$2/(Flows!K8*K$3*K$4),1))</f>
        <v>11493.4594714975</v>
      </c>
      <c r="L11" s="10" t="n">
        <f aca="false">IF(Flows!L8*L$3*L$4&lt;0.002,100,MAX($CM$2/(Flows!L8*L$3*L$4),1))</f>
        <v>36404.0801649862</v>
      </c>
      <c r="M11" s="10" t="n">
        <f aca="false">IF(Flows!M8*M$3*M$4&lt;0.002,100,MAX($CM$2/(Flows!M8*M$3*M$4),1))</f>
        <v>24506.8262905347</v>
      </c>
      <c r="N11" s="10" t="n">
        <f aca="false">IF(Flows!N8*N$3*N$4&lt;0.002,100,MAX($CM$2/(Flows!N8*N$3*N$4),1))</f>
        <v>9.39152092154118</v>
      </c>
      <c r="O11" s="10" t="n">
        <f aca="false">IF(Flows!O8*O$3*O$4&lt;0.002,100,MAX($CM$2/(Flows!O8*O$3*O$4),1))</f>
        <v>3.66563651253199</v>
      </c>
      <c r="P11" s="10" t="n">
        <f aca="false">IF(Flows!P8*P$3*P$4&lt;0.002,100,MAX($CM$2/(Flows!P8*P$3*P$4),1))</f>
        <v>6.87306846099747</v>
      </c>
      <c r="Q11" s="10" t="n">
        <f aca="false">IF(Flows!Q8*Q$3*Q$4&lt;0.002,100,MAX($CM$2/(Flows!Q8*Q$3*Q$4),1))</f>
        <v>728.844490455681</v>
      </c>
      <c r="R11" s="10" t="n">
        <f aca="false">IF(Flows!R8*R$3*R$4&lt;0.002,100,MAX($CM$2/(Flows!R8*R$3*R$4),1))</f>
        <v>31.4889300588973</v>
      </c>
      <c r="S11" s="10" t="n">
        <f aca="false">IF(Flows!S8*S$3*S$4&lt;0.002,100,MAX($CM$2/(Flows!S8*S$3*S$4),1))</f>
        <v>312.034972842738</v>
      </c>
      <c r="T11" s="10" t="n">
        <f aca="false">IF(Flows!T8*T$3*T$4&lt;0.002,100,MAX($CM$2/(Flows!T8*T$3*T$4),1))</f>
        <v>558.297868076468</v>
      </c>
      <c r="U11" s="10" t="n">
        <f aca="false">IF(Flows!U8*U$3*U$4&lt;0.002,100,MAX($CM$2/(Flows!U8*U$3*U$4),1))</f>
        <v>102.111776210561</v>
      </c>
      <c r="V11" s="10" t="n">
        <f aca="false">IF(Flows!V8*V$3*V$4&lt;0.002,100,MAX($CM$2/(Flows!V8*V$3*V$4),1))</f>
        <v>499.893696792964</v>
      </c>
      <c r="W11" s="10" t="n">
        <f aca="false">IF(Flows!W8*W$3*W$4&lt;0.002,100,MAX($CM$2/(Flows!W8*W$3*W$4),1))</f>
        <v>14.9682107284088</v>
      </c>
      <c r="X11" s="10" t="n">
        <f aca="false">IF(Flows!X8*X$3*X$4&lt;0.002,100,MAX($CM$2/(Flows!X8*X$3*X$4),1))</f>
        <v>3.32428565892501</v>
      </c>
      <c r="Y11" s="10" t="n">
        <f aca="false">IF(Flows!Y8*Y$3*Y$4&lt;0.002,100,MAX($CM$2/(Flows!Y8*Y$3*Y$4),1))</f>
        <v>182.020400824931</v>
      </c>
      <c r="Z11" s="10" t="n">
        <f aca="false">IF(Flows!Z8*Z$3*Z$4&lt;0.002,100,MAX($CM$2/(Flows!Z8*Z$3*Z$4),1))</f>
        <v>12369.4535864116</v>
      </c>
      <c r="AA11" s="10" t="n">
        <f aca="false">IF(Flows!AA8*AA$3*AA$4&lt;0.002,100,MAX($CM$2/(Flows!AA8*AA$3*AA$4),1))</f>
        <v>24655.5852099454</v>
      </c>
      <c r="AB11" s="10" t="n">
        <f aca="false">IF(Flows!AB8*AB$3*AB$4&lt;0.002,100,MAX($CM$2/(Flows!AB8*AB$3*AB$4),1))</f>
        <v>20592.3295414846</v>
      </c>
      <c r="AC11" s="10" t="n">
        <f aca="false">IF(Flows!AC8*AC$3*AC$4&lt;0.002,100,MAX($CM$2/(Flows!AC8*AC$3*AC$4),1))</f>
        <v>119467.546602966</v>
      </c>
      <c r="AD11" s="10" t="n">
        <f aca="false">IF(Flows!AD8*AD$3*AD$4&lt;0.002,100,MAX($CM$2/(Flows!AD8*AD$3*AD$4),1))</f>
        <v>129715.679984935</v>
      </c>
      <c r="AE11" s="10" t="n">
        <f aca="false">IF(Flows!AE8*AE$3*AE$4&lt;0.002,100,MAX($CM$2/(Flows!AE8*AE$3*AE$4),1))</f>
        <v>444605.947965908</v>
      </c>
      <c r="AF11" s="10" t="n">
        <f aca="false">IF(Flows!AF8*AF$3*AF$4&lt;0.002,100,MAX($CM$2/(Flows!AF8*AF$3*AF$4),1))</f>
        <v>1233.32324113933</v>
      </c>
      <c r="AG11" s="10" t="n">
        <f aca="false">IF(Flows!AG8*AG$3*AG$4&lt;0.002,100,MAX($CM$2/(Flows!AG8*AG$3*AG$4),1))</f>
        <v>1637.69180172396</v>
      </c>
      <c r="AH11" s="10" t="n">
        <f aca="false">IF(Flows!AH8*AH$3*AH$4&lt;0.002,100,MAX($CM$2/(Flows!AH8*AH$3*AH$4),1))</f>
        <v>846.163040686577</v>
      </c>
      <c r="AI11" s="10" t="n">
        <f aca="false">IF(Flows!AI8*AI$3*AI$4&lt;0.002,100,MAX($CM$2/(Flows!AI8*AI$3*AI$4),1))</f>
        <v>4087.78588084788</v>
      </c>
      <c r="AJ11" s="10" t="n">
        <f aca="false">IF(Flows!AJ8*AJ$3*AJ$4&lt;0.002,100,MAX($CM$2/(Flows!AJ8*AJ$3*AJ$4),1))</f>
        <v>2005.39122783527</v>
      </c>
      <c r="AK11" s="10" t="n">
        <f aca="false">IF(Flows!AK8*AK$3*AK$4&lt;0.002,100,MAX($CM$2/(Flows!AK8*AK$3*AK$4),1))</f>
        <v>1038.40011700773</v>
      </c>
      <c r="AL11" s="10" t="n">
        <f aca="false">IF(Flows!AL8*AL$3*AL$4&lt;0.002,100,MAX($CM$2/(Flows!AL8*AL$3*AL$4),1))</f>
        <v>1304.19879649361</v>
      </c>
      <c r="AM11" s="10" t="n">
        <f aca="false">IF(Flows!AM8*AM$3*AM$4&lt;0.002,100,MAX($CM$2/(Flows!AM8*AM$3*AM$4),1))</f>
        <v>2624.17543809265</v>
      </c>
      <c r="AN11" s="10" t="n">
        <f aca="false">IF(Flows!AN8*AN$3*AN$4&lt;0.002,100,MAX($CM$2/(Flows!AN8*AN$3*AN$4),1))</f>
        <v>3943.46260223251</v>
      </c>
      <c r="AO11" s="10" t="n">
        <f aca="false">IF(Flows!AO8*AO$3*AO$4&lt;0.002,100,MAX($CM$2/(Flows!AO8*AO$3*AO$4),1))</f>
        <v>30872.4434314205</v>
      </c>
      <c r="AP11" s="10" t="n">
        <f aca="false">IF(Flows!AP8*AP$3*AP$4&lt;0.002,100,MAX($CM$2/(Flows!AP8*AP$3*AP$4),1))</f>
        <v>73639.9545036236</v>
      </c>
      <c r="AQ11" s="10" t="n">
        <f aca="false">IF(Flows!AQ8*AQ$3*AQ$4&lt;0.002,100,MAX($CM$2/(Flows!AQ8*AQ$3*AQ$4),1))</f>
        <v>32919.4222039756</v>
      </c>
      <c r="AR11" s="10" t="n">
        <f aca="false">IF(Flows!AR8*AR$3*AR$4&lt;0.002,100,MAX($CM$2/(Flows!AR8*AR$3*AR$4),1))</f>
        <v>27540.6019697219</v>
      </c>
      <c r="AS11" s="10" t="n">
        <f aca="false">IF(Flows!AS8*AS$3*AS$4&lt;0.002,100,MAX($CM$2/(Flows!AS8*AS$3*AS$4),1))</f>
        <v>3539.3224408478</v>
      </c>
      <c r="AT11" s="10" t="n">
        <f aca="false">IF(Flows!AT8*AT$3*AT$4&lt;0.002,100,MAX($CM$2/(Flows!AT8*AT$3*AT$4),1))</f>
        <v>1168.54830870176</v>
      </c>
      <c r="AU11" s="10" t="n">
        <f aca="false">IF(Flows!AU8*AU$3*AU$4&lt;0.002,100,MAX($CM$2/(Flows!AU8*AU$3*AU$4),1))</f>
        <v>2327.05201493398</v>
      </c>
      <c r="AV11" s="10" t="n">
        <f aca="false">IF(Flows!AV8*AV$3*AV$4&lt;0.002,100,MAX($CM$2/(Flows!AV8*AV$3*AV$4),1))</f>
        <v>17529.0193449321</v>
      </c>
      <c r="AW11" s="10" t="n">
        <f aca="false">IF(Flows!AW8*AW$3*AW$4&lt;0.002,100,MAX($CM$2/(Flows!AW8*AW$3*AW$4),1))</f>
        <v>37.3310408278042</v>
      </c>
      <c r="AX11" s="10" t="n">
        <f aca="false">IF(Flows!AX8*AX$3*AX$4&lt;0.002,100,MAX($CM$2/(Flows!AX8*AX$3*AX$4),1))</f>
        <v>5217.23802803806</v>
      </c>
      <c r="AY11" s="10" t="n">
        <f aca="false">IF(Flows!AY8*AY$3*AY$4&lt;0.002,100,MAX($CM$2/(Flows!AY8*AY$3*AY$4),1))</f>
        <v>1205.13998681186</v>
      </c>
      <c r="AZ11" s="10" t="n">
        <f aca="false">IF(Flows!AZ8*AZ$3*AZ$4&lt;0.002,100,MAX($CM$2/(Flows!AZ8*AZ$3*AZ$4),1))</f>
        <v>306.507146687509</v>
      </c>
      <c r="BA11" s="10" t="n">
        <f aca="false">IF(Flows!BA8*BA$3*BA$4&lt;0.002,100,MAX($CM$2/(Flows!BA8*BA$3*BA$4),1))</f>
        <v>1856.6080884143</v>
      </c>
      <c r="BB11" s="10" t="n">
        <f aca="false">IF(Flows!BB8*BB$3*BB$4&lt;0.002,100,MAX($CM$2/(Flows!BB8*BB$3*BB$4),1))</f>
        <v>7521.8597963128</v>
      </c>
      <c r="BC11" s="10" t="n">
        <f aca="false">IF(Flows!BC8*BC$3*BC$4&lt;0.002,100,MAX($CM$2/(Flows!BC8*BC$3*BC$4),1))</f>
        <v>3025.96174478806</v>
      </c>
      <c r="BD11" s="10" t="n">
        <f aca="false">IF(Flows!BD8*BD$3*BD$4&lt;0.002,100,MAX($CM$2/(Flows!BD8*BD$3*BD$4),1))</f>
        <v>10765.3251554681</v>
      </c>
      <c r="BE11" s="10" t="n">
        <f aca="false">IF(Flows!BE8*BE$3*BE$4&lt;0.002,100,MAX($CM$2/(Flows!BE8*BE$3*BE$4),1))</f>
        <v>29912.0876567179</v>
      </c>
      <c r="BF11" s="10" t="n">
        <f aca="false">IF(Flows!BF8*BF$3*BF$4&lt;0.002,100,MAX($CM$2/(Flows!BF8*BF$3*BF$4),1))</f>
        <v>836.084985484669</v>
      </c>
      <c r="BG11" s="10" t="n">
        <f aca="false">IF(Flows!BG8*BG$3*BG$4&lt;0.002,100,MAX($CM$2/(Flows!BG8*BG$3*BG$4),1))</f>
        <v>304.284624002061</v>
      </c>
      <c r="BH11" s="10" t="n">
        <f aca="false">IF(Flows!BH8*BH$3*BH$4&lt;0.002,100,MAX($CM$2/(Flows!BH8*BH$3*BH$4),1))</f>
        <v>164.419358223348</v>
      </c>
      <c r="BI11" s="10" t="n">
        <f aca="false">IF(Flows!BI8*BI$3*BI$4&lt;0.002,100,MAX($CM$2/(Flows!BI8*BI$3*BI$4),1))</f>
        <v>116.537956783425</v>
      </c>
      <c r="BJ11" s="10" t="n">
        <f aca="false">IF(Flows!BJ8*BJ$3*BJ$4&lt;0.002,100,MAX($CM$2/(Flows!BJ8*BJ$3*BJ$4),1))</f>
        <v>9.71919061380658</v>
      </c>
      <c r="BK11" s="10" t="n">
        <f aca="false">IF(Flows!BK8*BK$3*BK$4&lt;0.002,100,MAX($CM$2/(Flows!BK8*BK$3*BK$4),1))</f>
        <v>233.075913566849</v>
      </c>
      <c r="BL11" s="10" t="n">
        <f aca="false">IF(Flows!BL8*BL$3*BL$4&lt;0.002,100,MAX($CM$2/(Flows!BL8*BL$3*BL$4),1))</f>
        <v>228.328615502453</v>
      </c>
      <c r="BM11" s="10" t="n">
        <f aca="false">IF(Flows!BM8*BM$3*BM$4&lt;0.002,100,MAX($CM$2/(Flows!BM8*BM$3*BM$4),1))</f>
        <v>148.195793291598</v>
      </c>
      <c r="BN11" s="10" t="n">
        <f aca="false">IF(Flows!BN8*BN$3*BN$4&lt;0.002,100,MAX($CM$2/(Flows!BN8*BN$3*BN$4),1))</f>
        <v>469386.117970097</v>
      </c>
      <c r="BO11" s="10" t="n">
        <f aca="false">IF(Flows!BO8*BO$3*BO$4&lt;0.002,100,MAX($CM$2/(Flows!BO8*BO$3*BO$4),1))</f>
        <v>78231019.6616828</v>
      </c>
      <c r="BP11" s="10" t="n">
        <f aca="false">IF(Flows!BP8*BP$3*BP$4&lt;0.002,100,MAX($CM$2/(Flows!BP8*BP$3*BP$4),1))</f>
        <v>30360834558.4053</v>
      </c>
      <c r="BQ11" s="10" t="n">
        <f aca="false">IF(Flows!BQ8*BQ$3*BQ$4&lt;0.002,100,MAX($CM$2/(Flows!BQ8*BQ$3*BQ$4),1))</f>
        <v>100</v>
      </c>
      <c r="BR11" s="10" t="n">
        <f aca="false">IF(Flows!BR8*BR$3*BR$4&lt;0.002,100,MAX($CM$2/(Flows!BR8*BR$3*BR$4),1))</f>
        <v>782310196.616827</v>
      </c>
      <c r="BS11" s="10" t="n">
        <f aca="false">IF(Flows!BS8*BS$3*BS$4&lt;0.002,100,MAX($CM$2/(Flows!BS8*BS$3*BS$4),1))</f>
        <v>3911553265.78177</v>
      </c>
      <c r="BT11" s="10" t="n">
        <f aca="false">IF(Flows!BT8*BT$3*BT$4&lt;0.002,100,MAX($CM$2/(Flows!BT8*BT$3*BT$4),1))</f>
        <v>3.80281619573118</v>
      </c>
      <c r="BU11" s="10" t="n">
        <f aca="false">IF(Flows!BU8*BU$3*BU$4&lt;0.002,100,MAX($CM$2/(Flows!BU8*BU$3*BU$4),1))</f>
        <v>38.0281619573118</v>
      </c>
      <c r="BV11" s="10" t="n">
        <f aca="false">IF(Flows!BV8*BV$3*BV$4&lt;0.002,100,MAX($CM$2/(Flows!BV8*BV$3*BV$4),1))</f>
        <v>380.281619573118</v>
      </c>
      <c r="BW11" s="10" t="n">
        <f aca="false">IF(Flows!BW8*BW$3*BW$4&lt;0.002,100,MAX($CM$2/(Flows!BW8*BW$3*BW$4),1))</f>
        <v>29.0151455675865</v>
      </c>
      <c r="BX11" s="10" t="n">
        <f aca="false">IF(Flows!BX8*BX$3*BX$4&lt;0.002,100,MAX($CM$2/(Flows!BX8*BX$3*BX$4),1))</f>
        <v>23.1587152717574</v>
      </c>
      <c r="BY11" s="10" t="n">
        <f aca="false">IF(Flows!BY8*BY$3*BY$4&lt;0.002,100,MAX($CM$2/(Flows!BY8*BY$3*BY$4),1))</f>
        <v>52.8401452528202</v>
      </c>
      <c r="BZ11" s="10" t="n">
        <f aca="false">IF(Flows!BZ8*BZ$3*BZ$4&lt;0.002,100,MAX($CM$2/(Flows!BZ8*BZ$3*BZ$4),1))</f>
        <v>50002.5217565474</v>
      </c>
      <c r="CA11" s="10" t="n">
        <f aca="false">IF(Flows!CA8*CA$3*CA$4&lt;0.002,100,MAX($CM$2/(Flows!CA8*CA$3*CA$4),1))</f>
        <v>162533.6639579</v>
      </c>
      <c r="CB11" s="10" t="n">
        <f aca="false">IF(Flows!CB8*CB$3*CB$4&lt;0.002,100,MAX($CM$2/(Flows!CB8*CB$3*CB$4),1))</f>
        <v>108.275983236134</v>
      </c>
      <c r="CC11" s="10" t="n">
        <f aca="false">IF(Flows!CC8*CC$3*CC$4&lt;0.002,100,MAX($CM$2/(Flows!CC8*CC$3*CC$4),1))</f>
        <v>51.3378448355897</v>
      </c>
      <c r="CD11" s="10" t="n">
        <f aca="false">IF(Flows!CD8*CD$3*CD$4&lt;0.002,100,MAX($CM$2/(Flows!CD8*CD$3*CD$4),1))</f>
        <v>81.2124548337986</v>
      </c>
      <c r="CE11" s="10" t="n">
        <f aca="false">IF(Flows!CE8*CE$3*CE$4&lt;0.002,100,MAX($CM$2/(Flows!CE8*CE$3*CE$4),1))</f>
        <v>15.6954313641289</v>
      </c>
      <c r="CF11" s="10" t="n">
        <f aca="false">IF(Flows!CF8*CF$3*CF$4&lt;0.002,100,MAX($CM$2/(Flows!CF8*CF$3*CF$4),1))</f>
        <v>1</v>
      </c>
      <c r="CG11" s="10" t="n">
        <f aca="false">IF(Flows!CG8*CG$3*CG$4&lt;0.002,100,MAX($CM$2/(Flows!CG8*CG$3*CG$4),1))</f>
        <v>1129314.63638851</v>
      </c>
      <c r="CH11" s="10" t="n">
        <f aca="false">IF(Flows!CH8*CH$3*CH$4&lt;0.002,100,MAX($CM$2/(Flows!CH8*CH$3*CH$4),1))</f>
        <v>14603615.5262008</v>
      </c>
      <c r="CI11" s="10" t="n">
        <f aca="false">IF(Flows!CI8*CI$3*CI$4&lt;0.002,100,MAX($CM$2/(Flows!CI8*CI$3*CI$4),1))</f>
        <v>273.30628736375</v>
      </c>
      <c r="CJ11" s="10" t="n">
        <f aca="false">IF(Flows!CJ8*CJ$3*CJ$4&lt;0.002,100,MAX($CM$2/(Flows!CJ8*CJ$3*CJ$4),1))</f>
        <v>12441.8086653862</v>
      </c>
      <c r="CK11" s="10" t="n">
        <f aca="false">IF(Flows!CK8*CK$3*CK$4&lt;0.002,100,MAX($CM$2/(Flows!CK8*CK$3*CK$4),1))</f>
        <v>977.518421637931</v>
      </c>
      <c r="CL11" s="7" t="s">
        <v>39</v>
      </c>
    </row>
    <row r="12" customFormat="false" ht="12.8" hidden="false" customHeight="false" outlineLevel="0" collapsed="false">
      <c r="A12" s="7" t="s">
        <v>141</v>
      </c>
      <c r="B12" s="7" t="s">
        <v>39</v>
      </c>
      <c r="C12" s="10" t="n">
        <f aca="false">IF(Flows!C9*C$3*C$4&lt;0.002,100,MAX($CM$2/(Flows!C9*C$3*C$4),1))</f>
        <v>11746.4313951572</v>
      </c>
      <c r="D12" s="10" t="n">
        <f aca="false">IF(Flows!D9*D$3*D$4&lt;0.002,100,MAX($CM$2/(Flows!D9*D$3*D$4),1))</f>
        <v>2.21369302097221</v>
      </c>
      <c r="E12" s="10" t="n">
        <f aca="false">IF(Flows!E9*E$3*E$4&lt;0.002,100,MAX($CM$2/(Flows!E9*E$3*E$4),1))</f>
        <v>15.4640751515489</v>
      </c>
      <c r="F12" s="10" t="n">
        <f aca="false">IF(Flows!F9*F$3*F$4&lt;0.002,100,MAX($CM$2/(Flows!F9*F$3*F$4),1))</f>
        <v>43.1200929645503</v>
      </c>
      <c r="G12" s="10" t="n">
        <f aca="false">IF(Flows!G9*G$3*G$4&lt;0.002,100,MAX($CM$2/(Flows!G9*G$3*G$4),1))</f>
        <v>27.6130071157739</v>
      </c>
      <c r="H12" s="10" t="n">
        <f aca="false">IF(Flows!H9*H$3*H$4&lt;0.002,100,MAX($CM$2/(Flows!H9*H$3*H$4),1))</f>
        <v>100</v>
      </c>
      <c r="I12" s="10" t="n">
        <f aca="false">IF(Flows!I9*I$3*I$4&lt;0.002,100,MAX($CM$2/(Flows!I9*I$3*I$4),1))</f>
        <v>1549.24857972125</v>
      </c>
      <c r="J12" s="10" t="n">
        <f aca="false">IF(Flows!J9*J$3*J$4&lt;0.002,100,MAX($CM$2/(Flows!J9*J$3*J$4),1))</f>
        <v>2262.21780910012</v>
      </c>
      <c r="K12" s="10" t="n">
        <f aca="false">IF(Flows!K9*K$3*K$4&lt;0.002,100,MAX($CM$2/(Flows!K9*K$3*K$4),1))</f>
        <v>9805.65151248811</v>
      </c>
      <c r="L12" s="10" t="n">
        <f aca="false">IF(Flows!L9*L$3*L$4&lt;0.002,100,MAX($CM$2/(Flows!L9*L$3*L$4),1))</f>
        <v>30704.3915917471</v>
      </c>
      <c r="M12" s="10" t="n">
        <f aca="false">IF(Flows!M9*M$3*M$4&lt;0.002,100,MAX($CM$2/(Flows!M9*M$3*M$4),1))</f>
        <v>20644.7881887555</v>
      </c>
      <c r="N12" s="10" t="n">
        <f aca="false">IF(Flows!N9*N$3*N$4&lt;0.002,100,MAX($CM$2/(Flows!N9*N$3*N$4),1))</f>
        <v>9.73836699469426</v>
      </c>
      <c r="O12" s="10" t="n">
        <f aca="false">IF(Flows!O9*O$3*O$4&lt;0.002,100,MAX($CM$2/(Flows!O9*O$3*O$4),1))</f>
        <v>3.06602590176566</v>
      </c>
      <c r="P12" s="10" t="n">
        <f aca="false">IF(Flows!P9*P$3*P$4&lt;0.002,100,MAX($CM$2/(Flows!P9*P$3*P$4),1))</f>
        <v>5.7487985658106</v>
      </c>
      <c r="Q12" s="10" t="n">
        <f aca="false">IF(Flows!Q9*Q$3*Q$4&lt;0.002,100,MAX($CM$2/(Flows!Q9*Q$3*Q$4),1))</f>
        <v>1040.76775759599</v>
      </c>
      <c r="R12" s="10" t="n">
        <f aca="false">IF(Flows!R9*R$3*R$4&lt;0.002,100,MAX($CM$2/(Flows!R9*R$3*R$4),1))</f>
        <v>26.864798664351</v>
      </c>
      <c r="S12" s="10" t="n">
        <f aca="false">IF(Flows!S9*S$3*S$4&lt;0.002,100,MAX($CM$2/(Flows!S9*S$3*S$4),1))</f>
        <v>263.180499357832</v>
      </c>
      <c r="T12" s="10" t="n">
        <f aca="false">IF(Flows!T9*T$3*T$4&lt;0.002,100,MAX($CM$2/(Flows!T9*T$3*T$4),1))</f>
        <v>470.886677772591</v>
      </c>
      <c r="U12" s="10" t="n">
        <f aca="false">IF(Flows!U9*U$3*U$4&lt;0.002,100,MAX($CM$2/(Flows!U9*U$3*U$4),1))</f>
        <v>86.0199507864813</v>
      </c>
      <c r="V12" s="10" t="n">
        <f aca="false">IF(Flows!V9*V$3*V$4&lt;0.002,100,MAX($CM$2/(Flows!V9*V$3*V$4),1))</f>
        <v>411.908312944901</v>
      </c>
      <c r="W12" s="10" t="n">
        <f aca="false">IF(Flows!W9*W$3*W$4&lt;0.002,100,MAX($CM$2/(Flows!W9*W$3*W$4),1))</f>
        <v>11.1645616700586</v>
      </c>
      <c r="X12" s="10" t="n">
        <f aca="false">IF(Flows!X9*X$3*X$4&lt;0.002,100,MAX($CM$2/(Flows!X9*X$3*X$4),1))</f>
        <v>3.11135820666873</v>
      </c>
      <c r="Y12" s="10" t="n">
        <f aca="false">IF(Flows!Y9*Y$3*Y$4&lt;0.002,100,MAX($CM$2/(Flows!Y9*Y$3*Y$4),1))</f>
        <v>153.521957958736</v>
      </c>
      <c r="Z12" s="10" t="n">
        <f aca="false">IF(Flows!Z9*Z$3*Z$4&lt;0.002,100,MAX($CM$2/(Flows!Z9*Z$3*Z$4),1))</f>
        <v>8137.08912367411</v>
      </c>
      <c r="AA12" s="10" t="n">
        <f aca="false">IF(Flows!AA9*AA$3*AA$4&lt;0.002,100,MAX($CM$2/(Flows!AA9*AA$3*AA$4),1))</f>
        <v>17893.328669332</v>
      </c>
      <c r="AB12" s="10" t="n">
        <f aca="false">IF(Flows!AB9*AB$3*AB$4&lt;0.002,100,MAX($CM$2/(Flows!AB9*AB$3*AB$4),1))</f>
        <v>16367.0083255887</v>
      </c>
      <c r="AC12" s="10" t="n">
        <f aca="false">IF(Flows!AC9*AC$3*AC$4&lt;0.002,100,MAX($CM$2/(Flows!AC9*AC$3*AC$4),1))</f>
        <v>81929.1972026593</v>
      </c>
      <c r="AD12" s="10" t="n">
        <f aca="false">IF(Flows!AD9*AD$3*AD$4&lt;0.002,100,MAX($CM$2/(Flows!AD9*AD$3*AD$4),1))</f>
        <v>103099.438555303</v>
      </c>
      <c r="AE12" s="10" t="n">
        <f aca="false">IF(Flows!AE9*AE$3*AE$4&lt;0.002,100,MAX($CM$2/(Flows!AE9*AE$3*AE$4),1))</f>
        <v>305293.291097882</v>
      </c>
      <c r="AF12" s="10" t="n">
        <f aca="false">IF(Flows!AF9*AF$3*AF$4&lt;0.002,100,MAX($CM$2/(Flows!AF9*AF$3*AF$4),1))</f>
        <v>1496.8454593803</v>
      </c>
      <c r="AG12" s="10" t="n">
        <f aca="false">IF(Flows!AG9*AG$3*AG$4&lt;0.002,100,MAX($CM$2/(Flows!AG9*AG$3*AG$4),1))</f>
        <v>1204.92350562388</v>
      </c>
      <c r="AH12" s="10" t="n">
        <f aca="false">IF(Flows!AH9*AH$3*AH$4&lt;0.002,100,MAX($CM$2/(Flows!AH9*AH$3*AH$4),1))</f>
        <v>638.340581645492</v>
      </c>
      <c r="AI12" s="10" t="n">
        <f aca="false">IF(Flows!AI9*AI$3*AI$4&lt;0.002,100,MAX($CM$2/(Flows!AI9*AI$3*AI$4),1))</f>
        <v>4788.27006150518</v>
      </c>
      <c r="AJ12" s="10" t="n">
        <f aca="false">IF(Flows!AJ9*AJ$3*AJ$4&lt;0.002,100,MAX($CM$2/(Flows!AJ9*AJ$3*AJ$4),1))</f>
        <v>1992.54222319524</v>
      </c>
      <c r="AK12" s="10" t="n">
        <f aca="false">IF(Flows!AK9*AK$3*AK$4&lt;0.002,100,MAX($CM$2/(Flows!AK9*AK$3*AK$4),1))</f>
        <v>786.709262949252</v>
      </c>
      <c r="AL12" s="10" t="n">
        <f aca="false">IF(Flows!AL9*AL$3*AL$4&lt;0.002,100,MAX($CM$2/(Flows!AL9*AL$3*AL$4),1))</f>
        <v>1692.35662849397</v>
      </c>
      <c r="AM12" s="10" t="n">
        <f aca="false">IF(Flows!AM9*AM$3*AM$4&lt;0.002,100,MAX($CM$2/(Flows!AM9*AM$3*AM$4),1))</f>
        <v>2210.0310861888</v>
      </c>
      <c r="AN12" s="10" t="n">
        <f aca="false">IF(Flows!AN9*AN$3*AN$4&lt;0.002,100,MAX($CM$2/(Flows!AN9*AN$3*AN$4),1))</f>
        <v>2993.128783849</v>
      </c>
      <c r="AO12" s="10" t="n">
        <f aca="false">IF(Flows!AO9*AO$3*AO$4&lt;0.002,100,MAX($CM$2/(Flows!AO9*AO$3*AO$4),1))</f>
        <v>44001.3348501886</v>
      </c>
      <c r="AP12" s="10" t="n">
        <f aca="false">IF(Flows!AP9*AP$3*AP$4&lt;0.002,100,MAX($CM$2/(Flows!AP9*AP$3*AP$4),1))</f>
        <v>60061.5744244516</v>
      </c>
      <c r="AQ12" s="10" t="n">
        <f aca="false">IF(Flows!AQ9*AQ$3*AQ$4&lt;0.002,100,MAX($CM$2/(Flows!AQ9*AQ$3*AQ$4),1))</f>
        <v>22127.0912740075</v>
      </c>
      <c r="AR12" s="10" t="n">
        <f aca="false">IF(Flows!AR9*AR$3*AR$4&lt;0.002,100,MAX($CM$2/(Flows!AR9*AR$3*AR$4),1))</f>
        <v>30732.5145457923</v>
      </c>
      <c r="AS12" s="10" t="n">
        <f aca="false">IF(Flows!AS9*AS$3*AS$4&lt;0.002,100,MAX($CM$2/(Flows!AS9*AS$3*AS$4),1))</f>
        <v>3224.73270572045</v>
      </c>
      <c r="AT12" s="10" t="n">
        <f aca="false">IF(Flows!AT9*AT$3*AT$4&lt;0.002,100,MAX($CM$2/(Flows!AT9*AT$3*AT$4),1))</f>
        <v>1395.06461506517</v>
      </c>
      <c r="AU12" s="10" t="n">
        <f aca="false">IF(Flows!AU9*AU$3*AU$4&lt;0.002,100,MAX($CM$2/(Flows!AU9*AU$3*AU$4),1))</f>
        <v>1356.30744042477</v>
      </c>
      <c r="AV12" s="10" t="n">
        <f aca="false">IF(Flows!AV9*AV$3*AV$4&lt;0.002,100,MAX($CM$2/(Flows!AV9*AV$3*AV$4),1))</f>
        <v>16178.2088076778</v>
      </c>
      <c r="AW12" s="10" t="n">
        <f aca="false">IF(Flows!AW9*AW$3*AW$4&lt;0.002,100,MAX($CM$2/(Flows!AW9*AW$3*AW$4),1))</f>
        <v>25.5169585553202</v>
      </c>
      <c r="AX12" s="10" t="n">
        <f aca="false">IF(Flows!AX9*AX$3*AX$4&lt;0.002,100,MAX($CM$2/(Flows!AX9*AX$3*AX$4),1))</f>
        <v>3319.60636663204</v>
      </c>
      <c r="AY12" s="10" t="n">
        <f aca="false">IF(Flows!AY9*AY$3*AY$4&lt;0.002,100,MAX($CM$2/(Flows!AY9*AY$3*AY$4),1))</f>
        <v>935.832856511951</v>
      </c>
      <c r="AZ12" s="10" t="n">
        <f aca="false">IF(Flows!AZ9*AZ$3*AZ$4&lt;0.002,100,MAX($CM$2/(Flows!AZ9*AZ$3*AZ$4),1))</f>
        <v>245.646854257556</v>
      </c>
      <c r="BA12" s="10" t="n">
        <f aca="false">IF(Flows!BA9*BA$3*BA$4&lt;0.002,100,MAX($CM$2/(Flows!BA9*BA$3*BA$4),1))</f>
        <v>1565.9239711791</v>
      </c>
      <c r="BB12" s="10" t="n">
        <f aca="false">IF(Flows!BB9*BB$3*BB$4&lt;0.002,100,MAX($CM$2/(Flows!BB9*BB$3*BB$4),1))</f>
        <v>5446.58595233536</v>
      </c>
      <c r="BC12" s="10" t="n">
        <f aca="false">IF(Flows!BC9*BC$3*BC$4&lt;0.002,100,MAX($CM$2/(Flows!BC9*BC$3*BC$4),1))</f>
        <v>3104.94871525208</v>
      </c>
      <c r="BD12" s="10" t="n">
        <f aca="false">IF(Flows!BD9*BD$3*BD$4&lt;0.002,100,MAX($CM$2/(Flows!BD9*BD$3*BD$4),1))</f>
        <v>10924.9767311834</v>
      </c>
      <c r="BE12" s="10" t="n">
        <f aca="false">IF(Flows!BE9*BE$3*BE$4&lt;0.002,100,MAX($CM$2/(Flows!BE9*BE$3*BE$4),1))</f>
        <v>25371.4575053216</v>
      </c>
      <c r="BF12" s="10" t="n">
        <f aca="false">IF(Flows!BF9*BF$3*BF$4&lt;0.002,100,MAX($CM$2/(Flows!BF9*BF$3*BF$4),1))</f>
        <v>724.065554506142</v>
      </c>
      <c r="BG12" s="10" t="n">
        <f aca="false">IF(Flows!BG9*BG$3*BG$4&lt;0.002,100,MAX($CM$2/(Flows!BG9*BG$3*BG$4),1))</f>
        <v>223.896713195884</v>
      </c>
      <c r="BH12" s="10" t="n">
        <f aca="false">IF(Flows!BH9*BH$3*BH$4&lt;0.002,100,MAX($CM$2/(Flows!BH9*BH$3*BH$4),1))</f>
        <v>113.098639125373</v>
      </c>
      <c r="BI12" s="10" t="n">
        <f aca="false">IF(Flows!BI9*BI$3*BI$4&lt;0.002,100,MAX($CM$2/(Flows!BI9*BI$3*BI$4),1))</f>
        <v>108.03784795638</v>
      </c>
      <c r="BJ12" s="10" t="n">
        <f aca="false">IF(Flows!BJ9*BJ$3*BJ$4&lt;0.002,100,MAX($CM$2/(Flows!BJ9*BJ$3*BJ$4),1))</f>
        <v>4.75373985201902</v>
      </c>
      <c r="BK12" s="10" t="n">
        <f aca="false">IF(Flows!BK9*BK$3*BK$4&lt;0.002,100,MAX($CM$2/(Flows!BK9*BK$3*BK$4),1))</f>
        <v>216.07569591276</v>
      </c>
      <c r="BL12" s="10" t="n">
        <f aca="false">IF(Flows!BL9*BL$3*BL$4&lt;0.002,100,MAX($CM$2/(Flows!BL9*BL$3*BL$4),1))</f>
        <v>229.373169305901</v>
      </c>
      <c r="BM12" s="10" t="n">
        <f aca="false">IF(Flows!BM9*BM$3*BM$4&lt;0.002,100,MAX($CM$2/(Flows!BM9*BM$3*BM$4),1))</f>
        <v>231.07014992979</v>
      </c>
      <c r="BN12" s="10" t="n">
        <f aca="false">IF(Flows!BN9*BN$3*BN$4&lt;0.002,100,MAX($CM$2/(Flows!BN9*BN$3*BN$4),1))</f>
        <v>218712.974952739</v>
      </c>
      <c r="BO12" s="10" t="n">
        <f aca="false">IF(Flows!BO9*BO$3*BO$4&lt;0.002,100,MAX($CM$2/(Flows!BO9*BO$3*BO$4),1))</f>
        <v>36452162.4921232</v>
      </c>
      <c r="BP12" s="10" t="n">
        <f aca="false">IF(Flows!BP9*BP$3*BP$4&lt;0.002,100,MAX($CM$2/(Flows!BP9*BP$3*BP$4),1))</f>
        <v>12383181406.0145</v>
      </c>
      <c r="BQ12" s="10" t="n">
        <f aca="false">IF(Flows!BQ9*BQ$3*BQ$4&lt;0.002,100,MAX($CM$2/(Flows!BQ9*BQ$3*BQ$4),1))</f>
        <v>100</v>
      </c>
      <c r="BR12" s="10" t="n">
        <f aca="false">IF(Flows!BR9*BR$3*BR$4&lt;0.002,100,MAX($CM$2/(Flows!BR9*BR$3*BR$4),1))</f>
        <v>364521624.921232</v>
      </c>
      <c r="BS12" s="10" t="n">
        <f aca="false">IF(Flows!BS9*BS$3*BS$4&lt;0.002,100,MAX($CM$2/(Flows!BS9*BS$3*BS$4),1))</f>
        <v>1822612006.03107</v>
      </c>
      <c r="BT12" s="10" t="n">
        <f aca="false">IF(Flows!BT9*BT$3*BT$4&lt;0.002,100,MAX($CM$2/(Flows!BT9*BT$3*BT$4),1))</f>
        <v>3.84810383615247</v>
      </c>
      <c r="BU12" s="10" t="n">
        <f aca="false">IF(Flows!BU9*BU$3*BU$4&lt;0.002,100,MAX($CM$2/(Flows!BU9*BU$3*BU$4),1))</f>
        <v>38.4810383615247</v>
      </c>
      <c r="BV12" s="10" t="n">
        <f aca="false">IF(Flows!BV9*BV$3*BV$4&lt;0.002,100,MAX($CM$2/(Flows!BV9*BV$3*BV$4),1))</f>
        <v>384.810383615247</v>
      </c>
      <c r="BW12" s="10" t="n">
        <f aca="false">IF(Flows!BW9*BW$3*BW$4&lt;0.002,100,MAX($CM$2/(Flows!BW9*BW$3*BW$4),1))</f>
        <v>24.3220230686483</v>
      </c>
      <c r="BX12" s="10" t="n">
        <f aca="false">IF(Flows!BX9*BX$3*BX$4&lt;0.002,100,MAX($CM$2/(Flows!BX9*BX$3*BX$4),1))</f>
        <v>19.082511498752</v>
      </c>
      <c r="BY12" s="10" t="n">
        <f aca="false">IF(Flows!BY9*BY$3*BY$4&lt;0.002,100,MAX($CM$2/(Flows!BY9*BY$3*BY$4),1))</f>
        <v>41.674163030977</v>
      </c>
      <c r="BZ12" s="10" t="n">
        <f aca="false">IF(Flows!BZ9*BZ$3*BZ$4&lt;0.002,100,MAX($CM$2/(Flows!BZ9*BZ$3*BZ$4),1))</f>
        <v>30710.1317765855</v>
      </c>
      <c r="CA12" s="10" t="n">
        <f aca="false">IF(Flows!CA9*CA$3*CA$4&lt;0.002,100,MAX($CM$2/(Flows!CA9*CA$3*CA$4),1))</f>
        <v>50661.7571629681</v>
      </c>
      <c r="CB12" s="10" t="n">
        <f aca="false">IF(Flows!CB9*CB$3*CB$4&lt;0.002,100,MAX($CM$2/(Flows!CB9*CB$3*CB$4),1))</f>
        <v>173.826944550044</v>
      </c>
      <c r="CC12" s="10" t="n">
        <f aca="false">IF(Flows!CC9*CC$3*CC$4&lt;0.002,100,MAX($CM$2/(Flows!CC9*CC$3*CC$4),1))</f>
        <v>8.93289345674856</v>
      </c>
      <c r="CD12" s="10" t="n">
        <f aca="false">IF(Flows!CD9*CD$3*CD$4&lt;0.002,100,MAX($CM$2/(Flows!CD9*CD$3*CD$4),1))</f>
        <v>67.9073420402617</v>
      </c>
      <c r="CE12" s="10" t="n">
        <f aca="false">IF(Flows!CE9*CE$3*CE$4&lt;0.002,100,MAX($CM$2/(Flows!CE9*CE$3*CE$4),1))</f>
        <v>15.6742509311104</v>
      </c>
      <c r="CF12" s="10" t="n">
        <f aca="false">IF(Flows!CF9*CF$3*CF$4&lt;0.002,100,MAX($CM$2/(Flows!CF9*CF$3*CF$4),1))</f>
        <v>1</v>
      </c>
      <c r="CG12" s="10" t="n">
        <f aca="false">IF(Flows!CG9*CG$3*CG$4&lt;0.002,100,MAX($CM$2/(Flows!CG9*CG$3*CG$4),1))</f>
        <v>50485585.2911358</v>
      </c>
      <c r="CH12" s="10" t="n">
        <f aca="false">IF(Flows!CH9*CH$3*CH$4&lt;0.002,100,MAX($CM$2/(Flows!CH9*CH$3*CH$4),1))</f>
        <v>1018873.1528335</v>
      </c>
      <c r="CI12" s="10" t="n">
        <f aca="false">IF(Flows!CI9*CI$3*CI$4&lt;0.002,100,MAX($CM$2/(Flows!CI9*CI$3*CI$4),1))</f>
        <v>1374.51224190485</v>
      </c>
      <c r="CJ12" s="10" t="n">
        <f aca="false">IF(Flows!CJ9*CJ$3*CJ$4&lt;0.002,100,MAX($CM$2/(Flows!CJ9*CJ$3*CJ$4),1))</f>
        <v>15596.7896912851</v>
      </c>
      <c r="CK12" s="10" t="n">
        <f aca="false">IF(Flows!CK9*CK$3*CK$4&lt;0.002,100,MAX($CM$2/(Flows!CK9*CK$3*CK$4),1))</f>
        <v>711.230949268768</v>
      </c>
      <c r="CL12" s="7" t="s">
        <v>39</v>
      </c>
    </row>
    <row r="13" customFormat="false" ht="12.8" hidden="false" customHeight="false" outlineLevel="0" collapsed="false">
      <c r="A13" s="7" t="s">
        <v>142</v>
      </c>
      <c r="B13" s="7" t="s">
        <v>39</v>
      </c>
      <c r="C13" s="10" t="n">
        <f aca="false">IF(Flows!C10*C$3*C$4&lt;0.002,100,MAX($CM$2/(Flows!C10*C$3*C$4),1))</f>
        <v>28248.7517451495</v>
      </c>
      <c r="D13" s="10" t="n">
        <f aca="false">IF(Flows!D10*D$3*D$4&lt;0.002,100,MAX($CM$2/(Flows!D10*D$3*D$4),1))</f>
        <v>10.3843598765614</v>
      </c>
      <c r="E13" s="10" t="n">
        <f aca="false">IF(Flows!E10*E$3*E$4&lt;0.002,100,MAX($CM$2/(Flows!E10*E$3*E$4),1))</f>
        <v>50.4992315244685</v>
      </c>
      <c r="F13" s="10" t="n">
        <f aca="false">IF(Flows!F10*F$3*F$4&lt;0.002,100,MAX($CM$2/(Flows!F10*F$3*F$4),1))</f>
        <v>98.1601766953004</v>
      </c>
      <c r="G13" s="10" t="n">
        <f aca="false">IF(Flows!G10*G$3*G$4&lt;0.002,100,MAX($CM$2/(Flows!G10*G$3*G$4),1))</f>
        <v>2950.51301945126</v>
      </c>
      <c r="H13" s="10" t="n">
        <f aca="false">IF(Flows!H10*H$3*H$4&lt;0.002,100,MAX($CM$2/(Flows!H10*H$3*H$4),1))</f>
        <v>100</v>
      </c>
      <c r="I13" s="10" t="n">
        <f aca="false">IF(Flows!I10*I$3*I$4&lt;0.002,100,MAX($CM$2/(Flows!I10*I$3*I$4),1))</f>
        <v>851.133540414689</v>
      </c>
      <c r="J13" s="10" t="n">
        <f aca="false">IF(Flows!J10*J$3*J$4&lt;0.002,100,MAX($CM$2/(Flows!J10*J$3*J$4),1))</f>
        <v>1318.45746011744</v>
      </c>
      <c r="K13" s="10" t="n">
        <f aca="false">IF(Flows!K10*K$3*K$4&lt;0.002,100,MAX($CM$2/(Flows!K10*K$3*K$4),1))</f>
        <v>12343.6530702335</v>
      </c>
      <c r="L13" s="10" t="n">
        <f aca="false">IF(Flows!L10*L$3*L$4&lt;0.002,100,MAX($CM$2/(Flows!L10*L$3*L$4),1))</f>
        <v>41723.6772677688</v>
      </c>
      <c r="M13" s="10" t="n">
        <f aca="false">IF(Flows!M10*M$3*M$4&lt;0.002,100,MAX($CM$2/(Flows!M10*M$3*M$4),1))</f>
        <v>28290.5571839351</v>
      </c>
      <c r="N13" s="10" t="n">
        <f aca="false">IF(Flows!N10*N$3*N$4&lt;0.002,100,MAX($CM$2/(Flows!N10*N$3*N$4),1))</f>
        <v>60.8297137192358</v>
      </c>
      <c r="O13" s="10" t="n">
        <f aca="false">IF(Flows!O10*O$3*O$4&lt;0.002,100,MAX($CM$2/(Flows!O10*O$3*O$4),1))</f>
        <v>5.68994721426803</v>
      </c>
      <c r="P13" s="10" t="n">
        <f aca="false">IF(Flows!P10*P$3*P$4&lt;0.002,100,MAX($CM$2/(Flows!P10*P$3*P$4),1))</f>
        <v>10.6686510267526</v>
      </c>
      <c r="Q13" s="10" t="n">
        <f aca="false">IF(Flows!Q10*Q$3*Q$4&lt;0.002,100,MAX($CM$2/(Flows!Q10*Q$3*Q$4),1))</f>
        <v>39373.6778583468</v>
      </c>
      <c r="R13" s="10" t="n">
        <f aca="false">IF(Flows!R10*R$3*R$4&lt;0.002,100,MAX($CM$2/(Flows!R10*R$3*R$4),1))</f>
        <v>33.8182275896808</v>
      </c>
      <c r="S13" s="10" t="n">
        <f aca="false">IF(Flows!S10*S$3*S$4&lt;0.002,100,MAX($CM$2/(Flows!S10*S$3*S$4),1))</f>
        <v>357.631519438017</v>
      </c>
      <c r="T13" s="10" t="n">
        <f aca="false">IF(Flows!T10*T$3*T$4&lt;0.002,100,MAX($CM$2/(Flows!T10*T$3*T$4),1))</f>
        <v>639.879924484687</v>
      </c>
      <c r="U13" s="10" t="n">
        <f aca="false">IF(Flows!U10*U$3*U$4&lt;0.002,100,MAX($CM$2/(Flows!U10*U$3*U$4),1))</f>
        <v>117.877321599729</v>
      </c>
      <c r="V13" s="10" t="n">
        <f aca="false">IF(Flows!V10*V$3*V$4&lt;0.002,100,MAX($CM$2/(Flows!V10*V$3*V$4),1))</f>
        <v>1231.33872763127</v>
      </c>
      <c r="W13" s="10" t="n">
        <f aca="false">IF(Flows!W10*W$3*W$4&lt;0.002,100,MAX($CM$2/(Flows!W10*W$3*W$4),1))</f>
        <v>30.9518160260626</v>
      </c>
      <c r="X13" s="10" t="n">
        <f aca="false">IF(Flows!X10*X$3*X$4&lt;0.002,100,MAX($CM$2/(Flows!X10*X$3*X$4),1))</f>
        <v>5.46411994340911</v>
      </c>
      <c r="Y13" s="10" t="n">
        <f aca="false">IF(Flows!Y10*Y$3*Y$4&lt;0.002,100,MAX($CM$2/(Flows!Y10*Y$3*Y$4),1))</f>
        <v>208.618386338844</v>
      </c>
      <c r="Z13" s="10" t="n">
        <f aca="false">IF(Flows!Z10*Z$3*Z$4&lt;0.002,100,MAX($CM$2/(Flows!Z10*Z$3*Z$4),1))</f>
        <v>735576.201706838</v>
      </c>
      <c r="AA13" s="10" t="n">
        <f aca="false">IF(Flows!AA10*AA$3*AA$4&lt;0.002,100,MAX($CM$2/(Flows!AA10*AA$3*AA$4),1))</f>
        <v>51212.6897278666</v>
      </c>
      <c r="AB13" s="10" t="n">
        <f aca="false">IF(Flows!AB10*AB$3*AB$4&lt;0.002,100,MAX($CM$2/(Flows!AB10*AB$3*AB$4),1))</f>
        <v>50210.4013399725</v>
      </c>
      <c r="AC13" s="10" t="n">
        <f aca="false">IF(Flows!AC10*AC$3*AC$4&lt;0.002,100,MAX($CM$2/(Flows!AC10*AC$3*AC$4),1))</f>
        <v>191200.807993446</v>
      </c>
      <c r="AD13" s="10" t="n">
        <f aca="false">IF(Flows!AD10*AD$3*AD$4&lt;0.002,100,MAX($CM$2/(Flows!AD10*AD$3*AD$4),1))</f>
        <v>316286.52499029</v>
      </c>
      <c r="AE13" s="10" t="n">
        <f aca="false">IF(Flows!AE10*AE$3*AE$4&lt;0.002,100,MAX($CM$2/(Flows!AE10*AE$3*AE$4),1))</f>
        <v>1075523.0141076</v>
      </c>
      <c r="AF13" s="10" t="n">
        <f aca="false">IF(Flows!AF10*AF$3*AF$4&lt;0.002,100,MAX($CM$2/(Flows!AF10*AF$3*AF$4),1))</f>
        <v>3445.06904400987</v>
      </c>
      <c r="AG13" s="10" t="n">
        <f aca="false">IF(Flows!AG10*AG$3*AG$4&lt;0.002,100,MAX($CM$2/(Flows!AG10*AG$3*AG$4),1))</f>
        <v>3717.23393322286</v>
      </c>
      <c r="AH13" s="10" t="n">
        <f aca="false">IF(Flows!AH10*AH$3*AH$4&lt;0.002,100,MAX($CM$2/(Flows!AH10*AH$3*AH$4),1))</f>
        <v>2165.35004909743</v>
      </c>
      <c r="AI13" s="10" t="n">
        <f aca="false">IF(Flows!AI10*AI$3*AI$4&lt;0.002,100,MAX($CM$2/(Flows!AI10*AI$3*AI$4),1))</f>
        <v>12343.0073688211</v>
      </c>
      <c r="AJ13" s="10" t="n">
        <f aca="false">IF(Flows!AJ10*AJ$3*AJ$4&lt;0.002,100,MAX($CM$2/(Flows!AJ10*AJ$3*AJ$4),1))</f>
        <v>4894.01362864464</v>
      </c>
      <c r="AK13" s="10" t="n">
        <f aca="false">IF(Flows!AK10*AK$3*AK$4&lt;0.002,100,MAX($CM$2/(Flows!AK10*AK$3*AK$4),1))</f>
        <v>1792.56035093863</v>
      </c>
      <c r="AL13" s="10" t="n">
        <f aca="false">IF(Flows!AL10*AL$3*AL$4&lt;0.002,100,MAX($CM$2/(Flows!AL10*AL$3*AL$4),1))</f>
        <v>3647.9525012362</v>
      </c>
      <c r="AM13" s="10" t="n">
        <f aca="false">IF(Flows!AM10*AM$3*AM$4&lt;0.002,100,MAX($CM$2/(Flows!AM10*AM$3*AM$4),1))</f>
        <v>7299.72857300121</v>
      </c>
      <c r="AN13" s="10" t="n">
        <f aca="false">IF(Flows!AN10*AN$3*AN$4&lt;0.002,100,MAX($CM$2/(Flows!AN10*AN$3*AN$4),1))</f>
        <v>9207.02017811331</v>
      </c>
      <c r="AO13" s="10" t="n">
        <f aca="false">IF(Flows!AO10*AO$3*AO$4&lt;0.002,100,MAX($CM$2/(Flows!AO10*AO$3*AO$4),1))</f>
        <v>73001.7748347888</v>
      </c>
      <c r="AP13" s="10" t="n">
        <f aca="false">IF(Flows!AP10*AP$3*AP$4&lt;0.002,100,MAX($CM$2/(Flows!AP10*AP$3*AP$4),1))</f>
        <v>188672.832022358</v>
      </c>
      <c r="AQ13" s="10" t="n">
        <f aca="false">IF(Flows!AQ10*AQ$3*AQ$4&lt;0.002,100,MAX($CM$2/(Flows!AQ10*AQ$3*AQ$4),1))</f>
        <v>51426.1800877033</v>
      </c>
      <c r="AR13" s="10" t="n">
        <f aca="false">IF(Flows!AR10*AR$3*AR$4&lt;0.002,100,MAX($CM$2/(Flows!AR10*AR$3*AR$4),1))</f>
        <v>79029.3478576695</v>
      </c>
      <c r="AS13" s="10" t="n">
        <f aca="false">IF(Flows!AS10*AS$3*AS$4&lt;0.002,100,MAX($CM$2/(Flows!AS10*AS$3*AS$4),1))</f>
        <v>11331.0664014763</v>
      </c>
      <c r="AT13" s="10" t="n">
        <f aca="false">IF(Flows!AT10*AT$3*AT$4&lt;0.002,100,MAX($CM$2/(Flows!AT10*AT$3*AT$4),1))</f>
        <v>3107.30911050621</v>
      </c>
      <c r="AU13" s="10" t="n">
        <f aca="false">IF(Flows!AU10*AU$3*AU$4&lt;0.002,100,MAX($CM$2/(Flows!AU10*AU$3*AU$4),1))</f>
        <v>5054.78005933077</v>
      </c>
      <c r="AV13" s="10" t="n">
        <f aca="false">IF(Flows!AV10*AV$3*AV$4&lt;0.002,100,MAX($CM$2/(Flows!AV10*AV$3*AV$4),1))</f>
        <v>36700.9305520216</v>
      </c>
      <c r="AW13" s="10" t="n">
        <f aca="false">IF(Flows!AW10*AW$3*AW$4&lt;0.002,100,MAX($CM$2/(Flows!AW10*AW$3*AW$4),1))</f>
        <v>60.915642419104</v>
      </c>
      <c r="AX13" s="10" t="n">
        <f aca="false">IF(Flows!AX10*AX$3*AX$4&lt;0.002,100,MAX($CM$2/(Flows!AX10*AX$3*AX$4),1))</f>
        <v>11580.4550770369</v>
      </c>
      <c r="AY13" s="10" t="n">
        <f aca="false">IF(Flows!AY10*AY$3*AY$4&lt;0.002,100,MAX($CM$2/(Flows!AY10*AY$3*AY$4),1))</f>
        <v>2689.70532498811</v>
      </c>
      <c r="AZ13" s="10" t="n">
        <f aca="false">IF(Flows!AZ10*AZ$3*AZ$4&lt;0.002,100,MAX($CM$2/(Flows!AZ10*AZ$3*AZ$4),1))</f>
        <v>771.331390693445</v>
      </c>
      <c r="BA13" s="10" t="n">
        <f aca="false">IF(Flows!BA10*BA$3*BA$4&lt;0.002,100,MAX($CM$2/(Flows!BA10*BA$3*BA$4),1))</f>
        <v>2127.90754065621</v>
      </c>
      <c r="BB13" s="10" t="n">
        <f aca="false">IF(Flows!BB10*BB$3*BB$4&lt;0.002,100,MAX($CM$2/(Flows!BB10*BB$3*BB$4),1))</f>
        <v>15467.5692458909</v>
      </c>
      <c r="BC13" s="10" t="n">
        <f aca="false">IF(Flows!BC10*BC$3*BC$4&lt;0.002,100,MAX($CM$2/(Flows!BC10*BC$3*BC$4),1))</f>
        <v>6696.79383471845</v>
      </c>
      <c r="BD13" s="10" t="n">
        <f aca="false">IF(Flows!BD10*BD$3*BD$4&lt;0.002,100,MAX($CM$2/(Flows!BD10*BD$3*BD$4),1))</f>
        <v>28032.1496178164</v>
      </c>
      <c r="BE13" s="10" t="n">
        <f aca="false">IF(Flows!BE10*BE$3*BE$4&lt;0.002,100,MAX($CM$2/(Flows!BE10*BE$3*BE$4),1))</f>
        <v>53927.6030432706</v>
      </c>
      <c r="BF13" s="10" t="n">
        <f aca="false">IF(Flows!BF10*BF$3*BF$4&lt;0.002,100,MAX($CM$2/(Flows!BF10*BF$3*BF$4),1))</f>
        <v>1779.34539595039</v>
      </c>
      <c r="BG13" s="10" t="n">
        <f aca="false">IF(Flows!BG10*BG$3*BG$4&lt;0.002,100,MAX($CM$2/(Flows!BG10*BG$3*BG$4),1))</f>
        <v>540.563692077472</v>
      </c>
      <c r="BH13" s="10" t="n">
        <f aca="false">IF(Flows!BH10*BH$3*BH$4&lt;0.002,100,MAX($CM$2/(Flows!BH10*BH$3*BH$4),1))</f>
        <v>716847.439662581</v>
      </c>
      <c r="BI13" s="10" t="n">
        <f aca="false">IF(Flows!BI10*BI$3*BI$4&lt;0.002,100,MAX($CM$2/(Flows!BI10*BI$3*BI$4),1))</f>
        <v>358.677249479472</v>
      </c>
      <c r="BJ13" s="10" t="n">
        <f aca="false">IF(Flows!BJ10*BJ$3*BJ$4&lt;0.002,100,MAX($CM$2/(Flows!BJ10*BJ$3*BJ$4),1))</f>
        <v>8.87887125764136</v>
      </c>
      <c r="BK13" s="10" t="n">
        <f aca="false">IF(Flows!BK10*BK$3*BK$4&lt;0.002,100,MAX($CM$2/(Flows!BK10*BK$3*BK$4),1))</f>
        <v>717.354498958944</v>
      </c>
      <c r="BL13" s="10" t="n">
        <f aca="false">IF(Flows!BL10*BL$3*BL$4&lt;0.002,100,MAX($CM$2/(Flows!BL10*BL$3*BL$4),1))</f>
        <v>547.693430405243</v>
      </c>
      <c r="BM13" s="10" t="n">
        <f aca="false">IF(Flows!BM10*BM$3*BM$4&lt;0.002,100,MAX($CM$2/(Flows!BM10*BM$3*BM$4),1))</f>
        <v>167.968969174913</v>
      </c>
      <c r="BN13" s="10" t="n">
        <f aca="false">IF(Flows!BN10*BN$3*BN$4&lt;0.002,100,MAX($CM$2/(Flows!BN10*BN$3*BN$4),1))</f>
        <v>1</v>
      </c>
      <c r="BO13" s="10" t="n">
        <f aca="false">IF(Flows!BO10*BO$3*BO$4&lt;0.002,100,MAX($CM$2/(Flows!BO10*BO$3*BO$4),1))</f>
        <v>108.352821791252</v>
      </c>
      <c r="BP13" s="10" t="n">
        <f aca="false">IF(Flows!BP10*BP$3*BP$4&lt;0.002,100,MAX($CM$2/(Flows!BP10*BP$3*BP$4),1))</f>
        <v>209.492905276801</v>
      </c>
      <c r="BQ13" s="10" t="n">
        <f aca="false">IF(Flows!BQ10*BQ$3*BQ$4&lt;0.002,100,MAX($CM$2/(Flows!BQ10*BQ$3*BQ$4),1))</f>
        <v>100</v>
      </c>
      <c r="BR13" s="10" t="n">
        <f aca="false">IF(Flows!BR10*BR$3*BR$4&lt;0.002,100,MAX($CM$2/(Flows!BR10*BR$3*BR$4),1))</f>
        <v>3250.58465373756</v>
      </c>
      <c r="BS13" s="10" t="n">
        <f aca="false">IF(Flows!BS10*BS$3*BS$4&lt;0.002,100,MAX($CM$2/(Flows!BS10*BS$3*BS$4),1))</f>
        <v>32505.8609375803</v>
      </c>
      <c r="BT13" s="10" t="n">
        <f aca="false">IF(Flows!BT10*BT$3*BT$4&lt;0.002,100,MAX($CM$2/(Flows!BT10*BT$3*BT$4),1))</f>
        <v>16.0739051379857</v>
      </c>
      <c r="BU13" s="10" t="n">
        <f aca="false">IF(Flows!BU10*BU$3*BU$4&lt;0.002,100,MAX($CM$2/(Flows!BU10*BU$3*BU$4),1))</f>
        <v>160.739051379857</v>
      </c>
      <c r="BV13" s="10" t="n">
        <f aca="false">IF(Flows!BV10*BV$3*BV$4&lt;0.002,100,MAX($CM$2/(Flows!BV10*BV$3*BV$4),1))</f>
        <v>1607.39051379857</v>
      </c>
      <c r="BW13" s="10" t="n">
        <f aca="false">IF(Flows!BW10*BW$3*BW$4&lt;0.002,100,MAX($CM$2/(Flows!BW10*BW$3*BW$4),1))</f>
        <v>68.0964777800704</v>
      </c>
      <c r="BX13" s="10" t="n">
        <f aca="false">IF(Flows!BX10*BX$3*BX$4&lt;0.002,100,MAX($CM$2/(Flows!BX10*BX$3*BX$4),1))</f>
        <v>1073.42450724637</v>
      </c>
      <c r="BY13" s="10" t="n">
        <f aca="false">IF(Flows!BY10*BY$3*BY$4&lt;0.002,100,MAX($CM$2/(Flows!BY10*BY$3*BY$4),1))</f>
        <v>131.474104312391</v>
      </c>
      <c r="BZ13" s="10" t="n">
        <f aca="false">IF(Flows!BZ10*BZ$3*BZ$4&lt;0.002,100,MAX($CM$2/(Flows!BZ10*BZ$3*BZ$4),1))</f>
        <v>777054.851432908</v>
      </c>
      <c r="CA13" s="10" t="n">
        <f aca="false">IF(Flows!CA10*CA$3*CA$4&lt;0.002,100,MAX($CM$2/(Flows!CA10*CA$3*CA$4),1))</f>
        <v>70375.9816000874</v>
      </c>
      <c r="CB13" s="10" t="n">
        <f aca="false">IF(Flows!CB10*CB$3*CB$4&lt;0.002,100,MAX($CM$2/(Flows!CB10*CB$3*CB$4),1))</f>
        <v>310.737765796867</v>
      </c>
      <c r="CC13" s="10" t="n">
        <f aca="false">IF(Flows!CC10*CC$3*CC$4&lt;0.002,100,MAX($CM$2/(Flows!CC10*CC$3*CC$4),1))</f>
        <v>176.523615187028</v>
      </c>
      <c r="CD13" s="10" t="n">
        <f aca="false">IF(Flows!CD10*CD$3*CD$4&lt;0.002,100,MAX($CM$2/(Flows!CD10*CD$3*CD$4),1))</f>
        <v>167.651897687538</v>
      </c>
      <c r="CE13" s="10" t="n">
        <f aca="false">IF(Flows!CE10*CE$3*CE$4&lt;0.002,100,MAX($CM$2/(Flows!CE10*CE$3*CE$4),1))</f>
        <v>301.718153487331</v>
      </c>
      <c r="CF13" s="10" t="n">
        <f aca="false">IF(Flows!CF10*CF$3*CF$4&lt;0.002,100,MAX($CM$2/(Flows!CF10*CF$3*CF$4),1))</f>
        <v>1</v>
      </c>
      <c r="CG13" s="10" t="n">
        <f aca="false">IF(Flows!CG10*CG$3*CG$4&lt;0.002,100,MAX($CM$2/(Flows!CG10*CG$3*CG$4),1))</f>
        <v>15.2248282568091</v>
      </c>
      <c r="CH13" s="10" t="n">
        <f aca="false">IF(Flows!CH10*CH$3*CH$4&lt;0.002,100,MAX($CM$2/(Flows!CH10*CH$3*CH$4),1))</f>
        <v>12.1495891461112</v>
      </c>
      <c r="CI13" s="10" t="n">
        <f aca="false">IF(Flows!CI10*CI$3*CI$4&lt;0.002,100,MAX($CM$2/(Flows!CI10*CI$3*CI$4),1))</f>
        <v>580.611568238663</v>
      </c>
      <c r="CJ13" s="10" t="n">
        <f aca="false">IF(Flows!CJ10*CJ$3*CJ$4&lt;0.002,100,MAX($CM$2/(Flows!CJ10*CJ$3*CJ$4),1))</f>
        <v>7413.28706823407</v>
      </c>
      <c r="CK13" s="10" t="n">
        <f aca="false">IF(Flows!CK10*CK$3*CK$4&lt;0.002,100,MAX($CM$2/(Flows!CK10*CK$3*CK$4),1))</f>
        <v>4811.31366084899</v>
      </c>
      <c r="CL13" s="7" t="s">
        <v>39</v>
      </c>
    </row>
    <row r="14" customFormat="false" ht="12.8" hidden="false" customHeight="false" outlineLevel="0" collapsed="false">
      <c r="A14" s="7" t="s">
        <v>143</v>
      </c>
      <c r="B14" s="7" t="s">
        <v>39</v>
      </c>
      <c r="C14" s="10" t="n">
        <f aca="false">IF(Flows!C11*C$3*C$4&lt;0.002,100,MAX($CM$2/(Flows!C11*C$3*C$4),1))</f>
        <v>3652.90098284653</v>
      </c>
      <c r="D14" s="10" t="n">
        <f aca="false">IF(Flows!D11*D$3*D$4&lt;0.002,100,MAX($CM$2/(Flows!D11*D$3*D$4),1))</f>
        <v>1</v>
      </c>
      <c r="E14" s="10" t="n">
        <f aca="false">IF(Flows!E11*E$3*E$4&lt;0.002,100,MAX($CM$2/(Flows!E11*E$3*E$4),1))</f>
        <v>4.98647751087283</v>
      </c>
      <c r="F14" s="10" t="n">
        <f aca="false">IF(Flows!F11*F$3*F$4&lt;0.002,100,MAX($CM$2/(Flows!F11*F$3*F$4),1))</f>
        <v>13.904315112756</v>
      </c>
      <c r="G14" s="10" t="n">
        <f aca="false">IF(Flows!G11*G$3*G$4&lt;0.002,100,MAX($CM$2/(Flows!G11*G$3*G$4),1))</f>
        <v>4.19949072901486</v>
      </c>
      <c r="H14" s="10" t="n">
        <f aca="false">IF(Flows!H11*H$3*H$4&lt;0.002,100,MAX($CM$2/(Flows!H11*H$3*H$4),1))</f>
        <v>100</v>
      </c>
      <c r="I14" s="10" t="n">
        <f aca="false">IF(Flows!I11*I$3*I$4&lt;0.002,100,MAX($CM$2/(Flows!I11*I$3*I$4),1))</f>
        <v>902.623189571774</v>
      </c>
      <c r="J14" s="10" t="n">
        <f aca="false">IF(Flows!J11*J$3*J$4&lt;0.002,100,MAX($CM$2/(Flows!J11*J$3*J$4),1))</f>
        <v>1231.43961264287</v>
      </c>
      <c r="K14" s="10" t="n">
        <f aca="false">IF(Flows!K11*K$3*K$4&lt;0.002,100,MAX($CM$2/(Flows!K11*K$3*K$4),1))</f>
        <v>5404.20793846093</v>
      </c>
      <c r="L14" s="10" t="n">
        <f aca="false">IF(Flows!L11*L$3*L$4&lt;0.002,100,MAX($CM$2/(Flows!L11*L$3*L$4),1))</f>
        <v>15775.1002407826</v>
      </c>
      <c r="M14" s="10" t="n">
        <f aca="false">IF(Flows!M11*M$3*M$4&lt;0.002,100,MAX($CM$2/(Flows!M11*M$3*M$4),1))</f>
        <v>10531.5928252721</v>
      </c>
      <c r="N14" s="10" t="n">
        <f aca="false">IF(Flows!N11*N$3*N$4&lt;0.002,100,MAX($CM$2/(Flows!N11*N$3*N$4),1))</f>
        <v>2.2716090684249</v>
      </c>
      <c r="O14" s="10" t="n">
        <f aca="false">IF(Flows!O11*O$3*O$4&lt;0.002,100,MAX($CM$2/(Flows!O11*O$3*O$4),1))</f>
        <v>1.6780301016284</v>
      </c>
      <c r="P14" s="10" t="n">
        <f aca="false">IF(Flows!P11*P$3*P$4&lt;0.002,100,MAX($CM$2/(Flows!P11*P$3*P$4),1))</f>
        <v>3.14630644055325</v>
      </c>
      <c r="Q14" s="10" t="n">
        <f aca="false">IF(Flows!Q11*Q$3*Q$4&lt;0.002,100,MAX($CM$2/(Flows!Q11*Q$3*Q$4),1))</f>
        <v>266.25379525696</v>
      </c>
      <c r="R14" s="10" t="n">
        <f aca="false">IF(Flows!R11*R$3*R$4&lt;0.002,100,MAX($CM$2/(Flows!R11*R$3*R$4),1))</f>
        <v>14.8060491464683</v>
      </c>
      <c r="S14" s="10" t="n">
        <f aca="false">IF(Flows!S11*S$3*S$4&lt;0.002,100,MAX($CM$2/(Flows!S11*S$3*S$4),1))</f>
        <v>135.215144920993</v>
      </c>
      <c r="T14" s="10" t="n">
        <f aca="false">IF(Flows!T11*T$3*T$4&lt;0.002,100,MAX($CM$2/(Flows!T11*T$3*T$4),1))</f>
        <v>241.929058314522</v>
      </c>
      <c r="U14" s="10" t="n">
        <f aca="false">IF(Flows!U11*U$3*U$4&lt;0.002,100,MAX($CM$2/(Flows!U11*U$3*U$4),1))</f>
        <v>43.8816367719669</v>
      </c>
      <c r="V14" s="10" t="n">
        <f aca="false">IF(Flows!V11*V$3*V$4&lt;0.002,100,MAX($CM$2/(Flows!V11*V$3*V$4),1))</f>
        <v>175.74049680428</v>
      </c>
      <c r="W14" s="10" t="n">
        <f aca="false">IF(Flows!W11*W$3*W$4&lt;0.002,100,MAX($CM$2/(Flows!W11*W$3*W$4),1))</f>
        <v>4.39298995163752</v>
      </c>
      <c r="X14" s="10" t="n">
        <f aca="false">IF(Flows!X11*X$3*X$4&lt;0.002,100,MAX($CM$2/(Flows!X11*X$3*X$4),1))</f>
        <v>1.49347196184791</v>
      </c>
      <c r="Y14" s="10" t="n">
        <f aca="false">IF(Flows!Y11*Y$3*Y$4&lt;0.002,100,MAX($CM$2/(Flows!Y11*Y$3*Y$4),1))</f>
        <v>78.875501203913</v>
      </c>
      <c r="Z14" s="10" t="n">
        <f aca="false">IF(Flows!Z11*Z$3*Z$4&lt;0.002,100,MAX($CM$2/(Flows!Z11*Z$3*Z$4),1))</f>
        <v>3757.56695259794</v>
      </c>
      <c r="AA14" s="10" t="n">
        <f aca="false">IF(Flows!AA11*AA$3*AA$4&lt;0.002,100,MAX($CM$2/(Flows!AA11*AA$3*AA$4),1))</f>
        <v>6113.55505261226</v>
      </c>
      <c r="AB14" s="10" t="n">
        <f aca="false">IF(Flows!AB11*AB$3*AB$4&lt;0.002,100,MAX($CM$2/(Flows!AB11*AB$3*AB$4),1))</f>
        <v>6216.87055397659</v>
      </c>
      <c r="AC14" s="10" t="n">
        <f aca="false">IF(Flows!AC11*AC$3*AC$4&lt;0.002,100,MAX($CM$2/(Flows!AC11*AC$3*AC$4),1))</f>
        <v>39695.1822379329</v>
      </c>
      <c r="AD14" s="10" t="n">
        <f aca="false">IF(Flows!AD11*AD$3*AD$4&lt;0.002,100,MAX($CM$2/(Flows!AD11*AD$3*AD$4),1))</f>
        <v>39161.4552235481</v>
      </c>
      <c r="AE14" s="10" t="n">
        <f aca="false">IF(Flows!AE11*AE$3*AE$4&lt;0.002,100,MAX($CM$2/(Flows!AE11*AE$3*AE$4),1))</f>
        <v>134099.485155227</v>
      </c>
      <c r="AF14" s="10" t="n">
        <f aca="false">IF(Flows!AF11*AF$3*AF$4&lt;0.002,100,MAX($CM$2/(Flows!AF11*AF$3*AF$4),1))</f>
        <v>499.425035530254</v>
      </c>
      <c r="AG14" s="10" t="n">
        <f aca="false">IF(Flows!AG11*AG$3*AG$4&lt;0.002,100,MAX($CM$2/(Flows!AG11*AG$3*AG$4),1))</f>
        <v>528.536386673737</v>
      </c>
      <c r="AH14" s="10" t="n">
        <f aca="false">IF(Flows!AH11*AH$3*AH$4&lt;0.002,100,MAX($CM$2/(Flows!AH11*AH$3*AH$4),1))</f>
        <v>279.73609674385</v>
      </c>
      <c r="AI14" s="10" t="n">
        <f aca="false">IF(Flows!AI11*AI$3*AI$4&lt;0.002,100,MAX($CM$2/(Flows!AI11*AI$3*AI$4),1))</f>
        <v>1591.01584274208</v>
      </c>
      <c r="AJ14" s="10" t="n">
        <f aca="false">IF(Flows!AJ11*AJ$3*AJ$4&lt;0.002,100,MAX($CM$2/(Flows!AJ11*AJ$3*AJ$4),1))</f>
        <v>698.163732890947</v>
      </c>
      <c r="AK14" s="10" t="n">
        <f aca="false">IF(Flows!AK11*AK$3*AK$4&lt;0.002,100,MAX($CM$2/(Flows!AK11*AK$3*AK$4),1))</f>
        <v>242.069184849334</v>
      </c>
      <c r="AL14" s="10" t="n">
        <f aca="false">IF(Flows!AL11*AL$3*AL$4&lt;0.002,100,MAX($CM$2/(Flows!AL11*AL$3*AL$4),1))</f>
        <v>507.369154696535</v>
      </c>
      <c r="AM14" s="10" t="n">
        <f aca="false">IF(Flows!AM11*AM$3*AM$4&lt;0.002,100,MAX($CM$2/(Flows!AM11*AM$3*AM$4),1))</f>
        <v>1088.29918295493</v>
      </c>
      <c r="AN14" s="10" t="n">
        <f aca="false">IF(Flows!AN11*AN$3*AN$4&lt;0.002,100,MAX($CM$2/(Flows!AN11*AN$3*AN$4),1))</f>
        <v>1090.48558464433</v>
      </c>
      <c r="AO14" s="10" t="n">
        <f aca="false">IF(Flows!AO11*AO$3*AO$4&lt;0.002,100,MAX($CM$2/(Flows!AO11*AO$3*AO$4),1))</f>
        <v>9824.3476447953</v>
      </c>
      <c r="AP14" s="10" t="n">
        <f aca="false">IF(Flows!AP11*AP$3*AP$4&lt;0.002,100,MAX($CM$2/(Flows!AP11*AP$3*AP$4),1))</f>
        <v>28156.0214090928</v>
      </c>
      <c r="AQ14" s="10" t="n">
        <f aca="false">IF(Flows!AQ11*AQ$3*AQ$4&lt;0.002,100,MAX($CM$2/(Flows!AQ11*AQ$3*AQ$4),1))</f>
        <v>7722.60592556211</v>
      </c>
      <c r="AR14" s="10" t="n">
        <f aca="false">IF(Flows!AR11*AR$3*AR$4&lt;0.002,100,MAX($CM$2/(Flows!AR11*AR$3*AR$4),1))</f>
        <v>12101.3628670964</v>
      </c>
      <c r="AS14" s="10" t="n">
        <f aca="false">IF(Flows!AS11*AS$3*AS$4&lt;0.002,100,MAX($CM$2/(Flows!AS11*AS$3*AS$4),1))</f>
        <v>1486.85020913072</v>
      </c>
      <c r="AT14" s="10" t="n">
        <f aca="false">IF(Flows!AT11*AT$3*AT$4&lt;0.002,100,MAX($CM$2/(Flows!AT11*AT$3*AT$4),1))</f>
        <v>408.570768859584</v>
      </c>
      <c r="AU14" s="10" t="n">
        <f aca="false">IF(Flows!AU11*AU$3*AU$4&lt;0.002,100,MAX($CM$2/(Flows!AU11*AU$3*AU$4),1))</f>
        <v>806.148972073021</v>
      </c>
      <c r="AV14" s="10" t="n">
        <f aca="false">IF(Flows!AV11*AV$3*AV$4&lt;0.002,100,MAX($CM$2/(Flows!AV11*AV$3*AV$4),1))</f>
        <v>6223.94834842556</v>
      </c>
      <c r="AW14" s="10" t="n">
        <f aca="false">IF(Flows!AW11*AW$3*AW$4&lt;0.002,100,MAX($CM$2/(Flows!AW11*AW$3*AW$4),1))</f>
        <v>12.6334231429639</v>
      </c>
      <c r="AX14" s="10" t="n">
        <f aca="false">IF(Flows!AX11*AX$3*AX$4&lt;0.002,100,MAX($CM$2/(Flows!AX11*AX$3*AX$4),1))</f>
        <v>2843.1552903705</v>
      </c>
      <c r="AY14" s="10" t="n">
        <f aca="false">IF(Flows!AY11*AY$3*AY$4&lt;0.002,100,MAX($CM$2/(Flows!AY11*AY$3*AY$4),1))</f>
        <v>310.481359020648</v>
      </c>
      <c r="AZ14" s="10" t="n">
        <f aca="false">IF(Flows!AZ11*AZ$3*AZ$4&lt;0.002,100,MAX($CM$2/(Flows!AZ11*AZ$3*AZ$4),1))</f>
        <v>91.4808790327472</v>
      </c>
      <c r="BA14" s="10" t="n">
        <f aca="false">IF(Flows!BA11*BA$3*BA$4&lt;0.002,100,MAX($CM$2/(Flows!BA11*BA$3*BA$4),1))</f>
        <v>804.530112279912</v>
      </c>
      <c r="BB14" s="10" t="n">
        <f aca="false">IF(Flows!BB11*BB$3*BB$4&lt;0.002,100,MAX($CM$2/(Flows!BB11*BB$3*BB$4),1))</f>
        <v>2240.99190955072</v>
      </c>
      <c r="BC14" s="10" t="n">
        <f aca="false">IF(Flows!BC11*BC$3*BC$4&lt;0.002,100,MAX($CM$2/(Flows!BC11*BC$3*BC$4),1))</f>
        <v>935.526317304506</v>
      </c>
      <c r="BD14" s="10" t="n">
        <f aca="false">IF(Flows!BD11*BD$3*BD$4&lt;0.002,100,MAX($CM$2/(Flows!BD11*BD$3*BD$4),1))</f>
        <v>3567.95803229906</v>
      </c>
      <c r="BE14" s="10" t="n">
        <f aca="false">IF(Flows!BE11*BE$3*BE$4&lt;0.002,100,MAX($CM$2/(Flows!BE11*BE$3*BE$4),1))</f>
        <v>7696.68606741679</v>
      </c>
      <c r="BF14" s="10" t="n">
        <f aca="false">IF(Flows!BF11*BF$3*BF$4&lt;0.002,100,MAX($CM$2/(Flows!BF11*BF$3*BF$4),1))</f>
        <v>482.729077887528</v>
      </c>
      <c r="BG14" s="10" t="n">
        <f aca="false">IF(Flows!BG11*BG$3*BG$4&lt;0.002,100,MAX($CM$2/(Flows!BG11*BG$3*BG$4),1))</f>
        <v>121.580989498419</v>
      </c>
      <c r="BH14" s="10" t="n">
        <f aca="false">IF(Flows!BH11*BH$3*BH$4&lt;0.002,100,MAX($CM$2/(Flows!BH11*BH$3*BH$4),1))</f>
        <v>63.3691922024866</v>
      </c>
      <c r="BI14" s="10" t="n">
        <f aca="false">IF(Flows!BI11*BI$3*BI$4&lt;0.002,100,MAX($CM$2/(Flows!BI11*BI$3*BI$4),1))</f>
        <v>40.5108455260176</v>
      </c>
      <c r="BJ14" s="10" t="n">
        <f aca="false">IF(Flows!BJ11*BJ$3*BJ$4&lt;0.002,100,MAX($CM$2/(Flows!BJ11*BJ$3*BJ$4),1))</f>
        <v>55.6026478852672</v>
      </c>
      <c r="BK14" s="10" t="n">
        <f aca="false">IF(Flows!BK11*BK$3*BK$4&lt;0.002,100,MAX($CM$2/(Flows!BK11*BK$3*BK$4),1))</f>
        <v>81.0216910520351</v>
      </c>
      <c r="BL14" s="10" t="n">
        <f aca="false">IF(Flows!BL11*BL$3*BL$4&lt;0.002,100,MAX($CM$2/(Flows!BL11*BL$3*BL$4),1))</f>
        <v>175.810694806551</v>
      </c>
      <c r="BM14" s="10" t="n">
        <f aca="false">IF(Flows!BM11*BM$3*BM$4&lt;0.002,100,MAX($CM$2/(Flows!BM11*BM$3*BM$4),1))</f>
        <v>36.8046434945008</v>
      </c>
      <c r="BN14" s="10" t="n">
        <f aca="false">IF(Flows!BN11*BN$3*BN$4&lt;0.002,100,MAX($CM$2/(Flows!BN11*BN$3*BN$4),1))</f>
        <v>166804.570617838</v>
      </c>
      <c r="BO14" s="10" t="n">
        <f aca="false">IF(Flows!BO11*BO$3*BO$4&lt;0.002,100,MAX($CM$2/(Flows!BO11*BO$3*BO$4),1))</f>
        <v>27800761.7696396</v>
      </c>
      <c r="BP14" s="10" t="n">
        <f aca="false">IF(Flows!BP11*BP$3*BP$4&lt;0.002,100,MAX($CM$2/(Flows!BP11*BP$3*BP$4),1))</f>
        <v>12180135096.0285</v>
      </c>
      <c r="BQ14" s="10" t="n">
        <f aca="false">IF(Flows!BQ11*BQ$3*BQ$4&lt;0.002,100,MAX($CM$2/(Flows!BQ11*BQ$3*BQ$4),1))</f>
        <v>100</v>
      </c>
      <c r="BR14" s="10" t="n">
        <f aca="false">IF(Flows!BR11*BR$3*BR$4&lt;0.002,100,MAX($CM$2/(Flows!BR11*BR$3*BR$4),1))</f>
        <v>278007617.696396</v>
      </c>
      <c r="BS14" s="10" t="n">
        <f aca="false">IF(Flows!BS11*BS$3*BS$4&lt;0.002,100,MAX($CM$2/(Flows!BS11*BS$3*BS$4),1))</f>
        <v>1390039084.21575</v>
      </c>
      <c r="BT14" s="10" t="n">
        <f aca="false">IF(Flows!BT11*BT$3*BT$4&lt;0.002,100,MAX($CM$2/(Flows!BT11*BT$3*BT$4),1))</f>
        <v>1.1408296727838</v>
      </c>
      <c r="BU14" s="10" t="n">
        <f aca="false">IF(Flows!BU11*BU$3*BU$4&lt;0.002,100,MAX($CM$2/(Flows!BU11*BU$3*BU$4),1))</f>
        <v>11.4082967278381</v>
      </c>
      <c r="BV14" s="10" t="n">
        <f aca="false">IF(Flows!BV11*BV$3*BV$4&lt;0.002,100,MAX($CM$2/(Flows!BV11*BV$3*BV$4),1))</f>
        <v>114.082967278381</v>
      </c>
      <c r="BW14" s="10" t="n">
        <f aca="false">IF(Flows!BW11*BW$3*BW$4&lt;0.002,100,MAX($CM$2/(Flows!BW11*BW$3*BW$4),1))</f>
        <v>12.8983282524171</v>
      </c>
      <c r="BX14" s="10" t="n">
        <f aca="false">IF(Flows!BX11*BX$3*BX$4&lt;0.002,100,MAX($CM$2/(Flows!BX11*BX$3*BX$4),1))</f>
        <v>7.99657287337655</v>
      </c>
      <c r="BY14" s="10" t="n">
        <f aca="false">IF(Flows!BY11*BY$3*BY$4&lt;0.002,100,MAX($CM$2/(Flows!BY11*BY$3*BY$4),1))</f>
        <v>10.2452252904578</v>
      </c>
      <c r="BZ14" s="10" t="n">
        <f aca="false">IF(Flows!BZ11*BZ$3*BZ$4&lt;0.002,100,MAX($CM$2/(Flows!BZ11*BZ$3*BZ$4),1))</f>
        <v>85319.9486362593</v>
      </c>
      <c r="CA14" s="10" t="n">
        <f aca="false">IF(Flows!CA11*CA$3*CA$4&lt;0.002,100,MAX($CM$2/(Flows!CA11*CA$3*CA$4),1))</f>
        <v>48269.2560700914</v>
      </c>
      <c r="CB14" s="10" t="n">
        <f aca="false">IF(Flows!CB11*CB$3*CB$4&lt;0.002,100,MAX($CM$2/(Flows!CB11*CB$3*CB$4),1))</f>
        <v>31.345122837754</v>
      </c>
      <c r="CC14" s="10" t="n">
        <f aca="false">IF(Flows!CC11*CC$3*CC$4&lt;0.002,100,MAX($CM$2/(Flows!CC11*CC$3*CC$4),1))</f>
        <v>27.6578988120268</v>
      </c>
      <c r="CD14" s="10" t="n">
        <f aca="false">IF(Flows!CD11*CD$3*CD$4&lt;0.002,100,MAX($CM$2/(Flows!CD11*CD$3*CD$4),1))</f>
        <v>36.484757880953</v>
      </c>
      <c r="CE14" s="10" t="n">
        <f aca="false">IF(Flows!CE11*CE$3*CE$4&lt;0.002,100,MAX($CM$2/(Flows!CE11*CE$3*CE$4),1))</f>
        <v>39.0859715024951</v>
      </c>
      <c r="CF14" s="10" t="n">
        <f aca="false">IF(Flows!CF11*CF$3*CF$4&lt;0.002,100,MAX($CM$2/(Flows!CF11*CF$3*CF$4),1))</f>
        <v>1</v>
      </c>
      <c r="CG14" s="10" t="n">
        <f aca="false">IF(Flows!CG11*CG$3*CG$4&lt;0.002,100,MAX($CM$2/(Flows!CG11*CG$3*CG$4),1))</f>
        <v>719133.306572926</v>
      </c>
      <c r="CH14" s="10" t="n">
        <f aca="false">IF(Flows!CH11*CH$3*CH$4&lt;0.002,100,MAX($CM$2/(Flows!CH11*CH$3*CH$4),1))</f>
        <v>4995670.32236506</v>
      </c>
      <c r="CI14" s="10" t="n">
        <f aca="false">IF(Flows!CI11*CI$3*CI$4&lt;0.002,100,MAX($CM$2/(Flows!CI11*CI$3*CI$4),1))</f>
        <v>247.937305765444</v>
      </c>
      <c r="CJ14" s="10" t="n">
        <f aca="false">IF(Flows!CJ11*CJ$3*CJ$4&lt;0.002,100,MAX($CM$2/(Flows!CJ11*CJ$3*CJ$4),1))</f>
        <v>1181.34687850515</v>
      </c>
      <c r="CK14" s="10" t="n">
        <f aca="false">IF(Flows!CK11*CK$3*CK$4&lt;0.002,100,MAX($CM$2/(Flows!CK11*CK$3*CK$4),1))</f>
        <v>2761.79537048649</v>
      </c>
      <c r="CL14" s="7" t="s">
        <v>322</v>
      </c>
    </row>
    <row r="15" customFormat="false" ht="12.8" hidden="false" customHeight="false" outlineLevel="0" collapsed="false">
      <c r="A15" s="7" t="s">
        <v>144</v>
      </c>
      <c r="B15" s="7" t="s">
        <v>39</v>
      </c>
      <c r="C15" s="10" t="n">
        <f aca="false">IF(Flows!C12*C$3*C$4&lt;0.002,100,MAX($CM$2/(Flows!C12*C$3*C$4),1))</f>
        <v>24720.499693548</v>
      </c>
      <c r="D15" s="10" t="n">
        <f aca="false">IF(Flows!D12*D$3*D$4&lt;0.002,100,MAX($CM$2/(Flows!D12*D$3*D$4),1))</f>
        <v>8.95592182536342</v>
      </c>
      <c r="E15" s="10" t="n">
        <f aca="false">IF(Flows!E12*E$3*E$4&lt;0.002,100,MAX($CM$2/(Flows!E12*E$3*E$4),1))</f>
        <v>43.1306012659143</v>
      </c>
      <c r="F15" s="10" t="n">
        <f aca="false">IF(Flows!F12*F$3*F$4&lt;0.002,100,MAX($CM$2/(Flows!F12*F$3*F$4),1))</f>
        <v>83.8370666924967</v>
      </c>
      <c r="G15" s="10" t="n">
        <f aca="false">IF(Flows!G12*G$3*G$4&lt;0.002,100,MAX($CM$2/(Flows!G12*G$3*G$4),1))</f>
        <v>75.9734199763043</v>
      </c>
      <c r="H15" s="10" t="n">
        <f aca="false">IF(Flows!H12*H$3*H$4&lt;0.002,100,MAX($CM$2/(Flows!H12*H$3*H$4),1))</f>
        <v>100</v>
      </c>
      <c r="I15" s="10" t="n">
        <f aca="false">IF(Flows!I12*I$3*I$4&lt;0.002,100,MAX($CM$2/(Flows!I12*I$3*I$4),1))</f>
        <v>921.827700387611</v>
      </c>
      <c r="J15" s="10" t="n">
        <f aca="false">IF(Flows!J12*J$3*J$4&lt;0.002,100,MAX($CM$2/(Flows!J12*J$3*J$4),1))</f>
        <v>1003.76199896608</v>
      </c>
      <c r="K15" s="10" t="n">
        <f aca="false">IF(Flows!K12*K$3*K$4&lt;0.002,100,MAX($CM$2/(Flows!K12*K$3*K$4),1))</f>
        <v>11446.4110685561</v>
      </c>
      <c r="L15" s="10" t="n">
        <f aca="false">IF(Flows!L12*L$3*L$4&lt;0.002,100,MAX($CM$2/(Flows!L12*L$3*L$4),1))</f>
        <v>37824.7356331624</v>
      </c>
      <c r="M15" s="10" t="n">
        <f aca="false">IF(Flows!M12*M$3*M$4&lt;0.002,100,MAX($CM$2/(Flows!M12*M$3*M$4),1))</f>
        <v>25581.27411195</v>
      </c>
      <c r="N15" s="10" t="n">
        <f aca="false">IF(Flows!N12*N$3*N$4&lt;0.002,100,MAX($CM$2/(Flows!N12*N$3*N$4),1))</f>
        <v>44.7411868598294</v>
      </c>
      <c r="O15" s="10" t="n">
        <f aca="false">IF(Flows!O12*O$3*O$4&lt;0.002,100,MAX($CM$2/(Flows!O12*O$3*O$4),1))</f>
        <v>5.2213187248745</v>
      </c>
      <c r="P15" s="10" t="n">
        <f aca="false">IF(Flows!P12*P$3*P$4&lt;0.002,100,MAX($CM$2/(Flows!P12*P$3*P$4),1))</f>
        <v>9.78997260913967</v>
      </c>
      <c r="Q15" s="10" t="n">
        <f aca="false">IF(Flows!Q12*Q$3*Q$4&lt;0.002,100,MAX($CM$2/(Flows!Q12*Q$3*Q$4),1))</f>
        <v>1077.14308579176</v>
      </c>
      <c r="R15" s="10" t="n">
        <f aca="false">IF(Flows!R12*R$3*R$4&lt;0.002,100,MAX($CM$2/(Flows!R12*R$3*R$4),1))</f>
        <v>31.3600303248111</v>
      </c>
      <c r="S15" s="10" t="n">
        <f aca="false">IF(Flows!S12*S$3*S$4&lt;0.002,100,MAX($CM$2/(Flows!S12*S$3*S$4),1))</f>
        <v>324.21201971282</v>
      </c>
      <c r="T15" s="10" t="n">
        <f aca="false">IF(Flows!T12*T$3*T$4&lt;0.002,100,MAX($CM$2/(Flows!T12*T$3*T$4),1))</f>
        <v>580.085231348918</v>
      </c>
      <c r="U15" s="10" t="n">
        <f aca="false">IF(Flows!U12*U$3*U$4&lt;0.002,100,MAX($CM$2/(Flows!U12*U$3*U$4),1))</f>
        <v>106.588642133125</v>
      </c>
      <c r="V15" s="10" t="n">
        <f aca="false">IF(Flows!V12*V$3*V$4&lt;0.002,100,MAX($CM$2/(Flows!V12*V$3*V$4),1))</f>
        <v>959.932030233859</v>
      </c>
      <c r="W15" s="10" t="n">
        <f aca="false">IF(Flows!W12*W$3*W$4&lt;0.002,100,MAX($CM$2/(Flows!W12*W$3*W$4),1))</f>
        <v>24.7382990643644</v>
      </c>
      <c r="X15" s="10" t="n">
        <f aca="false">IF(Flows!X12*X$3*X$4&lt;0.002,100,MAX($CM$2/(Flows!X12*X$3*X$4),1))</f>
        <v>5.29828506906801</v>
      </c>
      <c r="Y15" s="10" t="n">
        <f aca="false">IF(Flows!Y12*Y$3*Y$4&lt;0.002,100,MAX($CM$2/(Flows!Y12*Y$3*Y$4),1))</f>
        <v>189.123678165812</v>
      </c>
      <c r="Z15" s="10" t="n">
        <f aca="false">IF(Flows!Z12*Z$3*Z$4&lt;0.002,100,MAX($CM$2/(Flows!Z12*Z$3*Z$4),1))</f>
        <v>659374.515981343</v>
      </c>
      <c r="AA15" s="10" t="n">
        <f aca="false">IF(Flows!AA12*AA$3*AA$4&lt;0.002,100,MAX($CM$2/(Flows!AA12*AA$3*AA$4),1))</f>
        <v>41828.7301300154</v>
      </c>
      <c r="AB15" s="10" t="n">
        <f aca="false">IF(Flows!AB12*AB$3*AB$4&lt;0.002,100,MAX($CM$2/(Flows!AB12*AB$3*AB$4),1))</f>
        <v>40696.5561082078</v>
      </c>
      <c r="AC15" s="10" t="n">
        <f aca="false">IF(Flows!AC12*AC$3*AC$4&lt;0.002,100,MAX($CM$2/(Flows!AC12*AC$3*AC$4),1))</f>
        <v>173547.752512709</v>
      </c>
      <c r="AD15" s="10" t="n">
        <f aca="false">IF(Flows!AD12*AD$3*AD$4&lt;0.002,100,MAX($CM$2/(Flows!AD12*AD$3*AD$4),1))</f>
        <v>256356.69038738</v>
      </c>
      <c r="AE15" s="10" t="n">
        <f aca="false">IF(Flows!AE12*AE$3*AE$4&lt;0.002,100,MAX($CM$2/(Flows!AE12*AE$3*AE$4),1))</f>
        <v>778194.677682613</v>
      </c>
      <c r="AF15" s="10" t="n">
        <f aca="false">IF(Flows!AF12*AF$3*AF$4&lt;0.002,100,MAX($CM$2/(Flows!AF12*AF$3*AF$4),1))</f>
        <v>2449.9573075207</v>
      </c>
      <c r="AG15" s="10" t="n">
        <f aca="false">IF(Flows!AG12*AG$3*AG$4&lt;0.002,100,MAX($CM$2/(Flows!AG12*AG$3*AG$4),1))</f>
        <v>3275.5098044607</v>
      </c>
      <c r="AH15" s="10" t="n">
        <f aca="false">IF(Flows!AH12*AH$3*AH$4&lt;0.002,100,MAX($CM$2/(Flows!AH12*AH$3*AH$4),1))</f>
        <v>1727.01805602107</v>
      </c>
      <c r="AI15" s="10" t="n">
        <f aca="false">IF(Flows!AI12*AI$3*AI$4&lt;0.002,100,MAX($CM$2/(Flows!AI12*AI$3*AI$4),1))</f>
        <v>9308.47806056281</v>
      </c>
      <c r="AJ15" s="10" t="n">
        <f aca="false">IF(Flows!AJ12*AJ$3*AJ$4&lt;0.002,100,MAX($CM$2/(Flows!AJ12*AJ$3*AJ$4),1))</f>
        <v>4136.72699457638</v>
      </c>
      <c r="AK15" s="10" t="n">
        <f aca="false">IF(Flows!AK12*AK$3*AK$4&lt;0.002,100,MAX($CM$2/(Flows!AK12*AK$3*AK$4),1))</f>
        <v>1413.91927023359</v>
      </c>
      <c r="AL15" s="10" t="n">
        <f aca="false">IF(Flows!AL12*AL$3*AL$4&lt;0.002,100,MAX($CM$2/(Flows!AL12*AL$3*AL$4),1))</f>
        <v>2734.46506496566</v>
      </c>
      <c r="AM15" s="10" t="n">
        <f aca="false">IF(Flows!AM12*AM$3*AM$4&lt;0.002,100,MAX($CM$2/(Flows!AM12*AM$3*AM$4),1))</f>
        <v>5634.78784128541</v>
      </c>
      <c r="AN15" s="10" t="n">
        <f aca="false">IF(Flows!AN12*AN$3*AN$4&lt;0.002,100,MAX($CM$2/(Flows!AN12*AN$3*AN$4),1))</f>
        <v>6001.87109978877</v>
      </c>
      <c r="AO15" s="10" t="n">
        <f aca="false">IF(Flows!AO12*AO$3*AO$4&lt;0.002,100,MAX($CM$2/(Flows!AO12*AO$3*AO$4),1))</f>
        <v>54269.1329374769</v>
      </c>
      <c r="AP15" s="10" t="n">
        <f aca="false">IF(Flows!AP12*AP$3*AP$4&lt;0.002,100,MAX($CM$2/(Flows!AP12*AP$3*AP$4),1))</f>
        <v>153108.077743264</v>
      </c>
      <c r="AQ15" s="10" t="n">
        <f aca="false">IF(Flows!AQ12*AQ$3*AQ$4&lt;0.002,100,MAX($CM$2/(Flows!AQ12*AQ$3*AQ$4),1))</f>
        <v>52593.3809816732</v>
      </c>
      <c r="AR15" s="10" t="n">
        <f aca="false">IF(Flows!AR12*AR$3*AR$4&lt;0.002,100,MAX($CM$2/(Flows!AR12*AR$3*AR$4),1))</f>
        <v>73417.548588423</v>
      </c>
      <c r="AS15" s="10" t="n">
        <f aca="false">IF(Flows!AS12*AS$3*AS$4&lt;0.002,100,MAX($CM$2/(Flows!AS12*AS$3*AS$4),1))</f>
        <v>8647.85970858707</v>
      </c>
      <c r="AT15" s="10" t="n">
        <f aca="false">IF(Flows!AT12*AT$3*AT$4&lt;0.002,100,MAX($CM$2/(Flows!AT12*AT$3*AT$4),1))</f>
        <v>2393.02179654705</v>
      </c>
      <c r="AU15" s="10" t="n">
        <f aca="false">IF(Flows!AU12*AU$3*AU$4&lt;0.002,100,MAX($CM$2/(Flows!AU12*AU$3*AU$4),1))</f>
        <v>4480.36418743734</v>
      </c>
      <c r="AV15" s="10" t="n">
        <f aca="false">IF(Flows!AV12*AV$3*AV$4&lt;0.002,100,MAX($CM$2/(Flows!AV12*AV$3*AV$4),1))</f>
        <v>38051.6298249046</v>
      </c>
      <c r="AW15" s="10" t="n">
        <f aca="false">IF(Flows!AW12*AW$3*AW$4&lt;0.002,100,MAX($CM$2/(Flows!AW12*AW$3*AW$4),1))</f>
        <v>54.9452131868789</v>
      </c>
      <c r="AX15" s="10" t="n">
        <f aca="false">IF(Flows!AX12*AX$3*AX$4&lt;0.002,100,MAX($CM$2/(Flows!AX12*AX$3*AX$4),1))</f>
        <v>9395.85630234913</v>
      </c>
      <c r="AY15" s="10" t="n">
        <f aca="false">IF(Flows!AY12*AY$3*AY$4&lt;0.002,100,MAX($CM$2/(Flows!AY12*AY$3*AY$4),1))</f>
        <v>2108.82552986547</v>
      </c>
      <c r="AZ15" s="10" t="n">
        <f aca="false">IF(Flows!AZ12*AZ$3*AZ$4&lt;0.002,100,MAX($CM$2/(Flows!AZ12*AZ$3*AZ$4),1))</f>
        <v>603.565440604831</v>
      </c>
      <c r="BA15" s="10" t="n">
        <f aca="false">IF(Flows!BA12*BA$3*BA$4&lt;0.002,100,MAX($CM$2/(Flows!BA12*BA$3*BA$4),1))</f>
        <v>1929.06151729128</v>
      </c>
      <c r="BB15" s="10" t="n">
        <f aca="false">IF(Flows!BB12*BB$3*BB$4&lt;0.002,100,MAX($CM$2/(Flows!BB12*BB$3*BB$4),1))</f>
        <v>14901.8014071672</v>
      </c>
      <c r="BC15" s="10" t="n">
        <f aca="false">IF(Flows!BC12*BC$3*BC$4&lt;0.002,100,MAX($CM$2/(Flows!BC12*BC$3*BC$4),1))</f>
        <v>5418.80375594035</v>
      </c>
      <c r="BD15" s="10" t="n">
        <f aca="false">IF(Flows!BD12*BD$3*BD$4&lt;0.002,100,MAX($CM$2/(Flows!BD12*BD$3*BD$4),1))</f>
        <v>21777.4065694878</v>
      </c>
      <c r="BE15" s="10" t="n">
        <f aca="false">IF(Flows!BE12*BE$3*BE$4&lt;0.002,100,MAX($CM$2/(Flows!BE12*BE$3*BE$4),1))</f>
        <v>50225.567052036</v>
      </c>
      <c r="BF15" s="10" t="n">
        <f aca="false">IF(Flows!BF12*BF$3*BF$4&lt;0.002,100,MAX($CM$2/(Flows!BF12*BF$3*BF$4),1))</f>
        <v>2048.00083715563</v>
      </c>
      <c r="BG15" s="10" t="n">
        <f aca="false">IF(Flows!BG12*BG$3*BG$4&lt;0.002,100,MAX($CM$2/(Flows!BG12*BG$3*BG$4),1))</f>
        <v>511.928546332545</v>
      </c>
      <c r="BH15" s="10" t="n">
        <f aca="false">IF(Flows!BH12*BH$3*BH$4&lt;0.002,100,MAX($CM$2/(Flows!BH12*BH$3*BH$4),1))</f>
        <v>693849.831269113</v>
      </c>
      <c r="BI15" s="10" t="n">
        <f aca="false">IF(Flows!BI12*BI$3*BI$4&lt;0.002,100,MAX($CM$2/(Flows!BI12*BI$3*BI$4),1))</f>
        <v>314.356659575596</v>
      </c>
      <c r="BJ15" s="10" t="n">
        <f aca="false">IF(Flows!BJ12*BJ$3*BJ$4&lt;0.002,100,MAX($CM$2/(Flows!BJ12*BJ$3*BJ$4),1))</f>
        <v>18.9513269711389</v>
      </c>
      <c r="BK15" s="10" t="n">
        <f aca="false">IF(Flows!BK12*BK$3*BK$4&lt;0.002,100,MAX($CM$2/(Flows!BK12*BK$3*BK$4),1))</f>
        <v>628.713319151193</v>
      </c>
      <c r="BL15" s="10" t="n">
        <f aca="false">IF(Flows!BL12*BL$3*BL$4&lt;0.002,100,MAX($CM$2/(Flows!BL12*BL$3*BL$4),1))</f>
        <v>604.071331931734</v>
      </c>
      <c r="BM15" s="10" t="n">
        <f aca="false">IF(Flows!BM12*BM$3*BM$4&lt;0.002,100,MAX($CM$2/(Flows!BM12*BM$3*BM$4),1))</f>
        <v>212.823574202108</v>
      </c>
      <c r="BN15" s="10" t="n">
        <f aca="false">IF(Flows!BN12*BN$3*BN$4&lt;0.002,100,MAX($CM$2/(Flows!BN12*BN$3*BN$4),1))</f>
        <v>1</v>
      </c>
      <c r="BO15" s="10" t="n">
        <f aca="false">IF(Flows!BO12*BO$3*BO$4&lt;0.002,100,MAX($CM$2/(Flows!BO12*BO$3*BO$4),1))</f>
        <v>64.0790642227658</v>
      </c>
      <c r="BP15" s="10" t="n">
        <f aca="false">IF(Flows!BP12*BP$3*BP$4&lt;0.002,100,MAX($CM$2/(Flows!BP12*BP$3*BP$4),1))</f>
        <v>128.424835559145</v>
      </c>
      <c r="BQ15" s="10" t="n">
        <f aca="false">IF(Flows!BQ12*BQ$3*BQ$4&lt;0.002,100,MAX($CM$2/(Flows!BQ12*BQ$3*BQ$4),1))</f>
        <v>100</v>
      </c>
      <c r="BR15" s="10" t="n">
        <f aca="false">IF(Flows!BR12*BR$3*BR$4&lt;0.002,100,MAX($CM$2/(Flows!BR12*BR$3*BR$4),1))</f>
        <v>1922.37192668297</v>
      </c>
      <c r="BS15" s="10" t="n">
        <f aca="false">IF(Flows!BS12*BS$3*BS$4&lt;0.002,100,MAX($CM$2/(Flows!BS12*BS$3*BS$4),1))</f>
        <v>19223.7308775891</v>
      </c>
      <c r="BT15" s="10" t="n">
        <f aca="false">IF(Flows!BT12*BT$3*BT$4&lt;0.002,100,MAX($CM$2/(Flows!BT12*BT$3*BT$4),1))</f>
        <v>12.3514136369012</v>
      </c>
      <c r="BU15" s="10" t="n">
        <f aca="false">IF(Flows!BU12*BU$3*BU$4&lt;0.002,100,MAX($CM$2/(Flows!BU12*BU$3*BU$4),1))</f>
        <v>123.514136369012</v>
      </c>
      <c r="BV15" s="10" t="n">
        <f aca="false">IF(Flows!BV12*BV$3*BV$4&lt;0.002,100,MAX($CM$2/(Flows!BV12*BV$3*BV$4),1))</f>
        <v>1235.14136369012</v>
      </c>
      <c r="BW15" s="10" t="n">
        <f aca="false">IF(Flows!BW12*BW$3*BW$4&lt;0.002,100,MAX($CM$2/(Flows!BW12*BW$3*BW$4),1))</f>
        <v>62.1377695635275</v>
      </c>
      <c r="BX15" s="10" t="n">
        <f aca="false">IF(Flows!BX12*BX$3*BX$4&lt;0.002,100,MAX($CM$2/(Flows!BX12*BX$3*BX$4),1))</f>
        <v>66.0061552194278</v>
      </c>
      <c r="BY15" s="10" t="n">
        <f aca="false">IF(Flows!BY12*BY$3*BY$4&lt;0.002,100,MAX($CM$2/(Flows!BY12*BY$3*BY$4),1))</f>
        <v>72.4155990982197</v>
      </c>
      <c r="BZ15" s="10" t="n">
        <f aca="false">IF(Flows!BZ12*BZ$3*BZ$4&lt;0.002,100,MAX($CM$2/(Flows!BZ12*BZ$3*BZ$4),1))</f>
        <v>99175.4549311652</v>
      </c>
      <c r="CA15" s="10" t="n">
        <f aca="false">IF(Flows!CA12*CA$3*CA$4&lt;0.002,100,MAX($CM$2/(Flows!CA12*CA$3*CA$4),1))</f>
        <v>272196.698489793</v>
      </c>
      <c r="CB15" s="10" t="n">
        <f aca="false">IF(Flows!CB12*CB$3*CB$4&lt;0.002,100,MAX($CM$2/(Flows!CB12*CB$3*CB$4),1))</f>
        <v>179.052333053439</v>
      </c>
      <c r="CC15" s="10" t="n">
        <f aca="false">IF(Flows!CC12*CC$3*CC$4&lt;0.002,100,MAX($CM$2/(Flows!CC12*CC$3*CC$4),1))</f>
        <v>116.166411695041</v>
      </c>
      <c r="CD15" s="10" t="n">
        <f aca="false">IF(Flows!CD12*CD$3*CD$4&lt;0.002,100,MAX($CM$2/(Flows!CD12*CD$3*CD$4),1))</f>
        <v>153.715422253788</v>
      </c>
      <c r="CE15" s="10" t="n">
        <f aca="false">IF(Flows!CE12*CE$3*CE$4&lt;0.002,100,MAX($CM$2/(Flows!CE12*CE$3*CE$4),1))</f>
        <v>85.012694633595</v>
      </c>
      <c r="CF15" s="10" t="n">
        <f aca="false">IF(Flows!CF12*CF$3*CF$4&lt;0.002,100,MAX($CM$2/(Flows!CF12*CF$3*CF$4),1))</f>
        <v>1</v>
      </c>
      <c r="CG15" s="10" t="n">
        <f aca="false">IF(Flows!CG12*CG$3*CG$4&lt;0.002,100,MAX($CM$2/(Flows!CG12*CG$3*CG$4),1))</f>
        <v>19.211239397981</v>
      </c>
      <c r="CH15" s="10" t="n">
        <f aca="false">IF(Flows!CH12*CH$3*CH$4&lt;0.002,100,MAX($CM$2/(Flows!CH12*CH$3*CH$4),1))</f>
        <v>14.7260056153856</v>
      </c>
      <c r="CI15" s="10" t="n">
        <f aca="false">IF(Flows!CI12*CI$3*CI$4&lt;0.002,100,MAX($CM$2/(Flows!CI12*CI$3*CI$4),1))</f>
        <v>638.096209643592</v>
      </c>
      <c r="CJ15" s="10" t="n">
        <f aca="false">IF(Flows!CJ12*CJ$3*CJ$4&lt;0.002,100,MAX($CM$2/(Flows!CJ12*CJ$3*CJ$4),1))</f>
        <v>4695.38679397922</v>
      </c>
      <c r="CK15" s="10" t="n">
        <f aca="false">IF(Flows!CK12*CK$3*CK$4&lt;0.002,100,MAX($CM$2/(Flows!CK12*CK$3*CK$4),1))</f>
        <v>1446.92879016211</v>
      </c>
      <c r="CL15" s="7" t="s">
        <v>322</v>
      </c>
    </row>
    <row r="16" customFormat="false" ht="12.8" hidden="false" customHeight="false" outlineLevel="0" collapsed="false">
      <c r="A16" s="7" t="s">
        <v>145</v>
      </c>
      <c r="B16" s="7" t="s">
        <v>39</v>
      </c>
      <c r="C16" s="10" t="n">
        <f aca="false">IF(Flows!C13*C$3*C$4&lt;0.002,100,MAX($CM$2/(Flows!C13*C$3*C$4),1))</f>
        <v>16457.3595410788</v>
      </c>
      <c r="D16" s="10" t="n">
        <f aca="false">IF(Flows!D13*D$3*D$4&lt;0.002,100,MAX($CM$2/(Flows!D13*D$3*D$4),1))</f>
        <v>2.4182937719385</v>
      </c>
      <c r="E16" s="10" t="n">
        <f aca="false">IF(Flows!E13*E$3*E$4&lt;0.002,100,MAX($CM$2/(Flows!E13*E$3*E$4),1))</f>
        <v>14.1807076819473</v>
      </c>
      <c r="F16" s="10" t="n">
        <f aca="false">IF(Flows!F13*F$3*F$4&lt;0.002,100,MAX($CM$2/(Flows!F13*F$3*F$4),1))</f>
        <v>38.7218837399135</v>
      </c>
      <c r="G16" s="10" t="n">
        <f aca="false">IF(Flows!G13*G$3*G$4&lt;0.002,100,MAX($CM$2/(Flows!G13*G$3*G$4),1))</f>
        <v>10.4743287107112</v>
      </c>
      <c r="H16" s="10" t="n">
        <f aca="false">IF(Flows!H13*H$3*H$4&lt;0.002,100,MAX($CM$2/(Flows!H13*H$3*H$4),1))</f>
        <v>100</v>
      </c>
      <c r="I16" s="10" t="n">
        <f aca="false">IF(Flows!I13*I$3*I$4&lt;0.002,100,MAX($CM$2/(Flows!I13*I$3*I$4),1))</f>
        <v>1189.77135642509</v>
      </c>
      <c r="J16" s="10" t="n">
        <f aca="false">IF(Flows!J13*J$3*J$4&lt;0.002,100,MAX($CM$2/(Flows!J13*J$3*J$4),1))</f>
        <v>1156.57257665215</v>
      </c>
      <c r="K16" s="10" t="n">
        <f aca="false">IF(Flows!K13*K$3*K$4&lt;0.002,100,MAX($CM$2/(Flows!K13*K$3*K$4),1))</f>
        <v>14441.2352313885</v>
      </c>
      <c r="L16" s="10" t="n">
        <f aca="false">IF(Flows!L13*L$3*L$4&lt;0.002,100,MAX($CM$2/(Flows!L13*L$3*L$4),1))</f>
        <v>33824.8267774197</v>
      </c>
      <c r="M16" s="10" t="n">
        <f aca="false">IF(Flows!M13*M$3*M$4&lt;0.002,100,MAX($CM$2/(Flows!M13*M$3*M$4),1))</f>
        <v>22155.1730060076</v>
      </c>
      <c r="N16" s="10" t="n">
        <f aca="false">IF(Flows!N13*N$3*N$4&lt;0.002,100,MAX($CM$2/(Flows!N13*N$3*N$4),1))</f>
        <v>13.2841437597368</v>
      </c>
      <c r="O16" s="10" t="n">
        <f aca="false">IF(Flows!O13*O$3*O$4&lt;0.002,100,MAX($CM$2/(Flows!O13*O$3*O$4),1))</f>
        <v>3.211628138806</v>
      </c>
      <c r="P16" s="10" t="n">
        <f aca="false">IF(Flows!P13*P$3*P$4&lt;0.002,100,MAX($CM$2/(Flows!P13*P$3*P$4),1))</f>
        <v>6.02180276026124</v>
      </c>
      <c r="Q16" s="10" t="n">
        <f aca="false">IF(Flows!Q13*Q$3*Q$4&lt;0.002,100,MAX($CM$2/(Flows!Q13*Q$3*Q$4),1))</f>
        <v>369.943934553709</v>
      </c>
      <c r="R16" s="10" t="n">
        <f aca="false">IF(Flows!R13*R$3*R$4&lt;0.002,100,MAX($CM$2/(Flows!R13*R$3*R$4),1))</f>
        <v>39.5650280312014</v>
      </c>
      <c r="S16" s="10" t="n">
        <f aca="false">IF(Flows!S13*S$3*S$4&lt;0.002,100,MAX($CM$2/(Flows!S13*S$3*S$4),1))</f>
        <v>289.927086663597</v>
      </c>
      <c r="T16" s="10" t="n">
        <f aca="false">IF(Flows!T13*T$3*T$4&lt;0.002,100,MAX($CM$2/(Flows!T13*T$3*T$4),1))</f>
        <v>518.742091334377</v>
      </c>
      <c r="U16" s="10" t="n">
        <f aca="false">IF(Flows!U13*U$3*U$4&lt;0.002,100,MAX($CM$2/(Flows!U13*U$3*U$4),1))</f>
        <v>92.313220858365</v>
      </c>
      <c r="V16" s="10" t="n">
        <f aca="false">IF(Flows!V13*V$3*V$4&lt;0.002,100,MAX($CM$2/(Flows!V13*V$3*V$4),1))</f>
        <v>450.821610872535</v>
      </c>
      <c r="W16" s="10" t="n">
        <f aca="false">IF(Flows!W13*W$3*W$4&lt;0.002,100,MAX($CM$2/(Flows!W13*W$3*W$4),1))</f>
        <v>12.5970047734108</v>
      </c>
      <c r="X16" s="10" t="n">
        <f aca="false">IF(Flows!X13*X$3*X$4&lt;0.002,100,MAX($CM$2/(Flows!X13*X$3*X$4),1))</f>
        <v>5.67912011166707</v>
      </c>
      <c r="Y16" s="10" t="n">
        <f aca="false">IF(Flows!Y13*Y$3*Y$4&lt;0.002,100,MAX($CM$2/(Flows!Y13*Y$3*Y$4),1))</f>
        <v>169.124133887099</v>
      </c>
      <c r="Z16" s="10" t="n">
        <f aca="false">IF(Flows!Z13*Z$3*Z$4&lt;0.002,100,MAX($CM$2/(Flows!Z13*Z$3*Z$4),1))</f>
        <v>10858.3164685636</v>
      </c>
      <c r="AA16" s="10" t="n">
        <f aca="false">IF(Flows!AA13*AA$3*AA$4&lt;0.002,100,MAX($CM$2/(Flows!AA13*AA$3*AA$4),1))</f>
        <v>21344.8154034474</v>
      </c>
      <c r="AB16" s="10" t="n">
        <f aca="false">IF(Flows!AB13*AB$3*AB$4&lt;0.002,100,MAX($CM$2/(Flows!AB13*AB$3*AB$4),1))</f>
        <v>18831.4173936039</v>
      </c>
      <c r="AC16" s="10" t="n">
        <f aca="false">IF(Flows!AC13*AC$3*AC$4&lt;0.002,100,MAX($CM$2/(Flows!AC13*AC$3*AC$4),1))</f>
        <v>108566.648515254</v>
      </c>
      <c r="AD16" s="10" t="n">
        <f aca="false">IF(Flows!AD13*AD$3*AD$4&lt;0.002,100,MAX($CM$2/(Flows!AD13*AD$3*AD$4),1))</f>
        <v>118623.301330257</v>
      </c>
      <c r="AE16" s="10" t="n">
        <f aca="false">IF(Flows!AE13*AE$3*AE$4&lt;0.002,100,MAX($CM$2/(Flows!AE13*AE$3*AE$4),1))</f>
        <v>373047.14021767</v>
      </c>
      <c r="AF16" s="10" t="n">
        <f aca="false">IF(Flows!AF13*AF$3*AF$4&lt;0.002,100,MAX($CM$2/(Flows!AF13*AF$3*AF$4),1))</f>
        <v>1129.71426108773</v>
      </c>
      <c r="AG16" s="10" t="n">
        <f aca="false">IF(Flows!AG13*AG$3*AG$4&lt;0.002,100,MAX($CM$2/(Flows!AG13*AG$3*AG$4),1))</f>
        <v>1582.75279713715</v>
      </c>
      <c r="AH16" s="10" t="n">
        <f aca="false">IF(Flows!AH13*AH$3*AH$4&lt;0.002,100,MAX($CM$2/(Flows!AH13*AH$3*AH$4),1))</f>
        <v>803.668314234862</v>
      </c>
      <c r="AI16" s="10" t="n">
        <f aca="false">IF(Flows!AI13*AI$3*AI$4&lt;0.002,100,MAX($CM$2/(Flows!AI13*AI$3*AI$4),1))</f>
        <v>4825.00177165214</v>
      </c>
      <c r="AJ16" s="10" t="n">
        <f aca="false">IF(Flows!AJ13*AJ$3*AJ$4&lt;0.002,100,MAX($CM$2/(Flows!AJ13*AJ$3*AJ$4),1))</f>
        <v>1848.38090082247</v>
      </c>
      <c r="AK16" s="10" t="n">
        <f aca="false">IF(Flows!AK13*AK$3*AK$4&lt;0.002,100,MAX($CM$2/(Flows!AK13*AK$3*AK$4),1))</f>
        <v>693.181184049696</v>
      </c>
      <c r="AL16" s="10" t="n">
        <f aca="false">IF(Flows!AL13*AL$3*AL$4&lt;0.002,100,MAX($CM$2/(Flows!AL13*AL$3*AL$4),1))</f>
        <v>1327.28241656769</v>
      </c>
      <c r="AM16" s="10" t="n">
        <f aca="false">IF(Flows!AM13*AM$3*AM$4&lt;0.002,100,MAX($CM$2/(Flows!AM13*AM$3*AM$4),1))</f>
        <v>2274.95170313538</v>
      </c>
      <c r="AN16" s="10" t="n">
        <f aca="false">IF(Flows!AN13*AN$3*AN$4&lt;0.002,100,MAX($CM$2/(Flows!AN13*AN$3*AN$4),1))</f>
        <v>2900.21866629274</v>
      </c>
      <c r="AO16" s="10" t="n">
        <f aca="false">IF(Flows!AO13*AO$3*AO$4&lt;0.002,100,MAX($CM$2/(Flows!AO13*AO$3*AO$4),1))</f>
        <v>27195.3332249264</v>
      </c>
      <c r="AP16" s="10" t="n">
        <f aca="false">IF(Flows!AP13*AP$3*AP$4&lt;0.002,100,MAX($CM$2/(Flows!AP13*AP$3*AP$4),1))</f>
        <v>70107.3857019621</v>
      </c>
      <c r="AQ16" s="10" t="n">
        <f aca="false">IF(Flows!AQ13*AQ$3*AQ$4&lt;0.002,100,MAX($CM$2/(Flows!AQ13*AQ$3*AQ$4),1))</f>
        <v>27139.3538767138</v>
      </c>
      <c r="AR16" s="10" t="n">
        <f aca="false">IF(Flows!AR13*AR$3*AR$4&lt;0.002,100,MAX($CM$2/(Flows!AR13*AR$3*AR$4),1))</f>
        <v>30836.3964018349</v>
      </c>
      <c r="AS16" s="10" t="n">
        <f aca="false">IF(Flows!AS13*AS$3*AS$4&lt;0.002,100,MAX($CM$2/(Flows!AS13*AS$3*AS$4),1))</f>
        <v>3353.3321732032</v>
      </c>
      <c r="AT16" s="10" t="n">
        <f aca="false">IF(Flows!AT13*AT$3*AT$4&lt;0.002,100,MAX($CM$2/(Flows!AT13*AT$3*AT$4),1))</f>
        <v>1109.46608020782</v>
      </c>
      <c r="AU16" s="10" t="n">
        <f aca="false">IF(Flows!AU13*AU$3*AU$4&lt;0.002,100,MAX($CM$2/(Flows!AU13*AU$3*AU$4),1))</f>
        <v>2138.48342250935</v>
      </c>
      <c r="AV16" s="10" t="n">
        <f aca="false">IF(Flows!AV13*AV$3*AV$4&lt;0.002,100,MAX($CM$2/(Flows!AV13*AV$3*AV$4),1))</f>
        <v>15515.7861880919</v>
      </c>
      <c r="AW16" s="10" t="n">
        <f aca="false">IF(Flows!AW13*AW$3*AW$4&lt;0.002,100,MAX($CM$2/(Flows!AW13*AW$3*AW$4),1))</f>
        <v>34.1487168810259</v>
      </c>
      <c r="AX16" s="10" t="n">
        <f aca="false">IF(Flows!AX13*AX$3*AX$4&lt;0.002,100,MAX($CM$2/(Flows!AX13*AX$3*AX$4),1))</f>
        <v>5253.54730577746</v>
      </c>
      <c r="AY16" s="10" t="n">
        <f aca="false">IF(Flows!AY13*AY$3*AY$4&lt;0.002,100,MAX($CM$2/(Flows!AY13*AY$3*AY$4),1))</f>
        <v>1044.9771128201</v>
      </c>
      <c r="AZ16" s="10" t="n">
        <f aca="false">IF(Flows!AZ13*AZ$3*AZ$4&lt;0.002,100,MAX($CM$2/(Flows!AZ13*AZ$3*AZ$4),1))</f>
        <v>277.993855363349</v>
      </c>
      <c r="BA16" s="10" t="n">
        <f aca="false">IF(Flows!BA13*BA$3*BA$4&lt;0.002,100,MAX($CM$2/(Flows!BA13*BA$3*BA$4),1))</f>
        <v>1725.06616564841</v>
      </c>
      <c r="BB16" s="10" t="n">
        <f aca="false">IF(Flows!BB13*BB$3*BB$4&lt;0.002,100,MAX($CM$2/(Flows!BB13*BB$3*BB$4),1))</f>
        <v>5925.32906323933</v>
      </c>
      <c r="BC16" s="10" t="n">
        <f aca="false">IF(Flows!BC13*BC$3*BC$4&lt;0.002,100,MAX($CM$2/(Flows!BC13*BC$3*BC$4),1))</f>
        <v>2614.02846862793</v>
      </c>
      <c r="BD16" s="10" t="n">
        <f aca="false">IF(Flows!BD13*BD$3*BD$4&lt;0.002,100,MAX($CM$2/(Flows!BD13*BD$3*BD$4),1))</f>
        <v>9821.12882951322</v>
      </c>
      <c r="BE16" s="10" t="n">
        <f aca="false">IF(Flows!BE13*BE$3*BE$4&lt;0.002,100,MAX($CM$2/(Flows!BE13*BE$3*BE$4),1))</f>
        <v>24719.3151174809</v>
      </c>
      <c r="BF16" s="10" t="n">
        <f aca="false">IF(Flows!BF13*BF$3*BF$4&lt;0.002,100,MAX($CM$2/(Flows!BF13*BF$3*BF$4),1))</f>
        <v>956.297790155149</v>
      </c>
      <c r="BG16" s="10" t="n">
        <f aca="false">IF(Flows!BG13*BG$3*BG$4&lt;0.002,100,MAX($CM$2/(Flows!BG13*BG$3*BG$4),1))</f>
        <v>293.418849070832</v>
      </c>
      <c r="BH16" s="10" t="n">
        <f aca="false">IF(Flows!BH13*BH$3*BH$4&lt;0.002,100,MAX($CM$2/(Flows!BH13*BH$3*BH$4),1))</f>
        <v>152.795896655425</v>
      </c>
      <c r="BI16" s="10" t="n">
        <f aca="false">IF(Flows!BI13*BI$3*BI$4&lt;0.002,100,MAX($CM$2/(Flows!BI13*BI$3*BI$4),1))</f>
        <v>95.6667962127166</v>
      </c>
      <c r="BJ16" s="10" t="n">
        <f aca="false">IF(Flows!BJ13*BJ$3*BJ$4&lt;0.002,100,MAX($CM$2/(Flows!BJ13*BJ$3*BJ$4),1))</f>
        <v>12.5322619349108</v>
      </c>
      <c r="BK16" s="10" t="n">
        <f aca="false">IF(Flows!BK13*BK$3*BK$4&lt;0.002,100,MAX($CM$2/(Flows!BK13*BK$3*BK$4),1))</f>
        <v>191.333592425433</v>
      </c>
      <c r="BL16" s="10" t="n">
        <f aca="false">IF(Flows!BL13*BL$3*BL$4&lt;0.002,100,MAX($CM$2/(Flows!BL13*BL$3*BL$4),1))</f>
        <v>233.647127549985</v>
      </c>
      <c r="BM16" s="10" t="n">
        <f aca="false">IF(Flows!BM13*BM$3*BM$4&lt;0.002,100,MAX($CM$2/(Flows!BM13*BM$3*BM$4),1))</f>
        <v>75.6847887364283</v>
      </c>
      <c r="BN16" s="10" t="n">
        <f aca="false">IF(Flows!BN13*BN$3*BN$4&lt;0.002,100,MAX($CM$2/(Flows!BN13*BN$3*BN$4),1))</f>
        <v>406118.321286063</v>
      </c>
      <c r="BO16" s="10" t="n">
        <f aca="false">IF(Flows!BO13*BO$3*BO$4&lt;0.002,100,MAX($CM$2/(Flows!BO13*BO$3*BO$4),1))</f>
        <v>67686386.8810105</v>
      </c>
      <c r="BP16" s="10" t="n">
        <f aca="false">IF(Flows!BP13*BP$3*BP$4&lt;0.002,100,MAX($CM$2/(Flows!BP13*BP$3*BP$4),1))</f>
        <v>25628149871.6851</v>
      </c>
      <c r="BQ16" s="10" t="n">
        <f aca="false">IF(Flows!BQ13*BQ$3*BQ$4&lt;0.002,100,MAX($CM$2/(Flows!BQ13*BQ$3*BQ$4),1))</f>
        <v>100</v>
      </c>
      <c r="BR16" s="10" t="n">
        <f aca="false">IF(Flows!BR13*BR$3*BR$4&lt;0.002,100,MAX($CM$2/(Flows!BR13*BR$3*BR$4),1))</f>
        <v>676863868.810106</v>
      </c>
      <c r="BS16" s="10" t="n">
        <f aca="false">IF(Flows!BS13*BS$3*BS$4&lt;0.002,100,MAX($CM$2/(Flows!BS13*BS$3*BS$4),1))</f>
        <v>3384321615.31672</v>
      </c>
      <c r="BT16" s="10" t="n">
        <f aca="false">IF(Flows!BT13*BT$3*BT$4&lt;0.002,100,MAX($CM$2/(Flows!BT13*BT$3*BT$4),1))</f>
        <v>3.56751635881319</v>
      </c>
      <c r="BU16" s="10" t="n">
        <f aca="false">IF(Flows!BU13*BU$3*BU$4&lt;0.002,100,MAX($CM$2/(Flows!BU13*BU$3*BU$4),1))</f>
        <v>35.675163588132</v>
      </c>
      <c r="BV16" s="10" t="n">
        <f aca="false">IF(Flows!BV13*BV$3*BV$4&lt;0.002,100,MAX($CM$2/(Flows!BV13*BV$3*BV$4),1))</f>
        <v>356.75163588132</v>
      </c>
      <c r="BW16" s="10" t="n">
        <f aca="false">IF(Flows!BW13*BW$3*BW$4&lt;0.002,100,MAX($CM$2/(Flows!BW13*BW$3*BW$4),1))</f>
        <v>22.3630305993936</v>
      </c>
      <c r="BX16" s="10" t="n">
        <f aca="false">IF(Flows!BX13*BX$3*BX$4&lt;0.002,100,MAX($CM$2/(Flows!BX13*BX$3*BX$4),1))</f>
        <v>145.183850345055</v>
      </c>
      <c r="BY16" s="10" t="n">
        <f aca="false">IF(Flows!BY13*BY$3*BY$4&lt;0.002,100,MAX($CM$2/(Flows!BY13*BY$3*BY$4),1))</f>
        <v>76.5592505113973</v>
      </c>
      <c r="BZ16" s="10" t="n">
        <f aca="false">IF(Flows!BZ13*BZ$3*BZ$4&lt;0.002,100,MAX($CM$2/(Flows!BZ13*BZ$3*BZ$4),1))</f>
        <v>115652.105407705</v>
      </c>
      <c r="CA16" s="10" t="n">
        <f aca="false">IF(Flows!CA13*CA$3*CA$4&lt;0.002,100,MAX($CM$2/(Flows!CA13*CA$3*CA$4),1))</f>
        <v>41070.2892113562</v>
      </c>
      <c r="CB16" s="10" t="n">
        <f aca="false">IF(Flows!CB13*CB$3*CB$4&lt;0.002,100,MAX($CM$2/(Flows!CB13*CB$3*CB$4),1))</f>
        <v>78.3860913764911</v>
      </c>
      <c r="CC16" s="10" t="n">
        <f aca="false">IF(Flows!CC13*CC$3*CC$4&lt;0.002,100,MAX($CM$2/(Flows!CC13*CC$3*CC$4),1))</f>
        <v>17.6949149529776</v>
      </c>
      <c r="CD16" s="10" t="n">
        <f aca="false">IF(Flows!CD13*CD$3*CD$4&lt;0.002,100,MAX($CM$2/(Flows!CD13*CD$3*CD$4),1))</f>
        <v>58.5436910146969</v>
      </c>
      <c r="CE16" s="10" t="n">
        <f aca="false">IF(Flows!CE13*CE$3*CE$4&lt;0.002,100,MAX($CM$2/(Flows!CE13*CE$3*CE$4),1))</f>
        <v>20.8440056439704</v>
      </c>
      <c r="CF16" s="10" t="n">
        <f aca="false">IF(Flows!CF13*CF$3*CF$4&lt;0.002,100,MAX($CM$2/(Flows!CF13*CF$3*CF$4),1))</f>
        <v>1</v>
      </c>
      <c r="CG16" s="10" t="n">
        <f aca="false">IF(Flows!CG13*CG$3*CG$4&lt;0.002,100,MAX($CM$2/(Flows!CG13*CG$3*CG$4),1))</f>
        <v>1571112.0816244</v>
      </c>
      <c r="CH16" s="10" t="n">
        <f aca="false">IF(Flows!CH13*CH$3*CH$4&lt;0.002,100,MAX($CM$2/(Flows!CH13*CH$3*CH$4),1))</f>
        <v>1452387.38860107</v>
      </c>
      <c r="CI16" s="10" t="n">
        <f aca="false">IF(Flows!CI13*CI$3*CI$4&lt;0.002,100,MAX($CM$2/(Flows!CI13*CI$3*CI$4),1))</f>
        <v>261.433815531753</v>
      </c>
      <c r="CJ16" s="10" t="n">
        <f aca="false">IF(Flows!CJ13*CJ$3*CJ$4&lt;0.002,100,MAX($CM$2/(Flows!CJ13*CJ$3*CJ$4),1))</f>
        <v>1617.44429444474</v>
      </c>
      <c r="CK16" s="10" t="n">
        <f aca="false">IF(Flows!CK13*CK$3*CK$4&lt;0.002,100,MAX($CM$2/(Flows!CK13*CK$3*CK$4),1))</f>
        <v>1222.9379493953</v>
      </c>
      <c r="CL16" s="7" t="s">
        <v>322</v>
      </c>
    </row>
    <row r="17" customFormat="false" ht="12.8" hidden="false" customHeight="false" outlineLevel="0" collapsed="false">
      <c r="A17" s="7" t="s">
        <v>147</v>
      </c>
      <c r="B17" s="7" t="s">
        <v>39</v>
      </c>
      <c r="C17" s="10" t="n">
        <f aca="false">IF(Flows!C14*C$3*C$4&lt;0.002,100,MAX($CM$2/(Flows!C14*C$3*C$4),1))</f>
        <v>31161.0931256464</v>
      </c>
      <c r="D17" s="10" t="n">
        <f aca="false">IF(Flows!D14*D$3*D$4&lt;0.002,100,MAX($CM$2/(Flows!D14*D$3*D$4),1))</f>
        <v>5.08036906495926</v>
      </c>
      <c r="E17" s="10" t="n">
        <f aca="false">IF(Flows!E14*E$3*E$4&lt;0.002,100,MAX($CM$2/(Flows!E14*E$3*E$4),1))</f>
        <v>27.0493057819557</v>
      </c>
      <c r="F17" s="10" t="n">
        <f aca="false">IF(Flows!F14*F$3*F$4&lt;0.002,100,MAX($CM$2/(Flows!F14*F$3*F$4),1))</f>
        <v>73.860917044898</v>
      </c>
      <c r="G17" s="10" t="n">
        <f aca="false">IF(Flows!G14*G$3*G$4&lt;0.002,100,MAX($CM$2/(Flows!G14*G$3*G$4),1))</f>
        <v>30.9764940757356</v>
      </c>
      <c r="H17" s="10" t="n">
        <f aca="false">IF(Flows!H14*H$3*H$4&lt;0.002,100,MAX($CM$2/(Flows!H14*H$3*H$4),1))</f>
        <v>100</v>
      </c>
      <c r="I17" s="10" t="n">
        <f aca="false">IF(Flows!I14*I$3*I$4&lt;0.002,100,MAX($CM$2/(Flows!I14*I$3*I$4),1))</f>
        <v>1323.74982993981</v>
      </c>
      <c r="J17" s="10" t="n">
        <f aca="false">IF(Flows!J14*J$3*J$4&lt;0.002,100,MAX($CM$2/(Flows!J14*J$3*J$4),1))</f>
        <v>1742.89121114086</v>
      </c>
      <c r="K17" s="10" t="n">
        <f aca="false">IF(Flows!K14*K$3*K$4&lt;0.002,100,MAX($CM$2/(Flows!K14*K$3*K$4),1))</f>
        <v>18250.0114283349</v>
      </c>
      <c r="L17" s="10" t="n">
        <f aca="false">IF(Flows!L14*L$3*L$4&lt;0.002,100,MAX($CM$2/(Flows!L14*L$3*L$4),1))</f>
        <v>45271.0397934975</v>
      </c>
      <c r="M17" s="10" t="n">
        <f aca="false">IF(Flows!M14*M$3*M$4&lt;0.002,100,MAX($CM$2/(Flows!M14*M$3*M$4),1))</f>
        <v>29787.3914389248</v>
      </c>
      <c r="N17" s="10" t="n">
        <f aca="false">IF(Flows!N14*N$3*N$4&lt;0.002,100,MAX($CM$2/(Flows!N14*N$3*N$4),1))</f>
        <v>37.2348671810791</v>
      </c>
      <c r="O17" s="10" t="n">
        <f aca="false">IF(Flows!O14*O$3*O$4&lt;0.002,100,MAX($CM$2/(Flows!O14*O$3*O$4),1))</f>
        <v>4.15243165275823</v>
      </c>
      <c r="P17" s="10" t="n">
        <f aca="false">IF(Flows!P14*P$3*P$4&lt;0.002,100,MAX($CM$2/(Flows!P14*P$3*P$4),1))</f>
        <v>7.78580934892168</v>
      </c>
      <c r="Q17" s="10" t="n">
        <f aca="false">IF(Flows!Q14*Q$3*Q$4&lt;0.002,100,MAX($CM$2/(Flows!Q14*Q$3*Q$4),1))</f>
        <v>666.800259282039</v>
      </c>
      <c r="R17" s="10" t="n">
        <f aca="false">IF(Flows!R14*R$3*R$4&lt;0.002,100,MAX($CM$2/(Flows!R14*R$3*R$4),1))</f>
        <v>50.0000313105065</v>
      </c>
      <c r="S17" s="10" t="n">
        <f aca="false">IF(Flows!S14*S$3*S$4&lt;0.002,100,MAX($CM$2/(Flows!S14*S$3*S$4),1))</f>
        <v>388.037483944263</v>
      </c>
      <c r="T17" s="10" t="n">
        <f aca="false">IF(Flows!T14*T$3*T$4&lt;0.002,100,MAX($CM$2/(Flows!T14*T$3*T$4),1))</f>
        <v>694.282753135568</v>
      </c>
      <c r="U17" s="10" t="n">
        <f aca="false">IF(Flows!U14*U$3*U$4&lt;0.002,100,MAX($CM$2/(Flows!U14*U$3*U$4),1))</f>
        <v>124.11413099552</v>
      </c>
      <c r="V17" s="10" t="n">
        <f aca="false">IF(Flows!V14*V$3*V$4&lt;0.002,100,MAX($CM$2/(Flows!V14*V$3*V$4),1))</f>
        <v>619.71993113116</v>
      </c>
      <c r="W17" s="10" t="n">
        <f aca="false">IF(Flows!W14*W$3*W$4&lt;0.002,100,MAX($CM$2/(Flows!W14*W$3*W$4),1))</f>
        <v>23.2891030920476</v>
      </c>
      <c r="X17" s="10" t="n">
        <f aca="false">IF(Flows!X14*X$3*X$4&lt;0.002,100,MAX($CM$2/(Flows!X14*X$3*X$4),1))</f>
        <v>7.4442866208371</v>
      </c>
      <c r="Y17" s="10" t="n">
        <f aca="false">IF(Flows!Y14*Y$3*Y$4&lt;0.002,100,MAX($CM$2/(Flows!Y14*Y$3*Y$4),1))</f>
        <v>226.355198967487</v>
      </c>
      <c r="Z17" s="10" t="n">
        <f aca="false">IF(Flows!Z14*Z$3*Z$4&lt;0.002,100,MAX($CM$2/(Flows!Z14*Z$3*Z$4),1))</f>
        <v>12970.7281182418</v>
      </c>
      <c r="AA17" s="10" t="n">
        <f aca="false">IF(Flows!AA14*AA$3*AA$4&lt;0.002,100,MAX($CM$2/(Flows!AA14*AA$3*AA$4),1))</f>
        <v>29868.1778008167</v>
      </c>
      <c r="AB17" s="10" t="n">
        <f aca="false">IF(Flows!AB14*AB$3*AB$4&lt;0.002,100,MAX($CM$2/(Flows!AB14*AB$3*AB$4),1))</f>
        <v>26650.0861129867</v>
      </c>
      <c r="AC17" s="10" t="n">
        <f aca="false">IF(Flows!AC14*AC$3*AC$4&lt;0.002,100,MAX($CM$2/(Flows!AC14*AC$3*AC$4),1))</f>
        <v>129426.615867081</v>
      </c>
      <c r="AD17" s="10" t="n">
        <f aca="false">IF(Flows!AD14*AD$3*AD$4&lt;0.002,100,MAX($CM$2/(Flows!AD14*AD$3*AD$4),1))</f>
        <v>167874.840718674</v>
      </c>
      <c r="AE17" s="10" t="n">
        <f aca="false">IF(Flows!AE14*AE$3*AE$4&lt;0.002,100,MAX($CM$2/(Flows!AE14*AE$3*AE$4),1))</f>
        <v>456535.457532716</v>
      </c>
      <c r="AF17" s="10" t="n">
        <f aca="false">IF(Flows!AF14*AF$3*AF$4&lt;0.002,100,MAX($CM$2/(Flows!AF14*AF$3*AF$4),1))</f>
        <v>2050.64162268349</v>
      </c>
      <c r="AG17" s="10" t="n">
        <f aca="false">IF(Flows!AG14*AG$3*AG$4&lt;0.002,100,MAX($CM$2/(Flows!AG14*AG$3*AG$4),1))</f>
        <v>1794.3751417125</v>
      </c>
      <c r="AH17" s="10" t="n">
        <f aca="false">IF(Flows!AH14*AH$3*AH$4&lt;0.002,100,MAX($CM$2/(Flows!AH14*AH$3*AH$4),1))</f>
        <v>1154.30791253739</v>
      </c>
      <c r="AI17" s="10" t="n">
        <f aca="false">IF(Flows!AI14*AI$3*AI$4&lt;0.002,100,MAX($CM$2/(Flows!AI14*AI$3*AI$4),1))</f>
        <v>7301.51030866756</v>
      </c>
      <c r="AJ17" s="10" t="n">
        <f aca="false">IF(Flows!AJ14*AJ$3*AJ$4&lt;0.002,100,MAX($CM$2/(Flows!AJ14*AJ$3*AJ$4),1))</f>
        <v>3266.89670354432</v>
      </c>
      <c r="AK17" s="10" t="n">
        <f aca="false">IF(Flows!AK14*AK$3*AK$4&lt;0.002,100,MAX($CM$2/(Flows!AK14*AK$3*AK$4),1))</f>
        <v>1145.30559728884</v>
      </c>
      <c r="AL17" s="10" t="n">
        <f aca="false">IF(Flows!AL14*AL$3*AL$4&lt;0.002,100,MAX($CM$2/(Flows!AL14*AL$3*AL$4),1))</f>
        <v>2387.4667460193</v>
      </c>
      <c r="AM17" s="10" t="n">
        <f aca="false">IF(Flows!AM14*AM$3*AM$4&lt;0.002,100,MAX($CM$2/(Flows!AM14*AM$3*AM$4),1))</f>
        <v>3836.65417877824</v>
      </c>
      <c r="AN17" s="10" t="n">
        <f aca="false">IF(Flows!AN14*AN$3*AN$4&lt;0.002,100,MAX($CM$2/(Flows!AN14*AN$3*AN$4),1))</f>
        <v>4351.51049302857</v>
      </c>
      <c r="AO17" s="10" t="n">
        <f aca="false">IF(Flows!AO14*AO$3*AO$4&lt;0.002,100,MAX($CM$2/(Flows!AO14*AO$3*AO$4),1))</f>
        <v>60666.5961678825</v>
      </c>
      <c r="AP17" s="10" t="n">
        <f aca="false">IF(Flows!AP14*AP$3*AP$4&lt;0.002,100,MAX($CM$2/(Flows!AP14*AP$3*AP$4),1))</f>
        <v>115209.649238793</v>
      </c>
      <c r="AQ17" s="10" t="n">
        <f aca="false">IF(Flows!AQ14*AQ$3*AQ$4&lt;0.002,100,MAX($CM$2/(Flows!AQ14*AQ$3*AQ$4),1))</f>
        <v>37412.0024085221</v>
      </c>
      <c r="AR17" s="10" t="n">
        <f aca="false">IF(Flows!AR14*AR$3*AR$4&lt;0.002,100,MAX($CM$2/(Flows!AR14*AR$3*AR$4),1))</f>
        <v>43201.8751847664</v>
      </c>
      <c r="AS17" s="10" t="n">
        <f aca="false">IF(Flows!AS14*AS$3*AS$4&lt;0.002,100,MAX($CM$2/(Flows!AS14*AS$3*AS$4),1))</f>
        <v>4497.24122345843</v>
      </c>
      <c r="AT17" s="10" t="n">
        <f aca="false">IF(Flows!AT14*AT$3*AT$4&lt;0.002,100,MAX($CM$2/(Flows!AT14*AT$3*AT$4),1))</f>
        <v>2076.59227116485</v>
      </c>
      <c r="AU17" s="10" t="n">
        <f aca="false">IF(Flows!AU14*AU$3*AU$4&lt;0.002,100,MAX($CM$2/(Flows!AU14*AU$3*AU$4),1))</f>
        <v>1990.78818671311</v>
      </c>
      <c r="AV17" s="10" t="n">
        <f aca="false">IF(Flows!AV14*AV$3*AV$4&lt;0.002,100,MAX($CM$2/(Flows!AV14*AV$3*AV$4),1))</f>
        <v>26665.1497676866</v>
      </c>
      <c r="AW17" s="10" t="n">
        <f aca="false">IF(Flows!AW14*AW$3*AW$4&lt;0.002,100,MAX($CM$2/(Flows!AW14*AW$3*AW$4),1))</f>
        <v>40.4534376224627</v>
      </c>
      <c r="AX17" s="10" t="n">
        <f aca="false">IF(Flows!AX14*AX$3*AX$4&lt;0.002,100,MAX($CM$2/(Flows!AX14*AX$3*AX$4),1))</f>
        <v>5887.96923108936</v>
      </c>
      <c r="AY17" s="10" t="n">
        <f aca="false">IF(Flows!AY14*AY$3*AY$4&lt;0.002,100,MAX($CM$2/(Flows!AY14*AY$3*AY$4),1))</f>
        <v>1555.01473969321</v>
      </c>
      <c r="AZ17" s="10" t="n">
        <f aca="false">IF(Flows!AZ14*AZ$3*AZ$4&lt;0.002,100,MAX($CM$2/(Flows!AZ14*AZ$3*AZ$4),1))</f>
        <v>400.970291801303</v>
      </c>
      <c r="BA17" s="10" t="n">
        <f aca="false">IF(Flows!BA14*BA$3*BA$4&lt;0.002,100,MAX($CM$2/(Flows!BA14*BA$3*BA$4),1))</f>
        <v>2308.82302946837</v>
      </c>
      <c r="BB17" s="10" t="n">
        <f aca="false">IF(Flows!BB14*BB$3*BB$4&lt;0.002,100,MAX($CM$2/(Flows!BB14*BB$3*BB$4),1))</f>
        <v>8735.84711845155</v>
      </c>
      <c r="BC17" s="10" t="n">
        <f aca="false">IF(Flows!BC14*BC$3*BC$4&lt;0.002,100,MAX($CM$2/(Flows!BC14*BC$3*BC$4),1))</f>
        <v>4644.23187940382</v>
      </c>
      <c r="BD17" s="10" t="n">
        <f aca="false">IF(Flows!BD14*BD$3*BD$4&lt;0.002,100,MAX($CM$2/(Flows!BD14*BD$3*BD$4),1))</f>
        <v>17116.7597612344</v>
      </c>
      <c r="BE17" s="10" t="n">
        <f aca="false">IF(Flows!BE14*BE$3*BE$4&lt;0.002,100,MAX($CM$2/(Flows!BE14*BE$3*BE$4),1))</f>
        <v>38068.438910817</v>
      </c>
      <c r="BF17" s="10" t="n">
        <f aca="false">IF(Flows!BF14*BF$3*BF$4&lt;0.002,100,MAX($CM$2/(Flows!BF14*BF$3*BF$4),1))</f>
        <v>1077.40736543851</v>
      </c>
      <c r="BG17" s="10" t="n">
        <f aca="false">IF(Flows!BG14*BG$3*BG$4&lt;0.002,100,MAX($CM$2/(Flows!BG14*BG$3*BG$4),1))</f>
        <v>351.135173176788</v>
      </c>
      <c r="BH17" s="10" t="n">
        <f aca="false">IF(Flows!BH14*BH$3*BH$4&lt;0.002,100,MAX($CM$2/(Flows!BH14*BH$3*BH$4),1))</f>
        <v>177.508104279449</v>
      </c>
      <c r="BI17" s="10" t="n">
        <f aca="false">IF(Flows!BI14*BI$3*BI$4&lt;0.002,100,MAX($CM$2/(Flows!BI14*BI$3*BI$4),1))</f>
        <v>172.089303896749</v>
      </c>
      <c r="BJ17" s="10" t="n">
        <f aca="false">IF(Flows!BJ14*BJ$3*BJ$4&lt;0.002,100,MAX($CM$2/(Flows!BJ14*BJ$3*BJ$4),1))</f>
        <v>7.96830559447303</v>
      </c>
      <c r="BK17" s="10" t="n">
        <f aca="false">IF(Flows!BK14*BK$3*BK$4&lt;0.002,100,MAX($CM$2/(Flows!BK14*BK$3*BK$4),1))</f>
        <v>344.178607793498</v>
      </c>
      <c r="BL17" s="10" t="n">
        <f aca="false">IF(Flows!BL14*BL$3*BL$4&lt;0.002,100,MAX($CM$2/(Flows!BL14*BL$3*BL$4),1))</f>
        <v>5369.75699564341</v>
      </c>
      <c r="BM17" s="10" t="n">
        <f aca="false">IF(Flows!BM14*BM$3*BM$4&lt;0.002,100,MAX($CM$2/(Flows!BM14*BM$3*BM$4),1))</f>
        <v>59.9294618135446</v>
      </c>
      <c r="BN17" s="10" t="n">
        <f aca="false">IF(Flows!BN14*BN$3*BN$4&lt;0.002,100,MAX($CM$2/(Flows!BN14*BN$3*BN$4),1))</f>
        <v>457438.088466581</v>
      </c>
      <c r="BO17" s="10" t="n">
        <f aca="false">IF(Flows!BO14*BO$3*BO$4&lt;0.002,100,MAX($CM$2/(Flows!BO14*BO$3*BO$4),1))</f>
        <v>76239681.4110968</v>
      </c>
      <c r="BP17" s="10" t="n">
        <f aca="false">IF(Flows!BP14*BP$3*BP$4&lt;0.002,100,MAX($CM$2/(Flows!BP14*BP$3*BP$4),1))</f>
        <v>21742439029.9062</v>
      </c>
      <c r="BQ17" s="10" t="n">
        <f aca="false">IF(Flows!BQ14*BQ$3*BQ$4&lt;0.002,100,MAX($CM$2/(Flows!BQ14*BQ$3*BQ$4),1))</f>
        <v>100</v>
      </c>
      <c r="BR17" s="10" t="n">
        <f aca="false">IF(Flows!BR14*BR$3*BR$4&lt;0.002,100,MAX($CM$2/(Flows!BR14*BR$3*BR$4),1))</f>
        <v>762396814.110968</v>
      </c>
      <c r="BS17" s="10" t="n">
        <f aca="false">IF(Flows!BS14*BS$3*BS$4&lt;0.002,100,MAX($CM$2/(Flows!BS14*BS$3*BS$4),1))</f>
        <v>3811990501.32528</v>
      </c>
      <c r="BT17" s="10" t="n">
        <f aca="false">IF(Flows!BT14*BT$3*BT$4&lt;0.002,100,MAX($CM$2/(Flows!BT14*BT$3*BT$4),1))</f>
        <v>7.27499585141573</v>
      </c>
      <c r="BU17" s="10" t="n">
        <f aca="false">IF(Flows!BU14*BU$3*BU$4&lt;0.002,100,MAX($CM$2/(Flows!BU14*BU$3*BU$4),1))</f>
        <v>72.7499585141572</v>
      </c>
      <c r="BV17" s="10" t="n">
        <f aca="false">IF(Flows!BV14*BV$3*BV$4&lt;0.002,100,MAX($CM$2/(Flows!BV14*BV$3*BV$4),1))</f>
        <v>727.499585141572</v>
      </c>
      <c r="BW17" s="10" t="n">
        <f aca="false">IF(Flows!BW14*BW$3*BW$4&lt;0.002,100,MAX($CM$2/(Flows!BW14*BW$3*BW$4),1))</f>
        <v>29.5118094111126</v>
      </c>
      <c r="BX17" s="10" t="n">
        <f aca="false">IF(Flows!BX14*BX$3*BX$4&lt;0.002,100,MAX($CM$2/(Flows!BX14*BX$3*BX$4),1))</f>
        <v>518.285627142098</v>
      </c>
      <c r="BY17" s="10" t="n">
        <f aca="false">IF(Flows!BY14*BY$3*BY$4&lt;0.002,100,MAX($CM$2/(Flows!BY14*BY$3*BY$4),1))</f>
        <v>35.523055516877</v>
      </c>
      <c r="BZ17" s="10" t="n">
        <f aca="false">IF(Flows!BZ14*BZ$3*BZ$4&lt;0.002,100,MAX($CM$2/(Flows!BZ14*BZ$3*BZ$4),1))</f>
        <v>37937.255480463</v>
      </c>
      <c r="CA17" s="10" t="n">
        <f aca="false">IF(Flows!CA14*CA$3*CA$4&lt;0.002,100,MAX($CM$2/(Flows!CA14*CA$3*CA$4),1))</f>
        <v>1446311.72810697</v>
      </c>
      <c r="CB17" s="10" t="n">
        <f aca="false">IF(Flows!CB14*CB$3*CB$4&lt;0.002,100,MAX($CM$2/(Flows!CB14*CB$3*CB$4),1))</f>
        <v>232.53460102638</v>
      </c>
      <c r="CC17" s="10" t="n">
        <f aca="false">IF(Flows!CC14*CC$3*CC$4&lt;0.002,100,MAX($CM$2/(Flows!CC14*CC$3*CC$4),1))</f>
        <v>15.2931170660958</v>
      </c>
      <c r="CD17" s="10" t="n">
        <f aca="false">IF(Flows!CD14*CD$3*CD$4&lt;0.002,100,MAX($CM$2/(Flows!CD14*CD$3*CD$4),1))</f>
        <v>76.9195280476017</v>
      </c>
      <c r="CE17" s="10" t="n">
        <f aca="false">IF(Flows!CE14*CE$3*CE$4&lt;0.002,100,MAX($CM$2/(Flows!CE14*CE$3*CE$4),1))</f>
        <v>263.968007340641</v>
      </c>
      <c r="CF17" s="10" t="n">
        <f aca="false">IF(Flows!CF14*CF$3*CF$4&lt;0.002,100,MAX($CM$2/(Flows!CF14*CF$3*CF$4),1))</f>
        <v>1</v>
      </c>
      <c r="CG17" s="10" t="n">
        <f aca="false">IF(Flows!CG14*CG$3*CG$4&lt;0.002,100,MAX($CM$2/(Flows!CG14*CG$3*CG$4),1))</f>
        <v>7221313.73369592</v>
      </c>
      <c r="CH17" s="10" t="n">
        <f aca="false">IF(Flows!CH14*CH$3*CH$4&lt;0.002,100,MAX($CM$2/(Flows!CH14*CH$3*CH$4),1))</f>
        <v>619839.000516652</v>
      </c>
      <c r="CI17" s="10" t="n">
        <f aca="false">IF(Flows!CI14*CI$3*CI$4&lt;0.002,100,MAX($CM$2/(Flows!CI14*CI$3*CI$4),1))</f>
        <v>3027.65727613159</v>
      </c>
      <c r="CJ17" s="10" t="n">
        <f aca="false">IF(Flows!CJ14*CJ$3*CJ$4&lt;0.002,100,MAX($CM$2/(Flows!CJ14*CJ$3*CJ$4),1))</f>
        <v>3382.37353227077</v>
      </c>
      <c r="CK17" s="10" t="n">
        <f aca="false">IF(Flows!CK14*CK$3*CK$4&lt;0.002,100,MAX($CM$2/(Flows!CK14*CK$3*CK$4),1))</f>
        <v>9336.94828975749</v>
      </c>
      <c r="CL17" s="7" t="s">
        <v>322</v>
      </c>
    </row>
    <row r="18" customFormat="false" ht="12.8" hidden="false" customHeight="false" outlineLevel="0" collapsed="false">
      <c r="A18" s="7" t="s">
        <v>148</v>
      </c>
      <c r="B18" s="7" t="s">
        <v>39</v>
      </c>
      <c r="C18" s="10" t="n">
        <f aca="false">IF(Flows!C15*C$3*C$4&lt;0.002,100,MAX($CM$2/(Flows!C15*C$3*C$4),1))</f>
        <v>7813.54324196063</v>
      </c>
      <c r="D18" s="10" t="n">
        <f aca="false">IF(Flows!D15*D$3*D$4&lt;0.002,100,MAX($CM$2/(Flows!D15*D$3*D$4),1))</f>
        <v>1.64248985046928</v>
      </c>
      <c r="E18" s="10" t="n">
        <f aca="false">IF(Flows!E15*E$3*E$4&lt;0.002,100,MAX($CM$2/(Flows!E15*E$3*E$4),1))</f>
        <v>11.1330711054251</v>
      </c>
      <c r="F18" s="10" t="n">
        <f aca="false">IF(Flows!F15*F$3*F$4&lt;0.002,100,MAX($CM$2/(Flows!F15*F$3*F$4),1))</f>
        <v>28.9811067201241</v>
      </c>
      <c r="G18" s="10" t="n">
        <f aca="false">IF(Flows!G15*G$3*G$4&lt;0.002,100,MAX($CM$2/(Flows!G15*G$3*G$4),1))</f>
        <v>9.17434197106633</v>
      </c>
      <c r="H18" s="10" t="n">
        <f aca="false">IF(Flows!H15*H$3*H$4&lt;0.002,100,MAX($CM$2/(Flows!H15*H$3*H$4),1))</f>
        <v>100</v>
      </c>
      <c r="I18" s="10" t="n">
        <f aca="false">IF(Flows!I15*I$3*I$4&lt;0.002,100,MAX($CM$2/(Flows!I15*I$3*I$4),1))</f>
        <v>1673.79046626744</v>
      </c>
      <c r="J18" s="10" t="n">
        <f aca="false">IF(Flows!J15*J$3*J$4&lt;0.002,100,MAX($CM$2/(Flows!J15*J$3*J$4),1))</f>
        <v>2097.99396912658</v>
      </c>
      <c r="K18" s="10" t="n">
        <f aca="false">IF(Flows!K15*K$3*K$4&lt;0.002,100,MAX($CM$2/(Flows!K15*K$3*K$4),1))</f>
        <v>7991.10060121932</v>
      </c>
      <c r="L18" s="10" t="n">
        <f aca="false">IF(Flows!L15*L$3*L$4&lt;0.002,100,MAX($CM$2/(Flows!L15*L$3*L$4),1))</f>
        <v>21703.9119026504</v>
      </c>
      <c r="M18" s="10" t="n">
        <f aca="false">IF(Flows!M15*M$3*M$4&lt;0.002,100,MAX($CM$2/(Flows!M15*M$3*M$4),1))</f>
        <v>14392.179541772</v>
      </c>
      <c r="N18" s="10" t="n">
        <f aca="false">IF(Flows!N15*N$3*N$4&lt;0.002,100,MAX($CM$2/(Flows!N15*N$3*N$4),1))</f>
        <v>12.1391910916995</v>
      </c>
      <c r="O18" s="10" t="n">
        <f aca="false">IF(Flows!O15*O$3*O$4&lt;0.002,100,MAX($CM$2/(Flows!O15*O$3*O$4),1))</f>
        <v>2.62124802072227</v>
      </c>
      <c r="P18" s="10" t="n">
        <f aca="false">IF(Flows!P15*P$3*P$4&lt;0.002,100,MAX($CM$2/(Flows!P15*P$3*P$4),1))</f>
        <v>4.91484003885425</v>
      </c>
      <c r="Q18" s="10" t="n">
        <f aca="false">IF(Flows!Q15*Q$3*Q$4&lt;0.002,100,MAX($CM$2/(Flows!Q15*Q$3*Q$4),1))</f>
        <v>390.989784449101</v>
      </c>
      <c r="R18" s="10" t="n">
        <f aca="false">IF(Flows!R15*R$3*R$4&lt;0.002,100,MAX($CM$2/(Flows!R15*R$3*R$4),1))</f>
        <v>21.8934263047104</v>
      </c>
      <c r="S18" s="10" t="n">
        <f aca="false">IF(Flows!S15*S$3*S$4&lt;0.002,100,MAX($CM$2/(Flows!S15*S$3*S$4),1))</f>
        <v>186.033530594146</v>
      </c>
      <c r="T18" s="10" t="n">
        <f aca="false">IF(Flows!T15*T$3*T$4&lt;0.002,100,MAX($CM$2/(Flows!T15*T$3*T$4),1))</f>
        <v>332.854111112075</v>
      </c>
      <c r="U18" s="10" t="n">
        <f aca="false">IF(Flows!U15*U$3*U$4&lt;0.002,100,MAX($CM$2/(Flows!U15*U$3*U$4),1))</f>
        <v>59.9674147573832</v>
      </c>
      <c r="V18" s="10" t="n">
        <f aca="false">IF(Flows!V15*V$3*V$4&lt;0.002,100,MAX($CM$2/(Flows!V15*V$3*V$4),1))</f>
        <v>390.199733624235</v>
      </c>
      <c r="W18" s="10" t="n">
        <f aca="false">IF(Flows!W15*W$3*W$4&lt;0.002,100,MAX($CM$2/(Flows!W15*W$3*W$4),1))</f>
        <v>15.868696695352</v>
      </c>
      <c r="X18" s="10" t="n">
        <f aca="false">IF(Flows!X15*X$3*X$4&lt;0.002,100,MAX($CM$2/(Flows!X15*X$3*X$4),1))</f>
        <v>4.63253312001303</v>
      </c>
      <c r="Y18" s="10" t="n">
        <f aca="false">IF(Flows!Y15*Y$3*Y$4&lt;0.002,100,MAX($CM$2/(Flows!Y15*Y$3*Y$4),1))</f>
        <v>108.519559513252</v>
      </c>
      <c r="Z18" s="10" t="n">
        <f aca="false">IF(Flows!Z15*Z$3*Z$4&lt;0.002,100,MAX($CM$2/(Flows!Z15*Z$3*Z$4),1))</f>
        <v>26977.849901088</v>
      </c>
      <c r="AA18" s="10" t="n">
        <f aca="false">IF(Flows!AA15*AA$3*AA$4&lt;0.002,100,MAX($CM$2/(Flows!AA15*AA$3*AA$4),1))</f>
        <v>19333.748724742</v>
      </c>
      <c r="AB18" s="10" t="n">
        <f aca="false">IF(Flows!AB15*AB$3*AB$4&lt;0.002,100,MAX($CM$2/(Flows!AB15*AB$3*AB$4),1))</f>
        <v>17101.2310788318</v>
      </c>
      <c r="AC18" s="10" t="n">
        <f aca="false">IF(Flows!AC15*AC$3*AC$4&lt;0.002,100,MAX($CM$2/(Flows!AC15*AC$3*AC$4),1))</f>
        <v>72658.3599844023</v>
      </c>
      <c r="AD18" s="10" t="n">
        <f aca="false">IF(Flows!AD15*AD$3*AD$4&lt;0.002,100,MAX($CM$2/(Flows!AD15*AD$3*AD$4),1))</f>
        <v>107724.471556328</v>
      </c>
      <c r="AE18" s="10" t="n">
        <f aca="false">IF(Flows!AE15*AE$3*AE$4&lt;0.002,100,MAX($CM$2/(Flows!AE15*AE$3*AE$4),1))</f>
        <v>348855.422332934</v>
      </c>
      <c r="AF18" s="10" t="n">
        <f aca="false">IF(Flows!AF15*AF$3*AF$4&lt;0.002,100,MAX($CM$2/(Flows!AF15*AF$3*AF$4),1))</f>
        <v>1293.57140904353</v>
      </c>
      <c r="AG18" s="10" t="n">
        <f aca="false">IF(Flows!AG15*AG$3*AG$4&lt;0.002,100,MAX($CM$2/(Flows!AG15*AG$3*AG$4),1))</f>
        <v>1054.83512513099</v>
      </c>
      <c r="AH18" s="10" t="n">
        <f aca="false">IF(Flows!AH15*AH$3*AH$4&lt;0.002,100,MAX($CM$2/(Flows!AH15*AH$3*AH$4),1))</f>
        <v>716.879857739926</v>
      </c>
      <c r="AI18" s="10" t="n">
        <f aca="false">IF(Flows!AI15*AI$3*AI$4&lt;0.002,100,MAX($CM$2/(Flows!AI15*AI$3*AI$4),1))</f>
        <v>3759.95134008637</v>
      </c>
      <c r="AJ18" s="10" t="n">
        <f aca="false">IF(Flows!AJ15*AJ$3*AJ$4&lt;0.002,100,MAX($CM$2/(Flows!AJ15*AJ$3*AJ$4),1))</f>
        <v>2137.53872083616</v>
      </c>
      <c r="AK18" s="10" t="n">
        <f aca="false">IF(Flows!AK15*AK$3*AK$4&lt;0.002,100,MAX($CM$2/(Flows!AK15*AK$3*AK$4),1))</f>
        <v>1003.15715385393</v>
      </c>
      <c r="AL18" s="10" t="n">
        <f aca="false">IF(Flows!AL15*AL$3*AL$4&lt;0.002,100,MAX($CM$2/(Flows!AL15*AL$3*AL$4),1))</f>
        <v>1563.26363031866</v>
      </c>
      <c r="AM18" s="10" t="n">
        <f aca="false">IF(Flows!AM15*AM$3*AM$4&lt;0.002,100,MAX($CM$2/(Flows!AM15*AM$3*AM$4),1))</f>
        <v>2755.41694938599</v>
      </c>
      <c r="AN18" s="10" t="n">
        <f aca="false">IF(Flows!AN15*AN$3*AN$4&lt;0.002,100,MAX($CM$2/(Flows!AN15*AN$3*AN$4),1))</f>
        <v>2906.17257814219</v>
      </c>
      <c r="AO18" s="10" t="n">
        <f aca="false">IF(Flows!AO15*AO$3*AO$4&lt;0.002,100,MAX($CM$2/(Flows!AO15*AO$3*AO$4),1))</f>
        <v>34327.914829333</v>
      </c>
      <c r="AP18" s="10" t="n">
        <f aca="false">IF(Flows!AP15*AP$3*AP$4&lt;0.002,100,MAX($CM$2/(Flows!AP15*AP$3*AP$4),1))</f>
        <v>65072.8007397747</v>
      </c>
      <c r="AQ18" s="10" t="n">
        <f aca="false">IF(Flows!AQ15*AQ$3*AQ$4&lt;0.002,100,MAX($CM$2/(Flows!AQ15*AQ$3*AQ$4),1))</f>
        <v>28097.2733871942</v>
      </c>
      <c r="AR18" s="10" t="n">
        <f aca="false">IF(Flows!AR15*AR$3*AR$4&lt;0.002,100,MAX($CM$2/(Flows!AR15*AR$3*AR$4),1))</f>
        <v>21932.0548410007</v>
      </c>
      <c r="AS18" s="10" t="n">
        <f aca="false">IF(Flows!AS15*AS$3*AS$4&lt;0.002,100,MAX($CM$2/(Flows!AS15*AS$3*AS$4),1))</f>
        <v>4533.66121289864</v>
      </c>
      <c r="AT18" s="10" t="n">
        <f aca="false">IF(Flows!AT15*AT$3*AT$4&lt;0.002,100,MAX($CM$2/(Flows!AT15*AT$3*AT$4),1))</f>
        <v>1017.1562697595</v>
      </c>
      <c r="AU18" s="10" t="n">
        <f aca="false">IF(Flows!AU15*AU$3*AU$4&lt;0.002,100,MAX($CM$2/(Flows!AU15*AU$3*AU$4),1))</f>
        <v>2017.16330702708</v>
      </c>
      <c r="AV18" s="10" t="n">
        <f aca="false">IF(Flows!AV15*AV$3*AV$4&lt;0.002,100,MAX($CM$2/(Flows!AV15*AV$3*AV$4),1))</f>
        <v>15442.9450865757</v>
      </c>
      <c r="AW18" s="10" t="n">
        <f aca="false">IF(Flows!AW15*AW$3*AW$4&lt;0.002,100,MAX($CM$2/(Flows!AW15*AW$3*AW$4),1))</f>
        <v>22.7704293413042</v>
      </c>
      <c r="AX18" s="10" t="n">
        <f aca="false">IF(Flows!AX15*AX$3*AX$4&lt;0.002,100,MAX($CM$2/(Flows!AX15*AX$3*AX$4),1))</f>
        <v>3798.33778300225</v>
      </c>
      <c r="AY18" s="10" t="n">
        <f aca="false">IF(Flows!AY15*AY$3*AY$4&lt;0.002,100,MAX($CM$2/(Flows!AY15*AY$3*AY$4),1))</f>
        <v>980.170513931668</v>
      </c>
      <c r="AZ18" s="10" t="n">
        <f aca="false">IF(Flows!AZ15*AZ$3*AZ$4&lt;0.002,100,MAX($CM$2/(Flows!AZ15*AZ$3*AZ$4),1))</f>
        <v>256.406622241236</v>
      </c>
      <c r="BA18" s="10" t="n">
        <f aca="false">IF(Flows!BA15*BA$3*BA$4&lt;0.002,100,MAX($CM$2/(Flows!BA15*BA$3*BA$4),1))</f>
        <v>1106.89950703517</v>
      </c>
      <c r="BB18" s="10" t="n">
        <f aca="false">IF(Flows!BB15*BB$3*BB$4&lt;0.002,100,MAX($CM$2/(Flows!BB15*BB$3*BB$4),1))</f>
        <v>5267.66924335391</v>
      </c>
      <c r="BC18" s="10" t="n">
        <f aca="false">IF(Flows!BC15*BC$3*BC$4&lt;0.002,100,MAX($CM$2/(Flows!BC15*BC$3*BC$4),1))</f>
        <v>2704.88458416477</v>
      </c>
      <c r="BD18" s="10" t="n">
        <f aca="false">IF(Flows!BD15*BD$3*BD$4&lt;0.002,100,MAX($CM$2/(Flows!BD15*BD$3*BD$4),1))</f>
        <v>9363.67911753335</v>
      </c>
      <c r="BE18" s="10" t="n">
        <f aca="false">IF(Flows!BE15*BE$3*BE$4&lt;0.002,100,MAX($CM$2/(Flows!BE15*BE$3*BE$4),1))</f>
        <v>21834.9026429196</v>
      </c>
      <c r="BF18" s="10" t="n">
        <f aca="false">IF(Flows!BF15*BF$3*BF$4&lt;0.002,100,MAX($CM$2/(Flows!BF15*BF$3*BF$4),1))</f>
        <v>625.319942773843</v>
      </c>
      <c r="BG18" s="10" t="n">
        <f aca="false">IF(Flows!BG15*BG$3*BG$4&lt;0.002,100,MAX($CM$2/(Flows!BG15*BG$3*BG$4),1))</f>
        <v>178.624893093559</v>
      </c>
      <c r="BH18" s="10" t="n">
        <f aca="false">IF(Flows!BH15*BH$3*BH$4&lt;0.002,100,MAX($CM$2/(Flows!BH15*BH$3*BH$4),1))</f>
        <v>953260.032387069</v>
      </c>
      <c r="BI18" s="10" t="n">
        <f aca="false">IF(Flows!BI15*BI$3*BI$4&lt;0.002,100,MAX($CM$2/(Flows!BI15*BI$3*BI$4),1))</f>
        <v>56.7347180318775</v>
      </c>
      <c r="BJ18" s="10" t="n">
        <f aca="false">IF(Flows!BJ15*BJ$3*BJ$4&lt;0.002,100,MAX($CM$2/(Flows!BJ15*BJ$3*BJ$4),1))</f>
        <v>43.6353714700516</v>
      </c>
      <c r="BK18" s="10" t="n">
        <f aca="false">IF(Flows!BK15*BK$3*BK$4&lt;0.002,100,MAX($CM$2/(Flows!BK15*BK$3*BK$4),1))</f>
        <v>113.469436063755</v>
      </c>
      <c r="BL18" s="10" t="n">
        <f aca="false">IF(Flows!BL15*BL$3*BL$4&lt;0.002,100,MAX($CM$2/(Flows!BL15*BL$3*BL$4),1))</f>
        <v>257.1198331682</v>
      </c>
      <c r="BM18" s="10" t="n">
        <f aca="false">IF(Flows!BM15*BM$3*BM$4&lt;0.002,100,MAX($CM$2/(Flows!BM15*BM$3*BM$4),1))</f>
        <v>479.936417881514</v>
      </c>
      <c r="BN18" s="10" t="n">
        <f aca="false">IF(Flows!BN15*BN$3*BN$4&lt;0.002,100,MAX($CM$2/(Flows!BN15*BN$3*BN$4),1))</f>
        <v>232867.797811798</v>
      </c>
      <c r="BO18" s="10" t="n">
        <f aca="false">IF(Flows!BO15*BO$3*BO$4&lt;0.002,100,MAX($CM$2/(Flows!BO15*BO$3*BO$4),1))</f>
        <v>38811299.6352996</v>
      </c>
      <c r="BP18" s="10" t="n">
        <f aca="false">IF(Flows!BP15*BP$3*BP$4&lt;0.002,100,MAX($CM$2/(Flows!BP15*BP$3*BP$4),1))</f>
        <v>16290998225.0294</v>
      </c>
      <c r="BQ18" s="10" t="n">
        <f aca="false">IF(Flows!BQ15*BQ$3*BQ$4&lt;0.002,100,MAX($CM$2/(Flows!BQ15*BQ$3*BQ$4),1))</f>
        <v>100</v>
      </c>
      <c r="BR18" s="10" t="n">
        <f aca="false">IF(Flows!BR15*BR$3*BR$4&lt;0.002,100,MAX($CM$2/(Flows!BR15*BR$3*BR$4),1))</f>
        <v>388112996.352996</v>
      </c>
      <c r="BS18" s="10" t="n">
        <f aca="false">IF(Flows!BS15*BS$3*BS$4&lt;0.002,100,MAX($CM$2/(Flows!BS15*BS$3*BS$4),1))</f>
        <v>1940567857.84976</v>
      </c>
      <c r="BT18" s="10" t="n">
        <f aca="false">IF(Flows!BT15*BT$3*BT$4&lt;0.002,100,MAX($CM$2/(Flows!BT15*BT$3*BT$4),1))</f>
        <v>3.09039617707113</v>
      </c>
      <c r="BU18" s="10" t="n">
        <f aca="false">IF(Flows!BU15*BU$3*BU$4&lt;0.002,100,MAX($CM$2/(Flows!BU15*BU$3*BU$4),1))</f>
        <v>30.9039617707113</v>
      </c>
      <c r="BV18" s="10" t="n">
        <f aca="false">IF(Flows!BV15*BV$3*BV$4&lt;0.002,100,MAX($CM$2/(Flows!BV15*BV$3*BV$4),1))</f>
        <v>309.039617707113</v>
      </c>
      <c r="BW18" s="10" t="n">
        <f aca="false">IF(Flows!BW15*BW$3*BW$4&lt;0.002,100,MAX($CM$2/(Flows!BW15*BW$3*BW$4),1))</f>
        <v>22.6298439414576</v>
      </c>
      <c r="BX18" s="10" t="n">
        <f aca="false">IF(Flows!BX15*BX$3*BX$4&lt;0.002,100,MAX($CM$2/(Flows!BX15*BX$3*BX$4),1))</f>
        <v>22.9489930902219</v>
      </c>
      <c r="BY18" s="10" t="n">
        <f aca="false">IF(Flows!BY15*BY$3*BY$4&lt;0.002,100,MAX($CM$2/(Flows!BY15*BY$3*BY$4),1))</f>
        <v>41.428123055565</v>
      </c>
      <c r="BZ18" s="10" t="n">
        <f aca="false">IF(Flows!BZ15*BZ$3*BZ$4&lt;0.002,100,MAX($CM$2/(Flows!BZ15*BZ$3*BZ$4),1))</f>
        <v>38732.4572478566</v>
      </c>
      <c r="CA18" s="10" t="n">
        <f aca="false">IF(Flows!CA15*CA$3*CA$4&lt;0.002,100,MAX($CM$2/(Flows!CA15*CA$3*CA$4),1))</f>
        <v>17391.8465072706</v>
      </c>
      <c r="CB18" s="10" t="n">
        <f aca="false">IF(Flows!CB15*CB$3*CB$4&lt;0.002,100,MAX($CM$2/(Flows!CB15*CB$3*CB$4),1))</f>
        <v>40.0308828160535</v>
      </c>
      <c r="CC18" s="10" t="n">
        <f aca="false">IF(Flows!CC15*CC$3*CC$4&lt;0.002,100,MAX($CM$2/(Flows!CC15*CC$3*CC$4),1))</f>
        <v>9.04481420623713</v>
      </c>
      <c r="CD18" s="10" t="n">
        <f aca="false">IF(Flows!CD15*CD$3*CD$4&lt;0.002,100,MAX($CM$2/(Flows!CD15*CD$3*CD$4),1))</f>
        <v>44.0740013930681</v>
      </c>
      <c r="CE18" s="10" t="n">
        <f aca="false">IF(Flows!CE15*CE$3*CE$4&lt;0.002,100,MAX($CM$2/(Flows!CE15*CE$3*CE$4),1))</f>
        <v>35.1171139485946</v>
      </c>
      <c r="CF18" s="10" t="n">
        <f aca="false">IF(Flows!CF15*CF$3*CF$4&lt;0.002,100,MAX($CM$2/(Flows!CF15*CF$3*CF$4),1))</f>
        <v>1.04714665914757</v>
      </c>
      <c r="CG18" s="10" t="n">
        <f aca="false">IF(Flows!CG15*CG$3*CG$4&lt;0.002,100,MAX($CM$2/(Flows!CG15*CG$3*CG$4),1))</f>
        <v>622504.304363722</v>
      </c>
      <c r="CH18" s="10" t="n">
        <f aca="false">IF(Flows!CH15*CH$3*CH$4&lt;0.002,100,MAX($CM$2/(Flows!CH15*CH$3*CH$4),1))</f>
        <v>62071134.4520025</v>
      </c>
      <c r="CI18" s="10" t="n">
        <f aca="false">IF(Flows!CI15*CI$3*CI$4&lt;0.002,100,MAX($CM$2/(Flows!CI15*CI$3*CI$4),1))</f>
        <v>1057.48907055101</v>
      </c>
      <c r="CJ18" s="10" t="n">
        <f aca="false">IF(Flows!CJ15*CJ$3*CJ$4&lt;0.002,100,MAX($CM$2/(Flows!CJ15*CJ$3*CJ$4),1))</f>
        <v>7995.86322520109</v>
      </c>
      <c r="CK18" s="10" t="n">
        <f aca="false">IF(Flows!CK15*CK$3*CK$4&lt;0.002,100,MAX($CM$2/(Flows!CK15*CK$3*CK$4),1))</f>
        <v>1994.48826946788</v>
      </c>
      <c r="CL18" s="7" t="s">
        <v>322</v>
      </c>
    </row>
    <row r="19" customFormat="false" ht="12.8" hidden="false" customHeight="false" outlineLevel="0" collapsed="false">
      <c r="A19" s="7" t="s">
        <v>150</v>
      </c>
      <c r="B19" s="7" t="s">
        <v>39</v>
      </c>
      <c r="C19" s="10" t="n">
        <f aca="false">IF(Flows!C16*C$3*C$4&lt;0.002,100,MAX($CM$2/(Flows!C16*C$3*C$4),1))</f>
        <v>21545.9093302427</v>
      </c>
      <c r="D19" s="10" t="n">
        <f aca="false">IF(Flows!D16*D$3*D$4&lt;0.002,100,MAX($CM$2/(Flows!D16*D$3*D$4),1))</f>
        <v>3.5794628737521</v>
      </c>
      <c r="E19" s="10" t="n">
        <f aca="false">IF(Flows!E16*E$3*E$4&lt;0.002,100,MAX($CM$2/(Flows!E16*E$3*E$4),1))</f>
        <v>19.4127349118641</v>
      </c>
      <c r="F19" s="10" t="n">
        <f aca="false">IF(Flows!F16*F$3*F$4&lt;0.002,100,MAX($CM$2/(Flows!F16*F$3*F$4),1))</f>
        <v>53.0084732857097</v>
      </c>
      <c r="G19" s="10" t="n">
        <f aca="false">IF(Flows!G16*G$3*G$4&lt;0.002,100,MAX($CM$2/(Flows!G16*G$3*G$4),1))</f>
        <v>33.0735145086978</v>
      </c>
      <c r="H19" s="10" t="n">
        <f aca="false">IF(Flows!H16*H$3*H$4&lt;0.002,100,MAX($CM$2/(Flows!H16*H$3*H$4),1))</f>
        <v>100</v>
      </c>
      <c r="I19" s="10" t="n">
        <f aca="false">IF(Flows!I16*I$3*I$4&lt;0.002,100,MAX($CM$2/(Flows!I16*I$3*I$4),1))</f>
        <v>1134.48222782511</v>
      </c>
      <c r="J19" s="10" t="n">
        <f aca="false">IF(Flows!J16*J$3*J$4&lt;0.002,100,MAX($CM$2/(Flows!J16*J$3*J$4),1))</f>
        <v>1509.3244408583</v>
      </c>
      <c r="K19" s="10" t="n">
        <f aca="false">IF(Flows!K16*K$3*K$4&lt;0.002,100,MAX($CM$2/(Flows!K16*K$3*K$4),1))</f>
        <v>14133.5374298332</v>
      </c>
      <c r="L19" s="10" t="n">
        <f aca="false">IF(Flows!L16*L$3*L$4&lt;0.002,100,MAX($CM$2/(Flows!L16*L$3*L$4),1))</f>
        <v>35767.3314088143</v>
      </c>
      <c r="M19" s="10" t="n">
        <f aca="false">IF(Flows!M16*M$3*M$4&lt;0.002,100,MAX($CM$2/(Flows!M16*M$3*M$4),1))</f>
        <v>23572.9799900481</v>
      </c>
      <c r="N19" s="10" t="n">
        <f aca="false">IF(Flows!N16*N$3*N$4&lt;0.002,100,MAX($CM$2/(Flows!N16*N$3*N$4),1))</f>
        <v>17.0027663214</v>
      </c>
      <c r="O19" s="10" t="n">
        <f aca="false">IF(Flows!O16*O$3*O$4&lt;0.002,100,MAX($CM$2/(Flows!O16*O$3*O$4),1))</f>
        <v>3.34564098126872</v>
      </c>
      <c r="P19" s="10" t="n">
        <f aca="false">IF(Flows!P16*P$3*P$4&lt;0.002,100,MAX($CM$2/(Flows!P16*P$3*P$4),1))</f>
        <v>6.27307683987884</v>
      </c>
      <c r="Q19" s="10" t="n">
        <f aca="false">IF(Flows!Q16*Q$3*Q$4&lt;0.002,100,MAX($CM$2/(Flows!Q16*Q$3*Q$4),1))</f>
        <v>812.184046439183</v>
      </c>
      <c r="R19" s="10" t="n">
        <f aca="false">IF(Flows!R16*R$3*R$4&lt;0.002,100,MAX($CM$2/(Flows!R16*R$3*R$4),1))</f>
        <v>38.7220203557074</v>
      </c>
      <c r="S19" s="10" t="n">
        <f aca="false">IF(Flows!S16*S$3*S$4&lt;0.002,100,MAX($CM$2/(Flows!S16*S$3*S$4),1))</f>
        <v>306.577126361265</v>
      </c>
      <c r="T19" s="10" t="n">
        <f aca="false">IF(Flows!T16*T$3*T$4&lt;0.002,100,MAX($CM$2/(Flows!T16*T$3*T$4),1))</f>
        <v>548.532603538538</v>
      </c>
      <c r="U19" s="10" t="n">
        <f aca="false">IF(Flows!U16*U$3*U$4&lt;0.002,100,MAX($CM$2/(Flows!U16*U$3*U$4),1))</f>
        <v>98.2207499585336</v>
      </c>
      <c r="V19" s="10" t="n">
        <f aca="false">IF(Flows!V16*V$3*V$4&lt;0.002,100,MAX($CM$2/(Flows!V16*V$3*V$4),1))</f>
        <v>419.362811691704</v>
      </c>
      <c r="W19" s="10" t="n">
        <f aca="false">IF(Flows!W16*W$3*W$4&lt;0.002,100,MAX($CM$2/(Flows!W16*W$3*W$4),1))</f>
        <v>11.3680623809397</v>
      </c>
      <c r="X19" s="10" t="n">
        <f aca="false">IF(Flows!X16*X$3*X$4&lt;0.002,100,MAX($CM$2/(Flows!X16*X$3*X$4),1))</f>
        <v>5.62579209303594</v>
      </c>
      <c r="Y19" s="10" t="n">
        <f aca="false">IF(Flows!Y16*Y$3*Y$4&lt;0.002,100,MAX($CM$2/(Flows!Y16*Y$3*Y$4),1))</f>
        <v>178.836657044072</v>
      </c>
      <c r="Z19" s="10" t="n">
        <f aca="false">IF(Flows!Z16*Z$3*Z$4&lt;0.002,100,MAX($CM$2/(Flows!Z16*Z$3*Z$4),1))</f>
        <v>8963.97618844892</v>
      </c>
      <c r="AA19" s="10" t="n">
        <f aca="false">IF(Flows!AA16*AA$3*AA$4&lt;0.002,100,MAX($CM$2/(Flows!AA16*AA$3*AA$4),1))</f>
        <v>15531.3655104552</v>
      </c>
      <c r="AB19" s="10" t="n">
        <f aca="false">IF(Flows!AB16*AB$3*AB$4&lt;0.002,100,MAX($CM$2/(Flows!AB16*AB$3*AB$4),1))</f>
        <v>16057.4049335466</v>
      </c>
      <c r="AC19" s="10" t="n">
        <f aca="false">IF(Flows!AC16*AC$3*AC$4&lt;0.002,100,MAX($CM$2/(Flows!AC16*AC$3*AC$4),1))</f>
        <v>94713.6392464975</v>
      </c>
      <c r="AD19" s="10" t="n">
        <f aca="false">IF(Flows!AD16*AD$3*AD$4&lt;0.002,100,MAX($CM$2/(Flows!AD16*AD$3*AD$4),1))</f>
        <v>101149.177685425</v>
      </c>
      <c r="AE19" s="10" t="n">
        <f aca="false">IF(Flows!AE16*AE$3*AE$4&lt;0.002,100,MAX($CM$2/(Flows!AE16*AE$3*AE$4),1))</f>
        <v>356226.330909342</v>
      </c>
      <c r="AF19" s="10" t="n">
        <f aca="false">IF(Flows!AF16*AF$3*AF$4&lt;0.002,100,MAX($CM$2/(Flows!AF16*AF$3*AF$4),1))</f>
        <v>1274.40547424399</v>
      </c>
      <c r="AG19" s="10" t="n">
        <f aca="false">IF(Flows!AG16*AG$3*AG$4&lt;0.002,100,MAX($CM$2/(Flows!AG16*AG$3*AG$4),1))</f>
        <v>1221.80605204394</v>
      </c>
      <c r="AH19" s="10" t="n">
        <f aca="false">IF(Flows!AH16*AH$3*AH$4&lt;0.002,100,MAX($CM$2/(Flows!AH16*AH$3*AH$4),1))</f>
        <v>753.74433540591</v>
      </c>
      <c r="AI19" s="10" t="n">
        <f aca="false">IF(Flows!AI16*AI$3*AI$4&lt;0.002,100,MAX($CM$2/(Flows!AI16*AI$3*AI$4),1))</f>
        <v>4215.22769597079</v>
      </c>
      <c r="AJ19" s="10" t="n">
        <f aca="false">IF(Flows!AJ16*AJ$3*AJ$4&lt;0.002,100,MAX($CM$2/(Flows!AJ16*AJ$3*AJ$4),1))</f>
        <v>1703.09680476168</v>
      </c>
      <c r="AK19" s="10" t="n">
        <f aca="false">IF(Flows!AK16*AK$3*AK$4&lt;0.002,100,MAX($CM$2/(Flows!AK16*AK$3*AK$4),1))</f>
        <v>628.620270664555</v>
      </c>
      <c r="AL19" s="10" t="n">
        <f aca="false">IF(Flows!AL16*AL$3*AL$4&lt;0.002,100,MAX($CM$2/(Flows!AL16*AL$3*AL$4),1))</f>
        <v>1311.56851732194</v>
      </c>
      <c r="AM19" s="10" t="n">
        <f aca="false">IF(Flows!AM16*AM$3*AM$4&lt;0.002,100,MAX($CM$2/(Flows!AM16*AM$3*AM$4),1))</f>
        <v>2654.71864490433</v>
      </c>
      <c r="AN19" s="10" t="n">
        <f aca="false">IF(Flows!AN16*AN$3*AN$4&lt;0.002,100,MAX($CM$2/(Flows!AN16*AN$3*AN$4),1))</f>
        <v>3013.98554363092</v>
      </c>
      <c r="AO19" s="10" t="n">
        <f aca="false">IF(Flows!AO16*AO$3*AO$4&lt;0.002,100,MAX($CM$2/(Flows!AO16*AO$3*AO$4),1))</f>
        <v>25194.302734096</v>
      </c>
      <c r="AP19" s="10" t="n">
        <f aca="false">IF(Flows!AP16*AP$3*AP$4&lt;0.002,100,MAX($CM$2/(Flows!AP16*AP$3*AP$4),1))</f>
        <v>69310.3060864914</v>
      </c>
      <c r="AQ19" s="10" t="n">
        <f aca="false">IF(Flows!AQ16*AQ$3*AQ$4&lt;0.002,100,MAX($CM$2/(Flows!AQ16*AQ$3*AQ$4),1))</f>
        <v>17589.134152792</v>
      </c>
      <c r="AR19" s="10" t="n">
        <f aca="false">IF(Flows!AR16*AR$3*AR$4&lt;0.002,100,MAX($CM$2/(Flows!AR16*AR$3*AR$4),1))</f>
        <v>27730.9730064422</v>
      </c>
      <c r="AS19" s="10" t="n">
        <f aca="false">IF(Flows!AS16*AS$3*AS$4&lt;0.002,100,MAX($CM$2/(Flows!AS16*AS$3*AS$4),1))</f>
        <v>3940.98480226727</v>
      </c>
      <c r="AT19" s="10" t="n">
        <f aca="false">IF(Flows!AT16*AT$3*AT$4&lt;0.002,100,MAX($CM$2/(Flows!AT16*AT$3*AT$4),1))</f>
        <v>1100.2699983812</v>
      </c>
      <c r="AU19" s="10" t="n">
        <f aca="false">IF(Flows!AU16*AU$3*AU$4&lt;0.002,100,MAX($CM$2/(Flows!AU16*AU$3*AU$4),1))</f>
        <v>1953.36116208021</v>
      </c>
      <c r="AV19" s="10" t="n">
        <f aca="false">IF(Flows!AV16*AV$3*AV$4&lt;0.002,100,MAX($CM$2/(Flows!AV16*AV$3*AV$4),1))</f>
        <v>15109.9803315633</v>
      </c>
      <c r="AW19" s="10" t="n">
        <f aca="false">IF(Flows!AW16*AW$3*AW$4&lt;0.002,100,MAX($CM$2/(Flows!AW16*AW$3*AW$4),1))</f>
        <v>30.2831576762296</v>
      </c>
      <c r="AX19" s="10" t="n">
        <f aca="false">IF(Flows!AX16*AX$3*AX$4&lt;0.002,100,MAX($CM$2/(Flows!AX16*AX$3*AX$4),1))</f>
        <v>6867.57087093529</v>
      </c>
      <c r="AY19" s="10" t="n">
        <f aca="false">IF(Flows!AY16*AY$3*AY$4&lt;0.002,100,MAX($CM$2/(Flows!AY16*AY$3*AY$4),1))</f>
        <v>815.765951863678</v>
      </c>
      <c r="AZ19" s="10" t="n">
        <f aca="false">IF(Flows!AZ16*AZ$3*AZ$4&lt;0.002,100,MAX($CM$2/(Flows!AZ16*AZ$3*AZ$4),1))</f>
        <v>242.850894676682</v>
      </c>
      <c r="BA19" s="10" t="n">
        <f aca="false">IF(Flows!BA16*BA$3*BA$4&lt;0.002,100,MAX($CM$2/(Flows!BA16*BA$3*BA$4),1))</f>
        <v>1824.13390184953</v>
      </c>
      <c r="BB19" s="10" t="n">
        <f aca="false">IF(Flows!BB16*BB$3*BB$4&lt;0.002,100,MAX($CM$2/(Flows!BB16*BB$3*BB$4),1))</f>
        <v>5685.01420164856</v>
      </c>
      <c r="BC19" s="10" t="n">
        <f aca="false">IF(Flows!BC16*BC$3*BC$4&lt;0.002,100,MAX($CM$2/(Flows!BC16*BC$3*BC$4),1))</f>
        <v>2402.81736426593</v>
      </c>
      <c r="BD19" s="10" t="n">
        <f aca="false">IF(Flows!BD16*BD$3*BD$4&lt;0.002,100,MAX($CM$2/(Flows!BD16*BD$3*BD$4),1))</f>
        <v>9528.79840630598</v>
      </c>
      <c r="BE19" s="10" t="n">
        <f aca="false">IF(Flows!BE16*BE$3*BE$4&lt;0.002,100,MAX($CM$2/(Flows!BE16*BE$3*BE$4),1))</f>
        <v>18981.7506130297</v>
      </c>
      <c r="BF19" s="10" t="n">
        <f aca="false">IF(Flows!BF16*BF$3*BF$4&lt;0.002,100,MAX($CM$2/(Flows!BF16*BF$3*BF$4),1))</f>
        <v>1080.24359141824</v>
      </c>
      <c r="BG19" s="10" t="n">
        <f aca="false">IF(Flows!BG16*BG$3*BG$4&lt;0.002,100,MAX($CM$2/(Flows!BG16*BG$3*BG$4),1))</f>
        <v>291.154511378459</v>
      </c>
      <c r="BH19" s="10" t="n">
        <f aca="false">IF(Flows!BH16*BH$3*BH$4&lt;0.002,100,MAX($CM$2/(Flows!BH16*BH$3*BH$4),1))</f>
        <v>144.701781832209</v>
      </c>
      <c r="BI19" s="10" t="n">
        <f aca="false">IF(Flows!BI16*BI$3*BI$4&lt;0.002,100,MAX($CM$2/(Flows!BI16*BI$3*BI$4),1))</f>
        <v>144.82937541236</v>
      </c>
      <c r="BJ19" s="10" t="n">
        <f aca="false">IF(Flows!BJ16*BJ$3*BJ$4&lt;0.002,100,MAX($CM$2/(Flows!BJ16*BJ$3*BJ$4),1))</f>
        <v>6.25681932637647</v>
      </c>
      <c r="BK19" s="10" t="n">
        <f aca="false">IF(Flows!BK16*BK$3*BK$4&lt;0.002,100,MAX($CM$2/(Flows!BK16*BK$3*BK$4),1))</f>
        <v>289.658750824719</v>
      </c>
      <c r="BL19" s="10" t="n">
        <f aca="false">IF(Flows!BL16*BL$3*BL$4&lt;0.002,100,MAX($CM$2/(Flows!BL16*BL$3*BL$4),1))</f>
        <v>228.411673551324</v>
      </c>
      <c r="BM19" s="10" t="n">
        <f aca="false">IF(Flows!BM16*BM$3*BM$4&lt;0.002,100,MAX($CM$2/(Flows!BM16*BM$3*BM$4),1))</f>
        <v>74.3178180790438</v>
      </c>
      <c r="BN19" s="10" t="n">
        <f aca="false">IF(Flows!BN16*BN$3*BN$4&lt;0.002,100,MAX($CM$2/(Flows!BN16*BN$3*BN$4),1))</f>
        <v>809645.364086635</v>
      </c>
      <c r="BO19" s="10" t="n">
        <f aca="false">IF(Flows!BO16*BO$3*BO$4&lt;0.002,100,MAX($CM$2/(Flows!BO16*BO$3*BO$4),1))</f>
        <v>134940894.014439</v>
      </c>
      <c r="BP19" s="10" t="n">
        <f aca="false">IF(Flows!BP16*BP$3*BP$4&lt;0.002,100,MAX($CM$2/(Flows!BP16*BP$3*BP$4),1))</f>
        <v>34484620400.1461</v>
      </c>
      <c r="BQ19" s="10" t="n">
        <f aca="false">IF(Flows!BQ16*BQ$3*BQ$4&lt;0.002,100,MAX($CM$2/(Flows!BQ16*BQ$3*BQ$4),1))</f>
        <v>100</v>
      </c>
      <c r="BR19" s="10" t="n">
        <f aca="false">IF(Flows!BR16*BR$3*BR$4&lt;0.002,100,MAX($CM$2/(Flows!BR16*BR$3*BR$4),1))</f>
        <v>1349408940.14439</v>
      </c>
      <c r="BS19" s="10" t="n">
        <f aca="false">IF(Flows!BS16*BS$3*BS$4&lt;0.002,100,MAX($CM$2/(Flows!BS16*BS$3*BS$4),1))</f>
        <v>6747047828.68112</v>
      </c>
      <c r="BT19" s="10" t="n">
        <f aca="false">IF(Flows!BT16*BT$3*BT$4&lt;0.002,100,MAX($CM$2/(Flows!BT16*BT$3*BT$4),1))</f>
        <v>4.91788683330658</v>
      </c>
      <c r="BU19" s="10" t="n">
        <f aca="false">IF(Flows!BU16*BU$3*BU$4&lt;0.002,100,MAX($CM$2/(Flows!BU16*BU$3*BU$4),1))</f>
        <v>49.1788683330658</v>
      </c>
      <c r="BV19" s="10" t="n">
        <f aca="false">IF(Flows!BV16*BV$3*BV$4&lt;0.002,100,MAX($CM$2/(Flows!BV16*BV$3*BV$4),1))</f>
        <v>491.788683330658</v>
      </c>
      <c r="BW19" s="10" t="n">
        <f aca="false">IF(Flows!BW16*BW$3*BW$4&lt;0.002,100,MAX($CM$2/(Flows!BW16*BW$3*BW$4),1))</f>
        <v>24.0009256506417</v>
      </c>
      <c r="BX19" s="10" t="n">
        <f aca="false">IF(Flows!BX16*BX$3*BX$4&lt;0.002,100,MAX($CM$2/(Flows!BX16*BX$3*BX$4),1))</f>
        <v>25.6979627942424</v>
      </c>
      <c r="BY19" s="10" t="n">
        <f aca="false">IF(Flows!BY16*BY$3*BY$4&lt;0.002,100,MAX($CM$2/(Flows!BY16*BY$3*BY$4),1))</f>
        <v>212.272195167708</v>
      </c>
      <c r="BZ19" s="10" t="n">
        <f aca="false">IF(Flows!BZ16*BZ$3*BZ$4&lt;0.002,100,MAX($CM$2/(Flows!BZ16*BZ$3*BZ$4),1))</f>
        <v>57954.1470275112</v>
      </c>
      <c r="CA19" s="10" t="n">
        <f aca="false">IF(Flows!CA16*CA$3*CA$4&lt;0.002,100,MAX($CM$2/(Flows!CA16*CA$3*CA$4),1))</f>
        <v>63240.0552346661</v>
      </c>
      <c r="CB19" s="10" t="n">
        <f aca="false">IF(Flows!CB16*CB$3*CB$4&lt;0.002,100,MAX($CM$2/(Flows!CB16*CB$3*CB$4),1))</f>
        <v>171.183209323525</v>
      </c>
      <c r="CC19" s="10" t="n">
        <f aca="false">IF(Flows!CC16*CC$3*CC$4&lt;0.002,100,MAX($CM$2/(Flows!CC16*CC$3*CC$4),1))</f>
        <v>200.824809615378</v>
      </c>
      <c r="CD19" s="10" t="n">
        <f aca="false">IF(Flows!CD16*CD$3*CD$4&lt;0.002,100,MAX($CM$2/(Flows!CD16*CD$3*CD$4),1))</f>
        <v>63.1286645506231</v>
      </c>
      <c r="CE19" s="10" t="n">
        <f aca="false">IF(Flows!CE16*CE$3*CE$4&lt;0.002,100,MAX($CM$2/(Flows!CE16*CE$3*CE$4),1))</f>
        <v>31.3972246410743</v>
      </c>
      <c r="CF19" s="10" t="n">
        <f aca="false">IF(Flows!CF16*CF$3*CF$4&lt;0.002,100,MAX($CM$2/(Flows!CF16*CF$3*CF$4),1))</f>
        <v>2.05302880019177</v>
      </c>
      <c r="CG19" s="10" t="n">
        <f aca="false">IF(Flows!CG16*CG$3*CG$4&lt;0.002,100,MAX($CM$2/(Flows!CG16*CG$3*CG$4),1))</f>
        <v>482054.07315683</v>
      </c>
      <c r="CH19" s="10" t="n">
        <f aca="false">IF(Flows!CH16*CH$3*CH$4&lt;0.002,100,MAX($CM$2/(Flows!CH16*CH$3*CH$4),1))</f>
        <v>1445474.30538092</v>
      </c>
      <c r="CI19" s="10" t="n">
        <f aca="false">IF(Flows!CI16*CI$3*CI$4&lt;0.002,100,MAX($CM$2/(Flows!CI16*CI$3*CI$4),1))</f>
        <v>379.096948292871</v>
      </c>
      <c r="CJ19" s="10" t="n">
        <f aca="false">IF(Flows!CJ16*CJ$3*CJ$4&lt;0.002,100,MAX($CM$2/(Flows!CJ16*CJ$3*CJ$4),1))</f>
        <v>5724.83488516983</v>
      </c>
      <c r="CK19" s="10" t="n">
        <f aca="false">IF(Flows!CK16*CK$3*CK$4&lt;0.002,100,MAX($CM$2/(Flows!CK16*CK$3*CK$4),1))</f>
        <v>1253.74091418705</v>
      </c>
      <c r="CL19" s="7" t="s">
        <v>322</v>
      </c>
    </row>
    <row r="20" customFormat="false" ht="12.8" hidden="false" customHeight="false" outlineLevel="0" collapsed="false">
      <c r="A20" s="7" t="s">
        <v>151</v>
      </c>
      <c r="B20" s="7" t="s">
        <v>39</v>
      </c>
      <c r="C20" s="10" t="n">
        <f aca="false">IF(Flows!C17*C$3*C$4&lt;0.002,100,MAX($CM$2/(Flows!C17*C$3*C$4),1))</f>
        <v>3118.23697464595</v>
      </c>
      <c r="D20" s="10" t="n">
        <f aca="false">IF(Flows!D17*D$3*D$4&lt;0.002,100,MAX($CM$2/(Flows!D17*D$3*D$4),1))</f>
        <v>1</v>
      </c>
      <c r="E20" s="10" t="n">
        <f aca="false">IF(Flows!E17*E$3*E$4&lt;0.002,100,MAX($CM$2/(Flows!E17*E$3*E$4),1))</f>
        <v>4.10079804748396</v>
      </c>
      <c r="F20" s="10" t="n">
        <f aca="false">IF(Flows!F17*F$3*F$4&lt;0.002,100,MAX($CM$2/(Flows!F17*F$3*F$4),1))</f>
        <v>11.4346827277701</v>
      </c>
      <c r="G20" s="10" t="n">
        <f aca="false">IF(Flows!G17*G$3*G$4&lt;0.002,100,MAX($CM$2/(Flows!G17*G$3*G$4),1))</f>
        <v>3.18672008232694</v>
      </c>
      <c r="H20" s="10" t="n">
        <f aca="false">IF(Flows!H17*H$3*H$4&lt;0.002,100,MAX($CM$2/(Flows!H17*H$3*H$4),1))</f>
        <v>100</v>
      </c>
      <c r="I20" s="10" t="n">
        <f aca="false">IF(Flows!I17*I$3*I$4&lt;0.002,100,MAX($CM$2/(Flows!I17*I$3*I$4),1))</f>
        <v>999.196984585391</v>
      </c>
      <c r="J20" s="10" t="n">
        <f aca="false">IF(Flows!J17*J$3*J$4&lt;0.002,100,MAX($CM$2/(Flows!J17*J$3*J$4),1))</f>
        <v>925.711759405132</v>
      </c>
      <c r="K20" s="10" t="n">
        <f aca="false">IF(Flows!K17*K$3*K$4&lt;0.002,100,MAX($CM$2/(Flows!K17*K$3*K$4),1))</f>
        <v>5027.94218316605</v>
      </c>
      <c r="L20" s="10" t="n">
        <f aca="false">IF(Flows!L17*L$3*L$4&lt;0.002,100,MAX($CM$2/(Flows!L17*L$3*L$4),1))</f>
        <v>14891.7931450977</v>
      </c>
      <c r="M20" s="10" t="n">
        <f aca="false">IF(Flows!M17*M$3*M$4&lt;0.002,100,MAX($CM$2/(Flows!M17*M$3*M$4),1))</f>
        <v>9956.1023922858</v>
      </c>
      <c r="N20" s="10" t="n">
        <f aca="false">IF(Flows!N17*N$3*N$4&lt;0.002,100,MAX($CM$2/(Flows!N17*N$3*N$4),1))</f>
        <v>2.4270622018845</v>
      </c>
      <c r="O20" s="10" t="n">
        <f aca="false">IF(Flows!O17*O$3*O$4&lt;0.002,100,MAX($CM$2/(Flows!O17*O$3*O$4),1))</f>
        <v>1.59053550416964</v>
      </c>
      <c r="P20" s="10" t="n">
        <f aca="false">IF(Flows!P17*P$3*P$4&lt;0.002,100,MAX($CM$2/(Flows!P17*P$3*P$4),1))</f>
        <v>2.98225407031808</v>
      </c>
      <c r="Q20" s="10" t="n">
        <f aca="false">IF(Flows!Q17*Q$3*Q$4&lt;0.002,100,MAX($CM$2/(Flows!Q17*Q$3*Q$4),1))</f>
        <v>221.819037723788</v>
      </c>
      <c r="R20" s="10" t="n">
        <f aca="false">IF(Flows!R17*R$3*R$4&lt;0.002,100,MAX($CM$2/(Flows!R17*R$3*R$4),1))</f>
        <v>13.7751840634686</v>
      </c>
      <c r="S20" s="10" t="n">
        <f aca="false">IF(Flows!S17*S$3*S$4&lt;0.002,100,MAX($CM$2/(Flows!S17*S$3*S$4),1))</f>
        <v>127.643941243695</v>
      </c>
      <c r="T20" s="10" t="n">
        <f aca="false">IF(Flows!T17*T$3*T$4&lt;0.002,100,MAX($CM$2/(Flows!T17*T$3*T$4),1))</f>
        <v>228.38254193112</v>
      </c>
      <c r="U20" s="10" t="n">
        <f aca="false">IF(Flows!U17*U$3*U$4&lt;0.002,100,MAX($CM$2/(Flows!U17*U$3*U$4),1))</f>
        <v>41.4837599678575</v>
      </c>
      <c r="V20" s="10" t="n">
        <f aca="false">IF(Flows!V17*V$3*V$4&lt;0.002,100,MAX($CM$2/(Flows!V17*V$3*V$4),1))</f>
        <v>144.924692135307</v>
      </c>
      <c r="W20" s="10" t="n">
        <f aca="false">IF(Flows!W17*W$3*W$4&lt;0.002,100,MAX($CM$2/(Flows!W17*W$3*W$4),1))</f>
        <v>5.81961153539374</v>
      </c>
      <c r="X20" s="10" t="n">
        <f aca="false">IF(Flows!X17*X$3*X$4&lt;0.002,100,MAX($CM$2/(Flows!X17*X$3*X$4),1))</f>
        <v>1.66954497275895</v>
      </c>
      <c r="Y20" s="10" t="n">
        <f aca="false">IF(Flows!Y17*Y$3*Y$4&lt;0.002,100,MAX($CM$2/(Flows!Y17*Y$3*Y$4),1))</f>
        <v>74.4589657254887</v>
      </c>
      <c r="Z20" s="10" t="n">
        <f aca="false">IF(Flows!Z17*Z$3*Z$4&lt;0.002,100,MAX($CM$2/(Flows!Z17*Z$3*Z$4),1))</f>
        <v>3768.17149934846</v>
      </c>
      <c r="AA20" s="10" t="n">
        <f aca="false">IF(Flows!AA17*AA$3*AA$4&lt;0.002,100,MAX($CM$2/(Flows!AA17*AA$3*AA$4),1))</f>
        <v>6421.27446402483</v>
      </c>
      <c r="AB20" s="10" t="n">
        <f aca="false">IF(Flows!AB17*AB$3*AB$4&lt;0.002,100,MAX($CM$2/(Flows!AB17*AB$3*AB$4),1))</f>
        <v>6306.21068496149</v>
      </c>
      <c r="AC20" s="10" t="n">
        <f aca="false">IF(Flows!AC17*AC$3*AC$4&lt;0.002,100,MAX($CM$2/(Flows!AC17*AC$3*AC$4),1))</f>
        <v>37984.7860455479</v>
      </c>
      <c r="AD20" s="10" t="n">
        <f aca="false">IF(Flows!AD17*AD$3*AD$4&lt;0.002,100,MAX($CM$2/(Flows!AD17*AD$3*AD$4),1))</f>
        <v>39724.2286493183</v>
      </c>
      <c r="AE20" s="10" t="n">
        <f aca="false">IF(Flows!AE17*AE$3*AE$4&lt;0.002,100,MAX($CM$2/(Flows!AE17*AE$3*AE$4),1))</f>
        <v>127360.516395512</v>
      </c>
      <c r="AF20" s="10" t="n">
        <f aca="false">IF(Flows!AF17*AF$3*AF$4&lt;0.002,100,MAX($CM$2/(Flows!AF17*AF$3*AF$4),1))</f>
        <v>460.465931390703</v>
      </c>
      <c r="AG20" s="10" t="n">
        <f aca="false">IF(Flows!AG17*AG$3*AG$4&lt;0.002,100,MAX($CM$2/(Flows!AG17*AG$3*AG$4),1))</f>
        <v>450.79412691899</v>
      </c>
      <c r="AH20" s="10" t="n">
        <f aca="false">IF(Flows!AH17*AH$3*AH$4&lt;0.002,100,MAX($CM$2/(Flows!AH17*AH$3*AH$4),1))</f>
        <v>306.93738078716</v>
      </c>
      <c r="AI20" s="10" t="n">
        <f aca="false">IF(Flows!AI17*AI$3*AI$4&lt;0.002,100,MAX($CM$2/(Flows!AI17*AI$3*AI$4),1))</f>
        <v>1480.07184439216</v>
      </c>
      <c r="AJ20" s="10" t="n">
        <f aca="false">IF(Flows!AJ17*AJ$3*AJ$4&lt;0.002,100,MAX($CM$2/(Flows!AJ17*AJ$3*AJ$4),1))</f>
        <v>710.151318972803</v>
      </c>
      <c r="AK20" s="10" t="n">
        <f aca="false">IF(Flows!AK17*AK$3*AK$4&lt;0.002,100,MAX($CM$2/(Flows!AK17*AK$3*AK$4),1))</f>
        <v>295.009893781747</v>
      </c>
      <c r="AL20" s="10" t="n">
        <f aca="false">IF(Flows!AL17*AL$3*AL$4&lt;0.002,100,MAX($CM$2/(Flows!AL17*AL$3*AL$4),1))</f>
        <v>530.369421277168</v>
      </c>
      <c r="AM20" s="10" t="n">
        <f aca="false">IF(Flows!AM17*AM$3*AM$4&lt;0.002,100,MAX($CM$2/(Flows!AM17*AM$3*AM$4),1))</f>
        <v>836.164417062712</v>
      </c>
      <c r="AN20" s="10" t="n">
        <f aca="false">IF(Flows!AN17*AN$3*AN$4&lt;0.002,100,MAX($CM$2/(Flows!AN17*AN$3*AN$4),1))</f>
        <v>1231.7997646588</v>
      </c>
      <c r="AO20" s="10" t="n">
        <f aca="false">IF(Flows!AO17*AO$3*AO$4&lt;0.002,100,MAX($CM$2/(Flows!AO17*AO$3*AO$4),1))</f>
        <v>12083.0443431499</v>
      </c>
      <c r="AP20" s="10" t="n">
        <f aca="false">IF(Flows!AP17*AP$3*AP$4&lt;0.002,100,MAX($CM$2/(Flows!AP17*AP$3*AP$4),1))</f>
        <v>30114.712388256</v>
      </c>
      <c r="AQ20" s="10" t="n">
        <f aca="false">IF(Flows!AQ17*AQ$3*AQ$4&lt;0.002,100,MAX($CM$2/(Flows!AQ17*AQ$3*AQ$4),1))</f>
        <v>8650.93183226987</v>
      </c>
      <c r="AR20" s="10" t="n">
        <f aca="false">IF(Flows!AR17*AR$3*AR$4&lt;0.002,100,MAX($CM$2/(Flows!AR17*AR$3*AR$4),1))</f>
        <v>9159.32298089583</v>
      </c>
      <c r="AS20" s="10" t="n">
        <f aca="false">IF(Flows!AS17*AS$3*AS$4&lt;0.002,100,MAX($CM$2/(Flows!AS17*AS$3*AS$4),1))</f>
        <v>1425.49996151521</v>
      </c>
      <c r="AT20" s="10" t="n">
        <f aca="false">IF(Flows!AT17*AT$3*AT$4&lt;0.002,100,MAX($CM$2/(Flows!AT17*AT$3*AT$4),1))</f>
        <v>400.536833424368</v>
      </c>
      <c r="AU20" s="10" t="n">
        <f aca="false">IF(Flows!AU17*AU$3*AU$4&lt;0.002,100,MAX($CM$2/(Flows!AU17*AU$3*AU$4),1))</f>
        <v>500.050094445521</v>
      </c>
      <c r="AV20" s="10" t="n">
        <f aca="false">IF(Flows!AV17*AV$3*AV$4&lt;0.002,100,MAX($CM$2/(Flows!AV17*AV$3*AV$4),1))</f>
        <v>5312.17257066393</v>
      </c>
      <c r="AW20" s="10" t="n">
        <f aca="false">IF(Flows!AW17*AW$3*AW$4&lt;0.002,100,MAX($CM$2/(Flows!AW17*AW$3*AW$4),1))</f>
        <v>11.9986227224895</v>
      </c>
      <c r="AX20" s="10" t="n">
        <f aca="false">IF(Flows!AX17*AX$3*AX$4&lt;0.002,100,MAX($CM$2/(Flows!AX17*AX$3*AX$4),1))</f>
        <v>2227.09844290341</v>
      </c>
      <c r="AY20" s="10" t="n">
        <f aca="false">IF(Flows!AY17*AY$3*AY$4&lt;0.002,100,MAX($CM$2/(Flows!AY17*AY$3*AY$4),1))</f>
        <v>333.333292099385</v>
      </c>
      <c r="AZ20" s="10" t="n">
        <f aca="false">IF(Flows!AZ17*AZ$3*AZ$4&lt;0.002,100,MAX($CM$2/(Flows!AZ17*AZ$3*AZ$4),1))</f>
        <v>93.2192093103501</v>
      </c>
      <c r="BA20" s="10" t="n">
        <f aca="false">IF(Flows!BA17*BA$3*BA$4&lt;0.002,100,MAX($CM$2/(Flows!BA17*BA$3*BA$4),1))</f>
        <v>759.481450399985</v>
      </c>
      <c r="BB20" s="10" t="n">
        <f aca="false">IF(Flows!BB17*BB$3*BB$4&lt;0.002,100,MAX($CM$2/(Flows!BB17*BB$3*BB$4),1))</f>
        <v>2277.88042571423</v>
      </c>
      <c r="BC20" s="10" t="n">
        <f aca="false">IF(Flows!BC17*BC$3*BC$4&lt;0.002,100,MAX($CM$2/(Flows!BC17*BC$3*BC$4),1))</f>
        <v>1012.80417272329</v>
      </c>
      <c r="BD20" s="10" t="n">
        <f aca="false">IF(Flows!BD17*BD$3*BD$4&lt;0.002,100,MAX($CM$2/(Flows!BD17*BD$3*BD$4),1))</f>
        <v>4961.46513073079</v>
      </c>
      <c r="BE20" s="10" t="n">
        <f aca="false">IF(Flows!BE17*BE$3*BE$4&lt;0.002,100,MAX($CM$2/(Flows!BE17*BE$3*BE$4),1))</f>
        <v>8666.23835679889</v>
      </c>
      <c r="BF20" s="10" t="n">
        <f aca="false">IF(Flows!BF17*BF$3*BF$4&lt;0.002,100,MAX($CM$2/(Flows!BF17*BF$3*BF$4),1))</f>
        <v>362.470192512379</v>
      </c>
      <c r="BG20" s="10" t="n">
        <f aca="false">IF(Flows!BG17*BG$3*BG$4&lt;0.002,100,MAX($CM$2/(Flows!BG17*BG$3*BG$4),1))</f>
        <v>117.300213302712</v>
      </c>
      <c r="BH20" s="10" t="n">
        <f aca="false">IF(Flows!BH17*BH$3*BH$4&lt;0.002,100,MAX($CM$2/(Flows!BH17*BH$3*BH$4),1))</f>
        <v>56.4999600019341</v>
      </c>
      <c r="BI20" s="10" t="n">
        <f aca="false">IF(Flows!BI17*BI$3*BI$4&lt;0.002,100,MAX($CM$2/(Flows!BI17*BI$3*BI$4),1))</f>
        <v>32.6002237087004</v>
      </c>
      <c r="BJ20" s="10" t="n">
        <f aca="false">IF(Flows!BJ17*BJ$3*BJ$4&lt;0.002,100,MAX($CM$2/(Flows!BJ17*BJ$3*BJ$4),1))</f>
        <v>9.21175129337158</v>
      </c>
      <c r="BK20" s="10" t="n">
        <f aca="false">IF(Flows!BK17*BK$3*BK$4&lt;0.002,100,MAX($CM$2/(Flows!BK17*BK$3*BK$4),1))</f>
        <v>65.2004474174008</v>
      </c>
      <c r="BL20" s="10" t="n">
        <f aca="false">IF(Flows!BL17*BL$3*BL$4&lt;0.002,100,MAX($CM$2/(Flows!BL17*BL$3*BL$4),1))</f>
        <v>133.823635434009</v>
      </c>
      <c r="BM20" s="10" t="n">
        <f aca="false">IF(Flows!BM17*BM$3*BM$4&lt;0.002,100,MAX($CM$2/(Flows!BM17*BM$3*BM$4),1))</f>
        <v>101.893269039177</v>
      </c>
      <c r="BN20" s="10" t="n">
        <f aca="false">IF(Flows!BN17*BN$3*BN$4&lt;0.002,100,MAX($CM$2/(Flows!BN17*BN$3*BN$4),1))</f>
        <v>107083.529891982</v>
      </c>
      <c r="BO20" s="10" t="n">
        <f aca="false">IF(Flows!BO17*BO$3*BO$4&lt;0.002,100,MAX($CM$2/(Flows!BO17*BO$3*BO$4),1))</f>
        <v>17847254.981997</v>
      </c>
      <c r="BP20" s="10" t="n">
        <f aca="false">IF(Flows!BP17*BP$3*BP$4&lt;0.002,100,MAX($CM$2/(Flows!BP17*BP$3*BP$4),1))</f>
        <v>8924279986.0934</v>
      </c>
      <c r="BQ20" s="10" t="n">
        <f aca="false">IF(Flows!BQ17*BQ$3*BQ$4&lt;0.002,100,MAX($CM$2/(Flows!BQ17*BQ$3*BQ$4),1))</f>
        <v>100</v>
      </c>
      <c r="BR20" s="10" t="n">
        <f aca="false">IF(Flows!BR17*BR$3*BR$4&lt;0.002,100,MAX($CM$2/(Flows!BR17*BR$3*BR$4),1))</f>
        <v>178472549.81997</v>
      </c>
      <c r="BS20" s="10" t="n">
        <f aca="false">IF(Flows!BS17*BS$3*BS$4&lt;0.002,100,MAX($CM$2/(Flows!BS17*BS$3*BS$4),1))</f>
        <v>892363725.082845</v>
      </c>
      <c r="BT20" s="10" t="n">
        <f aca="false">IF(Flows!BT17*BT$3*BT$4&lt;0.002,100,MAX($CM$2/(Flows!BT17*BT$3*BT$4),1))</f>
        <v>1.00069499653098</v>
      </c>
      <c r="BU20" s="10" t="n">
        <f aca="false">IF(Flows!BU17*BU$3*BU$4&lt;0.002,100,MAX($CM$2/(Flows!BU17*BU$3*BU$4),1))</f>
        <v>10.0069499653098</v>
      </c>
      <c r="BV20" s="10" t="n">
        <f aca="false">IF(Flows!BV17*BV$3*BV$4&lt;0.002,100,MAX($CM$2/(Flows!BV17*BV$3*BV$4),1))</f>
        <v>100.069499653099</v>
      </c>
      <c r="BW20" s="10" t="n">
        <f aca="false">IF(Flows!BW17*BW$3*BW$4&lt;0.002,100,MAX($CM$2/(Flows!BW17*BW$3*BW$4),1))</f>
        <v>12.0833829865707</v>
      </c>
      <c r="BX20" s="10" t="n">
        <f aca="false">IF(Flows!BX17*BX$3*BX$4&lt;0.002,100,MAX($CM$2/(Flows!BX17*BX$3*BX$4),1))</f>
        <v>73.3568164627345</v>
      </c>
      <c r="BY20" s="10" t="n">
        <f aca="false">IF(Flows!BY17*BY$3*BY$4&lt;0.002,100,MAX($CM$2/(Flows!BY17*BY$3*BY$4),1))</f>
        <v>18.544719694944</v>
      </c>
      <c r="BZ20" s="10" t="n">
        <f aca="false">IF(Flows!BZ17*BZ$3*BZ$4&lt;0.002,100,MAX($CM$2/(Flows!BZ17*BZ$3*BZ$4),1))</f>
        <v>108678.13346085</v>
      </c>
      <c r="CA20" s="10" t="n">
        <f aca="false">IF(Flows!CA17*CA$3*CA$4&lt;0.002,100,MAX($CM$2/(Flows!CA17*CA$3*CA$4),1))</f>
        <v>14541.195845445</v>
      </c>
      <c r="CB20" s="10" t="n">
        <f aca="false">IF(Flows!CB17*CB$3*CB$4&lt;0.002,100,MAX($CM$2/(Flows!CB17*CB$3*CB$4),1))</f>
        <v>24.6101607516545</v>
      </c>
      <c r="CC20" s="10" t="n">
        <f aca="false">IF(Flows!CC17*CC$3*CC$4&lt;0.002,100,MAX($CM$2/(Flows!CC17*CC$3*CC$4),1))</f>
        <v>9.05339657200771</v>
      </c>
      <c r="CD20" s="10" t="n">
        <f aca="false">IF(Flows!CD17*CD$3*CD$4&lt;0.002,100,MAX($CM$2/(Flows!CD17*CD$3*CD$4),1))</f>
        <v>34.0704387676951</v>
      </c>
      <c r="CE20" s="10" t="n">
        <f aca="false">IF(Flows!CE17*CE$3*CE$4&lt;0.002,100,MAX($CM$2/(Flows!CE17*CE$3*CE$4),1))</f>
        <v>60.8092068058097</v>
      </c>
      <c r="CF20" s="10" t="n">
        <f aca="false">IF(Flows!CF17*CF$3*CF$4&lt;0.002,100,MAX($CM$2/(Flows!CF17*CF$3*CF$4),1))</f>
        <v>1</v>
      </c>
      <c r="CG20" s="10" t="n">
        <f aca="false">IF(Flows!CG17*CG$3*CG$4&lt;0.002,100,MAX($CM$2/(Flows!CG17*CG$3*CG$4),1))</f>
        <v>881649.392835025</v>
      </c>
      <c r="CH20" s="10" t="n">
        <f aca="false">IF(Flows!CH17*CH$3*CH$4&lt;0.002,100,MAX($CM$2/(Flows!CH17*CH$3*CH$4),1))</f>
        <v>13231328.2127118</v>
      </c>
      <c r="CI20" s="10" t="n">
        <f aca="false">IF(Flows!CI17*CI$3*CI$4&lt;0.002,100,MAX($CM$2/(Flows!CI17*CI$3*CI$4),1))</f>
        <v>209.378161240622</v>
      </c>
      <c r="CJ20" s="10" t="n">
        <f aca="false">IF(Flows!CJ17*CJ$3*CJ$4&lt;0.002,100,MAX($CM$2/(Flows!CJ17*CJ$3*CJ$4),1))</f>
        <v>1184.74165931184</v>
      </c>
      <c r="CK20" s="10" t="n">
        <f aca="false">IF(Flows!CK17*CK$3*CK$4&lt;0.002,100,MAX($CM$2/(Flows!CK17*CK$3*CK$4),1))</f>
        <v>4791.89417275808</v>
      </c>
      <c r="CL20" s="7" t="s">
        <v>322</v>
      </c>
    </row>
    <row r="21" s="17" customFormat="true" ht="12.8" hidden="false" customHeight="false" outlineLevel="0" collapsed="false">
      <c r="A21" s="21" t="s">
        <v>152</v>
      </c>
      <c r="B21" s="21" t="s">
        <v>39</v>
      </c>
      <c r="C21" s="25" t="n">
        <f aca="false">IF(Flows!C18*C$3*C$4&lt;0.002,100,MAX($CM$2/(Flows!C18*C$3*C$4),1))</f>
        <v>5627.6423584979</v>
      </c>
      <c r="D21" s="25" t="n">
        <f aca="false">IF(Flows!D18*D$3*D$4&lt;0.002,100,MAX($CM$2/(Flows!D18*D$3*D$4),1))</f>
        <v>1.04051380834605</v>
      </c>
      <c r="E21" s="25" t="n">
        <f aca="false">IF(Flows!E18*E$3*E$4&lt;0.002,100,MAX($CM$2/(Flows!E18*E$3*E$4),1))</f>
        <v>7.40174794918857</v>
      </c>
      <c r="F21" s="25" t="n">
        <f aca="false">IF(Flows!F18*F$3*F$4&lt;0.002,100,MAX($CM$2/(Flows!F18*F$3*F$4),1))</f>
        <v>20.6390654818574</v>
      </c>
      <c r="G21" s="25" t="n">
        <f aca="false">IF(Flows!G18*G$3*G$4&lt;0.002,100,MAX($CM$2/(Flows!G18*G$3*G$4),1))</f>
        <v>156.673455182726</v>
      </c>
      <c r="H21" s="25" t="n">
        <f aca="false">IF(Flows!H18*H$3*H$4&lt;0.002,100,MAX($CM$2/(Flows!H18*H$3*H$4),1))</f>
        <v>100</v>
      </c>
      <c r="I21" s="25" t="n">
        <f aca="false">IF(Flows!I18*I$3*I$4&lt;0.002,100,MAX($CM$2/(Flows!I18*I$3*I$4),1))</f>
        <v>949.424452368262</v>
      </c>
      <c r="J21" s="25" t="n">
        <f aca="false">IF(Flows!J18*J$3*J$4&lt;0.002,100,MAX($CM$2/(Flows!J18*J$3*J$4),1))</f>
        <v>1153.8417028766</v>
      </c>
      <c r="K21" s="25" t="n">
        <f aca="false">IF(Flows!K18*K$3*K$4&lt;0.002,100,MAX($CM$2/(Flows!K18*K$3*K$4),1))</f>
        <v>5082.69983788</v>
      </c>
      <c r="L21" s="25" t="n">
        <f aca="false">IF(Flows!L18*L$3*L$4&lt;0.002,100,MAX($CM$2/(Flows!L18*L$3*L$4),1))</f>
        <v>15266.6372328003</v>
      </c>
      <c r="M21" s="25" t="n">
        <f aca="false">IF(Flows!M18*M$3*M$4&lt;0.002,100,MAX($CM$2/(Flows!M18*M$3*M$4),1))</f>
        <v>10221.0048929881</v>
      </c>
      <c r="N21" s="25" t="n">
        <f aca="false">IF(Flows!N18*N$3*N$4&lt;0.002,100,MAX($CM$2/(Flows!N18*N$3*N$4),1))</f>
        <v>3.23234879591723</v>
      </c>
      <c r="O21" s="26" t="n">
        <f aca="false">IF(Flows!O18*O$3*O$4&lt;0.002,100,MAX($CM$2/(Flows!O18*O$3*O$4),1))</f>
        <v>1.58047599579341</v>
      </c>
      <c r="P21" s="26" t="n">
        <f aca="false">IF(Flows!P18*P$3*P$4&lt;0.002,100,MAX($CM$2/(Flows!P18*P$3*P$4),1))</f>
        <v>2.96339249211264</v>
      </c>
      <c r="Q21" s="25" t="n">
        <f aca="false">IF(Flows!Q18*Q$3*Q$4&lt;0.002,100,MAX($CM$2/(Flows!Q18*Q$3*Q$4),1))</f>
        <v>6451.29641346682</v>
      </c>
      <c r="R21" s="25" t="n">
        <f aca="false">IF(Flows!R18*R$3*R$4&lt;0.002,100,MAX($CM$2/(Flows!R18*R$3*R$4),1))</f>
        <v>13.9252050352877</v>
      </c>
      <c r="S21" s="25" t="n">
        <f aca="false">IF(Flows!S18*S$3*S$4&lt;0.002,100,MAX($CM$2/(Flows!S18*S$3*S$4),1))</f>
        <v>130.856890566859</v>
      </c>
      <c r="T21" s="25" t="n">
        <f aca="false">IF(Flows!T18*T$3*T$4&lt;0.002,100,MAX($CM$2/(Flows!T18*T$3*T$4),1))</f>
        <v>234.131201259332</v>
      </c>
      <c r="U21" s="25" t="n">
        <f aca="false">IF(Flows!U18*U$3*U$4&lt;0.002,100,MAX($CM$2/(Flows!U18*U$3*U$4),1))</f>
        <v>42.5875203874505</v>
      </c>
      <c r="V21" s="25" t="n">
        <f aca="false">IF(Flows!V18*V$3*V$4&lt;0.002,100,MAX($CM$2/(Flows!V18*V$3*V$4),1))</f>
        <v>150.267452857082</v>
      </c>
      <c r="W21" s="25" t="n">
        <f aca="false">IF(Flows!W18*W$3*W$4&lt;0.002,100,MAX($CM$2/(Flows!W18*W$3*W$4),1))</f>
        <v>4.27532016195553</v>
      </c>
      <c r="X21" s="25" t="n">
        <f aca="false">IF(Flows!X18*X$3*X$4&lt;0.002,100,MAX($CM$2/(Flows!X18*X$3*X$4),1))</f>
        <v>1.49007209846329</v>
      </c>
      <c r="Y21" s="25" t="n">
        <f aca="false">IF(Flows!Y18*Y$3*Y$4&lt;0.002,100,MAX($CM$2/(Flows!Y18*Y$3*Y$4),1))</f>
        <v>76.3331861640014</v>
      </c>
      <c r="Z21" s="25" t="n">
        <f aca="false">IF(Flows!Z18*Z$3*Z$4&lt;0.002,100,MAX($CM$2/(Flows!Z18*Z$3*Z$4),1))</f>
        <v>3785.4761973767</v>
      </c>
      <c r="AA21" s="25" t="n">
        <f aca="false">IF(Flows!AA18*AA$3*AA$4&lt;0.002,100,MAX($CM$2/(Flows!AA18*AA$3*AA$4),1))</f>
        <v>5502.99587956873</v>
      </c>
      <c r="AB21" s="25" t="n">
        <f aca="false">IF(Flows!AB18*AB$3*AB$4&lt;0.002,100,MAX($CM$2/(Flows!AB18*AB$3*AB$4),1))</f>
        <v>5740.32686626575</v>
      </c>
      <c r="AC21" s="25" t="n">
        <f aca="false">IF(Flows!AC18*AC$3*AC$4&lt;0.002,100,MAX($CM$2/(Flows!AC18*AC$3*AC$4),1))</f>
        <v>40298.4639616058</v>
      </c>
      <c r="AD21" s="25" t="n">
        <f aca="false">IF(Flows!AD18*AD$3*AD$4&lt;0.002,100,MAX($CM$2/(Flows!AD18*AD$3*AD$4),1))</f>
        <v>36159.6001702183</v>
      </c>
      <c r="AE21" s="25" t="n">
        <f aca="false">IF(Flows!AE18*AE$3*AE$4&lt;0.002,100,MAX($CM$2/(Flows!AE18*AE$3*AE$4),1))</f>
        <v>123746.710888296</v>
      </c>
      <c r="AF21" s="25" t="n">
        <f aca="false">IF(Flows!AF18*AF$3*AF$4&lt;0.002,100,MAX($CM$2/(Flows!AF18*AF$3*AF$4),1))</f>
        <v>442.581114275483</v>
      </c>
      <c r="AG21" s="25" t="n">
        <f aca="false">IF(Flows!AG18*AG$3*AG$4&lt;0.002,100,MAX($CM$2/(Flows!AG18*AG$3*AG$4),1))</f>
        <v>417.261235992291</v>
      </c>
      <c r="AH21" s="25" t="n">
        <f aca="false">IF(Flows!AH18*AH$3*AH$4&lt;0.002,100,MAX($CM$2/(Flows!AH18*AH$3*AH$4),1))</f>
        <v>272.902528276978</v>
      </c>
      <c r="AI21" s="25" t="n">
        <f aca="false">IF(Flows!AI18*AI$3*AI$4&lt;0.002,100,MAX($CM$2/(Flows!AI18*AI$3*AI$4),1))</f>
        <v>1476.213509812</v>
      </c>
      <c r="AJ21" s="25" t="n">
        <f aca="false">IF(Flows!AJ18*AJ$3*AJ$4&lt;0.002,100,MAX($CM$2/(Flows!AJ18*AJ$3*AJ$4),1))</f>
        <v>607.160382064541</v>
      </c>
      <c r="AK21" s="25" t="n">
        <f aca="false">IF(Flows!AK18*AK$3*AK$4&lt;0.002,100,MAX($CM$2/(Flows!AK18*AK$3*AK$4),1))</f>
        <v>229.032943399413</v>
      </c>
      <c r="AL21" s="25" t="n">
        <f aca="false">IF(Flows!AL18*AL$3*AL$4&lt;0.002,100,MAX($CM$2/(Flows!AL18*AL$3*AL$4),1))</f>
        <v>470.964495996407</v>
      </c>
      <c r="AM21" s="25" t="n">
        <f aca="false">IF(Flows!AM18*AM$3*AM$4&lt;0.002,100,MAX($CM$2/(Flows!AM18*AM$3*AM$4),1))</f>
        <v>915.212915970879</v>
      </c>
      <c r="AN21" s="25" t="n">
        <f aca="false">IF(Flows!AN18*AN$3*AN$4&lt;0.002,100,MAX($CM$2/(Flows!AN18*AN$3*AN$4),1))</f>
        <v>1091.88177365389</v>
      </c>
      <c r="AO21" s="25" t="n">
        <f aca="false">IF(Flows!AO18*AO$3*AO$4&lt;0.002,100,MAX($CM$2/(Flows!AO18*AO$3*AO$4),1))</f>
        <v>9122.03074300986</v>
      </c>
      <c r="AP21" s="25" t="n">
        <f aca="false">IF(Flows!AP18*AP$3*AP$4&lt;0.002,100,MAX($CM$2/(Flows!AP18*AP$3*AP$4),1))</f>
        <v>24493.6934564449</v>
      </c>
      <c r="AQ21" s="25" t="n">
        <f aca="false">IF(Flows!AQ18*AQ$3*AQ$4&lt;0.002,100,MAX($CM$2/(Flows!AQ18*AQ$3*AQ$4),1))</f>
        <v>6394.05981846199</v>
      </c>
      <c r="AR21" s="25" t="n">
        <f aca="false">IF(Flows!AR18*AR$3*AR$4&lt;0.002,100,MAX($CM$2/(Flows!AR18*AR$3*AR$4),1))</f>
        <v>10023.6133734767</v>
      </c>
      <c r="AS21" s="25" t="n">
        <f aca="false">IF(Flows!AS18*AS$3*AS$4&lt;0.002,100,MAX($CM$2/(Flows!AS18*AS$3*AS$4),1))</f>
        <v>1392.9196917196</v>
      </c>
      <c r="AT21" s="25" t="n">
        <f aca="false">IF(Flows!AT18*AT$3*AT$4&lt;0.002,100,MAX($CM$2/(Flows!AT18*AT$3*AT$4),1))</f>
        <v>401.308087759394</v>
      </c>
      <c r="AU21" s="25" t="n">
        <f aca="false">IF(Flows!AU18*AU$3*AU$4&lt;0.002,100,MAX($CM$2/(Flows!AU18*AU$3*AU$4),1))</f>
        <v>652.281367871255</v>
      </c>
      <c r="AV21" s="25" t="n">
        <f aca="false">IF(Flows!AV18*AV$3*AV$4&lt;0.002,100,MAX($CM$2/(Flows!AV18*AV$3*AV$4),1))</f>
        <v>5540.14354450842</v>
      </c>
      <c r="AW21" s="25" t="n">
        <f aca="false">IF(Flows!AW18*AW$3*AW$4&lt;0.002,100,MAX($CM$2/(Flows!AW18*AW$3*AW$4),1))</f>
        <v>12.8792781181169</v>
      </c>
      <c r="AX21" s="25" t="n">
        <f aca="false">IF(Flows!AX18*AX$3*AX$4&lt;0.002,100,MAX($CM$2/(Flows!AX18*AX$3*AX$4),1))</f>
        <v>2827.60055004536</v>
      </c>
      <c r="AY21" s="25" t="n">
        <f aca="false">IF(Flows!AY18*AY$3*AY$4&lt;0.002,100,MAX($CM$2/(Flows!AY18*AY$3*AY$4),1))</f>
        <v>289.765192017221</v>
      </c>
      <c r="AZ21" s="25" t="n">
        <f aca="false">IF(Flows!AZ18*AZ$3*AZ$4&lt;0.002,100,MAX($CM$2/(Flows!AZ18*AZ$3*AZ$4),1))</f>
        <v>86.5331095476425</v>
      </c>
      <c r="BA21" s="25" t="n">
        <f aca="false">IF(Flows!BA18*BA$3*BA$4&lt;0.002,100,MAX($CM$2/(Flows!BA18*BA$3*BA$4),1))</f>
        <v>778.598498872815</v>
      </c>
      <c r="BB21" s="25" t="n">
        <f aca="false">IF(Flows!BB18*BB$3*BB$4&lt;0.002,100,MAX($CM$2/(Flows!BB18*BB$3*BB$4),1))</f>
        <v>2171.02889508004</v>
      </c>
      <c r="BC21" s="25" t="n">
        <f aca="false">IF(Flows!BC18*BC$3*BC$4&lt;0.002,100,MAX($CM$2/(Flows!BC18*BC$3*BC$4),1))</f>
        <v>845.304750278601</v>
      </c>
      <c r="BD21" s="25" t="n">
        <f aca="false">IF(Flows!BD18*BD$3*BD$4&lt;0.002,100,MAX($CM$2/(Flows!BD18*BD$3*BD$4),1))</f>
        <v>3489.53233271164</v>
      </c>
      <c r="BE21" s="25" t="n">
        <f aca="false">IF(Flows!BE18*BE$3*BE$4&lt;0.002,100,MAX($CM$2/(Flows!BE18*BE$3*BE$4),1))</f>
        <v>7004.30226676797</v>
      </c>
      <c r="BF21" s="25" t="n">
        <f aca="false">IF(Flows!BF18*BF$3*BF$4&lt;0.002,100,MAX($CM$2/(Flows!BF18*BF$3*BF$4),1))</f>
        <v>480.651383648154</v>
      </c>
      <c r="BG21" s="25" t="n">
        <f aca="false">IF(Flows!BG18*BG$3*BG$4&lt;0.002,100,MAX($CM$2/(Flows!BG18*BG$3*BG$4),1))</f>
        <v>126.848898480855</v>
      </c>
      <c r="BH21" s="25" t="n">
        <f aca="false">IF(Flows!BH18*BH$3*BH$4&lt;0.002,100,MAX($CM$2/(Flows!BH18*BH$3*BH$4),1))</f>
        <v>61.7278197074709</v>
      </c>
      <c r="BI21" s="25" t="n">
        <f aca="false">IF(Flows!BI18*BI$3*BI$4&lt;0.002,100,MAX($CM$2/(Flows!BI18*BI$3*BI$4),1))</f>
        <v>39.1114455660148</v>
      </c>
      <c r="BJ21" s="25" t="n">
        <f aca="false">IF(Flows!BJ18*BJ$3*BJ$4&lt;0.002,100,MAX($CM$2/(Flows!BJ18*BJ$3*BJ$4),1))</f>
        <v>3.20514766778753</v>
      </c>
      <c r="BK21" s="25" t="n">
        <f aca="false">IF(Flows!BK18*BK$3*BK$4&lt;0.002,100,MAX($CM$2/(Flows!BK18*BK$3*BK$4),1))</f>
        <v>78.2228911320295</v>
      </c>
      <c r="BL21" s="25" t="n">
        <f aca="false">IF(Flows!BL18*BL$3*BL$4&lt;0.002,100,MAX($CM$2/(Flows!BL18*BL$3*BL$4),1))</f>
        <v>76.4782160619173</v>
      </c>
      <c r="BM21" s="25" t="n">
        <f aca="false">IF(Flows!BM18*BM$3*BM$4&lt;0.002,100,MAX($CM$2/(Flows!BM18*BM$3*BM$4),1))</f>
        <v>38.0984985595905</v>
      </c>
      <c r="BN21" s="25" t="n">
        <f aca="false">IF(Flows!BN18*BN$3*BN$4&lt;0.002,100,MAX($CM$2/(Flows!BN18*BN$3*BN$4),1))</f>
        <v>1</v>
      </c>
      <c r="BO21" s="25" t="n">
        <f aca="false">IF(Flows!BO18*BO$3*BO$4&lt;0.002,100,MAX($CM$2/(Flows!BO18*BO$3*BO$4),1))</f>
        <v>2.21981995779299</v>
      </c>
      <c r="BP21" s="25" t="n">
        <f aca="false">IF(Flows!BP18*BP$3*BP$4&lt;0.002,100,MAX($CM$2/(Flows!BP18*BP$3*BP$4),1))</f>
        <v>8.4671713864342</v>
      </c>
      <c r="BQ21" s="25" t="n">
        <f aca="false">IF(Flows!BQ18*BQ$3*BQ$4&lt;0.002,100,MAX($CM$2/(Flows!BQ18*BQ$3*BQ$4),1))</f>
        <v>100</v>
      </c>
      <c r="BR21" s="25" t="n">
        <f aca="false">IF(Flows!BR18*BR$3*BR$4&lt;0.002,100,MAX($CM$2/(Flows!BR18*BR$3*BR$4),1))</f>
        <v>66.5945987337898</v>
      </c>
      <c r="BS21" s="25" t="n">
        <f aca="false">IF(Flows!BS18*BS$3*BS$4&lt;0.002,100,MAX($CM$2/(Flows!BS18*BS$3*BS$4),1))</f>
        <v>665.946296913424</v>
      </c>
      <c r="BT21" s="25" t="n">
        <f aca="false">IF(Flows!BT18*BT$3*BT$4&lt;0.002,100,MAX($CM$2/(Flows!BT18*BT$3*BT$4),1))</f>
        <v>1</v>
      </c>
      <c r="BU21" s="25" t="n">
        <f aca="false">IF(Flows!BU18*BU$3*BU$4&lt;0.002,100,MAX($CM$2/(Flows!BU18*BU$3*BU$4),1))</f>
        <v>10</v>
      </c>
      <c r="BV21" s="25" t="n">
        <f aca="false">IF(Flows!BV18*BV$3*BV$4&lt;0.002,100,MAX($CM$2/(Flows!BV18*BV$3*BV$4),1))</f>
        <v>100</v>
      </c>
      <c r="BW21" s="25" t="n">
        <f aca="false">IF(Flows!BW18*BW$3*BW$4&lt;0.002,100,MAX($CM$2/(Flows!BW18*BW$3*BW$4),1))</f>
        <v>12.6220738180485</v>
      </c>
      <c r="BX21" s="25" t="n">
        <f aca="false">IF(Flows!BX18*BX$3*BX$4&lt;0.002,100,MAX($CM$2/(Flows!BX18*BX$3*BX$4),1))</f>
        <v>8.6815882484004</v>
      </c>
      <c r="BY21" s="25" t="n">
        <f aca="false">IF(Flows!BY18*BY$3*BY$4&lt;0.002,100,MAX($CM$2/(Flows!BY18*BY$3*BY$4),1))</f>
        <v>15.5280452493006</v>
      </c>
      <c r="BZ21" s="25" t="n">
        <f aca="false">IF(Flows!BZ18*BZ$3*BZ$4&lt;0.002,100,MAX($CM$2/(Flows!BZ18*BZ$3*BZ$4),1))</f>
        <v>36538.8533716491</v>
      </c>
      <c r="CA21" s="25" t="n">
        <f aca="false">IF(Flows!CA18*CA$3*CA$4&lt;0.002,100,MAX($CM$2/(Flows!CA18*CA$3*CA$4),1))</f>
        <v>67314.9591133332</v>
      </c>
      <c r="CB21" s="25" t="n">
        <f aca="false">IF(Flows!CB18*CB$3*CB$4&lt;0.002,100,MAX($CM$2/(Flows!CB18*CB$3*CB$4),1))</f>
        <v>34.3595444089017</v>
      </c>
      <c r="CC21" s="25" t="n">
        <f aca="false">IF(Flows!CC18*CC$3*CC$4&lt;0.002,100,MAX($CM$2/(Flows!CC18*CC$3*CC$4),1))</f>
        <v>14.0812778612904</v>
      </c>
      <c r="CD21" s="25" t="n">
        <f aca="false">IF(Flows!CD18*CD$3*CD$4&lt;0.002,100,MAX($CM$2/(Flows!CD18*CD$3*CD$4),1))</f>
        <v>35.871942200509</v>
      </c>
      <c r="CE21" s="25" t="n">
        <f aca="false">IF(Flows!CE18*CE$3*CE$4&lt;0.002,100,MAX($CM$2/(Flows!CE18*CE$3*CE$4),1))</f>
        <v>13.2032073260545</v>
      </c>
      <c r="CF21" s="25" t="n">
        <f aca="false">IF(Flows!CF18*CF$3*CF$4&lt;0.002,100,MAX($CM$2/(Flows!CF18*CF$3*CF$4),1))</f>
        <v>1</v>
      </c>
      <c r="CG21" s="25" t="n">
        <f aca="false">IF(Flows!CG18*CG$3*CG$4&lt;0.002,100,MAX($CM$2/(Flows!CG18*CG$3*CG$4),1))</f>
        <v>7.38516079254991</v>
      </c>
      <c r="CH21" s="25" t="n">
        <f aca="false">IF(Flows!CH18*CH$3*CH$4&lt;0.002,100,MAX($CM$2/(Flows!CH18*CH$3*CH$4),1))</f>
        <v>5.49962619648678</v>
      </c>
      <c r="CI21" s="25" t="n">
        <f aca="false">IF(Flows!CI18*CI$3*CI$4&lt;0.002,100,MAX($CM$2/(Flows!CI18*CI$3*CI$4),1))</f>
        <v>87.4294368559607</v>
      </c>
      <c r="CJ21" s="25" t="n">
        <f aca="false">IF(Flows!CJ18*CJ$3*CJ$4&lt;0.002,100,MAX($CM$2/(Flows!CJ18*CJ$3*CJ$4),1))</f>
        <v>1005.57430855617</v>
      </c>
      <c r="CK21" s="25" t="n">
        <f aca="false">IF(Flows!CK18*CK$3*CK$4&lt;0.002,100,MAX($CM$2/(Flows!CK18*CK$3*CK$4),1))</f>
        <v>602.523420968815</v>
      </c>
      <c r="CL21" s="21" t="s">
        <v>322</v>
      </c>
    </row>
    <row r="22" customFormat="false" ht="12.8" hidden="false" customHeight="false" outlineLevel="0" collapsed="false">
      <c r="A22" s="7" t="s">
        <v>153</v>
      </c>
      <c r="B22" s="7" t="s">
        <v>39</v>
      </c>
      <c r="C22" s="10" t="n">
        <f aca="false">IF(Flows!C19*C$3*C$4&lt;0.002,100,MAX($CM$2/(Flows!C19*C$3*C$4),1))</f>
        <v>21076.0247993611</v>
      </c>
      <c r="D22" s="10" t="n">
        <f aca="false">IF(Flows!D19*D$3*D$4&lt;0.002,100,MAX($CM$2/(Flows!D19*D$3*D$4),1))</f>
        <v>2.45882755751556</v>
      </c>
      <c r="E22" s="10" t="n">
        <f aca="false">IF(Flows!E19*E$3*E$4&lt;0.002,100,MAX($CM$2/(Flows!E19*E$3*E$4),1))</f>
        <v>18.4254600400518</v>
      </c>
      <c r="F22" s="10" t="n">
        <f aca="false">IF(Flows!F19*F$3*F$4&lt;0.002,100,MAX($CM$2/(Flows!F19*F$3*F$4),1))</f>
        <v>51.5632750902248</v>
      </c>
      <c r="G22" s="10" t="n">
        <f aca="false">IF(Flows!G19*G$3*G$4&lt;0.002,100,MAX($CM$2/(Flows!G19*G$3*G$4),1))</f>
        <v>45.93851477503</v>
      </c>
      <c r="H22" s="10" t="n">
        <f aca="false">IF(Flows!H19*H$3*H$4&lt;0.002,100,MAX($CM$2/(Flows!H19*H$3*H$4),1))</f>
        <v>100</v>
      </c>
      <c r="I22" s="10" t="n">
        <f aca="false">IF(Flows!I19*I$3*I$4&lt;0.002,100,MAX($CM$2/(Flows!I19*I$3*I$4),1))</f>
        <v>1634.40986030682</v>
      </c>
      <c r="J22" s="10" t="n">
        <f aca="false">IF(Flows!J19*J$3*J$4&lt;0.002,100,MAX($CM$2/(Flows!J19*J$3*J$4),1))</f>
        <v>1938.15309536419</v>
      </c>
      <c r="K22" s="10" t="n">
        <f aca="false">IF(Flows!K19*K$3*K$4&lt;0.002,100,MAX($CM$2/(Flows!K19*K$3*K$4),1))</f>
        <v>11598.5111041128</v>
      </c>
      <c r="L22" s="10" t="n">
        <f aca="false">IF(Flows!L19*L$3*L$4&lt;0.002,100,MAX($CM$2/(Flows!L19*L$3*L$4),1))</f>
        <v>34698.2211173806</v>
      </c>
      <c r="M22" s="10" t="n">
        <f aca="false">IF(Flows!M19*M$3*M$4&lt;0.002,100,MAX($CM$2/(Flows!M19*M$3*M$4),1))</f>
        <v>23221.0823084448</v>
      </c>
      <c r="N22" s="10" t="n">
        <f aca="false">IF(Flows!N19*N$3*N$4&lt;0.002,100,MAX($CM$2/(Flows!N19*N$3*N$4),1))</f>
        <v>8.74258888619726</v>
      </c>
      <c r="O22" s="10" t="n">
        <f aca="false">IF(Flows!O19*O$3*O$4&lt;0.002,100,MAX($CM$2/(Flows!O19*O$3*O$4),1))</f>
        <v>3.09814236662643</v>
      </c>
      <c r="P22" s="10" t="n">
        <f aca="false">IF(Flows!P19*P$3*P$4&lt;0.002,100,MAX($CM$2/(Flows!P19*P$3*P$4),1))</f>
        <v>5.80901693742456</v>
      </c>
      <c r="Q22" s="10" t="n">
        <f aca="false">IF(Flows!Q19*Q$3*Q$4&lt;0.002,100,MAX($CM$2/(Flows!Q19*Q$3*Q$4),1))</f>
        <v>1604.00647747959</v>
      </c>
      <c r="R22" s="10" t="n">
        <f aca="false">IF(Flows!R19*R$3*R$4&lt;0.002,100,MAX($CM$2/(Flows!R19*R$3*R$4),1))</f>
        <v>31.7767427509939</v>
      </c>
      <c r="S22" s="10" t="n">
        <f aca="false">IF(Flows!S19*S$3*S$4&lt;0.002,100,MAX($CM$2/(Flows!S19*S$3*S$4),1))</f>
        <v>297.413323863262</v>
      </c>
      <c r="T22" s="10" t="n">
        <f aca="false">IF(Flows!T19*T$3*T$4&lt;0.002,100,MAX($CM$2/(Flows!T19*T$3*T$4),1))</f>
        <v>532.136584363189</v>
      </c>
      <c r="U22" s="10" t="n">
        <f aca="false">IF(Flows!U19*U$3*U$4&lt;0.002,100,MAX($CM$2/(Flows!U19*U$3*U$4),1))</f>
        <v>96.7545096185201</v>
      </c>
      <c r="V22" s="10" t="n">
        <f aca="false">IF(Flows!V19*V$3*V$4&lt;0.002,100,MAX($CM$2/(Flows!V19*V$3*V$4),1))</f>
        <v>286.962637018238</v>
      </c>
      <c r="W22" s="10" t="n">
        <f aca="false">IF(Flows!W19*W$3*W$4&lt;0.002,100,MAX($CM$2/(Flows!W19*W$3*W$4),1))</f>
        <v>6.97102056813174</v>
      </c>
      <c r="X22" s="10" t="n">
        <f aca="false">IF(Flows!X19*X$3*X$4&lt;0.002,100,MAX($CM$2/(Flows!X19*X$3*X$4),1))</f>
        <v>5.22024214268083</v>
      </c>
      <c r="Y22" s="10" t="n">
        <f aca="false">IF(Flows!Y19*Y$3*Y$4&lt;0.002,100,MAX($CM$2/(Flows!Y19*Y$3*Y$4),1))</f>
        <v>173.491105586903</v>
      </c>
      <c r="Z22" s="10" t="n">
        <f aca="false">IF(Flows!Z19*Z$3*Z$4&lt;0.002,100,MAX($CM$2/(Flows!Z19*Z$3*Z$4),1))</f>
        <v>15176.1228415054</v>
      </c>
      <c r="AA22" s="10" t="n">
        <f aca="false">IF(Flows!AA19*AA$3*AA$4&lt;0.002,100,MAX($CM$2/(Flows!AA19*AA$3*AA$4),1))</f>
        <v>10206.719916728</v>
      </c>
      <c r="AB22" s="10" t="n">
        <f aca="false">IF(Flows!AB19*AB$3*AB$4&lt;0.002,100,MAX($CM$2/(Flows!AB19*AB$3*AB$4),1))</f>
        <v>10613.435832512</v>
      </c>
      <c r="AC22" s="10" t="n">
        <f aca="false">IF(Flows!AC19*AC$3*AC$4&lt;0.002,100,MAX($CM$2/(Flows!AC19*AC$3*AC$4),1))</f>
        <v>73926.698450517</v>
      </c>
      <c r="AD22" s="10" t="n">
        <f aca="false">IF(Flows!AD19*AD$3*AD$4&lt;0.002,100,MAX($CM$2/(Flows!AD19*AD$3*AD$4),1))</f>
        <v>66856.4012253817</v>
      </c>
      <c r="AE22" s="10" t="n">
        <f aca="false">IF(Flows!AE19*AE$3*AE$4&lt;0.002,100,MAX($CM$2/(Flows!AE19*AE$3*AE$4),1))</f>
        <v>204220.565428057</v>
      </c>
      <c r="AF22" s="10" t="n">
        <f aca="false">IF(Flows!AF19*AF$3*AF$4&lt;0.002,100,MAX($CM$2/(Flows!AF19*AF$3*AF$4),1))</f>
        <v>695.583293929026</v>
      </c>
      <c r="AG22" s="10" t="n">
        <f aca="false">IF(Flows!AG19*AG$3*AG$4&lt;0.002,100,MAX($CM$2/(Flows!AG19*AG$3*AG$4),1))</f>
        <v>860.011324382348</v>
      </c>
      <c r="AH22" s="10" t="n">
        <f aca="false">IF(Flows!AH19*AH$3*AH$4&lt;0.002,100,MAX($CM$2/(Flows!AH19*AH$3*AH$4),1))</f>
        <v>451.970771316446</v>
      </c>
      <c r="AI22" s="10" t="n">
        <f aca="false">IF(Flows!AI19*AI$3*AI$4&lt;0.002,100,MAX($CM$2/(Flows!AI19*AI$3*AI$4),1))</f>
        <v>2484.18006003764</v>
      </c>
      <c r="AJ22" s="10" t="n">
        <f aca="false">IF(Flows!AJ19*AJ$3*AJ$4&lt;0.002,100,MAX($CM$2/(Flows!AJ19*AJ$3*AJ$4),1))</f>
        <v>1152.84126183612</v>
      </c>
      <c r="AK22" s="10" t="n">
        <f aca="false">IF(Flows!AK19*AK$3*AK$4&lt;0.002,100,MAX($CM$2/(Flows!AK19*AK$3*AK$4),1))</f>
        <v>380.191385027236</v>
      </c>
      <c r="AL22" s="10" t="n">
        <f aca="false">IF(Flows!AL19*AL$3*AL$4&lt;0.002,100,MAX($CM$2/(Flows!AL19*AL$3*AL$4),1))</f>
        <v>769.889102571269</v>
      </c>
      <c r="AM22" s="10" t="n">
        <f aca="false">IF(Flows!AM19*AM$3*AM$4&lt;0.002,100,MAX($CM$2/(Flows!AM19*AM$3*AM$4),1))</f>
        <v>1835.69429049464</v>
      </c>
      <c r="AN22" s="10" t="n">
        <f aca="false">IF(Flows!AN19*AN$3*AN$4&lt;0.002,100,MAX($CM$2/(Flows!AN19*AN$3*AN$4),1))</f>
        <v>1694.02839348451</v>
      </c>
      <c r="AO22" s="10" t="n">
        <f aca="false">IF(Flows!AO19*AO$3*AO$4&lt;0.002,100,MAX($CM$2/(Flows!AO19*AO$3*AO$4),1))</f>
        <v>14745.6290343498</v>
      </c>
      <c r="AP22" s="10" t="n">
        <f aca="false">IF(Flows!AP19*AP$3*AP$4&lt;0.002,100,MAX($CM$2/(Flows!AP19*AP$3*AP$4),1))</f>
        <v>45829.2014138463</v>
      </c>
      <c r="AQ22" s="10" t="n">
        <f aca="false">IF(Flows!AQ19*AQ$3*AQ$4&lt;0.002,100,MAX($CM$2/(Flows!AQ19*AQ$3*AQ$4),1))</f>
        <v>12649.576068368</v>
      </c>
      <c r="AR22" s="10" t="n">
        <f aca="false">IF(Flows!AR19*AR$3*AR$4&lt;0.002,100,MAX($CM$2/(Flows!AR19*AR$3*AR$4),1))</f>
        <v>19787.0983213627</v>
      </c>
      <c r="AS22" s="10" t="n">
        <f aca="false">IF(Flows!AS19*AS$3*AS$4&lt;0.002,100,MAX($CM$2/(Flows!AS19*AS$3*AS$4),1))</f>
        <v>2545.13218444273</v>
      </c>
      <c r="AT22" s="10" t="n">
        <f aca="false">IF(Flows!AT19*AT$3*AT$4&lt;0.002,100,MAX($CM$2/(Flows!AT19*AT$3*AT$4),1))</f>
        <v>638.277459218562</v>
      </c>
      <c r="AU22" s="10" t="n">
        <f aca="false">IF(Flows!AU19*AU$3*AU$4&lt;0.002,100,MAX($CM$2/(Flows!AU19*AU$3*AU$4),1))</f>
        <v>1247.82644673852</v>
      </c>
      <c r="AV22" s="10" t="n">
        <f aca="false">IF(Flows!AV19*AV$3*AV$4&lt;0.002,100,MAX($CM$2/(Flows!AV19*AV$3*AV$4),1))</f>
        <v>10907.1464064718</v>
      </c>
      <c r="AW22" s="10" t="n">
        <f aca="false">IF(Flows!AW19*AW$3*AW$4&lt;0.002,100,MAX($CM$2/(Flows!AW19*AW$3*AW$4),1))</f>
        <v>23.5517924199156</v>
      </c>
      <c r="AX22" s="10" t="n">
        <f aca="false">IF(Flows!AX19*AX$3*AX$4&lt;0.002,100,MAX($CM$2/(Flows!AX19*AX$3*AX$4),1))</f>
        <v>4745.33459218642</v>
      </c>
      <c r="AY22" s="10" t="n">
        <f aca="false">IF(Flows!AY19*AY$3*AY$4&lt;0.002,100,MAX($CM$2/(Flows!AY19*AY$3*AY$4),1))</f>
        <v>516.61842039409</v>
      </c>
      <c r="AZ22" s="10" t="n">
        <f aca="false">IF(Flows!AZ19*AZ$3*AZ$4&lt;0.002,100,MAX($CM$2/(Flows!AZ19*AZ$3*AZ$4),1))</f>
        <v>155.69990107296</v>
      </c>
      <c r="BA22" s="10" t="n">
        <f aca="false">IF(Flows!BA19*BA$3*BA$4&lt;0.002,100,MAX($CM$2/(Flows!BA19*BA$3*BA$4),1))</f>
        <v>1769.60927698641</v>
      </c>
      <c r="BB22" s="10" t="n">
        <f aca="false">IF(Flows!BB19*BB$3*BB$4&lt;0.002,100,MAX($CM$2/(Flows!BB19*BB$3*BB$4),1))</f>
        <v>4152.23705520855</v>
      </c>
      <c r="BC22" s="10" t="n">
        <f aca="false">IF(Flows!BC19*BC$3*BC$4&lt;0.002,100,MAX($CM$2/(Flows!BC19*BC$3*BC$4),1))</f>
        <v>1452.39005362673</v>
      </c>
      <c r="BD22" s="10" t="n">
        <f aca="false">IF(Flows!BD19*BD$3*BD$4&lt;0.002,100,MAX($CM$2/(Flows!BD19*BD$3*BD$4),1))</f>
        <v>6010.26874559119</v>
      </c>
      <c r="BE22" s="10" t="n">
        <f aca="false">IF(Flows!BE19*BE$3*BE$4&lt;0.002,100,MAX($CM$2/(Flows!BE19*BE$3*BE$4),1))</f>
        <v>13098.6229741359</v>
      </c>
      <c r="BF22" s="10" t="n">
        <f aca="false">IF(Flows!BF19*BF$3*BF$4&lt;0.002,100,MAX($CM$2/(Flows!BF19*BF$3*BF$4),1))</f>
        <v>1055.04887587675</v>
      </c>
      <c r="BG22" s="10" t="n">
        <f aca="false">IF(Flows!BG19*BG$3*BG$4&lt;0.002,100,MAX($CM$2/(Flows!BG19*BG$3*BG$4),1))</f>
        <v>237.439119515949</v>
      </c>
      <c r="BH22" s="10" t="n">
        <f aca="false">IF(Flows!BH19*BH$3*BH$4&lt;0.002,100,MAX($CM$2/(Flows!BH19*BH$3*BH$4),1))</f>
        <v>118.613141180152</v>
      </c>
      <c r="BI22" s="10" t="n">
        <f aca="false">IF(Flows!BI19*BI$3*BI$4&lt;0.002,100,MAX($CM$2/(Flows!BI19*BI$3*BI$4),1))</f>
        <v>111.573177388909</v>
      </c>
      <c r="BJ22" s="10" t="n">
        <f aca="false">IF(Flows!BJ19*BJ$3*BJ$4&lt;0.002,100,MAX($CM$2/(Flows!BJ19*BJ$3*BJ$4),1))</f>
        <v>110.421896442611</v>
      </c>
      <c r="BK22" s="10" t="n">
        <f aca="false">IF(Flows!BK19*BK$3*BK$4&lt;0.002,100,MAX($CM$2/(Flows!BK19*BK$3*BK$4),1))</f>
        <v>223.146354777818</v>
      </c>
      <c r="BL22" s="10" t="n">
        <f aca="false">IF(Flows!BL19*BL$3*BL$4&lt;0.002,100,MAX($CM$2/(Flows!BL19*BL$3*BL$4),1))</f>
        <v>193.794420702308</v>
      </c>
      <c r="BM22" s="10" t="n">
        <f aca="false">IF(Flows!BM19*BM$3*BM$4&lt;0.002,100,MAX($CM$2/(Flows!BM19*BM$3*BM$4),1))</f>
        <v>30.6584452619075</v>
      </c>
      <c r="BN22" s="10" t="n">
        <f aca="false">IF(Flows!BN19*BN$3*BN$4&lt;0.002,100,MAX($CM$2/(Flows!BN19*BN$3*BN$4),1))</f>
        <v>412578.830979467</v>
      </c>
      <c r="BO22" s="10" t="n">
        <f aca="false">IF(Flows!BO19*BO$3*BO$4&lt;0.002,100,MAX($CM$2/(Flows!BO19*BO$3*BO$4),1))</f>
        <v>68763138.4965779</v>
      </c>
      <c r="BP22" s="10" t="n">
        <f aca="false">IF(Flows!BP19*BP$3*BP$4&lt;0.002,100,MAX($CM$2/(Flows!BP19*BP$3*BP$4),1))</f>
        <v>18014778507.4656</v>
      </c>
      <c r="BQ22" s="10" t="n">
        <f aca="false">IF(Flows!BQ19*BQ$3*BQ$4&lt;0.002,100,MAX($CM$2/(Flows!BQ19*BQ$3*BQ$4),1))</f>
        <v>100</v>
      </c>
      <c r="BR22" s="10" t="n">
        <f aca="false">IF(Flows!BR19*BR$3*BR$4&lt;0.002,100,MAX($CM$2/(Flows!BR19*BR$3*BR$4),1))</f>
        <v>687631384.965779</v>
      </c>
      <c r="BS22" s="10" t="n">
        <f aca="false">IF(Flows!BS19*BS$3*BS$4&lt;0.002,100,MAX($CM$2/(Flows!BS19*BS$3*BS$4),1))</f>
        <v>3438159039.18533</v>
      </c>
      <c r="BT22" s="10" t="n">
        <f aca="false">IF(Flows!BT19*BT$3*BT$4&lt;0.002,100,MAX($CM$2/(Flows!BT19*BT$3*BT$4),1))</f>
        <v>3.03293399193856</v>
      </c>
      <c r="BU22" s="10" t="n">
        <f aca="false">IF(Flows!BU19*BU$3*BU$4&lt;0.002,100,MAX($CM$2/(Flows!BU19*BU$3*BU$4),1))</f>
        <v>30.3293399193855</v>
      </c>
      <c r="BV22" s="10" t="n">
        <f aca="false">IF(Flows!BV19*BV$3*BV$4&lt;0.002,100,MAX($CM$2/(Flows!BV19*BV$3*BV$4),1))</f>
        <v>303.293399193856</v>
      </c>
      <c r="BW22" s="10" t="n">
        <f aca="false">IF(Flows!BW19*BW$3*BW$4&lt;0.002,100,MAX($CM$2/(Flows!BW19*BW$3*BW$4),1))</f>
        <v>22.6730559828404</v>
      </c>
      <c r="BX22" s="10" t="n">
        <f aca="false">IF(Flows!BX19*BX$3*BX$4&lt;0.002,100,MAX($CM$2/(Flows!BX19*BX$3*BX$4),1))</f>
        <v>1303.5485453237</v>
      </c>
      <c r="BY22" s="10" t="n">
        <f aca="false">IF(Flows!BY19*BY$3*BY$4&lt;0.002,100,MAX($CM$2/(Flows!BY19*BY$3*BY$4),1))</f>
        <v>21.8097668839132</v>
      </c>
      <c r="BZ22" s="10" t="n">
        <f aca="false">IF(Flows!BZ19*BZ$3*BZ$4&lt;0.002,100,MAX($CM$2/(Flows!BZ19*BZ$3*BZ$4),1))</f>
        <v>84990.8990092826</v>
      </c>
      <c r="CA22" s="10" t="n">
        <f aca="false">IF(Flows!CA19*CA$3*CA$4&lt;0.002,100,MAX($CM$2/(Flows!CA19*CA$3*CA$4),1))</f>
        <v>24433.5655012767</v>
      </c>
      <c r="CB22" s="10" t="n">
        <f aca="false">IF(Flows!CB19*CB$3*CB$4&lt;0.002,100,MAX($CM$2/(Flows!CB19*CB$3*CB$4),1))</f>
        <v>27.3893022329462</v>
      </c>
      <c r="CC22" s="10" t="n">
        <f aca="false">IF(Flows!CC19*CC$3*CC$4&lt;0.002,100,MAX($CM$2/(Flows!CC19*CC$3*CC$4),1))</f>
        <v>13.830924978519</v>
      </c>
      <c r="CD22" s="10" t="n">
        <f aca="false">IF(Flows!CD19*CD$3*CD$4&lt;0.002,100,MAX($CM$2/(Flows!CD19*CD$3*CD$4),1))</f>
        <v>59.1382999115794</v>
      </c>
      <c r="CE22" s="10" t="n">
        <f aca="false">IF(Flows!CE19*CE$3*CE$4&lt;0.002,100,MAX($CM$2/(Flows!CE19*CE$3*CE$4),1))</f>
        <v>22.8728321805314</v>
      </c>
      <c r="CF22" s="10" t="n">
        <f aca="false">IF(Flows!CF19*CF$3*CF$4&lt;0.002,100,MAX($CM$2/(Flows!CF19*CF$3*CF$4),1))</f>
        <v>1</v>
      </c>
      <c r="CG22" s="10" t="n">
        <f aca="false">IF(Flows!CG19*CG$3*CG$4&lt;0.002,100,MAX($CM$2/(Flows!CG19*CG$3*CG$4),1))</f>
        <v>1074779.01030572</v>
      </c>
      <c r="CH22" s="10" t="n">
        <f aca="false">IF(Flows!CH19*CH$3*CH$4&lt;0.002,100,MAX($CM$2/(Flows!CH19*CH$3*CH$4),1))</f>
        <v>2878142.8082791</v>
      </c>
      <c r="CI22" s="10" t="n">
        <f aca="false">IF(Flows!CI19*CI$3*CI$4&lt;0.002,100,MAX($CM$2/(Flows!CI19*CI$3*CI$4),1))</f>
        <v>1124.45737579904</v>
      </c>
      <c r="CJ22" s="10" t="n">
        <f aca="false">IF(Flows!CJ19*CJ$3*CJ$4&lt;0.002,100,MAX($CM$2/(Flows!CJ19*CJ$3*CJ$4),1))</f>
        <v>1431.28859770165</v>
      </c>
      <c r="CK22" s="10" t="n">
        <f aca="false">IF(Flows!CK19*CK$3*CK$4&lt;0.002,100,MAX($CM$2/(Flows!CK19*CK$3*CK$4),1))</f>
        <v>1157.32445536301</v>
      </c>
      <c r="CL22" s="7" t="s">
        <v>322</v>
      </c>
    </row>
    <row r="23" customFormat="false" ht="12.8" hidden="false" customHeight="false" outlineLevel="0" collapsed="false">
      <c r="A23" s="7" t="s">
        <v>155</v>
      </c>
      <c r="B23" s="7" t="s">
        <v>39</v>
      </c>
      <c r="C23" s="10" t="n">
        <f aca="false">IF(Flows!C20*C$3*C$4&lt;0.002,100,MAX($CM$2/(Flows!C20*C$3*C$4),1))</f>
        <v>208966.791129375</v>
      </c>
      <c r="D23" s="10" t="n">
        <f aca="false">IF(Flows!D20*D$3*D$4&lt;0.002,100,MAX($CM$2/(Flows!D20*D$3*D$4),1))</f>
        <v>64.6269099764915</v>
      </c>
      <c r="E23" s="10" t="n">
        <f aca="false">IF(Flows!E20*E$3*E$4&lt;0.002,100,MAX($CM$2/(Flows!E20*E$3*E$4),1))</f>
        <v>333.674546900192</v>
      </c>
      <c r="F23" s="10" t="n">
        <f aca="false">IF(Flows!F20*F$3*F$4&lt;0.002,100,MAX($CM$2/(Flows!F20*F$3*F$4),1))</f>
        <v>648.595067562106</v>
      </c>
      <c r="G23" s="10" t="n">
        <f aca="false">IF(Flows!G20*G$3*G$4&lt;0.002,100,MAX($CM$2/(Flows!G20*G$3*G$4),1))</f>
        <v>5665.81670867292</v>
      </c>
      <c r="H23" s="10" t="n">
        <f aca="false">IF(Flows!H20*H$3*H$4&lt;0.002,100,MAX($CM$2/(Flows!H20*H$3*H$4),1))</f>
        <v>100</v>
      </c>
      <c r="I23" s="10" t="n">
        <f aca="false">IF(Flows!I20*I$3*I$4&lt;0.002,100,MAX($CM$2/(Flows!I20*I$3*I$4),1))</f>
        <v>3203.37164371916</v>
      </c>
      <c r="J23" s="10" t="n">
        <f aca="false">IF(Flows!J20*J$3*J$4&lt;0.002,100,MAX($CM$2/(Flows!J20*J$3*J$4),1))</f>
        <v>3589.63838585337</v>
      </c>
      <c r="K23" s="10" t="n">
        <f aca="false">IF(Flows!K20*K$3*K$4&lt;0.002,100,MAX($CM$2/(Flows!K20*K$3*K$4),1))</f>
        <v>40746.4992214874</v>
      </c>
      <c r="L23" s="10" t="n">
        <f aca="false">IF(Flows!L20*L$3*L$4&lt;0.002,100,MAX($CM$2/(Flows!L20*L$3*L$4),1))</f>
        <v>144695.043518582</v>
      </c>
      <c r="M23" s="10" t="n">
        <f aca="false">IF(Flows!M20*M$3*M$4&lt;0.002,100,MAX($CM$2/(Flows!M20*M$3*M$4),1))</f>
        <v>98681.6984937108</v>
      </c>
      <c r="N23" s="10" t="n">
        <f aca="false">IF(Flows!N20*N$3*N$4&lt;0.002,100,MAX($CM$2/(Flows!N20*N$3*N$4),1))</f>
        <v>486.46828076787</v>
      </c>
      <c r="O23" s="10" t="n">
        <f aca="false">IF(Flows!O20*O$3*O$4&lt;0.002,100,MAX($CM$2/(Flows!O20*O$3*O$4),1))</f>
        <v>18.9634765619168</v>
      </c>
      <c r="P23" s="10" t="n">
        <f aca="false">IF(Flows!P20*P$3*P$4&lt;0.002,100,MAX($CM$2/(Flows!P20*P$3*P$4),1))</f>
        <v>35.5565185535939</v>
      </c>
      <c r="Q23" s="10" t="n">
        <f aca="false">IF(Flows!Q20*Q$3*Q$4&lt;0.002,100,MAX($CM$2/(Flows!Q20*Q$3*Q$4),1))</f>
        <v>40563.3875342976</v>
      </c>
      <c r="R23" s="10" t="n">
        <f aca="false">IF(Flows!R20*R$3*R$4&lt;0.002,100,MAX($CM$2/(Flows!R20*R$3*R$4),1))</f>
        <v>111.634244442431</v>
      </c>
      <c r="S23" s="10" t="n">
        <f aca="false">IF(Flows!S20*S$3*S$4&lt;0.002,100,MAX($CM$2/(Flows!S20*S$3*S$4),1))</f>
        <v>1240.24323015927</v>
      </c>
      <c r="T23" s="10" t="n">
        <f aca="false">IF(Flows!T20*T$3*T$4&lt;0.002,100,MAX($CM$2/(Flows!T20*T$3*T$4),1))</f>
        <v>2219.06264219674</v>
      </c>
      <c r="U23" s="10" t="n">
        <f aca="false">IF(Flows!U20*U$3*U$4&lt;0.002,100,MAX($CM$2/(Flows!U20*U$3*U$4),1))</f>
        <v>411.173743723795</v>
      </c>
      <c r="V23" s="10" t="n">
        <f aca="false">IF(Flows!V20*V$3*V$4&lt;0.002,100,MAX($CM$2/(Flows!V20*V$3*V$4),1))</f>
        <v>4713.91655809942</v>
      </c>
      <c r="W23" s="10" t="n">
        <f aca="false">IF(Flows!W20*W$3*W$4&lt;0.002,100,MAX($CM$2/(Flows!W20*W$3*W$4),1))</f>
        <v>137.801731328214</v>
      </c>
      <c r="X23" s="10" t="n">
        <f aca="false">IF(Flows!X20*X$3*X$4&lt;0.002,100,MAX($CM$2/(Flows!X20*X$3*X$4),1))</f>
        <v>11.2934352066753</v>
      </c>
      <c r="Y23" s="10" t="n">
        <f aca="false">IF(Flows!Y20*Y$3*Y$4&lt;0.002,100,MAX($CM$2/(Flows!Y20*Y$3*Y$4),1))</f>
        <v>723.47521759291</v>
      </c>
      <c r="Z23" s="10" t="n">
        <f aca="false">IF(Flows!Z20*Z$3*Z$4&lt;0.002,100,MAX($CM$2/(Flows!Z20*Z$3*Z$4),1))</f>
        <v>2806291.8590759</v>
      </c>
      <c r="AA23" s="10" t="n">
        <f aca="false">IF(Flows!AA20*AA$3*AA$4&lt;0.002,100,MAX($CM$2/(Flows!AA20*AA$3*AA$4),1))</f>
        <v>308357.243995536</v>
      </c>
      <c r="AB23" s="10" t="n">
        <f aca="false">IF(Flows!AB20*AB$3*AB$4&lt;0.002,100,MAX($CM$2/(Flows!AB20*AB$3*AB$4),1))</f>
        <v>292101.176652591</v>
      </c>
      <c r="AC23" s="10" t="n">
        <f aca="false">IF(Flows!AC20*AC$3*AC$4&lt;0.002,100,MAX($CM$2/(Flows!AC20*AC$3*AC$4),1))</f>
        <v>746257.956395717</v>
      </c>
      <c r="AD23" s="10" t="n">
        <f aca="false">IF(Flows!AD20*AD$3*AD$4&lt;0.002,100,MAX($CM$2/(Flows!AD20*AD$3*AD$4),1))</f>
        <v>1840010.50864879</v>
      </c>
      <c r="AE23" s="10" t="n">
        <f aca="false">IF(Flows!AE20*AE$3*AE$4&lt;0.002,100,MAX($CM$2/(Flows!AE20*AE$3*AE$4),1))</f>
        <v>4983258.64742448</v>
      </c>
      <c r="AF23" s="10" t="n">
        <f aca="false">IF(Flows!AF20*AF$3*AF$4&lt;0.002,100,MAX($CM$2/(Flows!AF20*AF$3*AF$4),1))</f>
        <v>13396.8670483617</v>
      </c>
      <c r="AG23" s="10" t="n">
        <f aca="false">IF(Flows!AG20*AG$3*AG$4&lt;0.002,100,MAX($CM$2/(Flows!AG20*AG$3*AG$4),1))</f>
        <v>14961.8988850737</v>
      </c>
      <c r="AH23" s="10" t="n">
        <f aca="false">IF(Flows!AH20*AH$3*AH$4&lt;0.002,100,MAX($CM$2/(Flows!AH20*AH$3*AH$4),1))</f>
        <v>12319.4908769094</v>
      </c>
      <c r="AI23" s="10" t="n">
        <f aca="false">IF(Flows!AI20*AI$3*AI$4&lt;0.002,100,MAX($CM$2/(Flows!AI20*AI$3*AI$4),1))</f>
        <v>47026.8842507691</v>
      </c>
      <c r="AJ23" s="10" t="n">
        <f aca="false">IF(Flows!AJ20*AJ$3*AJ$4&lt;0.002,100,MAX($CM$2/(Flows!AJ20*AJ$3*AJ$4),1))</f>
        <v>28587.8190068989</v>
      </c>
      <c r="AK23" s="10" t="n">
        <f aca="false">IF(Flows!AK20*AK$3*AK$4&lt;0.002,100,MAX($CM$2/(Flows!AK20*AK$3*AK$4),1))</f>
        <v>8747.97976090506</v>
      </c>
      <c r="AL23" s="10" t="n">
        <f aca="false">IF(Flows!AL20*AL$3*AL$4&lt;0.002,100,MAX($CM$2/(Flows!AL20*AL$3*AL$4),1))</f>
        <v>17233.6435816794</v>
      </c>
      <c r="AM23" s="10" t="n">
        <f aca="false">IF(Flows!AM20*AM$3*AM$4&lt;0.002,100,MAX($CM$2/(Flows!AM20*AM$3*AM$4),1))</f>
        <v>26178.4162119624</v>
      </c>
      <c r="AN23" s="10" t="n">
        <f aca="false">IF(Flows!AN20*AN$3*AN$4&lt;0.002,100,MAX($CM$2/(Flows!AN20*AN$3*AN$4),1))</f>
        <v>41243.5535751994</v>
      </c>
      <c r="AO23" s="10" t="n">
        <f aca="false">IF(Flows!AO20*AO$3*AO$4&lt;0.002,100,MAX($CM$2/(Flows!AO20*AO$3*AO$4),1))</f>
        <v>433572.210092907</v>
      </c>
      <c r="AP23" s="10" t="n">
        <f aca="false">IF(Flows!AP20*AP$3*AP$4&lt;0.002,100,MAX($CM$2/(Flows!AP20*AP$3*AP$4),1))</f>
        <v>1041259.00186058</v>
      </c>
      <c r="AQ23" s="10" t="n">
        <f aca="false">IF(Flows!AQ20*AQ$3*AQ$4&lt;0.002,100,MAX($CM$2/(Flows!AQ20*AQ$3*AQ$4),1))</f>
        <v>238645.449201715</v>
      </c>
      <c r="AR23" s="10" t="n">
        <f aca="false">IF(Flows!AR20*AR$3*AR$4&lt;0.002,100,MAX($CM$2/(Flows!AR20*AR$3*AR$4),1))</f>
        <v>280166.623142521</v>
      </c>
      <c r="AS23" s="10" t="n">
        <f aca="false">IF(Flows!AS20*AS$3*AS$4&lt;0.002,100,MAX($CM$2/(Flows!AS20*AS$3*AS$4),1))</f>
        <v>46977.6991717503</v>
      </c>
      <c r="AT23" s="10" t="n">
        <f aca="false">IF(Flows!AT20*AT$3*AT$4&lt;0.002,100,MAX($CM$2/(Flows!AT20*AT$3*AT$4),1))</f>
        <v>17519.8399195646</v>
      </c>
      <c r="AU23" s="10" t="n">
        <f aca="false">IF(Flows!AU20*AU$3*AU$4&lt;0.002,100,MAX($CM$2/(Flows!AU20*AU$3*AU$4),1))</f>
        <v>19994.9855341176</v>
      </c>
      <c r="AV23" s="10" t="n">
        <f aca="false">IF(Flows!AV20*AV$3*AV$4&lt;0.002,100,MAX($CM$2/(Flows!AV20*AV$3*AV$4),1))</f>
        <v>174936.986990978</v>
      </c>
      <c r="AW23" s="10" t="n">
        <f aca="false">IF(Flows!AW20*AW$3*AW$4&lt;0.002,100,MAX($CM$2/(Flows!AW20*AW$3*AW$4),1))</f>
        <v>235.121865529553</v>
      </c>
      <c r="AX23" s="10" t="n">
        <f aca="false">IF(Flows!AX20*AX$3*AX$4&lt;0.002,100,MAX($CM$2/(Flows!AX20*AX$3*AX$4),1))</f>
        <v>25210.6887022304</v>
      </c>
      <c r="AY23" s="10" t="n">
        <f aca="false">IF(Flows!AY20*AY$3*AY$4&lt;0.002,100,MAX($CM$2/(Flows!AY20*AY$3*AY$4),1))</f>
        <v>16069.3661467908</v>
      </c>
      <c r="AZ23" s="10" t="n">
        <f aca="false">IF(Flows!AZ20*AZ$3*AZ$4&lt;0.002,100,MAX($CM$2/(Flows!AZ20*AZ$3*AZ$4),1))</f>
        <v>4520.61283694729</v>
      </c>
      <c r="BA23" s="10" t="n">
        <f aca="false">IF(Flows!BA20*BA$3*BA$4&lt;0.002,100,MAX($CM$2/(Flows!BA20*BA$3*BA$4),1))</f>
        <v>7379.44721944768</v>
      </c>
      <c r="BB23" s="10" t="n">
        <f aca="false">IF(Flows!BB20*BB$3*BB$4&lt;0.002,100,MAX($CM$2/(Flows!BB20*BB$3*BB$4),1))</f>
        <v>73685.0749823916</v>
      </c>
      <c r="BC23" s="10" t="n">
        <f aca="false">IF(Flows!BC20*BC$3*BC$4&lt;0.002,100,MAX($CM$2/(Flows!BC20*BC$3*BC$4),1))</f>
        <v>26848.988430355</v>
      </c>
      <c r="BD23" s="10" t="n">
        <f aca="false">IF(Flows!BD20*BD$3*BD$4&lt;0.002,100,MAX($CM$2/(Flows!BD20*BD$3*BD$4),1))</f>
        <v>119301.711096675</v>
      </c>
      <c r="BE23" s="10" t="n">
        <f aca="false">IF(Flows!BE20*BE$3*BE$4&lt;0.002,100,MAX($CM$2/(Flows!BE20*BE$3*BE$4),1))</f>
        <v>286552.055129892</v>
      </c>
      <c r="BF23" s="10" t="n">
        <f aca="false">IF(Flows!BF20*BF$3*BF$4&lt;0.002,100,MAX($CM$2/(Flows!BF20*BF$3*BF$4),1))</f>
        <v>5314.4211898565</v>
      </c>
      <c r="BG23" s="10" t="n">
        <f aca="false">IF(Flows!BG20*BG$3*BG$4&lt;0.002,100,MAX($CM$2/(Flows!BG20*BG$3*BG$4),1))</f>
        <v>2074.99233563071</v>
      </c>
      <c r="BH23" s="10" t="n">
        <f aca="false">IF(Flows!BH20*BH$3*BH$4&lt;0.002,100,MAX($CM$2/(Flows!BH20*BH$3*BH$4),1))</f>
        <v>910526.918585803</v>
      </c>
      <c r="BI23" s="10" t="n">
        <f aca="false">IF(Flows!BI20*BI$3*BI$4&lt;0.002,100,MAX($CM$2/(Flows!BI20*BI$3*BI$4),1))</f>
        <v>2175.67969044275</v>
      </c>
      <c r="BJ23" s="10" t="n">
        <f aca="false">IF(Flows!BJ20*BJ$3*BJ$4&lt;0.002,100,MAX($CM$2/(Flows!BJ20*BJ$3*BJ$4),1))</f>
        <v>38.7835120039413</v>
      </c>
      <c r="BK23" s="10" t="n">
        <f aca="false">IF(Flows!BK20*BK$3*BK$4&lt;0.002,100,MAX($CM$2/(Flows!BK20*BK$3*BK$4),1))</f>
        <v>4351.35938088551</v>
      </c>
      <c r="BL23" s="10" t="n">
        <f aca="false">IF(Flows!BL20*BL$3*BL$4&lt;0.002,100,MAX($CM$2/(Flows!BL20*BL$3*BL$4),1))</f>
        <v>2790.97104339758</v>
      </c>
      <c r="BM23" s="10" t="n">
        <f aca="false">IF(Flows!BM20*BM$3*BM$4&lt;0.002,100,MAX($CM$2/(Flows!BM20*BM$3*BM$4),1))</f>
        <v>1782.53584675368</v>
      </c>
      <c r="BN23" s="10" t="n">
        <f aca="false">IF(Flows!BN20*BN$3*BN$4&lt;0.002,100,MAX($CM$2/(Flows!BN20*BN$3*BN$4),1))</f>
        <v>9.73831302925294</v>
      </c>
      <c r="BO23" s="10" t="n">
        <f aca="false">IF(Flows!BO20*BO$3*BO$4&lt;0.002,100,MAX($CM$2/(Flows!BO20*BO$3*BO$4),1))</f>
        <v>1623.05217154216</v>
      </c>
      <c r="BP23" s="10" t="n">
        <f aca="false">IF(Flows!BP20*BP$3*BP$4&lt;0.002,100,MAX($CM$2/(Flows!BP20*BP$3*BP$4),1))</f>
        <v>1725.1829784719</v>
      </c>
      <c r="BQ23" s="10" t="n">
        <f aca="false">IF(Flows!BQ20*BQ$3*BQ$4&lt;0.002,100,MAX($CM$2/(Flows!BQ20*BQ$3*BQ$4),1))</f>
        <v>100</v>
      </c>
      <c r="BR23" s="10" t="n">
        <f aca="false">IF(Flows!BR20*BR$3*BR$4&lt;0.002,100,MAX($CM$2/(Flows!BR20*BR$3*BR$4),1))</f>
        <v>48691.5651462647</v>
      </c>
      <c r="BS23" s="10" t="n">
        <f aca="false">IF(Flows!BS20*BS$3*BS$4&lt;0.002,100,MAX($CM$2/(Flows!BS20*BS$3*BS$4),1))</f>
        <v>486915.873207114</v>
      </c>
      <c r="BT23" s="10" t="n">
        <f aca="false">IF(Flows!BT20*BT$3*BT$4&lt;0.002,100,MAX($CM$2/(Flows!BT20*BT$3*BT$4),1))</f>
        <v>138.539783456822</v>
      </c>
      <c r="BU23" s="10" t="n">
        <f aca="false">IF(Flows!BU20*BU$3*BU$4&lt;0.002,100,MAX($CM$2/(Flows!BU20*BU$3*BU$4),1))</f>
        <v>1385.39783456822</v>
      </c>
      <c r="BV23" s="10" t="n">
        <f aca="false">IF(Flows!BV20*BV$3*BV$4&lt;0.002,100,MAX($CM$2/(Flows!BV20*BV$3*BV$4),1))</f>
        <v>13853.9783456822</v>
      </c>
      <c r="BW23" s="10" t="n">
        <f aca="false">IF(Flows!BW20*BW$3*BW$4&lt;0.002,100,MAX($CM$2/(Flows!BW20*BW$3*BW$4),1))</f>
        <v>232.580246286414</v>
      </c>
      <c r="BX23" s="10" t="n">
        <f aca="false">IF(Flows!BX20*BX$3*BX$4&lt;0.002,100,MAX($CM$2/(Flows!BX20*BX$3*BX$4),1))</f>
        <v>518.379670020965</v>
      </c>
      <c r="BY23" s="10" t="n">
        <f aca="false">IF(Flows!BY20*BY$3*BY$4&lt;0.002,100,MAX($CM$2/(Flows!BY20*BY$3*BY$4),1))</f>
        <v>463.572202580853</v>
      </c>
      <c r="BZ23" s="10" t="n">
        <f aca="false">IF(Flows!BZ20*BZ$3*BZ$4&lt;0.002,100,MAX($CM$2/(Flows!BZ20*BZ$3*BZ$4),1))</f>
        <v>1351273.57524825</v>
      </c>
      <c r="CA23" s="10" t="n">
        <f aca="false">IF(Flows!CA20*CA$3*CA$4&lt;0.002,100,MAX($CM$2/(Flows!CA20*CA$3*CA$4),1))</f>
        <v>436047.926234586</v>
      </c>
      <c r="CB23" s="10" t="n">
        <f aca="false">IF(Flows!CB20*CB$3*CB$4&lt;0.002,100,MAX($CM$2/(Flows!CB20*CB$3*CB$4),1))</f>
        <v>1320.44022517204</v>
      </c>
      <c r="CC23" s="10" t="n">
        <f aca="false">IF(Flows!CC20*CC$3*CC$4&lt;0.002,100,MAX($CM$2/(Flows!CC20*CC$3*CC$4),1))</f>
        <v>88.6639955498021</v>
      </c>
      <c r="CD23" s="10" t="n">
        <f aca="false">IF(Flows!CD20*CD$3*CD$4&lt;0.002,100,MAX($CM$2/(Flows!CD20*CD$3*CD$4),1))</f>
        <v>566.696365323602</v>
      </c>
      <c r="CE23" s="10" t="n">
        <f aca="false">IF(Flows!CE20*CE$3*CE$4&lt;0.002,100,MAX($CM$2/(Flows!CE20*CE$3*CE$4),1))</f>
        <v>1944.28672616336</v>
      </c>
      <c r="CF23" s="10" t="n">
        <f aca="false">IF(Flows!CF20*CF$3*CF$4&lt;0.002,100,MAX($CM$2/(Flows!CF20*CF$3*CF$4),1))</f>
        <v>2.97112483413007</v>
      </c>
      <c r="CG23" s="10" t="n">
        <f aca="false">IF(Flows!CG20*CG$3*CG$4&lt;0.002,100,MAX($CM$2/(Flows!CG20*CG$3*CG$4),1))</f>
        <v>535.741525712405</v>
      </c>
      <c r="CH23" s="10" t="n">
        <f aca="false">IF(Flows!CH20*CH$3*CH$4&lt;0.002,100,MAX($CM$2/(Flows!CH20*CH$3*CH$4),1))</f>
        <v>30.1522984810851</v>
      </c>
      <c r="CI23" s="10" t="n">
        <f aca="false">IF(Flows!CI20*CI$3*CI$4&lt;0.002,100,MAX($CM$2/(Flows!CI20*CI$3*CI$4),1))</f>
        <v>4981.23578210969</v>
      </c>
      <c r="CJ23" s="10" t="n">
        <f aca="false">IF(Flows!CJ20*CJ$3*CJ$4&lt;0.002,100,MAX($CM$2/(Flows!CJ20*CJ$3*CJ$4),1))</f>
        <v>175771.737485906</v>
      </c>
      <c r="CK23" s="10" t="n">
        <f aca="false">IF(Flows!CK20*CK$3*CK$4&lt;0.002,100,MAX($CM$2/(Flows!CK20*CK$3*CK$4),1))</f>
        <v>16868.8783896435</v>
      </c>
      <c r="CL23" s="7" t="s">
        <v>322</v>
      </c>
    </row>
    <row r="24" customFormat="false" ht="12.8" hidden="false" customHeight="false" outlineLevel="0" collapsed="false">
      <c r="A24" s="7" t="s">
        <v>156</v>
      </c>
      <c r="B24" s="7" t="s">
        <v>39</v>
      </c>
      <c r="C24" s="10" t="n">
        <f aca="false">IF(Flows!C21*C$3*C$4&lt;0.002,100,MAX($CM$2/(Flows!C21*C$3*C$4),1))</f>
        <v>4456.71689631869</v>
      </c>
      <c r="D24" s="10" t="n">
        <f aca="false">IF(Flows!D21*D$3*D$4&lt;0.002,100,MAX($CM$2/(Flows!D21*D$3*D$4),1))</f>
        <v>1</v>
      </c>
      <c r="E24" s="10" t="n">
        <f aca="false">IF(Flows!E21*E$3*E$4&lt;0.002,100,MAX($CM$2/(Flows!E21*E$3*E$4),1))</f>
        <v>3.97169569907036</v>
      </c>
      <c r="F24" s="10" t="n">
        <f aca="false">IF(Flows!F21*F$3*F$4&lt;0.002,100,MAX($CM$2/(Flows!F21*F$3*F$4),1))</f>
        <v>11.1147096170551</v>
      </c>
      <c r="G24" s="10" t="n">
        <f aca="false">IF(Flows!G21*G$3*G$4&lt;0.002,100,MAX($CM$2/(Flows!G21*G$3*G$4),1))</f>
        <v>1.61448185006232</v>
      </c>
      <c r="H24" s="10" t="n">
        <f aca="false">IF(Flows!H21*H$3*H$4&lt;0.002,100,MAX($CM$2/(Flows!H21*H$3*H$4),1))</f>
        <v>100</v>
      </c>
      <c r="I24" s="10" t="n">
        <f aca="false">IF(Flows!I21*I$3*I$4&lt;0.002,100,MAX($CM$2/(Flows!I21*I$3*I$4),1))</f>
        <v>796.068830139477</v>
      </c>
      <c r="J24" s="10" t="n">
        <f aca="false">IF(Flows!J21*J$3*J$4&lt;0.002,100,MAX($CM$2/(Flows!J21*J$3*J$4),1))</f>
        <v>727.086086285293</v>
      </c>
      <c r="K24" s="10" t="n">
        <f aca="false">IF(Flows!K21*K$3*K$4&lt;0.002,100,MAX($CM$2/(Flows!K21*K$3*K$4),1))</f>
        <v>5789.68377417708</v>
      </c>
      <c r="L24" s="10" t="n">
        <f aca="false">IF(Flows!L21*L$3*L$4&lt;0.002,100,MAX($CM$2/(Flows!L21*L$3*L$4),1))</f>
        <v>14590.4863703744</v>
      </c>
      <c r="M24" s="10" t="n">
        <f aca="false">IF(Flows!M21*M$3*M$4&lt;0.002,100,MAX($CM$2/(Flows!M21*M$3*M$4),1))</f>
        <v>9612.71848583911</v>
      </c>
      <c r="N24" s="10" t="n">
        <f aca="false">IF(Flows!N21*N$3*N$4&lt;0.002,100,MAX($CM$2/(Flows!N21*N$3*N$4),1))</f>
        <v>1.98671987790255</v>
      </c>
      <c r="O24" s="10" t="n">
        <f aca="false">IF(Flows!O21*O$3*O$4&lt;0.002,100,MAX($CM$2/(Flows!O21*O$3*O$4),1))</f>
        <v>1.40341677197248</v>
      </c>
      <c r="P24" s="10" t="n">
        <f aca="false">IF(Flows!P21*P$3*P$4&lt;0.002,100,MAX($CM$2/(Flows!P21*P$3*P$4),1))</f>
        <v>2.6314064474484</v>
      </c>
      <c r="Q24" s="10" t="n">
        <f aca="false">IF(Flows!Q21*Q$3*Q$4&lt;0.002,100,MAX($CM$2/(Flows!Q21*Q$3*Q$4),1))</f>
        <v>106.766017991139</v>
      </c>
      <c r="R24" s="10" t="n">
        <f aca="false">IF(Flows!R21*R$3*R$4&lt;0.002,100,MAX($CM$2/(Flows!R21*R$3*R$4),1))</f>
        <v>15.8621473265126</v>
      </c>
      <c r="S24" s="10" t="n">
        <f aca="false">IF(Flows!S21*S$3*S$4&lt;0.002,100,MAX($CM$2/(Flows!S21*S$3*S$4),1))</f>
        <v>125.061311746066</v>
      </c>
      <c r="T24" s="10" t="n">
        <f aca="false">IF(Flows!T21*T$3*T$4&lt;0.002,100,MAX($CM$2/(Flows!T21*T$3*T$4),1))</f>
        <v>223.761660722128</v>
      </c>
      <c r="U24" s="10" t="n">
        <f aca="false">IF(Flows!U21*U$3*U$4&lt;0.002,100,MAX($CM$2/(Flows!U21*U$3*U$4),1))</f>
        <v>40.0529936909963</v>
      </c>
      <c r="V24" s="10" t="n">
        <f aca="false">IF(Flows!V21*V$3*V$4&lt;0.002,100,MAX($CM$2/(Flows!V21*V$3*V$4),1))</f>
        <v>115.618817412147</v>
      </c>
      <c r="W24" s="10" t="n">
        <f aca="false">IF(Flows!W21*W$3*W$4&lt;0.002,100,MAX($CM$2/(Flows!W21*W$3*W$4),1))</f>
        <v>3.15768240362109</v>
      </c>
      <c r="X24" s="10" t="n">
        <f aca="false">IF(Flows!X21*X$3*X$4&lt;0.002,100,MAX($CM$2/(Flows!X21*X$3*X$4),1))</f>
        <v>2.23400630377547</v>
      </c>
      <c r="Y24" s="10" t="n">
        <f aca="false">IF(Flows!Y21*Y$3*Y$4&lt;0.002,100,MAX($CM$2/(Flows!Y21*Y$3*Y$4),1))</f>
        <v>72.952431851872</v>
      </c>
      <c r="Z24" s="10" t="n">
        <f aca="false">IF(Flows!Z21*Z$3*Z$4&lt;0.002,100,MAX($CM$2/(Flows!Z21*Z$3*Z$4),1))</f>
        <v>5989.16804220953</v>
      </c>
      <c r="AA24" s="10" t="n">
        <f aca="false">IF(Flows!AA21*AA$3*AA$4&lt;0.002,100,MAX($CM$2/(Flows!AA21*AA$3*AA$4),1))</f>
        <v>3901.68691384509</v>
      </c>
      <c r="AB24" s="10" t="n">
        <f aca="false">IF(Flows!AB21*AB$3*AB$4&lt;0.002,100,MAX($CM$2/(Flows!AB21*AB$3*AB$4),1))</f>
        <v>4095.51319336159</v>
      </c>
      <c r="AC24" s="10" t="n">
        <f aca="false">IF(Flows!AC21*AC$3*AC$4&lt;0.002,100,MAX($CM$2/(Flows!AC21*AC$3*AC$4),1))</f>
        <v>29715.8534400422</v>
      </c>
      <c r="AD24" s="10" t="n">
        <f aca="false">IF(Flows!AD21*AD$3*AD$4&lt;0.002,100,MAX($CM$2/(Flows!AD21*AD$3*AD$4),1))</f>
        <v>25798.5517225689</v>
      </c>
      <c r="AE24" s="10" t="n">
        <f aca="false">IF(Flows!AE21*AE$3*AE$4&lt;0.002,100,MAX($CM$2/(Flows!AE21*AE$3*AE$4),1))</f>
        <v>77699.6404287627</v>
      </c>
      <c r="AF24" s="10" t="n">
        <f aca="false">IF(Flows!AF21*AF$3*AF$4&lt;0.002,100,MAX($CM$2/(Flows!AF21*AF$3*AF$4),1))</f>
        <v>303.499748872506</v>
      </c>
      <c r="AG24" s="10" t="n">
        <f aca="false">IF(Flows!AG21*AG$3*AG$4&lt;0.002,100,MAX($CM$2/(Flows!AG21*AG$3*AG$4),1))</f>
        <v>275.18443334295</v>
      </c>
      <c r="AH24" s="10" t="n">
        <f aca="false">IF(Flows!AH21*AH$3*AH$4&lt;0.002,100,MAX($CM$2/(Flows!AH21*AH$3*AH$4),1))</f>
        <v>196.449311701466</v>
      </c>
      <c r="AI24" s="10" t="n">
        <f aca="false">IF(Flows!AI21*AI$3*AI$4&lt;0.002,100,MAX($CM$2/(Flows!AI21*AI$3*AI$4),1))</f>
        <v>1046.54888656735</v>
      </c>
      <c r="AJ24" s="10" t="n">
        <f aca="false">IF(Flows!AJ21*AJ$3*AJ$4&lt;0.002,100,MAX($CM$2/(Flows!AJ21*AJ$3*AJ$4),1))</f>
        <v>421.187622467203</v>
      </c>
      <c r="AK24" s="10" t="n">
        <f aca="false">IF(Flows!AK21*AK$3*AK$4&lt;0.002,100,MAX($CM$2/(Flows!AK21*AK$3*AK$4),1))</f>
        <v>182.290307072449</v>
      </c>
      <c r="AL24" s="10" t="n">
        <f aca="false">IF(Flows!AL21*AL$3*AL$4&lt;0.002,100,MAX($CM$2/(Flows!AL21*AL$3*AL$4),1))</f>
        <v>340.840811557574</v>
      </c>
      <c r="AM24" s="10" t="n">
        <f aca="false">IF(Flows!AM21*AM$3*AM$4&lt;0.002,100,MAX($CM$2/(Flows!AM21*AM$3*AM$4),1))</f>
        <v>609.122629708931</v>
      </c>
      <c r="AN24" s="10" t="n">
        <f aca="false">IF(Flows!AN21*AN$3*AN$4&lt;0.002,100,MAX($CM$2/(Flows!AN21*AN$3*AN$4),1))</f>
        <v>733.457906422487</v>
      </c>
      <c r="AO24" s="10" t="n">
        <f aca="false">IF(Flows!AO21*AO$3*AO$4&lt;0.002,100,MAX($CM$2/(Flows!AO21*AO$3*AO$4),1))</f>
        <v>6865.72987659982</v>
      </c>
      <c r="AP24" s="10" t="n">
        <f aca="false">IF(Flows!AP21*AP$3*AP$4&lt;0.002,100,MAX($CM$2/(Flows!AP21*AP$3*AP$4),1))</f>
        <v>16464.5233217118</v>
      </c>
      <c r="AQ24" s="10" t="n">
        <f aca="false">IF(Flows!AQ21*AQ$3*AQ$4&lt;0.002,100,MAX($CM$2/(Flows!AQ21*AQ$3*AQ$4),1))</f>
        <v>4702.32832620565</v>
      </c>
      <c r="AR24" s="10" t="n">
        <f aca="false">IF(Flows!AR21*AR$3*AR$4&lt;0.002,100,MAX($CM$2/(Flows!AR21*AR$3*AR$4),1))</f>
        <v>6730.92352825496</v>
      </c>
      <c r="AS24" s="10" t="n">
        <f aca="false">IF(Flows!AS21*AS$3*AS$4&lt;0.002,100,MAX($CM$2/(Flows!AS21*AS$3*AS$4),1))</f>
        <v>1032.49979855241</v>
      </c>
      <c r="AT24" s="10" t="n">
        <f aca="false">IF(Flows!AT21*AT$3*AT$4&lt;0.002,100,MAX($CM$2/(Flows!AT21*AT$3*AT$4),1))</f>
        <v>309.711255079687</v>
      </c>
      <c r="AU24" s="10" t="n">
        <f aca="false">IF(Flows!AU21*AU$3*AU$4&lt;0.002,100,MAX($CM$2/(Flows!AU21*AU$3*AU$4),1))</f>
        <v>412.44465731478</v>
      </c>
      <c r="AV24" s="10" t="n">
        <f aca="false">IF(Flows!AV21*AV$3*AV$4&lt;0.002,100,MAX($CM$2/(Flows!AV21*AV$3*AV$4),1))</f>
        <v>4124.14488177041</v>
      </c>
      <c r="AW24" s="10" t="n">
        <f aca="false">IF(Flows!AW21*AW$3*AW$4&lt;0.002,100,MAX($CM$2/(Flows!AW21*AW$3*AW$4),1))</f>
        <v>9.43303879393095</v>
      </c>
      <c r="AX24" s="10" t="n">
        <f aca="false">IF(Flows!AX21*AX$3*AX$4&lt;0.002,100,MAX($CM$2/(Flows!AX21*AX$3*AX$4),1))</f>
        <v>1804.45141485873</v>
      </c>
      <c r="AY24" s="10" t="n">
        <f aca="false">IF(Flows!AY21*AY$3*AY$4&lt;0.002,100,MAX($CM$2/(Flows!AY21*AY$3*AY$4),1))</f>
        <v>202.788475404643</v>
      </c>
      <c r="AZ24" s="10" t="n">
        <f aca="false">IF(Flows!AZ21*AZ$3*AZ$4&lt;0.002,100,MAX($CM$2/(Flows!AZ21*AZ$3*AZ$4),1))</f>
        <v>60.2327271164874</v>
      </c>
      <c r="BA24" s="10" t="n">
        <f aca="false">IF(Flows!BA21*BA$3*BA$4&lt;0.002,100,MAX($CM$2/(Flows!BA21*BA$3*BA$4),1))</f>
        <v>744.114804889095</v>
      </c>
      <c r="BB24" s="10" t="n">
        <f aca="false">IF(Flows!BB21*BB$3*BB$4&lt;0.002,100,MAX($CM$2/(Flows!BB21*BB$3*BB$4),1))</f>
        <v>1654.92613024984</v>
      </c>
      <c r="BC24" s="10" t="n">
        <f aca="false">IF(Flows!BC21*BC$3*BC$4&lt;0.002,100,MAX($CM$2/(Flows!BC21*BC$3*BC$4),1))</f>
        <v>636.632954139055</v>
      </c>
      <c r="BD24" s="10" t="n">
        <f aca="false">IF(Flows!BD21*BD$3*BD$4&lt;0.002,100,MAX($CM$2/(Flows!BD21*BD$3*BD$4),1))</f>
        <v>2752.99328731312</v>
      </c>
      <c r="BE24" s="10" t="n">
        <f aca="false">IF(Flows!BE21*BE$3*BE$4&lt;0.002,100,MAX($CM$2/(Flows!BE21*BE$3*BE$4),1))</f>
        <v>5500.45324304839</v>
      </c>
      <c r="BF24" s="10" t="n">
        <f aca="false">IF(Flows!BF21*BF$3*BF$4&lt;0.002,100,MAX($CM$2/(Flows!BF21*BF$3*BF$4),1))</f>
        <v>430.032281809093</v>
      </c>
      <c r="BG24" s="10" t="n">
        <f aca="false">IF(Flows!BG21*BG$3*BG$4&lt;0.002,100,MAX($CM$2/(Flows!BG21*BG$3*BG$4),1))</f>
        <v>98.2371539113595</v>
      </c>
      <c r="BH24" s="10" t="n">
        <f aca="false">IF(Flows!BH21*BH$3*BH$4&lt;0.002,100,MAX($CM$2/(Flows!BH21*BH$3*BH$4),1))</f>
        <v>47.3921584375198</v>
      </c>
      <c r="BI24" s="10" t="n">
        <f aca="false">IF(Flows!BI21*BI$3*BI$4&lt;0.002,100,MAX($CM$2/(Flows!BI21*BI$3*BI$4),1))</f>
        <v>25.0517845529751</v>
      </c>
      <c r="BJ24" s="10" t="n">
        <f aca="false">IF(Flows!BJ21*BJ$3*BJ$4&lt;0.002,100,MAX($CM$2/(Flows!BJ21*BJ$3*BJ$4),1))</f>
        <v>4.56512853729098</v>
      </c>
      <c r="BK24" s="10" t="n">
        <f aca="false">IF(Flows!BK21*BK$3*BK$4&lt;0.002,100,MAX($CM$2/(Flows!BK21*BK$3*BK$4),1))</f>
        <v>50.1035691059503</v>
      </c>
      <c r="BL24" s="10" t="n">
        <f aca="false">IF(Flows!BL21*BL$3*BL$4&lt;0.002,100,MAX($CM$2/(Flows!BL21*BL$3*BL$4),1))</f>
        <v>3231.79839031958</v>
      </c>
      <c r="BM24" s="10" t="n">
        <f aca="false">IF(Flows!BM21*BM$3*BM$4&lt;0.002,100,MAX($CM$2/(Flows!BM21*BM$3*BM$4),1))</f>
        <v>14.2477415317962</v>
      </c>
      <c r="BN24" s="10" t="n">
        <f aca="false">IF(Flows!BN21*BN$3*BN$4&lt;0.002,100,MAX($CM$2/(Flows!BN21*BN$3*BN$4),1))</f>
        <v>103791.632716609</v>
      </c>
      <c r="BO24" s="10" t="n">
        <f aca="false">IF(Flows!BO21*BO$3*BO$4&lt;0.002,100,MAX($CM$2/(Flows!BO21*BO$3*BO$4),1))</f>
        <v>17298605.4527682</v>
      </c>
      <c r="BP24" s="10" t="n">
        <f aca="false">IF(Flows!BP21*BP$3*BP$4&lt;0.002,100,MAX($CM$2/(Flows!BP21*BP$3*BP$4),1))</f>
        <v>7836926471.78719</v>
      </c>
      <c r="BQ24" s="10" t="n">
        <f aca="false">IF(Flows!BQ21*BQ$3*BQ$4&lt;0.002,100,MAX($CM$2/(Flows!BQ21*BQ$3*BQ$4),1))</f>
        <v>100</v>
      </c>
      <c r="BR24" s="10" t="n">
        <f aca="false">IF(Flows!BR21*BR$3*BR$4&lt;0.002,100,MAX($CM$2/(Flows!BR21*BR$3*BR$4),1))</f>
        <v>172986054.527682</v>
      </c>
      <c r="BS24" s="10" t="n">
        <f aca="false">IF(Flows!BS21*BS$3*BS$4&lt;0.002,100,MAX($CM$2/(Flows!BS21*BS$3*BS$4),1))</f>
        <v>864930850.472198</v>
      </c>
      <c r="BT24" s="10" t="n">
        <f aca="false">IF(Flows!BT21*BT$3*BT$4&lt;0.002,100,MAX($CM$2/(Flows!BT21*BT$3*BT$4),1))</f>
        <v>1</v>
      </c>
      <c r="BU24" s="10" t="n">
        <f aca="false">IF(Flows!BU21*BU$3*BU$4&lt;0.002,100,MAX($CM$2/(Flows!BU21*BU$3*BU$4),1))</f>
        <v>6.87293868822108</v>
      </c>
      <c r="BV24" s="10" t="n">
        <f aca="false">IF(Flows!BV21*BV$3*BV$4&lt;0.002,100,MAX($CM$2/(Flows!BV21*BV$3*BV$4),1))</f>
        <v>68.7293868822108</v>
      </c>
      <c r="BW24" s="10" t="n">
        <f aca="false">IF(Flows!BW21*BW$3*BW$4&lt;0.002,100,MAX($CM$2/(Flows!BW21*BW$3*BW$4),1))</f>
        <v>9.60052560265879</v>
      </c>
      <c r="BX24" s="10" t="n">
        <f aca="false">IF(Flows!BX21*BX$3*BX$4&lt;0.002,100,MAX($CM$2/(Flows!BX21*BX$3*BX$4),1))</f>
        <v>6.19598353124919</v>
      </c>
      <c r="BY24" s="10" t="n">
        <f aca="false">IF(Flows!BY21*BY$3*BY$4&lt;0.002,100,MAX($CM$2/(Flows!BY21*BY$3*BY$4),1))</f>
        <v>44.2773528772151</v>
      </c>
      <c r="BZ24" s="10" t="n">
        <f aca="false">IF(Flows!BZ21*BZ$3*BZ$4&lt;0.002,100,MAX($CM$2/(Flows!BZ21*BZ$3*BZ$4),1))</f>
        <v>188623.638827232</v>
      </c>
      <c r="CA24" s="10" t="n">
        <f aca="false">IF(Flows!CA21*CA$3*CA$4&lt;0.002,100,MAX($CM$2/(Flows!CA21*CA$3*CA$4),1))</f>
        <v>93768.1401510666</v>
      </c>
      <c r="CB24" s="10" t="n">
        <f aca="false">IF(Flows!CB21*CB$3*CB$4&lt;0.002,100,MAX($CM$2/(Flows!CB21*CB$3*CB$4),1))</f>
        <v>293.21893649426</v>
      </c>
      <c r="CC24" s="10" t="n">
        <f aca="false">IF(Flows!CC21*CC$3*CC$4&lt;0.002,100,MAX($CM$2/(Flows!CC21*CC$3*CC$4),1))</f>
        <v>45.27927943791</v>
      </c>
      <c r="CD24" s="10" t="n">
        <f aca="false">IF(Flows!CD21*CD$3*CD$4&lt;0.002,100,MAX($CM$2/(Flows!CD21*CD$3*CD$4),1))</f>
        <v>25.0954472380349</v>
      </c>
      <c r="CE24" s="10" t="n">
        <f aca="false">IF(Flows!CE21*CE$3*CE$4&lt;0.002,100,MAX($CM$2/(Flows!CE21*CE$3*CE$4),1))</f>
        <v>3.12103382855898</v>
      </c>
      <c r="CF24" s="10" t="n">
        <f aca="false">IF(Flows!CF21*CF$3*CF$4&lt;0.002,100,MAX($CM$2/(Flows!CF21*CF$3*CF$4),1))</f>
        <v>6.44849899887972</v>
      </c>
      <c r="CG24" s="10" t="n">
        <f aca="false">IF(Flows!CG21*CG$3*CG$4&lt;0.002,100,MAX($CM$2/(Flows!CG21*CG$3*CG$4),1))</f>
        <v>2713776.28504562</v>
      </c>
      <c r="CH24" s="10" t="n">
        <f aca="false">IF(Flows!CH21*CH$3*CH$4&lt;0.002,100,MAX($CM$2/(Flows!CH21*CH$3*CH$4),1))</f>
        <v>2708901.41364801</v>
      </c>
      <c r="CI24" s="10" t="n">
        <f aca="false">IF(Flows!CI21*CI$3*CI$4&lt;0.002,100,MAX($CM$2/(Flows!CI21*CI$3*CI$4),1))</f>
        <v>99.7712142198845</v>
      </c>
      <c r="CJ24" s="10" t="n">
        <f aca="false">IF(Flows!CJ21*CJ$3*CJ$4&lt;0.002,100,MAX($CM$2/(Flows!CJ21*CJ$3*CJ$4),1))</f>
        <v>887.96274082806</v>
      </c>
      <c r="CK24" s="10" t="n">
        <f aca="false">IF(Flows!CK21*CK$3*CK$4&lt;0.002,100,MAX($CM$2/(Flows!CK21*CK$3*CK$4),1))</f>
        <v>292.009808446772</v>
      </c>
      <c r="CL24" s="7" t="s">
        <v>322</v>
      </c>
    </row>
    <row r="25" customFormat="false" ht="12.8" hidden="false" customHeight="false" outlineLevel="0" collapsed="false">
      <c r="A25" s="7" t="s">
        <v>157</v>
      </c>
      <c r="B25" s="7" t="s">
        <v>39</v>
      </c>
      <c r="C25" s="10" t="n">
        <f aca="false">IF(Flows!C22*C$3*C$4&lt;0.002,100,MAX($CM$2/(Flows!C22*C$3*C$4),1))</f>
        <v>33445.502931308</v>
      </c>
      <c r="D25" s="10" t="n">
        <f aca="false">IF(Flows!D22*D$3*D$4&lt;0.002,100,MAX($CM$2/(Flows!D22*D$3*D$4),1))</f>
        <v>11.3950506903818</v>
      </c>
      <c r="E25" s="10" t="n">
        <f aca="false">IF(Flows!E22*E$3*E$4&lt;0.002,100,MAX($CM$2/(Flows!E22*E$3*E$4),1))</f>
        <v>59.4919434734506</v>
      </c>
      <c r="F25" s="10" t="n">
        <f aca="false">IF(Flows!F22*F$3*F$4&lt;0.002,100,MAX($CM$2/(Flows!F22*F$3*F$4),1))</f>
        <v>115.640169305768</v>
      </c>
      <c r="G25" s="10" t="n">
        <f aca="false">IF(Flows!G22*G$3*G$4&lt;0.002,100,MAX($CM$2/(Flows!G22*G$3*G$4),1))</f>
        <v>92.0925282733478</v>
      </c>
      <c r="H25" s="10" t="n">
        <f aca="false">IF(Flows!H22*H$3*H$4&lt;0.002,100,MAX($CM$2/(Flows!H22*H$3*H$4),1))</f>
        <v>100</v>
      </c>
      <c r="I25" s="10" t="n">
        <f aca="false">IF(Flows!I22*I$3*I$4&lt;0.002,100,MAX($CM$2/(Flows!I22*I$3*I$4),1))</f>
        <v>1250.09934625073</v>
      </c>
      <c r="J25" s="10" t="n">
        <f aca="false">IF(Flows!J22*J$3*J$4&lt;0.002,100,MAX($CM$2/(Flows!J22*J$3*J$4),1))</f>
        <v>1121.37958650936</v>
      </c>
      <c r="K25" s="10" t="n">
        <f aca="false">IF(Flows!K22*K$3*K$4&lt;0.002,100,MAX($CM$2/(Flows!K22*K$3*K$4),1))</f>
        <v>13162.1881692956</v>
      </c>
      <c r="L25" s="10" t="n">
        <f aca="false">IF(Flows!L22*L$3*L$4&lt;0.002,100,MAX($CM$2/(Flows!L22*L$3*L$4),1))</f>
        <v>48600.9560462033</v>
      </c>
      <c r="M25" s="10" t="n">
        <f aca="false">IF(Flows!M22*M$3*M$4&lt;0.002,100,MAX($CM$2/(Flows!M22*M$3*M$4),1))</f>
        <v>33306.2971735113</v>
      </c>
      <c r="N25" s="10" t="n">
        <f aca="false">IF(Flows!N22*N$3*N$4&lt;0.002,100,MAX($CM$2/(Flows!N22*N$3*N$4),1))</f>
        <v>92.0605778545701</v>
      </c>
      <c r="O25" s="10" t="n">
        <f aca="false">IF(Flows!O22*O$3*O$4&lt;0.002,100,MAX($CM$2/(Flows!O22*O$3*O$4),1))</f>
        <v>6.42269471720148</v>
      </c>
      <c r="P25" s="10" t="n">
        <f aca="false">IF(Flows!P22*P$3*P$4&lt;0.002,100,MAX($CM$2/(Flows!P22*P$3*P$4),1))</f>
        <v>12.0425525947528</v>
      </c>
      <c r="Q25" s="10" t="n">
        <f aca="false">IF(Flows!Q22*Q$3*Q$4&lt;0.002,100,MAX($CM$2/(Flows!Q22*Q$3*Q$4),1))</f>
        <v>1267.94439953592</v>
      </c>
      <c r="R25" s="10" t="n">
        <f aca="false">IF(Flows!R22*R$3*R$4&lt;0.002,100,MAX($CM$2/(Flows!R22*R$3*R$4),1))</f>
        <v>36.0607895049194</v>
      </c>
      <c r="S25" s="10" t="n">
        <f aca="false">IF(Flows!S22*S$3*S$4&lt;0.002,100,MAX($CM$2/(Flows!S22*S$3*S$4),1))</f>
        <v>416.57962325317</v>
      </c>
      <c r="T25" s="10" t="n">
        <f aca="false">IF(Flows!T22*T$3*T$4&lt;0.002,100,MAX($CM$2/(Flows!T22*T$3*T$4),1))</f>
        <v>745.350796506898</v>
      </c>
      <c r="U25" s="10" t="n">
        <f aca="false">IF(Flows!U22*U$3*U$4&lt;0.002,100,MAX($CM$2/(Flows!U22*U$3*U$4),1))</f>
        <v>138.776238222964</v>
      </c>
      <c r="V25" s="10" t="n">
        <f aca="false">IF(Flows!V22*V$3*V$4&lt;0.002,100,MAX($CM$2/(Flows!V22*V$3*V$4),1))</f>
        <v>1902.158301014</v>
      </c>
      <c r="W25" s="10" t="n">
        <f aca="false">IF(Flows!W22*W$3*W$4&lt;0.002,100,MAX($CM$2/(Flows!W22*W$3*W$4),1))</f>
        <v>49.2316630518668</v>
      </c>
      <c r="X25" s="10" t="n">
        <f aca="false">IF(Flows!X22*X$3*X$4&lt;0.002,100,MAX($CM$2/(Flows!X22*X$3*X$4),1))</f>
        <v>5.85251852654652</v>
      </c>
      <c r="Y25" s="10" t="n">
        <f aca="false">IF(Flows!Y22*Y$3*Y$4&lt;0.002,100,MAX($CM$2/(Flows!Y22*Y$3*Y$4),1))</f>
        <v>243.004780231017</v>
      </c>
      <c r="Z25" s="10" t="n">
        <f aca="false">IF(Flows!Z22*Z$3*Z$4&lt;0.002,100,MAX($CM$2/(Flows!Z22*Z$3*Z$4),1))</f>
        <v>891726.967030904</v>
      </c>
      <c r="AA25" s="10" t="n">
        <f aca="false">IF(Flows!AA22*AA$3*AA$4&lt;0.002,100,MAX($CM$2/(Flows!AA22*AA$3*AA$4),1))</f>
        <v>72143.834292825</v>
      </c>
      <c r="AB25" s="10" t="n">
        <f aca="false">IF(Flows!AB22*AB$3*AB$4&lt;0.002,100,MAX($CM$2/(Flows!AB22*AB$3*AB$4),1))</f>
        <v>66435.0215451988</v>
      </c>
      <c r="AC25" s="10" t="n">
        <f aca="false">IF(Flows!AC22*AC$3*AC$4&lt;0.002,100,MAX($CM$2/(Flows!AC22*AC$3*AC$4),1))</f>
        <v>232225.878070083</v>
      </c>
      <c r="AD25" s="10" t="n">
        <f aca="false">IF(Flows!AD22*AD$3*AD$4&lt;0.002,100,MAX($CM$2/(Flows!AD22*AD$3*AD$4),1))</f>
        <v>418489.028994435</v>
      </c>
      <c r="AE25" s="10" t="n">
        <f aca="false">IF(Flows!AE22*AE$3*AE$4&lt;0.002,100,MAX($CM$2/(Flows!AE22*AE$3*AE$4),1))</f>
        <v>1229364.66983459</v>
      </c>
      <c r="AF25" s="10" t="n">
        <f aca="false">IF(Flows!AF22*AF$3*AF$4&lt;0.002,100,MAX($CM$2/(Flows!AF22*AF$3*AF$4),1))</f>
        <v>3783.65086404789</v>
      </c>
      <c r="AG25" s="10" t="n">
        <f aca="false">IF(Flows!AG22*AG$3*AG$4&lt;0.002,100,MAX($CM$2/(Flows!AG22*AG$3*AG$4),1))</f>
        <v>4426.16292127392</v>
      </c>
      <c r="AH25" s="10" t="n">
        <f aca="false">IF(Flows!AH22*AH$3*AH$4&lt;0.002,100,MAX($CM$2/(Flows!AH22*AH$3*AH$4),1))</f>
        <v>2762.65811051577</v>
      </c>
      <c r="AI25" s="10" t="n">
        <f aca="false">IF(Flows!AI22*AI$3*AI$4&lt;0.002,100,MAX($CM$2/(Flows!AI22*AI$3*AI$4),1))</f>
        <v>16567.9880122765</v>
      </c>
      <c r="AJ25" s="10" t="n">
        <f aca="false">IF(Flows!AJ22*AJ$3*AJ$4&lt;0.002,100,MAX($CM$2/(Flows!AJ22*AJ$3*AJ$4),1))</f>
        <v>6701.10578687267</v>
      </c>
      <c r="AK25" s="10" t="n">
        <f aca="false">IF(Flows!AK22*AK$3*AK$4&lt;0.002,100,MAX($CM$2/(Flows!AK22*AK$3*AK$4),1))</f>
        <v>2844.42829833765</v>
      </c>
      <c r="AL25" s="10" t="n">
        <f aca="false">IF(Flows!AL22*AL$3*AL$4&lt;0.002,100,MAX($CM$2/(Flows!AL22*AL$3*AL$4),1))</f>
        <v>5055.12282926702</v>
      </c>
      <c r="AM25" s="10" t="n">
        <f aca="false">IF(Flows!AM22*AM$3*AM$4&lt;0.002,100,MAX($CM$2/(Flows!AM22*AM$3*AM$4),1))</f>
        <v>8093.28375654793</v>
      </c>
      <c r="AN25" s="10" t="n">
        <f aca="false">IF(Flows!AN22*AN$3*AN$4&lt;0.002,100,MAX($CM$2/(Flows!AN22*AN$3*AN$4),1))</f>
        <v>11396.5580538333</v>
      </c>
      <c r="AO25" s="10" t="n">
        <f aca="false">IF(Flows!AO22*AO$3*AO$4&lt;0.002,100,MAX($CM$2/(Flows!AO22*AO$3*AO$4),1))</f>
        <v>106903.117351046</v>
      </c>
      <c r="AP25" s="10" t="n">
        <f aca="false">IF(Flows!AP22*AP$3*AP$4&lt;0.002,100,MAX($CM$2/(Flows!AP22*AP$3*AP$4),1))</f>
        <v>245717.889753259</v>
      </c>
      <c r="AQ25" s="10" t="n">
        <f aca="false">IF(Flows!AQ22*AQ$3*AQ$4&lt;0.002,100,MAX($CM$2/(Flows!AQ22*AQ$3*AQ$4),1))</f>
        <v>78896.4166397106</v>
      </c>
      <c r="AR25" s="10" t="n">
        <f aca="false">IF(Flows!AR22*AR$3*AR$4&lt;0.002,100,MAX($CM$2/(Flows!AR22*AR$3*AR$4),1))</f>
        <v>92743.4233036855</v>
      </c>
      <c r="AS25" s="10" t="n">
        <f aca="false">IF(Flows!AS22*AS$3*AS$4&lt;0.002,100,MAX($CM$2/(Flows!AS22*AS$3*AS$4),1))</f>
        <v>11315.8081371789</v>
      </c>
      <c r="AT25" s="10" t="n">
        <f aca="false">IF(Flows!AT22*AT$3*AT$4&lt;0.002,100,MAX($CM$2/(Flows!AT22*AT$3*AT$4),1))</f>
        <v>4128.78221353204</v>
      </c>
      <c r="AU25" s="10" t="n">
        <f aca="false">IF(Flows!AU22*AU$3*AU$4&lt;0.002,100,MAX($CM$2/(Flows!AU22*AU$3*AU$4),1))</f>
        <v>6755.96637625084</v>
      </c>
      <c r="AV25" s="10" t="n">
        <f aca="false">IF(Flows!AV22*AV$3*AV$4&lt;0.002,100,MAX($CM$2/(Flows!AV22*AV$3*AV$4),1))</f>
        <v>49496.4123920451</v>
      </c>
      <c r="AW25" s="10" t="n">
        <f aca="false">IF(Flows!AW22*AW$3*AW$4&lt;0.002,100,MAX($CM$2/(Flows!AW22*AW$3*AW$4),1))</f>
        <v>73.148519231125</v>
      </c>
      <c r="AX25" s="10" t="n">
        <f aca="false">IF(Flows!AX22*AX$3*AX$4&lt;0.002,100,MAX($CM$2/(Flows!AX22*AX$3*AX$4),1))</f>
        <v>10558.0139008572</v>
      </c>
      <c r="AY25" s="10" t="n">
        <f aca="false">IF(Flows!AY22*AY$3*AY$4&lt;0.002,100,MAX($CM$2/(Flows!AY22*AY$3*AY$4),1))</f>
        <v>3669.0131570214</v>
      </c>
      <c r="AZ25" s="10" t="n">
        <f aca="false">IF(Flows!AZ22*AZ$3*AZ$4&lt;0.002,100,MAX($CM$2/(Flows!AZ22*AZ$3*AZ$4),1))</f>
        <v>1003.78358347323</v>
      </c>
      <c r="BA25" s="10" t="n">
        <f aca="false">IF(Flows!BA22*BA$3*BA$4&lt;0.002,100,MAX($CM$2/(Flows!BA22*BA$3*BA$4),1))</f>
        <v>2478.64875835637</v>
      </c>
      <c r="BB25" s="10" t="n">
        <f aca="false">IF(Flows!BB22*BB$3*BB$4&lt;0.002,100,MAX($CM$2/(Flows!BB22*BB$3*BB$4),1))</f>
        <v>18948.6805293235</v>
      </c>
      <c r="BC25" s="10" t="n">
        <f aca="false">IF(Flows!BC22*BC$3*BC$4&lt;0.002,100,MAX($CM$2/(Flows!BC22*BC$3*BC$4),1))</f>
        <v>7980.38820829979</v>
      </c>
      <c r="BD25" s="10" t="n">
        <f aca="false">IF(Flows!BD22*BD$3*BD$4&lt;0.002,100,MAX($CM$2/(Flows!BD22*BD$3*BD$4),1))</f>
        <v>35754.8915038788</v>
      </c>
      <c r="BE25" s="10" t="n">
        <f aca="false">IF(Flows!BE22*BE$3*BE$4&lt;0.002,100,MAX($CM$2/(Flows!BE22*BE$3*BE$4),1))</f>
        <v>87551.6638925182</v>
      </c>
      <c r="BF25" s="10" t="n">
        <f aca="false">IF(Flows!BF22*BF$3*BF$4&lt;0.002,100,MAX($CM$2/(Flows!BF22*BF$3*BF$4),1))</f>
        <v>2077.27347347456</v>
      </c>
      <c r="BG25" s="10" t="n">
        <f aca="false">IF(Flows!BG22*BG$3*BG$4&lt;0.002,100,MAX($CM$2/(Flows!BG22*BG$3*BG$4),1))</f>
        <v>644.558659434471</v>
      </c>
      <c r="BH25" s="10" t="n">
        <f aca="false">IF(Flows!BH22*BH$3*BH$4&lt;0.002,100,MAX($CM$2/(Flows!BH22*BH$3*BH$4),1))</f>
        <v>746672.905946954</v>
      </c>
      <c r="BI25" s="10" t="n">
        <f aca="false">IF(Flows!BI22*BI$3*BI$4&lt;0.002,100,MAX($CM$2/(Flows!BI22*BI$3*BI$4),1))</f>
        <v>409.447244153295</v>
      </c>
      <c r="BJ25" s="10" t="n">
        <f aca="false">IF(Flows!BJ22*BJ$3*BJ$4&lt;0.002,100,MAX($CM$2/(Flows!BJ22*BJ$3*BJ$4),1))</f>
        <v>23.6651535567258</v>
      </c>
      <c r="BK25" s="10" t="n">
        <f aca="false">IF(Flows!BK22*BK$3*BK$4&lt;0.002,100,MAX($CM$2/(Flows!BK22*BK$3*BK$4),1))</f>
        <v>818.89448830659</v>
      </c>
      <c r="BL25" s="10" t="n">
        <f aca="false">IF(Flows!BL22*BL$3*BL$4&lt;0.002,100,MAX($CM$2/(Flows!BL22*BL$3*BL$4),1))</f>
        <v>402.674623854732</v>
      </c>
      <c r="BM25" s="10" t="n">
        <f aca="false">IF(Flows!BM22*BM$3*BM$4&lt;0.002,100,MAX($CM$2/(Flows!BM22*BM$3*BM$4),1))</f>
        <v>199.444389915016</v>
      </c>
      <c r="BN25" s="10" t="n">
        <f aca="false">IF(Flows!BN22*BN$3*BN$4&lt;0.002,100,MAX($CM$2/(Flows!BN22*BN$3*BN$4),1))</f>
        <v>1</v>
      </c>
      <c r="BO25" s="10" t="n">
        <f aca="false">IF(Flows!BO22*BO$3*BO$4&lt;0.002,100,MAX($CM$2/(Flows!BO22*BO$3*BO$4),1))</f>
        <v>118.770882109948</v>
      </c>
      <c r="BP25" s="10" t="n">
        <f aca="false">IF(Flows!BP22*BP$3*BP$4&lt;0.002,100,MAX($CM$2/(Flows!BP22*BP$3*BP$4),1))</f>
        <v>241.716377498147</v>
      </c>
      <c r="BQ25" s="10" t="n">
        <f aca="false">IF(Flows!BQ22*BQ$3*BQ$4&lt;0.002,100,MAX($CM$2/(Flows!BQ22*BQ$3*BQ$4),1))</f>
        <v>100</v>
      </c>
      <c r="BR25" s="10" t="n">
        <f aca="false">IF(Flows!BR22*BR$3*BR$4&lt;0.002,100,MAX($CM$2/(Flows!BR22*BR$3*BR$4),1))</f>
        <v>3563.12646329845</v>
      </c>
      <c r="BS25" s="10" t="n">
        <f aca="false">IF(Flows!BS22*BS$3*BS$4&lt;0.002,100,MAX($CM$2/(Flows!BS22*BS$3*BS$4),1))</f>
        <v>35631.282957201</v>
      </c>
      <c r="BT25" s="10" t="n">
        <f aca="false">IF(Flows!BT22*BT$3*BT$4&lt;0.002,100,MAX($CM$2/(Flows!BT22*BT$3*BT$4),1))</f>
        <v>19.4891634761389</v>
      </c>
      <c r="BU25" s="10" t="n">
        <f aca="false">IF(Flows!BU22*BU$3*BU$4&lt;0.002,100,MAX($CM$2/(Flows!BU22*BU$3*BU$4),1))</f>
        <v>194.891634761389</v>
      </c>
      <c r="BV25" s="10" t="n">
        <f aca="false">IF(Flows!BV22*BV$3*BV$4&lt;0.002,100,MAX($CM$2/(Flows!BV22*BV$3*BV$4),1))</f>
        <v>1948.91634761389</v>
      </c>
      <c r="BW25" s="10" t="n">
        <f aca="false">IF(Flows!BW22*BW$3*BW$4&lt;0.002,100,MAX($CM$2/(Flows!BW22*BW$3*BW$4),1))</f>
        <v>78.9243128580825</v>
      </c>
      <c r="BX25" s="10" t="n">
        <f aca="false">IF(Flows!BX22*BX$3*BX$4&lt;0.002,100,MAX($CM$2/(Flows!BX22*BX$3*BX$4),1))</f>
        <v>282.801908959037</v>
      </c>
      <c r="BY25" s="10" t="n">
        <f aca="false">IF(Flows!BY22*BY$3*BY$4&lt;0.002,100,MAX($CM$2/(Flows!BY22*BY$3*BY$4),1))</f>
        <v>1271.80511467934</v>
      </c>
      <c r="BZ25" s="10" t="n">
        <f aca="false">IF(Flows!BZ22*BZ$3*BZ$4&lt;0.002,100,MAX($CM$2/(Flows!BZ22*BZ$3*BZ$4),1))</f>
        <v>107547.219780715</v>
      </c>
      <c r="CA25" s="10" t="n">
        <f aca="false">IF(Flows!CA22*CA$3*CA$4&lt;0.002,100,MAX($CM$2/(Flows!CA22*CA$3*CA$4),1))</f>
        <v>327497.372829601</v>
      </c>
      <c r="CB25" s="10" t="n">
        <f aca="false">IF(Flows!CB22*CB$3*CB$4&lt;0.002,100,MAX($CM$2/(Flows!CB22*CB$3*CB$4),1))</f>
        <v>235.578800733881</v>
      </c>
      <c r="CC25" s="10" t="n">
        <f aca="false">IF(Flows!CC22*CC$3*CC$4&lt;0.002,100,MAX($CM$2/(Flows!CC22*CC$3*CC$4),1))</f>
        <v>32.0151653003419</v>
      </c>
      <c r="CD25" s="10" t="n">
        <f aca="false">IF(Flows!CD22*CD$3*CD$4&lt;0.002,100,MAX($CM$2/(Flows!CD22*CD$3*CD$4),1))</f>
        <v>193.610013148331</v>
      </c>
      <c r="CE25" s="10" t="n">
        <f aca="false">IF(Flows!CE22*CE$3*CE$4&lt;0.002,100,MAX($CM$2/(Flows!CE22*CE$3*CE$4),1))</f>
        <v>139.934587669462</v>
      </c>
      <c r="CF25" s="10" t="n">
        <f aca="false">IF(Flows!CF22*CF$3*CF$4&lt;0.002,100,MAX($CM$2/(Flows!CF22*CF$3*CF$4),1))</f>
        <v>1</v>
      </c>
      <c r="CG25" s="10" t="n">
        <f aca="false">IF(Flows!CG22*CG$3*CG$4&lt;0.002,100,MAX($CM$2/(Flows!CG22*CG$3*CG$4),1))</f>
        <v>51.8470443037851</v>
      </c>
      <c r="CH25" s="10" t="n">
        <f aca="false">IF(Flows!CH22*CH$3*CH$4&lt;0.002,100,MAX($CM$2/(Flows!CH22*CH$3*CH$4),1))</f>
        <v>20.7815236375045</v>
      </c>
      <c r="CI25" s="10" t="n">
        <f aca="false">IF(Flows!CI22*CI$3*CI$4&lt;0.002,100,MAX($CM$2/(Flows!CI22*CI$3*CI$4),1))</f>
        <v>628.38039937257</v>
      </c>
      <c r="CJ25" s="10" t="n">
        <f aca="false">IF(Flows!CJ22*CJ$3*CJ$4&lt;0.002,100,MAX($CM$2/(Flows!CJ22*CJ$3*CJ$4),1))</f>
        <v>36193.9168577822</v>
      </c>
      <c r="CK25" s="10" t="n">
        <f aca="false">IF(Flows!CK22*CK$3*CK$4&lt;0.002,100,MAX($CM$2/(Flows!CK22*CK$3*CK$4),1))</f>
        <v>2332.41486337758</v>
      </c>
      <c r="CL25" s="7" t="s">
        <v>322</v>
      </c>
    </row>
    <row r="26" customFormat="false" ht="12.8" hidden="false" customHeight="false" outlineLevel="0" collapsed="false">
      <c r="A26" s="7" t="s">
        <v>158</v>
      </c>
      <c r="B26" s="7" t="s">
        <v>39</v>
      </c>
      <c r="C26" s="10" t="n">
        <f aca="false">IF(Flows!C23*C$3*C$4&lt;0.002,100,MAX($CM$2/(Flows!C23*C$3*C$4),1))</f>
        <v>4373.72178217554</v>
      </c>
      <c r="D26" s="10" t="n">
        <f aca="false">IF(Flows!D23*D$3*D$4&lt;0.002,100,MAX($CM$2/(Flows!D23*D$3*D$4),1))</f>
        <v>1.06971614214408</v>
      </c>
      <c r="E26" s="10" t="n">
        <f aca="false">IF(Flows!E23*E$3*E$4&lt;0.002,100,MAX($CM$2/(Flows!E23*E$3*E$4),1))</f>
        <v>6.01662425732817</v>
      </c>
      <c r="F26" s="10" t="n">
        <f aca="false">IF(Flows!F23*F$3*F$4&lt;0.002,100,MAX($CM$2/(Flows!F23*F$3*F$4),1))</f>
        <v>15.6622039009116</v>
      </c>
      <c r="G26" s="10" t="n">
        <f aca="false">IF(Flows!G23*G$3*G$4&lt;0.002,100,MAX($CM$2/(Flows!G23*G$3*G$4),1))</f>
        <v>11.0559388070491</v>
      </c>
      <c r="H26" s="10" t="n">
        <f aca="false">IF(Flows!H23*H$3*H$4&lt;0.002,100,MAX($CM$2/(Flows!H23*H$3*H$4),1))</f>
        <v>100</v>
      </c>
      <c r="I26" s="10" t="n">
        <f aca="false">IF(Flows!I23*I$3*I$4&lt;0.002,100,MAX($CM$2/(Flows!I23*I$3*I$4),1))</f>
        <v>1430.95989350134</v>
      </c>
      <c r="J26" s="10" t="n">
        <f aca="false">IF(Flows!J23*J$3*J$4&lt;0.002,100,MAX($CM$2/(Flows!J23*J$3*J$4),1))</f>
        <v>1222.01054661322</v>
      </c>
      <c r="K26" s="10" t="n">
        <f aca="false">IF(Flows!K23*K$3*K$4&lt;0.002,100,MAX($CM$2/(Flows!K23*K$3*K$4),1))</f>
        <v>6278.62556336091</v>
      </c>
      <c r="L26" s="10" t="n">
        <f aca="false">IF(Flows!L23*L$3*L$4&lt;0.002,100,MAX($CM$2/(Flows!L23*L$3*L$4),1))</f>
        <v>20354.8730958335</v>
      </c>
      <c r="M26" s="10" t="n">
        <f aca="false">IF(Flows!M23*M$3*M$4&lt;0.002,100,MAX($CM$2/(Flows!M23*M$3*M$4),1))</f>
        <v>13737.1510291005</v>
      </c>
      <c r="N26" s="10" t="n">
        <f aca="false">IF(Flows!N23*N$3*N$4&lt;0.002,100,MAX($CM$2/(Flows!N23*N$3*N$4),1))</f>
        <v>4.79601657623566</v>
      </c>
      <c r="O26" s="10" t="n">
        <f aca="false">IF(Flows!O23*O$3*O$4&lt;0.002,100,MAX($CM$2/(Flows!O23*O$3*O$4),1))</f>
        <v>2.04239270220554</v>
      </c>
      <c r="P26" s="10" t="n">
        <f aca="false">IF(Flows!P23*P$3*P$4&lt;0.002,100,MAX($CM$2/(Flows!P23*P$3*P$4),1))</f>
        <v>3.82948631663539</v>
      </c>
      <c r="Q26" s="10" t="n">
        <f aca="false">IF(Flows!Q23*Q$3*Q$4&lt;0.002,100,MAX($CM$2/(Flows!Q23*Q$3*Q$4),1))</f>
        <v>559.033796950382</v>
      </c>
      <c r="R26" s="10" t="n">
        <f aca="false">IF(Flows!R23*R$3*R$4&lt;0.002,100,MAX($CM$2/(Flows!R23*R$3*R$4),1))</f>
        <v>17.2017138722217</v>
      </c>
      <c r="S26" s="10" t="n">
        <f aca="false">IF(Flows!S23*S$3*S$4&lt;0.002,100,MAX($CM$2/(Flows!S23*S$3*S$4),1))</f>
        <v>174.470340821429</v>
      </c>
      <c r="T26" s="10" t="n">
        <f aca="false">IF(Flows!T23*T$3*T$4&lt;0.002,100,MAX($CM$2/(Flows!T23*T$3*T$4),1))</f>
        <v>312.165070587361</v>
      </c>
      <c r="U26" s="10" t="n">
        <f aca="false">IF(Flows!U23*U$3*U$4&lt;0.002,100,MAX($CM$2/(Flows!U23*U$3*U$4),1))</f>
        <v>57.2381292879186</v>
      </c>
      <c r="V26" s="10" t="n">
        <f aca="false">IF(Flows!V23*V$3*V$4&lt;0.002,100,MAX($CM$2/(Flows!V23*V$3*V$4),1))</f>
        <v>258.53636398703</v>
      </c>
      <c r="W26" s="10" t="n">
        <f aca="false">IF(Flows!W23*W$3*W$4&lt;0.002,100,MAX($CM$2/(Flows!W23*W$3*W$4),1))</f>
        <v>7.0267408860089</v>
      </c>
      <c r="X26" s="10" t="n">
        <f aca="false">IF(Flows!X23*X$3*X$4&lt;0.002,100,MAX($CM$2/(Flows!X23*X$3*X$4),1))</f>
        <v>2.46543671828067</v>
      </c>
      <c r="Y26" s="10" t="n">
        <f aca="false">IF(Flows!Y23*Y$3*Y$4&lt;0.002,100,MAX($CM$2/(Flows!Y23*Y$3*Y$4),1))</f>
        <v>101.774365479167</v>
      </c>
      <c r="Z26" s="10" t="n">
        <f aca="false">IF(Flows!Z23*Z$3*Z$4&lt;0.002,100,MAX($CM$2/(Flows!Z23*Z$3*Z$4),1))</f>
        <v>13104.9689192574</v>
      </c>
      <c r="AA26" s="10" t="n">
        <f aca="false">IF(Flows!AA23*AA$3*AA$4&lt;0.002,100,MAX($CM$2/(Flows!AA23*AA$3*AA$4),1))</f>
        <v>8357.18489082894</v>
      </c>
      <c r="AB26" s="10" t="n">
        <f aca="false">IF(Flows!AB23*AB$3*AB$4&lt;0.002,100,MAX($CM$2/(Flows!AB23*AB$3*AB$4),1))</f>
        <v>8877.86612991349</v>
      </c>
      <c r="AC26" s="10" t="n">
        <f aca="false">IF(Flows!AC23*AC$3*AC$4&lt;0.002,100,MAX($CM$2/(Flows!AC23*AC$3*AC$4),1))</f>
        <v>37443.6593850568</v>
      </c>
      <c r="AD26" s="10" t="n">
        <f aca="false">IF(Flows!AD23*AD$3*AD$4&lt;0.002,100,MAX($CM$2/(Flows!AD23*AD$3*AD$4),1))</f>
        <v>55923.6602899632</v>
      </c>
      <c r="AE26" s="10" t="n">
        <f aca="false">IF(Flows!AE23*AE$3*AE$4&lt;0.002,100,MAX($CM$2/(Flows!AE23*AE$3*AE$4),1))</f>
        <v>164038.851789404</v>
      </c>
      <c r="AF26" s="10" t="n">
        <f aca="false">IF(Flows!AF23*AF$3*AF$4&lt;0.002,100,MAX($CM$2/(Flows!AF23*AF$3*AF$4),1))</f>
        <v>680.179717505396</v>
      </c>
      <c r="AG26" s="10" t="n">
        <f aca="false">IF(Flows!AG23*AG$3*AG$4&lt;0.002,100,MAX($CM$2/(Flows!AG23*AG$3*AG$4),1))</f>
        <v>581.456788673391</v>
      </c>
      <c r="AH26" s="10" t="n">
        <f aca="false">IF(Flows!AH23*AH$3*AH$4&lt;0.002,100,MAX($CM$2/(Flows!AH23*AH$3*AH$4),1))</f>
        <v>437.915325531689</v>
      </c>
      <c r="AI26" s="10" t="n">
        <f aca="false">IF(Flows!AI23*AI$3*AI$4&lt;0.002,100,MAX($CM$2/(Flows!AI23*AI$3*AI$4),1))</f>
        <v>2298.76446165103</v>
      </c>
      <c r="AJ26" s="10" t="n">
        <f aca="false">IF(Flows!AJ23*AJ$3*AJ$4&lt;0.002,100,MAX($CM$2/(Flows!AJ23*AJ$3*AJ$4),1))</f>
        <v>917.569637453606</v>
      </c>
      <c r="AK26" s="10" t="n">
        <f aca="false">IF(Flows!AK23*AK$3*AK$4&lt;0.002,100,MAX($CM$2/(Flows!AK23*AK$3*AK$4),1))</f>
        <v>424.937753358403</v>
      </c>
      <c r="AL26" s="10" t="n">
        <f aca="false">IF(Flows!AL23*AL$3*AL$4&lt;0.002,100,MAX($CM$2/(Flows!AL23*AL$3*AL$4),1))</f>
        <v>754.004348681267</v>
      </c>
      <c r="AM26" s="10" t="n">
        <f aca="false">IF(Flows!AM23*AM$3*AM$4&lt;0.002,100,MAX($CM$2/(Flows!AM23*AM$3*AM$4),1))</f>
        <v>1328.16197518781</v>
      </c>
      <c r="AN26" s="10" t="n">
        <f aca="false">IF(Flows!AN23*AN$3*AN$4&lt;0.002,100,MAX($CM$2/(Flows!AN23*AN$3*AN$4),1))</f>
        <v>1592.87383417542</v>
      </c>
      <c r="AO26" s="10" t="n">
        <f aca="false">IF(Flows!AO23*AO$3*AO$4&lt;0.002,100,MAX($CM$2/(Flows!AO23*AO$3*AO$4),1))</f>
        <v>15432.435195621</v>
      </c>
      <c r="AP26" s="10" t="n">
        <f aca="false">IF(Flows!AP23*AP$3*AP$4&lt;0.002,100,MAX($CM$2/(Flows!AP23*AP$3*AP$4),1))</f>
        <v>35302.2853737131</v>
      </c>
      <c r="AQ26" s="10" t="n">
        <f aca="false">IF(Flows!AQ23*AQ$3*AQ$4&lt;0.002,100,MAX($CM$2/(Flows!AQ23*AQ$3*AQ$4),1))</f>
        <v>10328.8057586381</v>
      </c>
      <c r="AR26" s="10" t="n">
        <f aca="false">IF(Flows!AR23*AR$3*AR$4&lt;0.002,100,MAX($CM$2/(Flows!AR23*AR$3*AR$4),1))</f>
        <v>14301.1526552329</v>
      </c>
      <c r="AS26" s="10" t="n">
        <f aca="false">IF(Flows!AS23*AS$3*AS$4&lt;0.002,100,MAX($CM$2/(Flows!AS23*AS$3*AS$4),1))</f>
        <v>2417.23111241852</v>
      </c>
      <c r="AT26" s="10" t="n">
        <f aca="false">IF(Flows!AT23*AT$3*AT$4&lt;0.002,100,MAX($CM$2/(Flows!AT23*AT$3*AT$4),1))</f>
        <v>712.077455067792</v>
      </c>
      <c r="AU26" s="10" t="n">
        <f aca="false">IF(Flows!AU23*AU$3*AU$4&lt;0.002,100,MAX($CM$2/(Flows!AU23*AU$3*AU$4),1))</f>
        <v>834.559238862762</v>
      </c>
      <c r="AV26" s="10" t="n">
        <f aca="false">IF(Flows!AV23*AV$3*AV$4&lt;0.002,100,MAX($CM$2/(Flows!AV23*AV$3*AV$4),1))</f>
        <v>9322.92590271875</v>
      </c>
      <c r="AW26" s="10" t="n">
        <f aca="false">IF(Flows!AW23*AW$3*AW$4&lt;0.002,100,MAX($CM$2/(Flows!AW23*AW$3*AW$4),1))</f>
        <v>11.8658856879329</v>
      </c>
      <c r="AX26" s="10" t="n">
        <f aca="false">IF(Flows!AX23*AX$3*AX$4&lt;0.002,100,MAX($CM$2/(Flows!AX23*AX$3*AX$4),1))</f>
        <v>2269.87499279834</v>
      </c>
      <c r="AY26" s="10" t="n">
        <f aca="false">IF(Flows!AY23*AY$3*AY$4&lt;0.002,100,MAX($CM$2/(Flows!AY23*AY$3*AY$4),1))</f>
        <v>433.647713007929</v>
      </c>
      <c r="AZ26" s="10" t="n">
        <f aca="false">IF(Flows!AZ23*AZ$3*AZ$4&lt;0.002,100,MAX($CM$2/(Flows!AZ23*AZ$3*AZ$4),1))</f>
        <v>129.089613876082</v>
      </c>
      <c r="BA26" s="10" t="n">
        <f aca="false">IF(Flows!BA23*BA$3*BA$4&lt;0.002,100,MAX($CM$2/(Flows!BA23*BA$3*BA$4),1))</f>
        <v>1038.09852788751</v>
      </c>
      <c r="BB26" s="10" t="n">
        <f aca="false">IF(Flows!BB23*BB$3*BB$4&lt;0.002,100,MAX($CM$2/(Flows!BB23*BB$3*BB$4),1))</f>
        <v>3748.57529917588</v>
      </c>
      <c r="BC26" s="10" t="n">
        <f aca="false">IF(Flows!BC23*BC$3*BC$4&lt;0.002,100,MAX($CM$2/(Flows!BC23*BC$3*BC$4),1))</f>
        <v>1465.31620706976</v>
      </c>
      <c r="BD26" s="10" t="n">
        <f aca="false">IF(Flows!BD23*BD$3*BD$4&lt;0.002,100,MAX($CM$2/(Flows!BD23*BD$3*BD$4),1))</f>
        <v>6485.85582130768</v>
      </c>
      <c r="BE26" s="10" t="n">
        <f aca="false">IF(Flows!BE23*BE$3*BE$4&lt;0.002,100,MAX($CM$2/(Flows!BE23*BE$3*BE$4),1))</f>
        <v>12237.1408427</v>
      </c>
      <c r="BF26" s="10" t="n">
        <f aca="false">IF(Flows!BF23*BF$3*BF$4&lt;0.002,100,MAX($CM$2/(Flows!BF23*BF$3*BF$4),1))</f>
        <v>584.774243364117</v>
      </c>
      <c r="BG26" s="10" t="n">
        <f aca="false">IF(Flows!BG23*BG$3*BG$4&lt;0.002,100,MAX($CM$2/(Flows!BG23*BG$3*BG$4),1))</f>
        <v>127.348133763134</v>
      </c>
      <c r="BH26" s="10" t="n">
        <f aca="false">IF(Flows!BH23*BH$3*BH$4&lt;0.002,100,MAX($CM$2/(Flows!BH23*BH$3*BH$4),1))</f>
        <v>60.883990781697</v>
      </c>
      <c r="BI26" s="10" t="n">
        <f aca="false">IF(Flows!BI23*BI$3*BI$4&lt;0.002,100,MAX($CM$2/(Flows!BI23*BI$3*BI$4),1))</f>
        <v>49.8047579178349</v>
      </c>
      <c r="BJ26" s="10" t="n">
        <f aca="false">IF(Flows!BJ23*BJ$3*BJ$4&lt;0.002,100,MAX($CM$2/(Flows!BJ23*BJ$3*BJ$4),1))</f>
        <v>2.67440526428514</v>
      </c>
      <c r="BK26" s="10" t="n">
        <f aca="false">IF(Flows!BK23*BK$3*BK$4&lt;0.002,100,MAX($CM$2/(Flows!BK23*BK$3*BK$4),1))</f>
        <v>99.6095158356697</v>
      </c>
      <c r="BL26" s="10" t="n">
        <f aca="false">IF(Flows!BL23*BL$3*BL$4&lt;0.002,100,MAX($CM$2/(Flows!BL23*BL$3*BL$4),1))</f>
        <v>197.329381811492</v>
      </c>
      <c r="BM26" s="10" t="n">
        <f aca="false">IF(Flows!BM23*BM$3*BM$4&lt;0.002,100,MAX($CM$2/(Flows!BM23*BM$3*BM$4),1))</f>
        <v>35.5458050059952</v>
      </c>
      <c r="BN26" s="10" t="n">
        <f aca="false">IF(Flows!BN23*BN$3*BN$4&lt;0.002,100,MAX($CM$2/(Flows!BN23*BN$3*BN$4),1))</f>
        <v>252516.40499944</v>
      </c>
      <c r="BO26" s="10" t="n">
        <f aca="false">IF(Flows!BO23*BO$3*BO$4&lt;0.002,100,MAX($CM$2/(Flows!BO23*BO$3*BO$4),1))</f>
        <v>42086067.4999067</v>
      </c>
      <c r="BP26" s="10" t="n">
        <f aca="false">IF(Flows!BP23*BP$3*BP$4&lt;0.002,100,MAX($CM$2/(Flows!BP23*BP$3*BP$4),1))</f>
        <v>13874339097.6308</v>
      </c>
      <c r="BQ26" s="10" t="n">
        <f aca="false">IF(Flows!BQ23*BQ$3*BQ$4&lt;0.002,100,MAX($CM$2/(Flows!BQ23*BQ$3*BQ$4),1))</f>
        <v>100</v>
      </c>
      <c r="BR26" s="10" t="n">
        <f aca="false">IF(Flows!BR23*BR$3*BR$4&lt;0.002,100,MAX($CM$2/(Flows!BR23*BR$3*BR$4),1))</f>
        <v>420860674.999067</v>
      </c>
      <c r="BS26" s="10" t="n">
        <f aca="false">IF(Flows!BS23*BS$3*BS$4&lt;0.002,100,MAX($CM$2/(Flows!BS23*BS$3*BS$4),1))</f>
        <v>2104305210.25257</v>
      </c>
      <c r="BT26" s="10" t="n">
        <f aca="false">IF(Flows!BT23*BT$3*BT$4&lt;0.002,100,MAX($CM$2/(Flows!BT23*BT$3*BT$4),1))</f>
        <v>2.06855228322402</v>
      </c>
      <c r="BU26" s="10" t="n">
        <f aca="false">IF(Flows!BU23*BU$3*BU$4&lt;0.002,100,MAX($CM$2/(Flows!BU23*BU$3*BU$4),1))</f>
        <v>20.6855228322402</v>
      </c>
      <c r="BV26" s="10" t="n">
        <f aca="false">IF(Flows!BV23*BV$3*BV$4&lt;0.002,100,MAX($CM$2/(Flows!BV23*BV$3*BV$4),1))</f>
        <v>206.855228322402</v>
      </c>
      <c r="BW26" s="10" t="n">
        <f aca="false">IF(Flows!BW23*BW$3*BW$4&lt;0.002,100,MAX($CM$2/(Flows!BW23*BW$3*BW$4),1))</f>
        <v>15.4282828424105</v>
      </c>
      <c r="BX26" s="10" t="n">
        <f aca="false">IF(Flows!BX23*BX$3*BX$4&lt;0.002,100,MAX($CM$2/(Flows!BX23*BX$3*BX$4),1))</f>
        <v>39.7133855464831</v>
      </c>
      <c r="BY26" s="10" t="n">
        <f aca="false">IF(Flows!BY23*BY$3*BY$4&lt;0.002,100,MAX($CM$2/(Flows!BY23*BY$3*BY$4),1))</f>
        <v>55.0089042401274</v>
      </c>
      <c r="BZ26" s="10" t="n">
        <f aca="false">IF(Flows!BZ23*BZ$3*BZ$4&lt;0.002,100,MAX($CM$2/(Flows!BZ23*BZ$3*BZ$4),1))</f>
        <v>31440.6671770194</v>
      </c>
      <c r="CA26" s="10" t="n">
        <f aca="false">IF(Flows!CA23*CA$3*CA$4&lt;0.002,100,MAX($CM$2/(Flows!CA23*CA$3*CA$4),1))</f>
        <v>49088.9568948637</v>
      </c>
      <c r="CB26" s="10" t="n">
        <f aca="false">IF(Flows!CB23*CB$3*CB$4&lt;0.002,100,MAX($CM$2/(Flows!CB23*CB$3*CB$4),1))</f>
        <v>157.282127314822</v>
      </c>
      <c r="CC26" s="10" t="n">
        <f aca="false">IF(Flows!CC23*CC$3*CC$4&lt;0.002,100,MAX($CM$2/(Flows!CC23*CC$3*CC$4),1))</f>
        <v>9.0948595287234</v>
      </c>
      <c r="CD26" s="10" t="n">
        <f aca="false">IF(Flows!CD23*CD$3*CD$4&lt;0.002,100,MAX($CM$2/(Flows!CD23*CD$3*CD$4),1))</f>
        <v>42.3412588026995</v>
      </c>
      <c r="CE26" s="10" t="n">
        <f aca="false">IF(Flows!CE23*CE$3*CE$4&lt;0.002,100,MAX($CM$2/(Flows!CE23*CE$3*CE$4),1))</f>
        <v>172.418601405757</v>
      </c>
      <c r="CF26" s="10" t="n">
        <f aca="false">IF(Flows!CF23*CF$3*CF$4&lt;0.002,100,MAX($CM$2/(Flows!CF23*CF$3*CF$4),1))</f>
        <v>1</v>
      </c>
      <c r="CG26" s="10" t="n">
        <f aca="false">IF(Flows!CG23*CG$3*CG$4&lt;0.002,100,MAX($CM$2/(Flows!CG23*CG$3*CG$4),1))</f>
        <v>927891.608341308</v>
      </c>
      <c r="CH26" s="10" t="n">
        <f aca="false">IF(Flows!CH23*CH$3*CH$4&lt;0.002,100,MAX($CM$2/(Flows!CH23*CH$3*CH$4),1))</f>
        <v>1503558.9881897</v>
      </c>
      <c r="CI26" s="10" t="n">
        <f aca="false">IF(Flows!CI23*CI$3*CI$4&lt;0.002,100,MAX($CM$2/(Flows!CI23*CI$3*CI$4),1))</f>
        <v>163.456462096061</v>
      </c>
      <c r="CJ26" s="10" t="n">
        <f aca="false">IF(Flows!CJ23*CJ$3*CJ$4&lt;0.002,100,MAX($CM$2/(Flows!CJ23*CJ$3*CJ$4),1))</f>
        <v>886.380888751001</v>
      </c>
      <c r="CK26" s="10" t="n">
        <f aca="false">IF(Flows!CK23*CK$3*CK$4&lt;0.002,100,MAX($CM$2/(Flows!CK23*CK$3*CK$4),1))</f>
        <v>12140.3561197056</v>
      </c>
      <c r="CL26" s="7" t="s">
        <v>322</v>
      </c>
    </row>
    <row r="27" customFormat="false" ht="12.8" hidden="false" customHeight="false" outlineLevel="0" collapsed="false">
      <c r="A27" s="7" t="s">
        <v>159</v>
      </c>
      <c r="B27" s="7" t="s">
        <v>39</v>
      </c>
      <c r="C27" s="10" t="n">
        <f aca="false">IF(Flows!C24*C$3*C$4&lt;0.002,100,MAX($CM$2/(Flows!C24*C$3*C$4),1))</f>
        <v>30859.6810666401</v>
      </c>
      <c r="D27" s="10" t="n">
        <f aca="false">IF(Flows!D24*D$3*D$4&lt;0.002,100,MAX($CM$2/(Flows!D24*D$3*D$4),1))</f>
        <v>10.2579841342994</v>
      </c>
      <c r="E27" s="10" t="n">
        <f aca="false">IF(Flows!E24*E$3*E$4&lt;0.002,100,MAX($CM$2/(Flows!E24*E$3*E$4),1))</f>
        <v>109.67025162003</v>
      </c>
      <c r="F27" s="10" t="n">
        <f aca="false">IF(Flows!F24*F$3*F$4&lt;0.002,100,MAX($CM$2/(Flows!F24*F$3*F$4),1))</f>
        <v>336.907012976733</v>
      </c>
      <c r="G27" s="10" t="n">
        <f aca="false">IF(Flows!G24*G$3*G$4&lt;0.002,100,MAX($CM$2/(Flows!G24*G$3*G$4),1))</f>
        <v>138.219657010293</v>
      </c>
      <c r="H27" s="10" t="n">
        <f aca="false">IF(Flows!H24*H$3*H$4&lt;0.002,100,MAX($CM$2/(Flows!H24*H$3*H$4),1))</f>
        <v>100</v>
      </c>
      <c r="I27" s="10" t="n">
        <f aca="false">IF(Flows!I24*I$3*I$4&lt;0.002,100,MAX($CM$2/(Flows!I24*I$3*I$4),1))</f>
        <v>1456.21379687856</v>
      </c>
      <c r="J27" s="10" t="n">
        <f aca="false">IF(Flows!J24*J$3*J$4&lt;0.002,100,MAX($CM$2/(Flows!J24*J$3*J$4),1))</f>
        <v>1524.61608987604</v>
      </c>
      <c r="K27" s="10" t="n">
        <f aca="false">IF(Flows!K24*K$3*K$4&lt;0.002,100,MAX($CM$2/(Flows!K24*K$3*K$4),1))</f>
        <v>18304.7455931066</v>
      </c>
      <c r="L27" s="10" t="n">
        <f aca="false">IF(Flows!L24*L$3*L$4&lt;0.002,100,MAX($CM$2/(Flows!L24*L$3*L$4),1))</f>
        <v>101472.044563677</v>
      </c>
      <c r="M27" s="10" t="n">
        <f aca="false">IF(Flows!M24*M$3*M$4&lt;0.002,100,MAX($CM$2/(Flows!M24*M$3*M$4),1))</f>
        <v>74248.1197877309</v>
      </c>
      <c r="N27" s="10" t="n">
        <f aca="false">IF(Flows!N24*N$3*N$4&lt;0.002,100,MAX($CM$2/(Flows!N24*N$3*N$4),1))</f>
        <v>79.5056367736658</v>
      </c>
      <c r="O27" s="10" t="n">
        <f aca="false">IF(Flows!O24*O$3*O$4&lt;0.002,100,MAX($CM$2/(Flows!O24*O$3*O$4),1))</f>
        <v>10.5431575247388</v>
      </c>
      <c r="P27" s="10" t="n">
        <f aca="false">IF(Flows!P24*P$3*P$4&lt;0.002,100,MAX($CM$2/(Flows!P24*P$3*P$4),1))</f>
        <v>19.7684203588853</v>
      </c>
      <c r="Q27" s="10" t="n">
        <f aca="false">IF(Flows!Q24*Q$3*Q$4&lt;0.002,100,MAX($CM$2/(Flows!Q24*Q$3*Q$4),1))</f>
        <v>3764.25671011517</v>
      </c>
      <c r="R27" s="10" t="n">
        <f aca="false">IF(Flows!R24*R$3*R$4&lt;0.002,100,MAX($CM$2/(Flows!R24*R$3*R$4),1))</f>
        <v>50.1499879263195</v>
      </c>
      <c r="S27" s="10" t="n">
        <f aca="false">IF(Flows!S24*S$3*S$4&lt;0.002,100,MAX($CM$2/(Flows!S24*S$3*S$4),1))</f>
        <v>869.760381974374</v>
      </c>
      <c r="T27" s="10" t="n">
        <f aca="false">IF(Flows!T24*T$3*T$4&lt;0.002,100,MAX($CM$2/(Flows!T24*T$3*T$4),1))</f>
        <v>1556.18891872866</v>
      </c>
      <c r="U27" s="10" t="n">
        <f aca="false">IF(Flows!U24*U$3*U$4&lt;0.002,100,MAX($CM$2/(Flows!U24*U$3*U$4),1))</f>
        <v>309.367165782212</v>
      </c>
      <c r="V27" s="10" t="n">
        <f aca="false">IF(Flows!V24*V$3*V$4&lt;0.002,100,MAX($CM$2/(Flows!V24*V$3*V$4),1))</f>
        <v>2221.54025223367</v>
      </c>
      <c r="W27" s="10" t="n">
        <f aca="false">IF(Flows!W24*W$3*W$4&lt;0.002,100,MAX($CM$2/(Flows!W24*W$3*W$4),1))</f>
        <v>72.9084363009509</v>
      </c>
      <c r="X27" s="10" t="n">
        <f aca="false">IF(Flows!X24*X$3*X$4&lt;0.002,100,MAX($CM$2/(Flows!X24*X$3*X$4),1))</f>
        <v>6.37421164793631</v>
      </c>
      <c r="Y27" s="10" t="n">
        <f aca="false">IF(Flows!Y24*Y$3*Y$4&lt;0.002,100,MAX($CM$2/(Flows!Y24*Y$3*Y$4),1))</f>
        <v>507.360222818386</v>
      </c>
      <c r="Z27" s="10" t="n">
        <f aca="false">IF(Flows!Z24*Z$3*Z$4&lt;0.002,100,MAX($CM$2/(Flows!Z24*Z$3*Z$4),1))</f>
        <v>62231.9764667943</v>
      </c>
      <c r="AA27" s="10" t="n">
        <f aca="false">IF(Flows!AA24*AA$3*AA$4&lt;0.002,100,MAX($CM$2/(Flows!AA24*AA$3*AA$4),1))</f>
        <v>103886.094871467</v>
      </c>
      <c r="AB27" s="10" t="n">
        <f aca="false">IF(Flows!AB24*AB$3*AB$4&lt;0.002,100,MAX($CM$2/(Flows!AB24*AB$3*AB$4),1))</f>
        <v>101849.28997299</v>
      </c>
      <c r="AC27" s="10" t="n">
        <f aca="false">IF(Flows!AC24*AC$3*AC$4&lt;0.002,100,MAX($CM$2/(Flows!AC24*AC$3*AC$4),1))</f>
        <v>392411.419471924</v>
      </c>
      <c r="AD27" s="10" t="n">
        <f aca="false">IF(Flows!AD24*AD$3*AD$4&lt;0.002,100,MAX($CM$2/(Flows!AD24*AD$3*AD$4),1))</f>
        <v>641571.410277497</v>
      </c>
      <c r="AE27" s="10" t="n">
        <f aca="false">IF(Flows!AE24*AE$3*AE$4&lt;0.002,100,MAX($CM$2/(Flows!AE24*AE$3*AE$4),1))</f>
        <v>2013272.0028598</v>
      </c>
      <c r="AF27" s="10" t="n">
        <f aca="false">IF(Flows!AF24*AF$3*AF$4&lt;0.002,100,MAX($CM$2/(Flows!AF24*AF$3*AF$4),1))</f>
        <v>6077.26396993587</v>
      </c>
      <c r="AG27" s="10" t="n">
        <f aca="false">IF(Flows!AG24*AG$3*AG$4&lt;0.002,100,MAX($CM$2/(Flows!AG24*AG$3*AG$4),1))</f>
        <v>5563.41310583681</v>
      </c>
      <c r="AH27" s="10" t="n">
        <f aca="false">IF(Flows!AH24*AH$3*AH$4&lt;0.002,100,MAX($CM$2/(Flows!AH24*AH$3*AH$4),1))</f>
        <v>3789.78303366871</v>
      </c>
      <c r="AI27" s="10" t="n">
        <f aca="false">IF(Flows!AI24*AI$3*AI$4&lt;0.002,100,MAX($CM$2/(Flows!AI24*AI$3*AI$4),1))</f>
        <v>25692.8002573255</v>
      </c>
      <c r="AJ27" s="10" t="n">
        <f aca="false">IF(Flows!AJ24*AJ$3*AJ$4&lt;0.002,100,MAX($CM$2/(Flows!AJ24*AJ$3*AJ$4),1))</f>
        <v>9992.47181669454</v>
      </c>
      <c r="AK27" s="10" t="n">
        <f aca="false">IF(Flows!AK24*AK$3*AK$4&lt;0.002,100,MAX($CM$2/(Flows!AK24*AK$3*AK$4),1))</f>
        <v>4535.92520252676</v>
      </c>
      <c r="AL27" s="10" t="n">
        <f aca="false">IF(Flows!AL24*AL$3*AL$4&lt;0.002,100,MAX($CM$2/(Flows!AL24*AL$3*AL$4),1))</f>
        <v>7945.86567237977</v>
      </c>
      <c r="AM27" s="10" t="n">
        <f aca="false">IF(Flows!AM24*AM$3*AM$4&lt;0.002,100,MAX($CM$2/(Flows!AM24*AM$3*AM$4),1))</f>
        <v>15202.926737823</v>
      </c>
      <c r="AN27" s="10" t="n">
        <f aca="false">IF(Flows!AN24*AN$3*AN$4&lt;0.002,100,MAX($CM$2/(Flows!AN24*AN$3*AN$4),1))</f>
        <v>13465.7681150801</v>
      </c>
      <c r="AO27" s="10" t="n">
        <f aca="false">IF(Flows!AO24*AO$3*AO$4&lt;0.002,100,MAX($CM$2/(Flows!AO24*AO$3*AO$4),1))</f>
        <v>152984.288001028</v>
      </c>
      <c r="AP27" s="10" t="n">
        <f aca="false">IF(Flows!AP24*AP$3*AP$4&lt;0.002,100,MAX($CM$2/(Flows!AP24*AP$3*AP$4),1))</f>
        <v>334406.715287241</v>
      </c>
      <c r="AQ27" s="10" t="n">
        <f aca="false">IF(Flows!AQ24*AQ$3*AQ$4&lt;0.002,100,MAX($CM$2/(Flows!AQ24*AQ$3*AQ$4),1))</f>
        <v>109167.238129229</v>
      </c>
      <c r="AR27" s="10" t="n">
        <f aca="false">IF(Flows!AR24*AR$3*AR$4&lt;0.002,100,MAX($CM$2/(Flows!AR24*AR$3*AR$4),1))</f>
        <v>159433.354132496</v>
      </c>
      <c r="AS27" s="10" t="n">
        <f aca="false">IF(Flows!AS24*AS$3*AS$4&lt;0.002,100,MAX($CM$2/(Flows!AS24*AS$3*AS$4),1))</f>
        <v>19414.8878076885</v>
      </c>
      <c r="AT27" s="10" t="n">
        <f aca="false">IF(Flows!AT24*AT$3*AT$4&lt;0.002,100,MAX($CM$2/(Flows!AT24*AT$3*AT$4),1))</f>
        <v>5765.92524432306</v>
      </c>
      <c r="AU27" s="10" t="n">
        <f aca="false">IF(Flows!AU24*AU$3*AU$4&lt;0.002,100,MAX($CM$2/(Flows!AU24*AU$3*AU$4),1))</f>
        <v>6426.89113397298</v>
      </c>
      <c r="AV27" s="10" t="n">
        <f aca="false">IF(Flows!AV24*AV$3*AV$4&lt;0.002,100,MAX($CM$2/(Flows!AV24*AV$3*AV$4),1))</f>
        <v>93254.3175192439</v>
      </c>
      <c r="AW27" s="10" t="n">
        <f aca="false">IF(Flows!AW24*AW$3*AW$4&lt;0.002,100,MAX($CM$2/(Flows!AW24*AW$3*AW$4),1))</f>
        <v>123.578806535473</v>
      </c>
      <c r="AX27" s="10" t="n">
        <f aca="false">IF(Flows!AX24*AX$3*AX$4&lt;0.002,100,MAX($CM$2/(Flows!AX24*AX$3*AX$4),1))</f>
        <v>16746.4585406258</v>
      </c>
      <c r="AY27" s="10" t="n">
        <f aca="false">IF(Flows!AY24*AY$3*AY$4&lt;0.002,100,MAX($CM$2/(Flows!AY24*AY$3*AY$4),1))</f>
        <v>5374.42715974929</v>
      </c>
      <c r="AZ27" s="10" t="n">
        <f aca="false">IF(Flows!AZ24*AZ$3*AZ$4&lt;0.002,100,MAX($CM$2/(Flows!AZ24*AZ$3*AZ$4),1))</f>
        <v>1518.11974205051</v>
      </c>
      <c r="BA27" s="10" t="n">
        <f aca="false">IF(Flows!BA24*BA$3*BA$4&lt;0.002,100,MAX($CM$2/(Flows!BA24*BA$3*BA$4),1))</f>
        <v>5175.07427274754</v>
      </c>
      <c r="BB27" s="10" t="n">
        <f aca="false">IF(Flows!BB24*BB$3*BB$4&lt;0.002,100,MAX($CM$2/(Flows!BB24*BB$3*BB$4),1))</f>
        <v>36285.3875708644</v>
      </c>
      <c r="BC27" s="10" t="n">
        <f aca="false">IF(Flows!BC24*BC$3*BC$4&lt;0.002,100,MAX($CM$2/(Flows!BC24*BC$3*BC$4),1))</f>
        <v>12892.2318658943</v>
      </c>
      <c r="BD27" s="10" t="n">
        <f aca="false">IF(Flows!BD24*BD$3*BD$4&lt;0.002,100,MAX($CM$2/(Flows!BD24*BD$3*BD$4),1))</f>
        <v>62706.100670063</v>
      </c>
      <c r="BE27" s="10" t="n">
        <f aca="false">IF(Flows!BE24*BE$3*BE$4&lt;0.002,100,MAX($CM$2/(Flows!BE24*BE$3*BE$4),1))</f>
        <v>104303.692384913</v>
      </c>
      <c r="BF27" s="10" t="n">
        <f aca="false">IF(Flows!BF24*BF$3*BF$4&lt;0.002,100,MAX($CM$2/(Flows!BF24*BF$3*BF$4),1))</f>
        <v>4518.18221672523</v>
      </c>
      <c r="BG27" s="10" t="n">
        <f aca="false">IF(Flows!BG24*BG$3*BG$4&lt;0.002,100,MAX($CM$2/(Flows!BG24*BG$3*BG$4),1))</f>
        <v>1182.42284960788</v>
      </c>
      <c r="BH27" s="10" t="n">
        <f aca="false">IF(Flows!BH24*BH$3*BH$4&lt;0.002,100,MAX($CM$2/(Flows!BH24*BH$3*BH$4),1))</f>
        <v>599.652729585115</v>
      </c>
      <c r="BI27" s="10" t="n">
        <f aca="false">IF(Flows!BI24*BI$3*BI$4&lt;0.002,100,MAX($CM$2/(Flows!BI24*BI$3*BI$4),1))</f>
        <v>1632.05118772454</v>
      </c>
      <c r="BJ27" s="10" t="n">
        <f aca="false">IF(Flows!BJ24*BJ$3*BJ$4&lt;0.002,100,MAX($CM$2/(Flows!BJ24*BJ$3*BJ$4),1))</f>
        <v>42.1255184513915</v>
      </c>
      <c r="BK27" s="10" t="n">
        <f aca="false">IF(Flows!BK24*BK$3*BK$4&lt;0.002,100,MAX($CM$2/(Flows!BK24*BK$3*BK$4),1))</f>
        <v>3264.10237544909</v>
      </c>
      <c r="BL27" s="10" t="n">
        <f aca="false">IF(Flows!BL24*BL$3*BL$4&lt;0.002,100,MAX($CM$2/(Flows!BL24*BL$3*BL$4),1))</f>
        <v>919.448723233634</v>
      </c>
      <c r="BM27" s="10" t="n">
        <f aca="false">IF(Flows!BM24*BM$3*BM$4&lt;0.002,100,MAX($CM$2/(Flows!BM24*BM$3*BM$4),1))</f>
        <v>1022.35934941047</v>
      </c>
      <c r="BN27" s="10" t="n">
        <f aca="false">IF(Flows!BN24*BN$3*BN$4&lt;0.002,100,MAX($CM$2/(Flows!BN24*BN$3*BN$4),1))</f>
        <v>3677293.12414215</v>
      </c>
      <c r="BO27" s="10" t="n">
        <f aca="false">IF(Flows!BO24*BO$3*BO$4&lt;0.002,100,MAX($CM$2/(Flows!BO24*BO$3*BO$4),1))</f>
        <v>612882187.357024</v>
      </c>
      <c r="BP27" s="10" t="n">
        <f aca="false">IF(Flows!BP24*BP$3*BP$4&lt;0.002,100,MAX($CM$2/(Flows!BP24*BP$3*BP$4),1))</f>
        <v>86993407373.464</v>
      </c>
      <c r="BQ27" s="10" t="n">
        <f aca="false">IF(Flows!BQ24*BQ$3*BQ$4&lt;0.002,100,MAX($CM$2/(Flows!BQ24*BQ$3*BQ$4),1))</f>
        <v>100</v>
      </c>
      <c r="BR27" s="10" t="n">
        <f aca="false">IF(Flows!BR24*BR$3*BR$4&lt;0.002,100,MAX($CM$2/(Flows!BR24*BR$3*BR$4),1))</f>
        <v>6128821873.57024</v>
      </c>
      <c r="BS27" s="10" t="n">
        <f aca="false">IF(Flows!BS24*BS$3*BS$4&lt;0.002,100,MAX($CM$2/(Flows!BS24*BS$3*BS$4),1))</f>
        <v>30644143812.9771</v>
      </c>
      <c r="BT27" s="10" t="n">
        <f aca="false">IF(Flows!BT24*BT$3*BT$4&lt;0.002,100,MAX($CM$2/(Flows!BT24*BT$3*BT$4),1))</f>
        <v>46.3664612040963</v>
      </c>
      <c r="BU27" s="10" t="n">
        <f aca="false">IF(Flows!BU24*BU$3*BU$4&lt;0.002,100,MAX($CM$2/(Flows!BU24*BU$3*BU$4),1))</f>
        <v>463.664612040963</v>
      </c>
      <c r="BV27" s="10" t="n">
        <f aca="false">IF(Flows!BV24*BV$3*BV$4&lt;0.002,100,MAX($CM$2/(Flows!BV24*BV$3*BV$4),1))</f>
        <v>4636.64612040963</v>
      </c>
      <c r="BW27" s="10" t="n">
        <f aca="false">IF(Flows!BW24*BW$3*BW$4&lt;0.002,100,MAX($CM$2/(Flows!BW24*BW$3*BW$4),1))</f>
        <v>132.832336735972</v>
      </c>
      <c r="BX27" s="10" t="n">
        <f aca="false">IF(Flows!BX24*BX$3*BX$4&lt;0.002,100,MAX($CM$2/(Flows!BX24*BX$3*BX$4),1))</f>
        <v>153.151387933557</v>
      </c>
      <c r="BY27" s="10" t="n">
        <f aca="false">IF(Flows!BY24*BY$3*BY$4&lt;0.002,100,MAX($CM$2/(Flows!BY24*BY$3*BY$4),1))</f>
        <v>177.70339210417</v>
      </c>
      <c r="BZ27" s="10" t="n">
        <f aca="false">IF(Flows!BZ24*BZ$3*BZ$4&lt;0.002,100,MAX($CM$2/(Flows!BZ24*BZ$3*BZ$4),1))</f>
        <v>281406.227488037</v>
      </c>
      <c r="CA27" s="10" t="n">
        <f aca="false">IF(Flows!CA24*CA$3*CA$4&lt;0.002,100,MAX($CM$2/(Flows!CA24*CA$3*CA$4),1))</f>
        <v>126449.671559969</v>
      </c>
      <c r="CB27" s="10" t="n">
        <f aca="false">IF(Flows!CB24*CB$3*CB$4&lt;0.002,100,MAX($CM$2/(Flows!CB24*CB$3*CB$4),1))</f>
        <v>436.074185807442</v>
      </c>
      <c r="CC27" s="10" t="n">
        <f aca="false">IF(Flows!CC24*CC$3*CC$4&lt;0.002,100,MAX($CM$2/(Flows!CC24*CC$3*CC$4),1))</f>
        <v>30.5714128985015</v>
      </c>
      <c r="CD27" s="10" t="n">
        <f aca="false">IF(Flows!CD24*CD$3*CD$4&lt;0.002,100,MAX($CM$2/(Flows!CD24*CD$3*CD$4),1))</f>
        <v>502.863700278446</v>
      </c>
      <c r="CE27" s="10" t="n">
        <f aca="false">IF(Flows!CE24*CE$3*CE$4&lt;0.002,100,MAX($CM$2/(Flows!CE24*CE$3*CE$4),1))</f>
        <v>6506.00085909239</v>
      </c>
      <c r="CF27" s="10" t="n">
        <f aca="false">IF(Flows!CF24*CF$3*CF$4&lt;0.002,100,MAX($CM$2/(Flows!CF24*CF$3*CF$4),1))</f>
        <v>1</v>
      </c>
      <c r="CG27" s="10" t="n">
        <f aca="false">IF(Flows!CG24*CG$3*CG$4&lt;0.002,100,MAX($CM$2/(Flows!CG24*CG$3*CG$4),1))</f>
        <v>6818512.26290046</v>
      </c>
      <c r="CH27" s="10" t="n">
        <f aca="false">IF(Flows!CH24*CH$3*CH$4&lt;0.002,100,MAX($CM$2/(Flows!CH24*CH$3*CH$4),1))</f>
        <v>1828116.17564459</v>
      </c>
      <c r="CI27" s="10" t="n">
        <f aca="false">IF(Flows!CI24*CI$3*CI$4&lt;0.002,100,MAX($CM$2/(Flows!CI24*CI$3*CI$4),1))</f>
        <v>1298.45271969327</v>
      </c>
      <c r="CJ27" s="10" t="n">
        <f aca="false">IF(Flows!CJ24*CJ$3*CJ$4&lt;0.002,100,MAX($CM$2/(Flows!CJ24*CJ$3*CJ$4),1))</f>
        <v>7975.45253170944</v>
      </c>
      <c r="CK27" s="10" t="n">
        <f aca="false">IF(Flows!CK24*CK$3*CK$4&lt;0.002,100,MAX($CM$2/(Flows!CK24*CK$3*CK$4),1))</f>
        <v>89947.519343661</v>
      </c>
      <c r="CL27" s="7" t="s">
        <v>322</v>
      </c>
    </row>
    <row r="28" customFormat="false" ht="12.8" hidden="false" customHeight="false" outlineLevel="0" collapsed="false">
      <c r="A28" s="7" t="s">
        <v>160</v>
      </c>
      <c r="B28" s="7" t="s">
        <v>39</v>
      </c>
      <c r="C28" s="10" t="n">
        <f aca="false">IF(Flows!C25*C$3*C$4&lt;0.002,100,MAX($CM$2/(Flows!C25*C$3*C$4),1))</f>
        <v>14139.236656794</v>
      </c>
      <c r="D28" s="10" t="n">
        <f aca="false">IF(Flows!D25*D$3*D$4&lt;0.002,100,MAX($CM$2/(Flows!D25*D$3*D$4),1))</f>
        <v>4.7328619655062</v>
      </c>
      <c r="E28" s="10" t="n">
        <f aca="false">IF(Flows!E25*E$3*E$4&lt;0.002,100,MAX($CM$2/(Flows!E25*E$3*E$4),1))</f>
        <v>51.6156589018688</v>
      </c>
      <c r="F28" s="10" t="n">
        <f aca="false">IF(Flows!F25*F$3*F$4&lt;0.002,100,MAX($CM$2/(Flows!F25*F$3*F$4),1))</f>
        <v>158.563304146541</v>
      </c>
      <c r="G28" s="10" t="n">
        <f aca="false">IF(Flows!G25*G$3*G$4&lt;0.002,100,MAX($CM$2/(Flows!G25*G$3*G$4),1))</f>
        <v>51.7540878319809</v>
      </c>
      <c r="H28" s="10" t="n">
        <f aca="false">IF(Flows!H25*H$3*H$4&lt;0.002,100,MAX($CM$2/(Flows!H25*H$3*H$4),1))</f>
        <v>100</v>
      </c>
      <c r="I28" s="10" t="n">
        <f aca="false">IF(Flows!I25*I$3*I$4&lt;0.002,100,MAX($CM$2/(Flows!I25*I$3*I$4),1))</f>
        <v>1175.42695088</v>
      </c>
      <c r="J28" s="10" t="n">
        <f aca="false">IF(Flows!J25*J$3*J$4&lt;0.002,100,MAX($CM$2/(Flows!J25*J$3*J$4),1))</f>
        <v>849.910686963643</v>
      </c>
      <c r="K28" s="10" t="n">
        <f aca="false">IF(Flows!K25*K$3*K$4&lt;0.002,100,MAX($CM$2/(Flows!K25*K$3*K$4),1))</f>
        <v>11826.4313126865</v>
      </c>
      <c r="L28" s="10" t="n">
        <f aca="false">IF(Flows!L25*L$3*L$4&lt;0.002,100,MAX($CM$2/(Flows!L25*L$3*L$4),1))</f>
        <v>66181.4101962987</v>
      </c>
      <c r="M28" s="10" t="n">
        <f aca="false">IF(Flows!M25*M$3*M$4&lt;0.002,100,MAX($CM$2/(Flows!M25*M$3*M$4),1))</f>
        <v>48518.9338945494</v>
      </c>
      <c r="N28" s="10" t="n">
        <f aca="false">IF(Flows!N25*N$3*N$4&lt;0.002,100,MAX($CM$2/(Flows!N25*N$3*N$4),1))</f>
        <v>32.947035076942</v>
      </c>
      <c r="O28" s="10" t="n">
        <f aca="false">IF(Flows!O25*O$3*O$4&lt;0.002,100,MAX($CM$2/(Flows!O25*O$3*O$4),1))</f>
        <v>6.91563181937996</v>
      </c>
      <c r="P28" s="10" t="n">
        <f aca="false">IF(Flows!P25*P$3*P$4&lt;0.002,100,MAX($CM$2/(Flows!P25*P$3*P$4),1))</f>
        <v>12.9668096613374</v>
      </c>
      <c r="Q28" s="10" t="n">
        <f aca="false">IF(Flows!Q25*Q$3*Q$4&lt;0.002,100,MAX($CM$2/(Flows!Q25*Q$3*Q$4),1))</f>
        <v>2007.68182422435</v>
      </c>
      <c r="R28" s="10" t="n">
        <f aca="false">IF(Flows!R25*R$3*R$4&lt;0.002,100,MAX($CM$2/(Flows!R25*R$3*R$4),1))</f>
        <v>32.4011816785932</v>
      </c>
      <c r="S28" s="10" t="n">
        <f aca="false">IF(Flows!S25*S$3*S$4&lt;0.002,100,MAX($CM$2/(Flows!S25*S$3*S$4),1))</f>
        <v>567.269230253987</v>
      </c>
      <c r="T28" s="10" t="n">
        <f aca="false">IF(Flows!T25*T$3*T$4&lt;0.002,100,MAX($CM$2/(Flows!T25*T$3*T$4),1))</f>
        <v>1014.9670051113</v>
      </c>
      <c r="U28" s="10" t="n">
        <f aca="false">IF(Flows!U25*U$3*U$4&lt;0.002,100,MAX($CM$2/(Flows!U25*U$3*U$4),1))</f>
        <v>202.162224560622</v>
      </c>
      <c r="V28" s="10" t="n">
        <f aca="false">IF(Flows!V25*V$3*V$4&lt;0.002,100,MAX($CM$2/(Flows!V25*V$3*V$4),1))</f>
        <v>1222.08738867523</v>
      </c>
      <c r="W28" s="10" t="n">
        <f aca="false">IF(Flows!W25*W$3*W$4&lt;0.002,100,MAX($CM$2/(Flows!W25*W$3*W$4),1))</f>
        <v>42.7017411550623</v>
      </c>
      <c r="X28" s="10" t="n">
        <f aca="false">IF(Flows!X25*X$3*X$4&lt;0.002,100,MAX($CM$2/(Flows!X25*X$3*X$4),1))</f>
        <v>4.54601504389589</v>
      </c>
      <c r="Y28" s="10" t="n">
        <f aca="false">IF(Flows!Y25*Y$3*Y$4&lt;0.002,100,MAX($CM$2/(Flows!Y25*Y$3*Y$4),1))</f>
        <v>330.907050981493</v>
      </c>
      <c r="Z28" s="10" t="n">
        <f aca="false">IF(Flows!Z25*Z$3*Z$4&lt;0.002,100,MAX($CM$2/(Flows!Z25*Z$3*Z$4),1))</f>
        <v>46049.4592108274</v>
      </c>
      <c r="AA28" s="10" t="n">
        <f aca="false">IF(Flows!AA25*AA$3*AA$4&lt;0.002,100,MAX($CM$2/(Flows!AA25*AA$3*AA$4),1))</f>
        <v>64010.1683941628</v>
      </c>
      <c r="AB28" s="10" t="n">
        <f aca="false">IF(Flows!AB25*AB$3*AB$4&lt;0.002,100,MAX($CM$2/(Flows!AB25*AB$3*AB$4),1))</f>
        <v>59017.5231048918</v>
      </c>
      <c r="AC28" s="10" t="n">
        <f aca="false">IF(Flows!AC25*AC$3*AC$4&lt;0.002,100,MAX($CM$2/(Flows!AC25*AC$3*AC$4),1))</f>
        <v>269510.282464712</v>
      </c>
      <c r="AD28" s="10" t="n">
        <f aca="false">IF(Flows!AD25*AD$3*AD$4&lt;0.002,100,MAX($CM$2/(Flows!AD25*AD$3*AD$4),1))</f>
        <v>371764.550735029</v>
      </c>
      <c r="AE28" s="10" t="n">
        <f aca="false">IF(Flows!AE25*AE$3*AE$4&lt;0.002,100,MAX($CM$2/(Flows!AE25*AE$3*AE$4),1))</f>
        <v>1098388.14966682</v>
      </c>
      <c r="AF28" s="10" t="n">
        <f aca="false">IF(Flows!AF25*AF$3*AF$4&lt;0.002,100,MAX($CM$2/(Flows!AF25*AF$3*AF$4),1))</f>
        <v>3900.5319792391</v>
      </c>
      <c r="AG28" s="10" t="n">
        <f aca="false">IF(Flows!AG25*AG$3*AG$4&lt;0.002,100,MAX($CM$2/(Flows!AG25*AG$3*AG$4),1))</f>
        <v>3928.93949149724</v>
      </c>
      <c r="AH28" s="10" t="n">
        <f aca="false">IF(Flows!AH25*AH$3*AH$4&lt;0.002,100,MAX($CM$2/(Flows!AH25*AH$3*AH$4),1))</f>
        <v>2253.08151991576</v>
      </c>
      <c r="AI28" s="10" t="n">
        <f aca="false">IF(Flows!AI25*AI$3*AI$4&lt;0.002,100,MAX($CM$2/(Flows!AI25*AI$3*AI$4),1))</f>
        <v>14012.2704115568</v>
      </c>
      <c r="AJ28" s="10" t="n">
        <f aca="false">IF(Flows!AJ25*AJ$3*AJ$4&lt;0.002,100,MAX($CM$2/(Flows!AJ25*AJ$3*AJ$4),1))</f>
        <v>5331.95642656394</v>
      </c>
      <c r="AK28" s="10" t="n">
        <f aca="false">IF(Flows!AK25*AK$3*AK$4&lt;0.002,100,MAX($CM$2/(Flows!AK25*AK$3*AK$4),1))</f>
        <v>2101.41839902134</v>
      </c>
      <c r="AL28" s="10" t="n">
        <f aca="false">IF(Flows!AL25*AL$3*AL$4&lt;0.002,100,MAX($CM$2/(Flows!AL25*AL$3*AL$4),1))</f>
        <v>4676.54167608265</v>
      </c>
      <c r="AM28" s="10" t="n">
        <f aca="false">IF(Flows!AM25*AM$3*AM$4&lt;0.002,100,MAX($CM$2/(Flows!AM25*AM$3*AM$4),1))</f>
        <v>6500.15404048245</v>
      </c>
      <c r="AN28" s="10" t="n">
        <f aca="false">IF(Flows!AN25*AN$3*AN$4&lt;0.002,100,MAX($CM$2/(Flows!AN25*AN$3*AN$4),1))</f>
        <v>8590.80268615564</v>
      </c>
      <c r="AO28" s="10" t="n">
        <f aca="false">IF(Flows!AO25*AO$3*AO$4&lt;0.002,100,MAX($CM$2/(Flows!AO25*AO$3*AO$4),1))</f>
        <v>97507.0547911297</v>
      </c>
      <c r="AP28" s="10" t="n">
        <f aca="false">IF(Flows!AP25*AP$3*AP$4&lt;0.002,100,MAX($CM$2/(Flows!AP25*AP$3*AP$4),1))</f>
        <v>251041.277197707</v>
      </c>
      <c r="AQ28" s="10" t="n">
        <f aca="false">IF(Flows!AQ25*AQ$3*AQ$4&lt;0.002,100,MAX($CM$2/(Flows!AQ25*AQ$3*AQ$4),1))</f>
        <v>69990.5163918918</v>
      </c>
      <c r="AR28" s="10" t="n">
        <f aca="false">IF(Flows!AR25*AR$3*AR$4&lt;0.002,100,MAX($CM$2/(Flows!AR25*AR$3*AR$4),1))</f>
        <v>92017.6824836467</v>
      </c>
      <c r="AS28" s="10" t="n">
        <f aca="false">IF(Flows!AS25*AS$3*AS$4&lt;0.002,100,MAX($CM$2/(Flows!AS25*AS$3*AS$4),1))</f>
        <v>10359.0394254875</v>
      </c>
      <c r="AT28" s="10" t="n">
        <f aca="false">IF(Flows!AT25*AT$3*AT$4&lt;0.002,100,MAX($CM$2/(Flows!AT25*AT$3*AT$4),1))</f>
        <v>3095.39038633831</v>
      </c>
      <c r="AU28" s="10" t="n">
        <f aca="false">IF(Flows!AU25*AU$3*AU$4&lt;0.002,100,MAX($CM$2/(Flows!AU25*AU$3*AU$4),1))</f>
        <v>4702.52401973478</v>
      </c>
      <c r="AV28" s="10" t="n">
        <f aca="false">IF(Flows!AV25*AV$3*AV$4&lt;0.002,100,MAX($CM$2/(Flows!AV25*AV$3*AV$4),1))</f>
        <v>38405.1102233201</v>
      </c>
      <c r="AW28" s="10" t="n">
        <f aca="false">IF(Flows!AW25*AW$3*AW$4&lt;0.002,100,MAX($CM$2/(Flows!AW25*AW$3*AW$4),1))</f>
        <v>84.7325351015603</v>
      </c>
      <c r="AX28" s="10" t="n">
        <f aca="false">IF(Flows!AX25*AX$3*AX$4&lt;0.002,100,MAX($CM$2/(Flows!AX25*AX$3*AX$4),1))</f>
        <v>12182.6579794977</v>
      </c>
      <c r="AY28" s="10" t="n">
        <f aca="false">IF(Flows!AY25*AY$3*AY$4&lt;0.002,100,MAX($CM$2/(Flows!AY25*AY$3*AY$4),1))</f>
        <v>3222.6745982871</v>
      </c>
      <c r="AZ28" s="10" t="n">
        <f aca="false">IF(Flows!AZ25*AZ$3*AZ$4&lt;0.002,100,MAX($CM$2/(Flows!AZ25*AZ$3*AZ$4),1))</f>
        <v>874.785894690036</v>
      </c>
      <c r="BA28" s="10" t="n">
        <f aca="false">IF(Flows!BA25*BA$3*BA$4&lt;0.002,100,MAX($CM$2/(Flows!BA25*BA$3*BA$4),1))</f>
        <v>3375.25192001123</v>
      </c>
      <c r="BB28" s="10" t="n">
        <f aca="false">IF(Flows!BB25*BB$3*BB$4&lt;0.002,100,MAX($CM$2/(Flows!BB25*BB$3*BB$4),1))</f>
        <v>16582.7415244571</v>
      </c>
      <c r="BC28" s="10" t="n">
        <f aca="false">IF(Flows!BC25*BC$3*BC$4&lt;0.002,100,MAX($CM$2/(Flows!BC25*BC$3*BC$4),1))</f>
        <v>8010.13593270139</v>
      </c>
      <c r="BD28" s="10" t="n">
        <f aca="false">IF(Flows!BD25*BD$3*BD$4&lt;0.002,100,MAX($CM$2/(Flows!BD25*BD$3*BD$4),1))</f>
        <v>38547.2722938196</v>
      </c>
      <c r="BE28" s="10" t="n">
        <f aca="false">IF(Flows!BE25*BE$3*BE$4&lt;0.002,100,MAX($CM$2/(Flows!BE25*BE$3*BE$4),1))</f>
        <v>71874.3633952903</v>
      </c>
      <c r="BF28" s="10" t="n">
        <f aca="false">IF(Flows!BF25*BF$3*BF$4&lt;0.002,100,MAX($CM$2/(Flows!BF25*BF$3*BF$4),1))</f>
        <v>2462.60182566033</v>
      </c>
      <c r="BG28" s="10" t="n">
        <f aca="false">IF(Flows!BG25*BG$3*BG$4&lt;0.002,100,MAX($CM$2/(Flows!BG25*BG$3*BG$4),1))</f>
        <v>768.158558242308</v>
      </c>
      <c r="BH28" s="10" t="n">
        <f aca="false">IF(Flows!BH25*BH$3*BH$4&lt;0.002,100,MAX($CM$2/(Flows!BH25*BH$3*BH$4),1))</f>
        <v>388.41680437171</v>
      </c>
      <c r="BI28" s="10" t="n">
        <f aca="false">IF(Flows!BI25*BI$3*BI$4&lt;0.002,100,MAX($CM$2/(Flows!BI25*BI$3*BI$4),1))</f>
        <v>776.302387829214</v>
      </c>
      <c r="BJ28" s="10" t="n">
        <f aca="false">IF(Flows!BJ25*BJ$3*BJ$4&lt;0.002,100,MAX($CM$2/(Flows!BJ25*BJ$3*BJ$4),1))</f>
        <v>20.7087835506961</v>
      </c>
      <c r="BK28" s="10" t="n">
        <f aca="false">IF(Flows!BK25*BK$3*BK$4&lt;0.002,100,MAX($CM$2/(Flows!BK25*BK$3*BK$4),1))</f>
        <v>1552.60477565843</v>
      </c>
      <c r="BL28" s="10" t="n">
        <f aca="false">IF(Flows!BL25*BL$3*BL$4&lt;0.002,100,MAX($CM$2/(Flows!BL25*BL$3*BL$4),1))</f>
        <v>648.210579348249</v>
      </c>
      <c r="BM28" s="10" t="n">
        <f aca="false">IF(Flows!BM25*BM$3*BM$4&lt;0.002,100,MAX($CM$2/(Flows!BM25*BM$3*BM$4),1))</f>
        <v>363.470366835737</v>
      </c>
      <c r="BN28" s="10" t="n">
        <f aca="false">IF(Flows!BN25*BN$3*BN$4&lt;0.002,100,MAX($CM$2/(Flows!BN25*BN$3*BN$4),1))</f>
        <v>1574830.46851496</v>
      </c>
      <c r="BO28" s="10" t="n">
        <f aca="false">IF(Flows!BO25*BO$3*BO$4&lt;0.002,100,MAX($CM$2/(Flows!BO25*BO$3*BO$4),1))</f>
        <v>262471744.752494</v>
      </c>
      <c r="BP28" s="10" t="n">
        <f aca="false">IF(Flows!BP25*BP$3*BP$4&lt;0.002,100,MAX($CM$2/(Flows!BP25*BP$3*BP$4),1))</f>
        <v>53680553405.0481</v>
      </c>
      <c r="BQ28" s="10" t="n">
        <f aca="false">IF(Flows!BQ25*BQ$3*BQ$4&lt;0.002,100,MAX($CM$2/(Flows!BQ25*BQ$3*BQ$4),1))</f>
        <v>100</v>
      </c>
      <c r="BR28" s="10" t="n">
        <f aca="false">IF(Flows!BR25*BR$3*BR$4&lt;0.002,100,MAX($CM$2/(Flows!BR25*BR$3*BR$4),1))</f>
        <v>2624717447.52494</v>
      </c>
      <c r="BS28" s="10" t="n">
        <f aca="false">IF(Flows!BS25*BS$3*BS$4&lt;0.002,100,MAX($CM$2/(Flows!BS25*BS$3*BS$4),1))</f>
        <v>13123601887.6171</v>
      </c>
      <c r="BT28" s="10" t="n">
        <f aca="false">IF(Flows!BT25*BT$3*BT$4&lt;0.002,100,MAX($CM$2/(Flows!BT25*BT$3*BT$4),1))</f>
        <v>19.525644969032</v>
      </c>
      <c r="BU28" s="10" t="n">
        <f aca="false">IF(Flows!BU25*BU$3*BU$4&lt;0.002,100,MAX($CM$2/(Flows!BU25*BU$3*BU$4),1))</f>
        <v>195.25644969032</v>
      </c>
      <c r="BV28" s="10" t="n">
        <f aca="false">IF(Flows!BV25*BV$3*BV$4&lt;0.002,100,MAX($CM$2/(Flows!BV25*BV$3*BV$4),1))</f>
        <v>1952.5644969032</v>
      </c>
      <c r="BW28" s="10" t="n">
        <f aca="false">IF(Flows!BW25*BW$3*BW$4&lt;0.002,100,MAX($CM$2/(Flows!BW25*BW$3*BW$4),1))</f>
        <v>86.9656836114097</v>
      </c>
      <c r="BX28" s="10" t="n">
        <f aca="false">IF(Flows!BX25*BX$3*BX$4&lt;0.002,100,MAX($CM$2/(Flows!BX25*BX$3*BX$4),1))</f>
        <v>83.4056348114063</v>
      </c>
      <c r="BY28" s="10" t="n">
        <f aca="false">IF(Flows!BY25*BY$3*BY$4&lt;0.002,100,MAX($CM$2/(Flows!BY25*BY$3*BY$4),1))</f>
        <v>241.248825874368</v>
      </c>
      <c r="BZ28" s="10" t="n">
        <f aca="false">IF(Flows!BZ25*BZ$3*BZ$4&lt;0.002,100,MAX($CM$2/(Flows!BZ25*BZ$3*BZ$4),1))</f>
        <v>129940.851794089</v>
      </c>
      <c r="CA28" s="10" t="n">
        <f aca="false">IF(Flows!CA25*CA$3*CA$4&lt;0.002,100,MAX($CM$2/(Flows!CA25*CA$3*CA$4),1))</f>
        <v>206727.846357228</v>
      </c>
      <c r="CB28" s="10" t="n">
        <f aca="false">IF(Flows!CB25*CB$3*CB$4&lt;0.002,100,MAX($CM$2/(Flows!CB25*CB$3*CB$4),1))</f>
        <v>465.276152696943</v>
      </c>
      <c r="CC28" s="10" t="n">
        <f aca="false">IF(Flows!CC25*CC$3*CC$4&lt;0.002,100,MAX($CM$2/(Flows!CC25*CC$3*CC$4),1))</f>
        <v>36.4206859980154</v>
      </c>
      <c r="CD28" s="10" t="n">
        <f aca="false">IF(Flows!CD25*CD$3*CD$4&lt;0.002,100,MAX($CM$2/(Flows!CD25*CD$3*CD$4),1))</f>
        <v>330.362701921429</v>
      </c>
      <c r="CE28" s="10" t="n">
        <f aca="false">IF(Flows!CE25*CE$3*CE$4&lt;0.002,100,MAX($CM$2/(Flows!CE25*CE$3*CE$4),1))</f>
        <v>417.231532947526</v>
      </c>
      <c r="CF28" s="10" t="n">
        <f aca="false">IF(Flows!CF25*CF$3*CF$4&lt;0.002,100,MAX($CM$2/(Flows!CF25*CF$3*CF$4),1))</f>
        <v>1</v>
      </c>
      <c r="CG28" s="10" t="n">
        <f aca="false">IF(Flows!CG25*CG$3*CG$4&lt;0.002,100,MAX($CM$2/(Flows!CG25*CG$3*CG$4),1))</f>
        <v>1314554.69891781</v>
      </c>
      <c r="CH28" s="10" t="n">
        <f aca="false">IF(Flows!CH25*CH$3*CH$4&lt;0.002,100,MAX($CM$2/(Flows!CH25*CH$3*CH$4),1))</f>
        <v>465461.416918905</v>
      </c>
      <c r="CI28" s="10" t="n">
        <f aca="false">IF(Flows!CI25*CI$3*CI$4&lt;0.002,100,MAX($CM$2/(Flows!CI25*CI$3*CI$4),1))</f>
        <v>1906.34259840959</v>
      </c>
      <c r="CJ28" s="10" t="n">
        <f aca="false">IF(Flows!CJ25*CJ$3*CJ$4&lt;0.002,100,MAX($CM$2/(Flows!CJ25*CJ$3*CJ$4),1))</f>
        <v>17548.8087370425</v>
      </c>
      <c r="CK28" s="10" t="n">
        <f aca="false">IF(Flows!CK25*CK$3*CK$4&lt;0.002,100,MAX($CM$2/(Flows!CK25*CK$3*CK$4),1))</f>
        <v>9048.5566379008</v>
      </c>
      <c r="CL28" s="7" t="s">
        <v>322</v>
      </c>
    </row>
    <row r="29" customFormat="false" ht="12.8" hidden="false" customHeight="false" outlineLevel="0" collapsed="false">
      <c r="A29" s="7"/>
      <c r="B29" s="7" t="s">
        <v>39</v>
      </c>
      <c r="CL29" s="7" t="s">
        <v>322</v>
      </c>
      <c r="CX29" s="1" t="s">
        <v>410</v>
      </c>
      <c r="DD29" s="1" t="s">
        <v>411</v>
      </c>
    </row>
    <row r="30" customFormat="false" ht="12.8" hidden="false" customHeight="false" outlineLevel="0" collapsed="false">
      <c r="A30" s="7" t="s">
        <v>412</v>
      </c>
      <c r="B30" s="7" t="s">
        <v>39</v>
      </c>
      <c r="C30" s="18" t="n">
        <v>1</v>
      </c>
      <c r="D30" s="18" t="n">
        <v>2</v>
      </c>
      <c r="E30" s="18" t="n">
        <v>3</v>
      </c>
      <c r="F30" s="18" t="n">
        <v>4</v>
      </c>
      <c r="G30" s="18" t="n">
        <v>5</v>
      </c>
      <c r="H30" s="18" t="n">
        <v>6</v>
      </c>
      <c r="I30" s="18" t="n">
        <v>7</v>
      </c>
      <c r="J30" s="18" t="n">
        <v>8</v>
      </c>
      <c r="K30" s="18" t="n">
        <v>9</v>
      </c>
      <c r="L30" s="18" t="n">
        <v>10</v>
      </c>
      <c r="M30" s="18" t="n">
        <v>11</v>
      </c>
      <c r="N30" s="18" t="n">
        <v>12</v>
      </c>
      <c r="O30" s="18" t="n">
        <v>13</v>
      </c>
      <c r="P30" s="18" t="n">
        <v>14</v>
      </c>
      <c r="Q30" s="18" t="n">
        <v>15</v>
      </c>
      <c r="R30" s="18" t="n">
        <v>16</v>
      </c>
      <c r="S30" s="18" t="n">
        <v>17</v>
      </c>
      <c r="T30" s="18" t="n">
        <v>18</v>
      </c>
      <c r="U30" s="18" t="n">
        <v>19</v>
      </c>
      <c r="V30" s="18" t="n">
        <v>20</v>
      </c>
      <c r="W30" s="18" t="n">
        <v>21</v>
      </c>
      <c r="X30" s="18" t="n">
        <v>22</v>
      </c>
      <c r="Y30" s="18" t="n">
        <v>23</v>
      </c>
      <c r="Z30" s="18" t="n">
        <v>24</v>
      </c>
      <c r="AA30" s="18" t="n">
        <v>25</v>
      </c>
      <c r="AB30" s="18" t="n">
        <v>26</v>
      </c>
      <c r="AC30" s="18" t="n">
        <v>27</v>
      </c>
      <c r="AD30" s="18" t="n">
        <v>28</v>
      </c>
      <c r="AE30" s="18" t="n">
        <v>29</v>
      </c>
      <c r="AF30" s="18" t="n">
        <v>30</v>
      </c>
      <c r="AG30" s="18" t="n">
        <v>31</v>
      </c>
      <c r="AH30" s="18" t="n">
        <v>32</v>
      </c>
      <c r="AI30" s="18" t="n">
        <v>33</v>
      </c>
      <c r="AJ30" s="18" t="n">
        <v>34</v>
      </c>
      <c r="AK30" s="18" t="n">
        <v>35</v>
      </c>
      <c r="AL30" s="18" t="n">
        <v>36</v>
      </c>
      <c r="AM30" s="18" t="n">
        <v>37</v>
      </c>
      <c r="AN30" s="18" t="n">
        <v>38</v>
      </c>
      <c r="AO30" s="18" t="n">
        <v>39</v>
      </c>
      <c r="AP30" s="18" t="n">
        <v>40</v>
      </c>
      <c r="AQ30" s="18" t="n">
        <v>41</v>
      </c>
      <c r="AR30" s="18" t="n">
        <v>42</v>
      </c>
      <c r="AS30" s="18" t="n">
        <v>43</v>
      </c>
      <c r="AT30" s="18" t="n">
        <v>44</v>
      </c>
      <c r="AU30" s="18" t="n">
        <v>45</v>
      </c>
      <c r="AV30" s="18" t="n">
        <v>46</v>
      </c>
      <c r="AW30" s="18" t="n">
        <v>47</v>
      </c>
      <c r="AX30" s="18" t="n">
        <v>48</v>
      </c>
      <c r="AY30" s="18" t="n">
        <v>49</v>
      </c>
      <c r="AZ30" s="18" t="n">
        <v>50</v>
      </c>
      <c r="BA30" s="18" t="n">
        <v>51</v>
      </c>
      <c r="BB30" s="18" t="n">
        <v>52</v>
      </c>
      <c r="BC30" s="18" t="n">
        <v>53</v>
      </c>
      <c r="BD30" s="18" t="n">
        <v>54</v>
      </c>
      <c r="BE30" s="18" t="n">
        <v>55</v>
      </c>
      <c r="BF30" s="18" t="n">
        <v>56</v>
      </c>
      <c r="BG30" s="18" t="n">
        <v>57</v>
      </c>
      <c r="BH30" s="18" t="n">
        <v>58</v>
      </c>
      <c r="BI30" s="18" t="n">
        <v>59</v>
      </c>
      <c r="BJ30" s="18" t="n">
        <v>60</v>
      </c>
      <c r="BK30" s="18" t="n">
        <v>61</v>
      </c>
      <c r="BL30" s="18" t="n">
        <v>62</v>
      </c>
      <c r="BM30" s="18" t="n">
        <v>63</v>
      </c>
      <c r="BN30" s="18" t="n">
        <v>64</v>
      </c>
      <c r="BO30" s="18" t="n">
        <v>65</v>
      </c>
      <c r="BP30" s="18" t="n">
        <v>66</v>
      </c>
      <c r="BQ30" s="18" t="n">
        <v>67</v>
      </c>
      <c r="BR30" s="18" t="n">
        <v>68</v>
      </c>
      <c r="BS30" s="18" t="n">
        <v>69</v>
      </c>
      <c r="BT30" s="18" t="n">
        <v>70</v>
      </c>
      <c r="BU30" s="18" t="n">
        <v>71</v>
      </c>
      <c r="BV30" s="18" t="n">
        <v>72</v>
      </c>
      <c r="BW30" s="18" t="n">
        <v>73</v>
      </c>
      <c r="BX30" s="18" t="n">
        <v>74</v>
      </c>
      <c r="BY30" s="18" t="n">
        <v>75</v>
      </c>
      <c r="BZ30" s="18" t="n">
        <v>76</v>
      </c>
      <c r="CA30" s="18" t="n">
        <v>77</v>
      </c>
      <c r="CB30" s="18" t="n">
        <v>78</v>
      </c>
      <c r="CC30" s="18" t="n">
        <v>79</v>
      </c>
      <c r="CD30" s="18" t="n">
        <v>80</v>
      </c>
      <c r="CE30" s="18" t="n">
        <v>81</v>
      </c>
      <c r="CF30" s="18" t="n">
        <v>82</v>
      </c>
      <c r="CG30" s="18" t="n">
        <v>83</v>
      </c>
      <c r="CH30" s="18" t="n">
        <v>84</v>
      </c>
      <c r="CI30" s="18" t="n">
        <v>85</v>
      </c>
      <c r="CJ30" s="18" t="n">
        <v>86</v>
      </c>
      <c r="CK30" s="18" t="n">
        <v>87</v>
      </c>
      <c r="CL30" s="7" t="s">
        <v>322</v>
      </c>
      <c r="CM30" s="1" t="s">
        <v>413</v>
      </c>
      <c r="CN30" s="1" t="s">
        <v>414</v>
      </c>
      <c r="CO30" s="1" t="s">
        <v>415</v>
      </c>
      <c r="CP30" s="1" t="s">
        <v>416</v>
      </c>
      <c r="CQ30" s="1" t="s">
        <v>417</v>
      </c>
      <c r="CR30" s="1" t="s">
        <v>418</v>
      </c>
      <c r="CS30" s="1" t="s">
        <v>419</v>
      </c>
      <c r="CT30" s="1" t="s">
        <v>420</v>
      </c>
      <c r="CU30" s="1" t="s">
        <v>282</v>
      </c>
      <c r="CV30" s="1" t="s">
        <v>421</v>
      </c>
      <c r="CX30" s="1" t="s">
        <v>422</v>
      </c>
      <c r="CY30" s="1" t="s">
        <v>423</v>
      </c>
      <c r="CZ30" s="1" t="s">
        <v>424</v>
      </c>
      <c r="DA30" s="1" t="s">
        <v>425</v>
      </c>
      <c r="DB30" s="1" t="s">
        <v>426</v>
      </c>
      <c r="DD30" s="1" t="s">
        <v>422</v>
      </c>
      <c r="DE30" s="1" t="s">
        <v>423</v>
      </c>
      <c r="DF30" s="1" t="s">
        <v>424</v>
      </c>
      <c r="DG30" s="1" t="s">
        <v>425</v>
      </c>
      <c r="DH30" s="1" t="s">
        <v>426</v>
      </c>
    </row>
    <row r="31" customFormat="false" ht="12.8" hidden="false" customHeight="false" outlineLevel="0" collapsed="false">
      <c r="A31" s="7" t="s">
        <v>131</v>
      </c>
      <c r="B31" s="7" t="s">
        <v>39</v>
      </c>
      <c r="C31" s="10" t="n">
        <f aca="false">MAX(Flows!C61*C$4*C6/100,0)</f>
        <v>0</v>
      </c>
      <c r="D31" s="10" t="n">
        <f aca="false">MAX(Flows!D61*D$4*D6/100,0)</f>
        <v>0</v>
      </c>
      <c r="E31" s="10" t="n">
        <f aca="false">MAX(Flows!E61*E$4*E6/100,0)</f>
        <v>0</v>
      </c>
      <c r="F31" s="10" t="n">
        <f aca="false">MAX(Flows!F61*F$4*F6/100,0)</f>
        <v>0</v>
      </c>
      <c r="G31" s="10" t="n">
        <f aca="false">MAX(Flows!G61*G$4*G6/100,0)</f>
        <v>0</v>
      </c>
      <c r="H31" s="10" t="n">
        <f aca="false">MAX(Flows!H61*H$4*H6/100,0)</f>
        <v>0</v>
      </c>
      <c r="I31" s="10" t="n">
        <f aca="false">MAX(Flows!I61*I$4*I6/100,0)</f>
        <v>48175739.6646068</v>
      </c>
      <c r="J31" s="10" t="n">
        <f aca="false">MAX(Flows!J61*J$4*J6/100,0)</f>
        <v>0</v>
      </c>
      <c r="K31" s="10" t="n">
        <f aca="false">MAX(Flows!K61*K$4*K6/100,0)</f>
        <v>0</v>
      </c>
      <c r="L31" s="10" t="n">
        <f aca="false">MAX(Flows!L61*L$4*L6/100,0)</f>
        <v>0</v>
      </c>
      <c r="M31" s="10" t="n">
        <f aca="false">MAX(Flows!M61*M$4*M6/100,0)</f>
        <v>0</v>
      </c>
      <c r="N31" s="10" t="n">
        <f aca="false">MAX(Flows!N61*N$4*N6/100,0)</f>
        <v>0</v>
      </c>
      <c r="O31" s="10" t="n">
        <f aca="false">MAX(Flows!O61*O$4*O6/100,0)</f>
        <v>0</v>
      </c>
      <c r="P31" s="10" t="n">
        <f aca="false">MAX(Flows!P61*P$4*P6/100,0)</f>
        <v>0</v>
      </c>
      <c r="Q31" s="10" t="n">
        <f aca="false">MAX(Flows!Q61*Q$4*Q6/100,0)</f>
        <v>0</v>
      </c>
      <c r="R31" s="10" t="n">
        <f aca="false">MAX(Flows!R61*R$4*R6/100,0)</f>
        <v>0</v>
      </c>
      <c r="S31" s="10" t="n">
        <f aca="false">MAX(Flows!S61*S$4*S6/100,0)</f>
        <v>0</v>
      </c>
      <c r="T31" s="10" t="n">
        <f aca="false">MAX(Flows!T61*T$4*T6/100,0)</f>
        <v>0</v>
      </c>
      <c r="U31" s="10" t="n">
        <f aca="false">MAX(Flows!U61*U$4*U6/100,0)</f>
        <v>0</v>
      </c>
      <c r="V31" s="10" t="n">
        <f aca="false">MAX(Flows!V61*V$4*V6/100,0)</f>
        <v>0</v>
      </c>
      <c r="W31" s="10" t="n">
        <f aca="false">MAX(Flows!W61*W$4*W6/100,0)</f>
        <v>0</v>
      </c>
      <c r="X31" s="10" t="n">
        <f aca="false">MAX(Flows!X61*X$4*X6/100,0)</f>
        <v>0</v>
      </c>
      <c r="Y31" s="10" t="n">
        <f aca="false">MAX(Flows!Y61*Y$4*Y6/100,0)</f>
        <v>0</v>
      </c>
      <c r="Z31" s="10" t="n">
        <f aca="false">MAX(Flows!Z61*Z$4*Z6/100,0)</f>
        <v>658557.549265993</v>
      </c>
      <c r="AA31" s="10" t="n">
        <f aca="false">MAX(Flows!AA61*AA$4*AA6/100,0)</f>
        <v>0</v>
      </c>
      <c r="AB31" s="10" t="n">
        <f aca="false">MAX(Flows!AB61*AB$4*AB6/100,0)</f>
        <v>0</v>
      </c>
      <c r="AC31" s="10" t="n">
        <f aca="false">MAX(Flows!AC61*AC$4*AC6/100,0)</f>
        <v>309887.122631369</v>
      </c>
      <c r="AD31" s="10" t="n">
        <f aca="false">MAX(Flows!AD61*AD$4*AD6/100,0)</f>
        <v>0</v>
      </c>
      <c r="AE31" s="10" t="n">
        <f aca="false">MAX(Flows!AE61*AE$4*AE6/100,0)</f>
        <v>0</v>
      </c>
      <c r="AF31" s="10" t="n">
        <f aca="false">MAX(Flows!AF61*AF$4*AF6/100,0)</f>
        <v>0</v>
      </c>
      <c r="AG31" s="10" t="n">
        <f aca="false">MAX(Flows!AG61*AG$4*AG6/100,0)</f>
        <v>0</v>
      </c>
      <c r="AH31" s="10" t="n">
        <f aca="false">MAX(Flows!AH61*AH$4*AH6/100,0)</f>
        <v>0</v>
      </c>
      <c r="AI31" s="10" t="n">
        <f aca="false">MAX(Flows!AI61*AI$4*AI6/100,0)</f>
        <v>0</v>
      </c>
      <c r="AJ31" s="10" t="n">
        <f aca="false">MAX(Flows!AJ61*AJ$4*AJ6/100,0)</f>
        <v>0</v>
      </c>
      <c r="AK31" s="10" t="n">
        <f aca="false">MAX(Flows!AK61*AK$4*AK6/100,0)</f>
        <v>0</v>
      </c>
      <c r="AL31" s="10" t="n">
        <f aca="false">MAX(Flows!AL61*AL$4*AL6/100,0)</f>
        <v>0</v>
      </c>
      <c r="AM31" s="10" t="n">
        <f aca="false">MAX(Flows!AM61*AM$4*AM6/100,0)</f>
        <v>0</v>
      </c>
      <c r="AN31" s="10" t="n">
        <f aca="false">MAX(Flows!AN61*AN$4*AN6/100,0)</f>
        <v>5493562.45996454</v>
      </c>
      <c r="AO31" s="10" t="n">
        <f aca="false">MAX(Flows!AO61*AO$4*AO6/100,0)</f>
        <v>4274809.79334748</v>
      </c>
      <c r="AP31" s="10" t="n">
        <f aca="false">MAX(Flows!AP61*AP$4*AP6/100,0)</f>
        <v>0</v>
      </c>
      <c r="AQ31" s="10" t="n">
        <f aca="false">MAX(Flows!AQ61*AQ$4*AQ6/100,0)</f>
        <v>0</v>
      </c>
      <c r="AR31" s="10" t="n">
        <f aca="false">MAX(Flows!AR61*AR$4*AR6/100,0)</f>
        <v>0</v>
      </c>
      <c r="AS31" s="10" t="n">
        <f aca="false">MAX(Flows!AS61*AS$4*AS6/100,0)</f>
        <v>6876436.02246536</v>
      </c>
      <c r="AT31" s="10" t="n">
        <f aca="false">MAX(Flows!AT61*AT$4*AT6/100,0)</f>
        <v>0</v>
      </c>
      <c r="AU31" s="10" t="n">
        <f aca="false">MAX(Flows!AU61*AU$4*AU6/100,0)</f>
        <v>0</v>
      </c>
      <c r="AV31" s="10" t="n">
        <f aca="false">MAX(Flows!AV61*AV$4*AV6/100,0)</f>
        <v>0</v>
      </c>
      <c r="AW31" s="10" t="n">
        <f aca="false">MAX(Flows!AW61*AW$4*AW6/100,0)</f>
        <v>5367855.49344067</v>
      </c>
      <c r="AX31" s="10" t="n">
        <f aca="false">MAX(Flows!AX61*AX$4*AX6/100,0)</f>
        <v>0</v>
      </c>
      <c r="AY31" s="10" t="n">
        <f aca="false">MAX(Flows!AY61*AY$4*AY6/100,0)</f>
        <v>0</v>
      </c>
      <c r="AZ31" s="10" t="n">
        <f aca="false">MAX(Flows!AZ61*AZ$4*AZ6/100,0)</f>
        <v>0</v>
      </c>
      <c r="BA31" s="10" t="n">
        <f aca="false">MAX(Flows!BA61*BA$4*BA6/100,0)</f>
        <v>0</v>
      </c>
      <c r="BB31" s="10" t="n">
        <f aca="false">MAX(Flows!BB61*BB$4*BB6/100,0)</f>
        <v>0</v>
      </c>
      <c r="BC31" s="10" t="n">
        <f aca="false">MAX(Flows!BC61*BC$4*BC6/100,0)</f>
        <v>0</v>
      </c>
      <c r="BD31" s="10" t="n">
        <f aca="false">MAX(Flows!BD61*BD$4*BD6/100,0)</f>
        <v>0</v>
      </c>
      <c r="BE31" s="10" t="n">
        <f aca="false">MAX(Flows!BE61*BE$4*BE6/100,0)</f>
        <v>0</v>
      </c>
      <c r="BF31" s="10" t="n">
        <f aca="false">MAX(Flows!BF61*BF$4*BF6/100,0)</f>
        <v>0</v>
      </c>
      <c r="BG31" s="10" t="n">
        <f aca="false">MAX(Flows!BG61*BG$4*BG6/100,0)</f>
        <v>11754143.3135104</v>
      </c>
      <c r="BH31" s="10" t="n">
        <f aca="false">MAX(Flows!BH61*BH$4*BH6/100,0)</f>
        <v>6678694.06998052</v>
      </c>
      <c r="BI31" s="10" t="n">
        <f aca="false">MAX(Flows!BI61*BI$4*BI6/100,0)</f>
        <v>0</v>
      </c>
      <c r="BJ31" s="10" t="n">
        <f aca="false">MAX(Flows!BJ61*BJ$4*BJ6/100,0)</f>
        <v>0</v>
      </c>
      <c r="BK31" s="10" t="n">
        <f aca="false">MAX(Flows!BK61*BK$4*BK6/100,0)</f>
        <v>0</v>
      </c>
      <c r="BL31" s="10" t="n">
        <f aca="false">MAX(Flows!BL61*BL$4*BL6/100,0)</f>
        <v>0</v>
      </c>
      <c r="BM31" s="10" t="n">
        <f aca="false">MAX(Flows!BM61*BM$4*BM6/100,0)</f>
        <v>0</v>
      </c>
      <c r="BN31" s="10" t="n">
        <f aca="false">MAX(Flows!BN61*BN$4*BN6/100,0)</f>
        <v>0</v>
      </c>
      <c r="BO31" s="10" t="n">
        <f aca="false">MAX(Flows!BO61*BO$4*BO6/100,0)</f>
        <v>0</v>
      </c>
      <c r="BP31" s="10" t="n">
        <f aca="false">MAX(Flows!BP61*BP$4*BP6/100,0)</f>
        <v>0</v>
      </c>
      <c r="BQ31" s="10" t="n">
        <f aca="false">MAX(Flows!BQ61*BQ$4*BQ6/100,0)</f>
        <v>0</v>
      </c>
      <c r="BR31" s="10" t="n">
        <f aca="false">MAX(Flows!BR61*BR$4*BR6/100,0)</f>
        <v>0</v>
      </c>
      <c r="BS31" s="10" t="n">
        <f aca="false">MAX(Flows!BS61*BS$4*BS6/100,0)</f>
        <v>0</v>
      </c>
      <c r="BT31" s="10" t="n">
        <f aca="false">MAX(Flows!BT61*BT$4*BT6/100,0)</f>
        <v>0</v>
      </c>
      <c r="BU31" s="10" t="n">
        <f aca="false">MAX(Flows!BU61*BU$4*BU6/100,0)</f>
        <v>0</v>
      </c>
      <c r="BV31" s="10" t="n">
        <f aca="false">MAX(Flows!BV61*BV$4*BV6/100,0)</f>
        <v>0</v>
      </c>
      <c r="BW31" s="10" t="n">
        <f aca="false">MAX(Flows!BW61*BW$4*BW6/100,0)</f>
        <v>0</v>
      </c>
      <c r="BX31" s="10" t="n">
        <f aca="false">MAX(Flows!BX61*BX$4*BX6/100,0)</f>
        <v>0</v>
      </c>
      <c r="BY31" s="10" t="n">
        <f aca="false">MAX(Flows!BY61*BY$4*BY6/100,0)</f>
        <v>0</v>
      </c>
      <c r="BZ31" s="10" t="n">
        <f aca="false">MAX(Flows!BZ61*BZ$4*BZ6/100,0)</f>
        <v>0</v>
      </c>
      <c r="CA31" s="10" t="n">
        <f aca="false">MAX(Flows!CA61*CA$4*CA6/100,0)</f>
        <v>0</v>
      </c>
      <c r="CB31" s="10" t="n">
        <f aca="false">MAX(Flows!CB61*CB$4*CB6/100,0)</f>
        <v>0</v>
      </c>
      <c r="CC31" s="10" t="n">
        <f aca="false">MAX(Flows!CC61*CC$4*CC6/100,0)</f>
        <v>0</v>
      </c>
      <c r="CD31" s="10" t="n">
        <f aca="false">MAX(Flows!CD61*CD$4*CD6/100,0)</f>
        <v>0</v>
      </c>
      <c r="CE31" s="10" t="n">
        <f aca="false">MAX(Flows!CE61*CE$4*CE6/100,0)</f>
        <v>0</v>
      </c>
      <c r="CF31" s="10" t="n">
        <f aca="false">MAX(Flows!CF61*CF$4*CF6/100,0)</f>
        <v>0</v>
      </c>
      <c r="CG31" s="10" t="n">
        <f aca="false">MAX(Flows!CG61*CG$4*CG6/100,0)</f>
        <v>0</v>
      </c>
      <c r="CH31" s="10" t="n">
        <f aca="false">MAX(Flows!CH61*CH$4*CH6/100,0)</f>
        <v>0</v>
      </c>
      <c r="CI31" s="10" t="n">
        <f aca="false">MAX(Flows!CI61*CI$4*CI6/100,0)</f>
        <v>0</v>
      </c>
      <c r="CJ31" s="10" t="n">
        <f aca="false">MAX(Flows!CJ61*CJ$4*CJ6/100,0)</f>
        <v>0</v>
      </c>
      <c r="CK31" s="10" t="n">
        <f aca="false">MAX(Flows!CK61*CK$4*CK6/100,0)</f>
        <v>0</v>
      </c>
      <c r="CL31" s="7" t="s">
        <v>322</v>
      </c>
      <c r="CM31" s="10" t="n">
        <f aca="false" t="array" ref="CM31:CM31">SUM(IF($C$150:$CK$150=CM$30,$C31:$CK31,0),IF($C$150:$CK$150=CM$30,-$C91:$CK91,0))</f>
        <v>-217246300.474893</v>
      </c>
      <c r="CN31" s="10" t="n">
        <f aca="false" t="array" ref="CN31:CN31">SUM(IF($C$150:$CK$150=CN$30,$C31:$CK31,0),IF($C$150:$CK$150=CN$30,-$C91:$CK91,0))</f>
        <v>-584250420.137301</v>
      </c>
      <c r="CO31" s="10" t="n">
        <f aca="false" t="array" ref="CO31:CO31">SUM(IF($C$150:$CK$150=CO$30,$C31:$CK31,0),IF($C$150:$CK$150=CO$30,-$C91:$CK91,0))</f>
        <v>-732913133.096027</v>
      </c>
      <c r="CP31" s="10" t="n">
        <f aca="false" t="array" ref="CP31:CP31">SUM(IF($C$150:$CK$150=CP$30,$C31:$CK31,0),IF($C$150:$CK$150=CP$30,-$C91:$CK91,0))</f>
        <v>-269625587.149193</v>
      </c>
      <c r="CQ31" s="10" t="n">
        <f aca="false" t="array" ref="CQ31:CQ31">SUM(IF($C$150:$CK$150=CQ$30,$C31:$CK31,0),IF($C$150:$CK$150=CQ$30,-$C91:$CK91,0))</f>
        <v>-581000478.874388</v>
      </c>
      <c r="CR31" s="10" t="n">
        <f aca="false" t="array" ref="CR31:CR31">SUM(IF($C$150:$CK$150=CR$30,$C31:$CK31,0),IF($C$150:$CK$150=CR$30,-$C91:$CK91,0))</f>
        <v>-2362754207296080</v>
      </c>
      <c r="CS31" s="10" t="n">
        <f aca="false" t="array" ref="CS31:CS31">SUM(IF($C$150:$CK$150=CS$30,$C31:$CK31,0),IF($C$150:$CK$150=CS$30,-$C91:$CK91,0))</f>
        <v>-111279193.256841</v>
      </c>
      <c r="CT31" s="10" t="n">
        <f aca="false" t="array" ref="CT31:CT31">SUM(IF($C$150:$CK$150=CT$30,$C31:$CK31,0),IF($C$150:$CK$150=CT$30,-$C91:$CK91,0))</f>
        <v>-36069652.3118172</v>
      </c>
      <c r="CU31" s="10" t="n">
        <f aca="false" t="array" ref="CU31:CU31">SUM(IF($C$150:$CK$150=CU$30,$C31:$CK31,0),IF($C$150:$CK$150=CU$30,-$C91:$CK91,0))</f>
        <v>44374687.3866448</v>
      </c>
      <c r="CV31" s="10" t="n">
        <f aca="false" t="array" ref="CV31:CV31">SUM(IF($C$150:$CK$150=CV$30,$C31:$CK31,0),IF($C$150:$CK$150=CV$30,-$C91:$CK91,0))</f>
        <v>-1107146.07369779</v>
      </c>
      <c r="CX31" s="0" t="str">
        <f aca="false">INDEX($C$1:$CK$1,MATCH(LARGE($C31:$CK31,1),$C31:$CK31,0))</f>
        <v>Honey (lb)</v>
      </c>
      <c r="CY31" s="0" t="str">
        <f aca="false">INDEX($C$1:$CK$1,MATCH(LARGE($C31:$CK31,2),$C31:$CK31,0))</f>
        <v>Cured Meat (lb)</v>
      </c>
      <c r="CZ31" s="0" t="str">
        <f aca="false">INDEX($C$1:$CK$1,MATCH(LARGE($C31:$CK31,3),$C31:$CK31,0))</f>
        <v>Dagger (ea)</v>
      </c>
      <c r="DA31" s="0" t="str">
        <f aca="false">INDEX($C$1:$CK$1,MATCH(LARGE($C31:$CK31,4),$C31:$CK31,0))</f>
        <v>Salted Fish (lb)</v>
      </c>
      <c r="DB31" s="0" t="str">
        <f aca="false">INDEX($C$1:$CK$1,MATCH(LARGE($C31:$CK31,5),$C31:$CK31,0))</f>
        <v>Axe (ea)</v>
      </c>
      <c r="DD31" s="0" t="str">
        <f aca="false">IF(LARGE($CM31:$CV31,1)&gt;0,INDEX($CM$30:$CV$30,MATCH(LARGE($CM31:$CV31,1),$CM31:$CV31,0)),"N/A")</f>
        <v>Honey</v>
      </c>
      <c r="DE31" s="0" t="str">
        <f aca="false">IF(LARGE($CM31:$CV31,2)&gt;0,INDEX($CM$30:$CV$30,MATCH(LARGE($CM31:$CV31,2),$CM31:$CV31,0)),"N/A")</f>
        <v>N/A</v>
      </c>
      <c r="DF31" s="0" t="str">
        <f aca="false">IF(LARGE($CM31:$CV31,3)&gt;0,INDEX($CM$30:$CV$30,MATCH(LARGE($CM31:$CV31,3),$CM31:$CV31,0)),"N/A")</f>
        <v>N/A</v>
      </c>
      <c r="DG31" s="0" t="str">
        <f aca="false">IF(LARGE($CM31:$CV31,4)&gt;0,INDEX($CM$30:$CV$30,MATCH(LARGE($CM31:$CV31,4),$CM31:$CV31,0)),"N/A")</f>
        <v>N/A</v>
      </c>
      <c r="DH31" s="0" t="str">
        <f aca="false">IF(LARGE($CM31:$CV31,5)&gt;0,INDEX($CM$30:$CV$30,MATCH(LARGE($CM31:$CV31,5),$CM31:$CV31,0)),"N/A")</f>
        <v>N/A</v>
      </c>
    </row>
    <row r="32" customFormat="false" ht="12.8" hidden="false" customHeight="false" outlineLevel="0" collapsed="false">
      <c r="A32" s="7" t="s">
        <v>133</v>
      </c>
      <c r="B32" s="7" t="s">
        <v>39</v>
      </c>
      <c r="C32" s="10" t="n">
        <f aca="false">MAX(Flows!C62*C$4*C7/100,0)</f>
        <v>0</v>
      </c>
      <c r="D32" s="10" t="n">
        <f aca="false">MAX(Flows!D62*D$4*D7/100,0)</f>
        <v>0</v>
      </c>
      <c r="E32" s="10" t="n">
        <f aca="false">MAX(Flows!E62*E$4*E7/100,0)</f>
        <v>5688693.4727684</v>
      </c>
      <c r="F32" s="10" t="n">
        <f aca="false">MAX(Flows!F62*F$4*F7/100,0)</f>
        <v>0</v>
      </c>
      <c r="G32" s="10" t="n">
        <f aca="false">MAX(Flows!G62*G$4*G7/100,0)</f>
        <v>0</v>
      </c>
      <c r="H32" s="10" t="n">
        <f aca="false">MAX(Flows!H62*H$4*H7/100,0)</f>
        <v>0</v>
      </c>
      <c r="I32" s="10" t="n">
        <f aca="false">MAX(Flows!I62*I$4*I7/100,0)</f>
        <v>0</v>
      </c>
      <c r="J32" s="10" t="n">
        <f aca="false">MAX(Flows!J62*J$4*J7/100,0)</f>
        <v>0</v>
      </c>
      <c r="K32" s="10" t="n">
        <f aca="false">MAX(Flows!K62*K$4*K7/100,0)</f>
        <v>0</v>
      </c>
      <c r="L32" s="10" t="n">
        <f aca="false">MAX(Flows!L62*L$4*L7/100,0)</f>
        <v>0</v>
      </c>
      <c r="M32" s="10" t="n">
        <f aca="false">MAX(Flows!M62*M$4*M7/100,0)</f>
        <v>0</v>
      </c>
      <c r="N32" s="10" t="n">
        <f aca="false">MAX(Flows!N62*N$4*N7/100,0)</f>
        <v>0</v>
      </c>
      <c r="O32" s="10" t="n">
        <f aca="false">MAX(Flows!O62*O$4*O7/100,0)</f>
        <v>0</v>
      </c>
      <c r="P32" s="10" t="n">
        <f aca="false">MAX(Flows!P62*P$4*P7/100,0)</f>
        <v>0</v>
      </c>
      <c r="Q32" s="10" t="n">
        <f aca="false">MAX(Flows!Q62*Q$4*Q7/100,0)</f>
        <v>0</v>
      </c>
      <c r="R32" s="10" t="n">
        <f aca="false">MAX(Flows!R62*R$4*R7/100,0)</f>
        <v>0</v>
      </c>
      <c r="S32" s="10" t="n">
        <f aca="false">MAX(Flows!S62*S$4*S7/100,0)</f>
        <v>0</v>
      </c>
      <c r="T32" s="10" t="n">
        <f aca="false">MAX(Flows!T62*T$4*T7/100,0)</f>
        <v>0</v>
      </c>
      <c r="U32" s="10" t="n">
        <f aca="false">MAX(Flows!U62*U$4*U7/100,0)</f>
        <v>0</v>
      </c>
      <c r="V32" s="10" t="n">
        <f aca="false">MAX(Flows!V62*V$4*V7/100,0)</f>
        <v>0</v>
      </c>
      <c r="W32" s="10" t="n">
        <f aca="false">MAX(Flows!W62*W$4*W7/100,0)</f>
        <v>0</v>
      </c>
      <c r="X32" s="10" t="n">
        <f aca="false">MAX(Flows!X62*X$4*X7/100,0)</f>
        <v>0</v>
      </c>
      <c r="Y32" s="10" t="n">
        <f aca="false">MAX(Flows!Y62*Y$4*Y7/100,0)</f>
        <v>0</v>
      </c>
      <c r="Z32" s="10" t="n">
        <f aca="false">MAX(Flows!Z62*Z$4*Z7/100,0)</f>
        <v>0</v>
      </c>
      <c r="AA32" s="10" t="n">
        <f aca="false">MAX(Flows!AA62*AA$4*AA7/100,0)</f>
        <v>0</v>
      </c>
      <c r="AB32" s="10" t="n">
        <f aca="false">MAX(Flows!AB62*AB$4*AB7/100,0)</f>
        <v>0</v>
      </c>
      <c r="AC32" s="10" t="n">
        <f aca="false">MAX(Flows!AC62*AC$4*AC7/100,0)</f>
        <v>512887.94212221</v>
      </c>
      <c r="AD32" s="10" t="n">
        <f aca="false">MAX(Flows!AD62*AD$4*AD7/100,0)</f>
        <v>0</v>
      </c>
      <c r="AE32" s="10" t="n">
        <f aca="false">MAX(Flows!AE62*AE$4*AE7/100,0)</f>
        <v>0</v>
      </c>
      <c r="AF32" s="10" t="n">
        <f aca="false">MAX(Flows!AF62*AF$4*AF7/100,0)</f>
        <v>0</v>
      </c>
      <c r="AG32" s="10" t="n">
        <f aca="false">MAX(Flows!AG62*AG$4*AG7/100,0)</f>
        <v>0</v>
      </c>
      <c r="AH32" s="10" t="n">
        <f aca="false">MAX(Flows!AH62*AH$4*AH7/100,0)</f>
        <v>0</v>
      </c>
      <c r="AI32" s="10" t="n">
        <f aca="false">MAX(Flows!AI62*AI$4*AI7/100,0)</f>
        <v>0</v>
      </c>
      <c r="AJ32" s="10" t="n">
        <f aca="false">MAX(Flows!AJ62*AJ$4*AJ7/100,0)</f>
        <v>4317488.7576499</v>
      </c>
      <c r="AK32" s="10" t="n">
        <f aca="false">MAX(Flows!AK62*AK$4*AK7/100,0)</f>
        <v>0</v>
      </c>
      <c r="AL32" s="10" t="n">
        <f aca="false">MAX(Flows!AL62*AL$4*AL7/100,0)</f>
        <v>12736845.5739345</v>
      </c>
      <c r="AM32" s="10" t="n">
        <f aca="false">MAX(Flows!AM62*AM$4*AM7/100,0)</f>
        <v>0</v>
      </c>
      <c r="AN32" s="10" t="n">
        <f aca="false">MAX(Flows!AN62*AN$4*AN7/100,0)</f>
        <v>0</v>
      </c>
      <c r="AO32" s="10" t="n">
        <f aca="false">MAX(Flows!AO62*AO$4*AO7/100,0)</f>
        <v>9537931.58023802</v>
      </c>
      <c r="AP32" s="10" t="n">
        <f aca="false">MAX(Flows!AP62*AP$4*AP7/100,0)</f>
        <v>0</v>
      </c>
      <c r="AQ32" s="10" t="n">
        <f aca="false">MAX(Flows!AQ62*AQ$4*AQ7/100,0)</f>
        <v>0</v>
      </c>
      <c r="AR32" s="10" t="n">
        <f aca="false">MAX(Flows!AR62*AR$4*AR7/100,0)</f>
        <v>0</v>
      </c>
      <c r="AS32" s="10" t="n">
        <f aca="false">MAX(Flows!AS62*AS$4*AS7/100,0)</f>
        <v>0</v>
      </c>
      <c r="AT32" s="10" t="n">
        <f aca="false">MAX(Flows!AT62*AT$4*AT7/100,0)</f>
        <v>0</v>
      </c>
      <c r="AU32" s="10" t="n">
        <f aca="false">MAX(Flows!AU62*AU$4*AU7/100,0)</f>
        <v>14747306.4880958</v>
      </c>
      <c r="AV32" s="10" t="n">
        <f aca="false">MAX(Flows!AV62*AV$4*AV7/100,0)</f>
        <v>0</v>
      </c>
      <c r="AW32" s="10" t="n">
        <f aca="false">MAX(Flows!AW62*AW$4*AW7/100,0)</f>
        <v>9765107.81692635</v>
      </c>
      <c r="AX32" s="10" t="n">
        <f aca="false">MAX(Flows!AX62*AX$4*AX7/100,0)</f>
        <v>0</v>
      </c>
      <c r="AY32" s="10" t="n">
        <f aca="false">MAX(Flows!AY62*AY$4*AY7/100,0)</f>
        <v>4376847.42262857</v>
      </c>
      <c r="AZ32" s="10" t="n">
        <f aca="false">MAX(Flows!AZ62*AZ$4*AZ7/100,0)</f>
        <v>0</v>
      </c>
      <c r="BA32" s="10" t="n">
        <f aca="false">MAX(Flows!BA62*BA$4*BA7/100,0)</f>
        <v>0</v>
      </c>
      <c r="BB32" s="10" t="n">
        <f aca="false">MAX(Flows!BB62*BB$4*BB7/100,0)</f>
        <v>0</v>
      </c>
      <c r="BC32" s="10" t="n">
        <f aca="false">MAX(Flows!BC62*BC$4*BC7/100,0)</f>
        <v>0</v>
      </c>
      <c r="BD32" s="10" t="n">
        <f aca="false">MAX(Flows!BD62*BD$4*BD7/100,0)</f>
        <v>6866847.45074061</v>
      </c>
      <c r="BE32" s="10" t="n">
        <f aca="false">MAX(Flows!BE62*BE$4*BE7/100,0)</f>
        <v>0</v>
      </c>
      <c r="BF32" s="10" t="n">
        <f aca="false">MAX(Flows!BF62*BF$4*BF7/100,0)</f>
        <v>0</v>
      </c>
      <c r="BG32" s="10" t="n">
        <f aca="false">MAX(Flows!BG62*BG$4*BG7/100,0)</f>
        <v>0</v>
      </c>
      <c r="BH32" s="10" t="n">
        <f aca="false">MAX(Flows!BH62*BH$4*BH7/100,0)</f>
        <v>0</v>
      </c>
      <c r="BI32" s="10" t="n">
        <f aca="false">MAX(Flows!BI62*BI$4*BI7/100,0)</f>
        <v>0</v>
      </c>
      <c r="BJ32" s="10" t="n">
        <f aca="false">MAX(Flows!BJ62*BJ$4*BJ7/100,0)</f>
        <v>0</v>
      </c>
      <c r="BK32" s="10" t="n">
        <f aca="false">MAX(Flows!BK62*BK$4*BK7/100,0)</f>
        <v>0</v>
      </c>
      <c r="BL32" s="10" t="n">
        <f aca="false">MAX(Flows!BL62*BL$4*BL7/100,0)</f>
        <v>0</v>
      </c>
      <c r="BM32" s="10" t="n">
        <f aca="false">MAX(Flows!BM62*BM$4*BM7/100,0)</f>
        <v>0</v>
      </c>
      <c r="BN32" s="10" t="n">
        <f aca="false">MAX(Flows!BN62*BN$4*BN7/100,0)</f>
        <v>0</v>
      </c>
      <c r="BO32" s="10" t="n">
        <f aca="false">MAX(Flows!BO62*BO$4*BO7/100,0)</f>
        <v>2445835.33943936</v>
      </c>
      <c r="BP32" s="10" t="n">
        <f aca="false">MAX(Flows!BP62*BP$4*BP7/100,0)</f>
        <v>9783342.10935503</v>
      </c>
      <c r="BQ32" s="10" t="n">
        <f aca="false">MAX(Flows!BQ62*BQ$4*BQ7/100,0)</f>
        <v>0</v>
      </c>
      <c r="BR32" s="10" t="n">
        <f aca="false">MAX(Flows!BR62*BR$4*BR7/100,0)</f>
        <v>2445834.96039158</v>
      </c>
      <c r="BS32" s="10" t="n">
        <f aca="false">MAX(Flows!BS62*BS$4*BS7/100,0)</f>
        <v>2445834.39181991</v>
      </c>
      <c r="BT32" s="10" t="n">
        <f aca="false">MAX(Flows!BT62*BT$4*BT7/100,0)</f>
        <v>0</v>
      </c>
      <c r="BU32" s="10" t="n">
        <f aca="false">MAX(Flows!BU62*BU$4*BU7/100,0)</f>
        <v>0</v>
      </c>
      <c r="BV32" s="10" t="n">
        <f aca="false">MAX(Flows!BV62*BV$4*BV7/100,0)</f>
        <v>0</v>
      </c>
      <c r="BW32" s="10" t="n">
        <f aca="false">MAX(Flows!BW62*BW$4*BW7/100,0)</f>
        <v>0</v>
      </c>
      <c r="BX32" s="10" t="n">
        <f aca="false">MAX(Flows!BX62*BX$4*BX7/100,0)</f>
        <v>0</v>
      </c>
      <c r="BY32" s="10" t="n">
        <f aca="false">MAX(Flows!BY62*BY$4*BY7/100,0)</f>
        <v>0</v>
      </c>
      <c r="BZ32" s="10" t="n">
        <f aca="false">MAX(Flows!BZ62*BZ$4*BZ7/100,0)</f>
        <v>0</v>
      </c>
      <c r="CA32" s="10" t="n">
        <f aca="false">MAX(Flows!CA62*CA$4*CA7/100,0)</f>
        <v>0</v>
      </c>
      <c r="CB32" s="10" t="n">
        <f aca="false">MAX(Flows!CB62*CB$4*CB7/100,0)</f>
        <v>0</v>
      </c>
      <c r="CC32" s="10" t="n">
        <f aca="false">MAX(Flows!CC62*CC$4*CC7/100,0)</f>
        <v>0</v>
      </c>
      <c r="CD32" s="10" t="n">
        <f aca="false">MAX(Flows!CD62*CD$4*CD7/100,0)</f>
        <v>0</v>
      </c>
      <c r="CE32" s="10" t="n">
        <f aca="false">MAX(Flows!CE62*CE$4*CE7/100,0)</f>
        <v>0</v>
      </c>
      <c r="CF32" s="10" t="n">
        <f aca="false">MAX(Flows!CF62*CF$4*CF7/100,0)</f>
        <v>0</v>
      </c>
      <c r="CG32" s="10" t="n">
        <f aca="false">MAX(Flows!CG62*CG$4*CG7/100,0)</f>
        <v>2445797.62418543</v>
      </c>
      <c r="CH32" s="10" t="n">
        <f aca="false">MAX(Flows!CH62*CH$4*CH7/100,0)</f>
        <v>2445797.62418543</v>
      </c>
      <c r="CI32" s="10" t="n">
        <f aca="false">MAX(Flows!CI62*CI$4*CI7/100,0)</f>
        <v>0</v>
      </c>
      <c r="CJ32" s="10" t="n">
        <f aca="false">MAX(Flows!CJ62*CJ$4*CJ7/100,0)</f>
        <v>0</v>
      </c>
      <c r="CK32" s="10" t="n">
        <f aca="false">MAX(Flows!CK62*CK$4*CK7/100,0)</f>
        <v>0</v>
      </c>
      <c r="CL32" s="7" t="s">
        <v>322</v>
      </c>
      <c r="CM32" s="10" t="n">
        <f aca="false" t="array" ref="CM32:CM32">SUM(IF($C$150:$CK$150=CM$30,$C32:$CK32,0),IF($C$150:$CK$150=CM$30,-$C92:$CK92,0))</f>
        <v>-150555109.95411</v>
      </c>
      <c r="CN32" s="10" t="n">
        <f aca="false" t="array" ref="CN32:CN32">SUM(IF($C$150:$CK$150=CN$30,$C32:$CK32,0),IF($C$150:$CK$150=CN$30,-$C92:$CK92,0))</f>
        <v>-113562551.227942</v>
      </c>
      <c r="CO32" s="10" t="n">
        <f aca="false" t="array" ref="CO32:CO32">SUM(IF($C$150:$CK$150=CO$30,$C32:$CK32,0),IF($C$150:$CK$150=CO$30,-$C92:$CK92,0))</f>
        <v>-681850134.970449</v>
      </c>
      <c r="CP32" s="10" t="n">
        <f aca="false" t="array" ref="CP32:CP32">SUM(IF($C$150:$CK$150=CP$30,$C32:$CK32,0),IF($C$150:$CK$150=CP$30,-$C92:$CK92,0))</f>
        <v>-44362872.7900717</v>
      </c>
      <c r="CQ32" s="10" t="n">
        <f aca="false" t="array" ref="CQ32:CQ32">SUM(IF($C$150:$CK$150=CQ$30,$C32:$CK32,0),IF($C$150:$CK$150=CQ$30,-$C92:$CK92,0))</f>
        <v>-332746174.96276</v>
      </c>
      <c r="CR32" s="10" t="n">
        <f aca="false" t="array" ref="CR32:CR32">SUM(IF($C$150:$CK$150=CR$30,$C32:$CK32,0),IF($C$150:$CK$150=CR$30,-$C92:$CK92,0))</f>
        <v>-2210338.70694818</v>
      </c>
      <c r="CS32" s="10" t="n">
        <f aca="false" t="array" ref="CS32:CS32">SUM(IF($C$150:$CK$150=CS$30,$C32:$CK32,0),IF($C$150:$CK$150=CS$30,-$C92:$CK92,0))</f>
        <v>-29793894.7185177</v>
      </c>
      <c r="CT32" s="10" t="n">
        <f aca="false" t="array" ref="CT32:CT32">SUM(IF($C$150:$CK$150=CT$30,$C32:$CK32,0),IF($C$150:$CK$150=CT$30,-$C92:$CK92,0))</f>
        <v>-11110950.3072732</v>
      </c>
      <c r="CU32" s="10" t="n">
        <f aca="false" t="array" ref="CU32:CU32">SUM(IF($C$150:$CK$150=CU$30,$C32:$CK32,0),IF($C$150:$CK$150=CU$30,-$C92:$CK92,0))</f>
        <v>-46616297.2298291</v>
      </c>
      <c r="CV32" s="10" t="n">
        <f aca="false" t="array" ref="CV32:CV32">SUM(IF($C$150:$CK$150=CV$30,$C32:$CK32,0),IF($C$150:$CK$150=CV$30,-$C92:$CK92,0))</f>
        <v>-2191375.33577229</v>
      </c>
      <c r="CX32" s="0" t="str">
        <f aca="false">INDEX($C$1:$CK$1,MATCH(LARGE($C32:$CK32,1),$C32:$CK32,0))</f>
        <v>Spear (ea)</v>
      </c>
      <c r="CY32" s="0" t="str">
        <f aca="false">INDEX($C$1:$CK$1,MATCH(LARGE($C32:$CK32,2),$C32:$CK32,0))</f>
        <v>Hammers (ea)</v>
      </c>
      <c r="CZ32" s="0" t="str">
        <f aca="false">INDEX($C$1:$CK$1,MATCH(LARGE($C32:$CK32,3),$C32:$CK32,0))</f>
        <v>Iron (lb)</v>
      </c>
      <c r="DA32" s="0" t="str">
        <f aca="false">INDEX($C$1:$CK$1,MATCH(LARGE($C32:$CK32,4),$C32:$CK32,0))</f>
        <v>Thread (Kyd)</v>
      </c>
      <c r="DB32" s="0" t="str">
        <f aca="false">INDEX($C$1:$CK$1,MATCH(LARGE($C32:$CK32,5),$C32:$CK32,0))</f>
        <v>Chainmail (ea)</v>
      </c>
      <c r="DD32" s="0" t="str">
        <f aca="false">IF(LARGE($CM32:$CV32,1)&gt;0,INDEX($CM$30:$CV$30,MATCH(LARGE($CM32:$CV32,1),$CM32:$CV32,0)),"N/A")</f>
        <v>N/A</v>
      </c>
      <c r="DE32" s="0" t="str">
        <f aca="false">IF(LARGE($CM32:$CV32,2)&gt;0,INDEX($CM$30:$CV$30,MATCH(LARGE($CM32:$CV32,2),$CM32:$CV32,0)),"N/A")</f>
        <v>N/A</v>
      </c>
      <c r="DF32" s="0" t="str">
        <f aca="false">IF(LARGE($CM32:$CV32,3)&gt;0,INDEX($CM$30:$CV$30,MATCH(LARGE($CM32:$CV32,3),$CM32:$CV32,0)),"N/A")</f>
        <v>N/A</v>
      </c>
      <c r="DG32" s="0" t="str">
        <f aca="false">IF(LARGE($CM32:$CV32,4)&gt;0,INDEX($CM$30:$CV$30,MATCH(LARGE($CM32:$CV32,4),$CM32:$CV32,0)),"N/A")</f>
        <v>N/A</v>
      </c>
      <c r="DH32" s="0" t="str">
        <f aca="false">IF(LARGE($CM32:$CV32,5)&gt;0,INDEX($CM$30:$CV$30,MATCH(LARGE($CM32:$CV32,5),$CM32:$CV32,0)),"N/A")</f>
        <v>N/A</v>
      </c>
    </row>
    <row r="33" customFormat="false" ht="12.8" hidden="false" customHeight="false" outlineLevel="0" collapsed="false">
      <c r="A33" s="7" t="s">
        <v>135</v>
      </c>
      <c r="B33" s="7" t="s">
        <v>39</v>
      </c>
      <c r="C33" s="10" t="n">
        <f aca="false">MAX(Flows!C63*C$4*C8/100,0)</f>
        <v>0</v>
      </c>
      <c r="D33" s="10" t="n">
        <f aca="false">MAX(Flows!D63*D$4*D8/100,0)</f>
        <v>0</v>
      </c>
      <c r="E33" s="10" t="n">
        <f aca="false">MAX(Flows!E63*E$4*E8/100,0)</f>
        <v>0</v>
      </c>
      <c r="F33" s="10" t="n">
        <f aca="false">MAX(Flows!F63*F$4*F8/100,0)</f>
        <v>0</v>
      </c>
      <c r="G33" s="10" t="n">
        <f aca="false">MAX(Flows!G63*G$4*G8/100,0)</f>
        <v>152358.224139653</v>
      </c>
      <c r="H33" s="10" t="n">
        <f aca="false">MAX(Flows!H63*H$4*H8/100,0)</f>
        <v>0</v>
      </c>
      <c r="I33" s="10" t="n">
        <f aca="false">MAX(Flows!I63*I$4*I8/100,0)</f>
        <v>42142384.8580324</v>
      </c>
      <c r="J33" s="10" t="n">
        <f aca="false">MAX(Flows!J63*J$4*J8/100,0)</f>
        <v>45351311.7100038</v>
      </c>
      <c r="K33" s="10" t="n">
        <f aca="false">MAX(Flows!K63*K$4*K8/100,0)</f>
        <v>0</v>
      </c>
      <c r="L33" s="10" t="n">
        <f aca="false">MAX(Flows!L63*L$4*L8/100,0)</f>
        <v>0</v>
      </c>
      <c r="M33" s="10" t="n">
        <f aca="false">MAX(Flows!M63*M$4*M8/100,0)</f>
        <v>0</v>
      </c>
      <c r="N33" s="10" t="n">
        <f aca="false">MAX(Flows!N63*N$4*N8/100,0)</f>
        <v>0</v>
      </c>
      <c r="O33" s="10" t="n">
        <f aca="false">MAX(Flows!O63*O$4*O8/100,0)</f>
        <v>0</v>
      </c>
      <c r="P33" s="10" t="n">
        <f aca="false">MAX(Flows!P63*P$4*P8/100,0)</f>
        <v>0</v>
      </c>
      <c r="Q33" s="10" t="n">
        <f aca="false">MAX(Flows!Q63*Q$4*Q8/100,0)</f>
        <v>0</v>
      </c>
      <c r="R33" s="10" t="n">
        <f aca="false">MAX(Flows!R63*R$4*R8/100,0)</f>
        <v>0</v>
      </c>
      <c r="S33" s="10" t="n">
        <f aca="false">MAX(Flows!S63*S$4*S8/100,0)</f>
        <v>0</v>
      </c>
      <c r="T33" s="10" t="n">
        <f aca="false">MAX(Flows!T63*T$4*T8/100,0)</f>
        <v>0</v>
      </c>
      <c r="U33" s="10" t="n">
        <f aca="false">MAX(Flows!U63*U$4*U8/100,0)</f>
        <v>0</v>
      </c>
      <c r="V33" s="10" t="n">
        <f aca="false">MAX(Flows!V63*V$4*V8/100,0)</f>
        <v>52862186.1562297</v>
      </c>
      <c r="W33" s="10" t="n">
        <f aca="false">MAX(Flows!W63*W$4*W8/100,0)</f>
        <v>0</v>
      </c>
      <c r="X33" s="10" t="n">
        <f aca="false">MAX(Flows!X63*X$4*X8/100,0)</f>
        <v>0</v>
      </c>
      <c r="Y33" s="10" t="n">
        <f aca="false">MAX(Flows!Y63*Y$4*Y8/100,0)</f>
        <v>0</v>
      </c>
      <c r="Z33" s="10" t="n">
        <f aca="false">MAX(Flows!Z63*Z$4*Z8/100,0)</f>
        <v>695050.882544895</v>
      </c>
      <c r="AA33" s="10" t="n">
        <f aca="false">MAX(Flows!AA63*AA$4*AA8/100,0)</f>
        <v>0</v>
      </c>
      <c r="AB33" s="10" t="n">
        <f aca="false">MAX(Flows!AB63*AB$4*AB8/100,0)</f>
        <v>11695.5311367049</v>
      </c>
      <c r="AC33" s="10" t="n">
        <f aca="false">MAX(Flows!AC63*AC$4*AC8/100,0)</f>
        <v>51703.192508906</v>
      </c>
      <c r="AD33" s="10" t="n">
        <f aca="false">MAX(Flows!AD63*AD$4*AD8/100,0)</f>
        <v>5847.76556835307</v>
      </c>
      <c r="AE33" s="10" t="n">
        <f aca="false">MAX(Flows!AE63*AE$4*AE8/100,0)</f>
        <v>0</v>
      </c>
      <c r="AF33" s="10" t="n">
        <f aca="false">MAX(Flows!AF63*AF$4*AF8/100,0)</f>
        <v>2135629.81973841</v>
      </c>
      <c r="AG33" s="10" t="n">
        <f aca="false">MAX(Flows!AG63*AG$4*AG8/100,0)</f>
        <v>0</v>
      </c>
      <c r="AH33" s="10" t="n">
        <f aca="false">MAX(Flows!AH63*AH$4*AH8/100,0)</f>
        <v>0</v>
      </c>
      <c r="AI33" s="10" t="n">
        <f aca="false">MAX(Flows!AI63*AI$4*AI8/100,0)</f>
        <v>1520533.18497265</v>
      </c>
      <c r="AJ33" s="10" t="n">
        <f aca="false">MAX(Flows!AJ63*AJ$4*AJ8/100,0)</f>
        <v>0</v>
      </c>
      <c r="AK33" s="10" t="n">
        <f aca="false">MAX(Flows!AK63*AK$4*AK8/100,0)</f>
        <v>8024224.5287541</v>
      </c>
      <c r="AL33" s="10" t="n">
        <f aca="false">MAX(Flows!AL63*AL$4*AL8/100,0)</f>
        <v>10186869.2612083</v>
      </c>
      <c r="AM33" s="10" t="n">
        <f aca="false">MAX(Flows!AM63*AM$4*AM8/100,0)</f>
        <v>14702426.8160495</v>
      </c>
      <c r="AN33" s="10" t="n">
        <f aca="false">MAX(Flows!AN63*AN$4*AN8/100,0)</f>
        <v>0</v>
      </c>
      <c r="AO33" s="10" t="n">
        <f aca="false">MAX(Flows!AO63*AO$4*AO8/100,0)</f>
        <v>11715845.1432761</v>
      </c>
      <c r="AP33" s="10" t="n">
        <f aca="false">MAX(Flows!AP63*AP$4*AP8/100,0)</f>
        <v>0</v>
      </c>
      <c r="AQ33" s="10" t="n">
        <f aca="false">MAX(Flows!AQ63*AQ$4*AQ8/100,0)</f>
        <v>0</v>
      </c>
      <c r="AR33" s="10" t="n">
        <f aca="false">MAX(Flows!AR63*AR$4*AR8/100,0)</f>
        <v>3917782.88957518</v>
      </c>
      <c r="AS33" s="10" t="n">
        <f aca="false">MAX(Flows!AS63*AS$4*AS8/100,0)</f>
        <v>0</v>
      </c>
      <c r="AT33" s="10" t="n">
        <f aca="false">MAX(Flows!AT63*AT$4*AT8/100,0)</f>
        <v>7391001.86113275</v>
      </c>
      <c r="AU33" s="10" t="n">
        <f aca="false">MAX(Flows!AU63*AU$4*AU8/100,0)</f>
        <v>3638947.33700485</v>
      </c>
      <c r="AV33" s="10" t="n">
        <f aca="false">MAX(Flows!AV63*AV$4*AV8/100,0)</f>
        <v>14246081.9523483</v>
      </c>
      <c r="AW33" s="10" t="n">
        <f aca="false">MAX(Flows!AW63*AW$4*AW8/100,0)</f>
        <v>1020999.69788057</v>
      </c>
      <c r="AX33" s="10" t="n">
        <f aca="false">MAX(Flows!AX63*AX$4*AX8/100,0)</f>
        <v>0</v>
      </c>
      <c r="AY33" s="10" t="n">
        <f aca="false">MAX(Flows!AY63*AY$4*AY8/100,0)</f>
        <v>0</v>
      </c>
      <c r="AZ33" s="10" t="n">
        <f aca="false">MAX(Flows!AZ63*AZ$4*AZ8/100,0)</f>
        <v>216203.456702844</v>
      </c>
      <c r="BA33" s="10" t="n">
        <f aca="false">MAX(Flows!BA63*BA$4*BA8/100,0)</f>
        <v>0</v>
      </c>
      <c r="BB33" s="10" t="n">
        <f aca="false">MAX(Flows!BB63*BB$4*BB8/100,0)</f>
        <v>0</v>
      </c>
      <c r="BC33" s="10" t="n">
        <f aca="false">MAX(Flows!BC63*BC$4*BC8/100,0)</f>
        <v>0</v>
      </c>
      <c r="BD33" s="10" t="n">
        <f aca="false">MAX(Flows!BD63*BD$4*BD8/100,0)</f>
        <v>0</v>
      </c>
      <c r="BE33" s="10" t="n">
        <f aca="false">MAX(Flows!BE63*BE$4*BE8/100,0)</f>
        <v>0</v>
      </c>
      <c r="BF33" s="10" t="n">
        <f aca="false">MAX(Flows!BF63*BF$4*BF8/100,0)</f>
        <v>0</v>
      </c>
      <c r="BG33" s="10" t="n">
        <f aca="false">MAX(Flows!BG63*BG$4*BG8/100,0)</f>
        <v>14676983.005085</v>
      </c>
      <c r="BH33" s="10" t="n">
        <f aca="false">MAX(Flows!BH63*BH$4*BH8/100,0)</f>
        <v>2116632.29315124</v>
      </c>
      <c r="BI33" s="10" t="n">
        <f aca="false">MAX(Flows!BI63*BI$4*BI8/100,0)</f>
        <v>0</v>
      </c>
      <c r="BJ33" s="10" t="n">
        <f aca="false">MAX(Flows!BJ63*BJ$4*BJ8/100,0)</f>
        <v>0</v>
      </c>
      <c r="BK33" s="10" t="n">
        <f aca="false">MAX(Flows!BK63*BK$4*BK8/100,0)</f>
        <v>0</v>
      </c>
      <c r="BL33" s="10" t="n">
        <f aca="false">MAX(Flows!BL63*BL$4*BL8/100,0)</f>
        <v>0</v>
      </c>
      <c r="BM33" s="10" t="n">
        <f aca="false">MAX(Flows!BM63*BM$4*BM8/100,0)</f>
        <v>0</v>
      </c>
      <c r="BN33" s="10" t="n">
        <f aca="false">MAX(Flows!BN63*BN$4*BN8/100,0)</f>
        <v>0</v>
      </c>
      <c r="BO33" s="10" t="n">
        <f aca="false">MAX(Flows!BO63*BO$4*BO8/100,0)</f>
        <v>0</v>
      </c>
      <c r="BP33" s="10" t="n">
        <f aca="false">MAX(Flows!BP63*BP$4*BP8/100,0)</f>
        <v>0</v>
      </c>
      <c r="BQ33" s="10" t="n">
        <f aca="false">MAX(Flows!BQ63*BQ$4*BQ8/100,0)</f>
        <v>0</v>
      </c>
      <c r="BR33" s="10" t="n">
        <f aca="false">MAX(Flows!BR63*BR$4*BR8/100,0)</f>
        <v>0</v>
      </c>
      <c r="BS33" s="10" t="n">
        <f aca="false">MAX(Flows!BS63*BS$4*BS8/100,0)</f>
        <v>0</v>
      </c>
      <c r="BT33" s="10" t="n">
        <f aca="false">MAX(Flows!BT63*BT$4*BT8/100,0)</f>
        <v>0</v>
      </c>
      <c r="BU33" s="10" t="n">
        <f aca="false">MAX(Flows!BU63*BU$4*BU8/100,0)</f>
        <v>0</v>
      </c>
      <c r="BV33" s="10" t="n">
        <f aca="false">MAX(Flows!BV63*BV$4*BV8/100,0)</f>
        <v>0</v>
      </c>
      <c r="BW33" s="10" t="n">
        <f aca="false">MAX(Flows!BW63*BW$4*BW8/100,0)</f>
        <v>0</v>
      </c>
      <c r="BX33" s="10" t="n">
        <f aca="false">MAX(Flows!BX63*BX$4*BX8/100,0)</f>
        <v>0</v>
      </c>
      <c r="BY33" s="10" t="n">
        <f aca="false">MAX(Flows!BY63*BY$4*BY8/100,0)</f>
        <v>0</v>
      </c>
      <c r="BZ33" s="10" t="n">
        <f aca="false">MAX(Flows!BZ63*BZ$4*BZ8/100,0)</f>
        <v>0</v>
      </c>
      <c r="CA33" s="10" t="n">
        <f aca="false">MAX(Flows!CA63*CA$4*CA8/100,0)</f>
        <v>0</v>
      </c>
      <c r="CB33" s="10" t="n">
        <f aca="false">MAX(Flows!CB63*CB$4*CB8/100,0)</f>
        <v>0</v>
      </c>
      <c r="CC33" s="10" t="n">
        <f aca="false">MAX(Flows!CC63*CC$4*CC8/100,0)</f>
        <v>0</v>
      </c>
      <c r="CD33" s="10" t="n">
        <f aca="false">MAX(Flows!CD63*CD$4*CD8/100,0)</f>
        <v>0</v>
      </c>
      <c r="CE33" s="10" t="n">
        <f aca="false">MAX(Flows!CE63*CE$4*CE8/100,0)</f>
        <v>0</v>
      </c>
      <c r="CF33" s="10" t="n">
        <f aca="false">MAX(Flows!CF63*CF$4*CF8/100,0)</f>
        <v>0</v>
      </c>
      <c r="CG33" s="10" t="n">
        <f aca="false">MAX(Flows!CG63*CG$4*CG8/100,0)</f>
        <v>0</v>
      </c>
      <c r="CH33" s="10" t="n">
        <f aca="false">MAX(Flows!CH63*CH$4*CH8/100,0)</f>
        <v>0</v>
      </c>
      <c r="CI33" s="10" t="n">
        <f aca="false">MAX(Flows!CI63*CI$4*CI8/100,0)</f>
        <v>0</v>
      </c>
      <c r="CJ33" s="10" t="n">
        <f aca="false">MAX(Flows!CJ63*CJ$4*CJ8/100,0)</f>
        <v>0</v>
      </c>
      <c r="CK33" s="10" t="n">
        <f aca="false">MAX(Flows!CK63*CK$4*CK8/100,0)</f>
        <v>0</v>
      </c>
      <c r="CL33" s="7" t="s">
        <v>322</v>
      </c>
      <c r="CM33" s="10" t="n">
        <f aca="false" t="array" ref="CM33:CM33">SUM(IF($C$150:$CK$150=CM$30,$C33:$CK33,0),IF($C$150:$CK$150=CM$30,-$C93:$CK93,0))</f>
        <v>-50477718.6672737</v>
      </c>
      <c r="CN33" s="10" t="n">
        <f aca="false" t="array" ref="CN33:CN33">SUM(IF($C$150:$CK$150=CN$30,$C33:$CK33,0),IF($C$150:$CK$150=CN$30,-$C93:$CK93,0))</f>
        <v>-23489422.3560267</v>
      </c>
      <c r="CO33" s="10" t="n">
        <f aca="false" t="array" ref="CO33:CO33">SUM(IF($C$150:$CK$150=CO$30,$C33:$CK33,0),IF($C$150:$CK$150=CO$30,-$C93:$CK93,0))</f>
        <v>-33215979.9870761</v>
      </c>
      <c r="CP33" s="10" t="n">
        <f aca="false" t="array" ref="CP33:CP33">SUM(IF($C$150:$CK$150=CP$30,$C33:$CK33,0),IF($C$150:$CK$150=CP$30,-$C93:$CK93,0))</f>
        <v>-19709519.2546561</v>
      </c>
      <c r="CQ33" s="10" t="n">
        <f aca="false" t="array" ref="CQ33:CQ33">SUM(IF($C$150:$CK$150=CQ$30,$C33:$CK33,0),IF($C$150:$CK$150=CQ$30,-$C93:$CK93,0))</f>
        <v>9956098.26319188</v>
      </c>
      <c r="CR33" s="10" t="n">
        <f aca="false" t="array" ref="CR33:CR33">SUM(IF($C$150:$CK$150=CR$30,$C33:$CK33,0),IF($C$150:$CK$150=CR$30,-$C93:$CK93,0))</f>
        <v>-2738718925130240</v>
      </c>
      <c r="CS33" s="10" t="n">
        <f aca="false" t="array" ref="CS33:CS33">SUM(IF($C$150:$CK$150=CS$30,$C33:$CK33,0),IF($C$150:$CK$150=CS$30,-$C93:$CK93,0))</f>
        <v>10529472.5291641</v>
      </c>
      <c r="CT33" s="10" t="n">
        <f aca="false" t="array" ref="CT33:CT33">SUM(IF($C$150:$CK$150=CT$30,$C33:$CK33,0),IF($C$150:$CK$150=CT$30,-$C93:$CK93,0))</f>
        <v>-4374048.73119707</v>
      </c>
      <c r="CU33" s="10" t="n">
        <f aca="false" t="array" ref="CU33:CU33">SUM(IF($C$150:$CK$150=CU$30,$C33:$CK33,0),IF($C$150:$CK$150=CU$30,-$C93:$CK93,0))</f>
        <v>87493696.5680362</v>
      </c>
      <c r="CV33" s="10" t="n">
        <f aca="false" t="array" ref="CV33:CV33">SUM(IF($C$150:$CK$150=CV$30,$C33:$CK33,0),IF($C$150:$CK$150=CV$30,-$C93:$CK93,0))</f>
        <v>17543.296705058</v>
      </c>
      <c r="CX33" s="0" t="str">
        <f aca="false">INDEX($C$1:$CK$1,MATCH(LARGE($C33:$CK33,1),$C33:$CK33,0))</f>
        <v>Cider (gal)</v>
      </c>
      <c r="CY33" s="0" t="str">
        <f aca="false">INDEX($C$1:$CK$1,MATCH(LARGE($C33:$CK33,2),$C33:$CK33,0))</f>
        <v>Wax (lb)</v>
      </c>
      <c r="CZ33" s="0" t="str">
        <f aca="false">INDEX($C$1:$CK$1,MATCH(LARGE($C33:$CK33,3),$C33:$CK33,0))</f>
        <v>Honey (lb)</v>
      </c>
      <c r="DA33" s="0" t="str">
        <f aca="false">INDEX($C$1:$CK$1,MATCH(LARGE($C33:$CK33,4),$C33:$CK33,0))</f>
        <v>Sickle (ea)</v>
      </c>
      <c r="DB33" s="0" t="str">
        <f aca="false">INDEX($C$1:$CK$1,MATCH(LARGE($C33:$CK33,5),$C33:$CK33,0))</f>
        <v>Cured Meat (lb)</v>
      </c>
      <c r="DD33" s="0" t="str">
        <f aca="false">IF(LARGE($CM33:$CV33,1)&gt;0,INDEX($CM$30:$CV$30,MATCH(LARGE($CM33:$CV33,1),$CM33:$CV33,0)),"N/A")</f>
        <v>Honey</v>
      </c>
      <c r="DE33" s="0" t="str">
        <f aca="false">IF(LARGE($CM33:$CV33,2)&gt;0,INDEX($CM$30:$CV$30,MATCH(LARGE($CM33:$CV33,2),$CM33:$CV33,0)),"N/A")</f>
        <v>Wood</v>
      </c>
      <c r="DF33" s="0" t="str">
        <f aca="false">IF(LARGE($CM33:$CV33,3)&gt;0,INDEX($CM$30:$CV$30,MATCH(LARGE($CM33:$CV33,3),$CM33:$CV33,0)),"N/A")</f>
        <v>Tools</v>
      </c>
      <c r="DG33" s="0" t="str">
        <f aca="false">IF(LARGE($CM33:$CV33,4)&gt;0,INDEX($CM$30:$CV$30,MATCH(LARGE($CM33:$CV33,4),$CM33:$CV33,0)),"N/A")</f>
        <v>Service</v>
      </c>
      <c r="DH33" s="0" t="str">
        <f aca="false">IF(LARGE($CM33:$CV33,5)&gt;0,INDEX($CM$30:$CV$30,MATCH(LARGE($CM33:$CV33,5),$CM33:$CV33,0)),"N/A")</f>
        <v>N/A</v>
      </c>
    </row>
    <row r="34" customFormat="false" ht="12.8" hidden="false" customHeight="false" outlineLevel="0" collapsed="false">
      <c r="A34" s="7" t="s">
        <v>137</v>
      </c>
      <c r="B34" s="7" t="s">
        <v>39</v>
      </c>
      <c r="C34" s="10" t="n">
        <f aca="false">MAX(Flows!C64*C$4*C9/100,0)</f>
        <v>50999700.3342366</v>
      </c>
      <c r="D34" s="10" t="n">
        <f aca="false">MAX(Flows!D64*D$4*D9/100,0)</f>
        <v>220419722.564031</v>
      </c>
      <c r="E34" s="10" t="n">
        <f aca="false">MAX(Flows!E64*E$4*E9/100,0)</f>
        <v>49803605.2757366</v>
      </c>
      <c r="F34" s="10" t="n">
        <f aca="false">MAX(Flows!F64*F$4*F9/100,0)</f>
        <v>0</v>
      </c>
      <c r="G34" s="10" t="n">
        <f aca="false">MAX(Flows!G64*G$4*G9/100,0)</f>
        <v>46566682.1609664</v>
      </c>
      <c r="H34" s="10" t="n">
        <f aca="false">MAX(Flows!H64*H$4*H9/100,0)</f>
        <v>0</v>
      </c>
      <c r="I34" s="10" t="n">
        <f aca="false">MAX(Flows!I64*I$4*I9/100,0)</f>
        <v>0</v>
      </c>
      <c r="J34" s="10" t="n">
        <f aca="false">MAX(Flows!J64*J$4*J9/100,0)</f>
        <v>0</v>
      </c>
      <c r="K34" s="10" t="n">
        <f aca="false">MAX(Flows!K64*K$4*K9/100,0)</f>
        <v>0</v>
      </c>
      <c r="L34" s="10" t="n">
        <f aca="false">MAX(Flows!L64*L$4*L9/100,0)</f>
        <v>0</v>
      </c>
      <c r="M34" s="10" t="n">
        <f aca="false">MAX(Flows!M64*M$4*M9/100,0)</f>
        <v>0</v>
      </c>
      <c r="N34" s="10" t="n">
        <f aca="false">MAX(Flows!N64*N$4*N9/100,0)</f>
        <v>54082928.6162925</v>
      </c>
      <c r="O34" s="10" t="n">
        <f aca="false">MAX(Flows!O64*O$4*O9/100,0)</f>
        <v>0</v>
      </c>
      <c r="P34" s="10" t="n">
        <f aca="false">MAX(Flows!P64*P$4*P9/100,0)</f>
        <v>0</v>
      </c>
      <c r="Q34" s="10" t="n">
        <f aca="false">MAX(Flows!Q64*Q$4*Q9/100,0)</f>
        <v>34173127.2793915</v>
      </c>
      <c r="R34" s="10" t="n">
        <f aca="false">MAX(Flows!R64*R$4*R9/100,0)</f>
        <v>47701940.333284</v>
      </c>
      <c r="S34" s="10" t="n">
        <f aca="false">MAX(Flows!S64*S$4*S9/100,0)</f>
        <v>0</v>
      </c>
      <c r="T34" s="10" t="n">
        <f aca="false">MAX(Flows!T64*T$4*T9/100,0)</f>
        <v>0</v>
      </c>
      <c r="U34" s="10" t="n">
        <f aca="false">MAX(Flows!U64*U$4*U9/100,0)</f>
        <v>0</v>
      </c>
      <c r="V34" s="10" t="n">
        <f aca="false">MAX(Flows!V64*V$4*V9/100,0)</f>
        <v>63022718.0923948</v>
      </c>
      <c r="W34" s="10" t="n">
        <f aca="false">MAX(Flows!W64*W$4*W9/100,0)</f>
        <v>43530115.4811691</v>
      </c>
      <c r="X34" s="10" t="n">
        <f aca="false">MAX(Flows!X64*X$4*X9/100,0)</f>
        <v>106825854.644131</v>
      </c>
      <c r="Y34" s="10" t="n">
        <f aca="false">MAX(Flows!Y64*Y$4*Y9/100,0)</f>
        <v>0</v>
      </c>
      <c r="Z34" s="10" t="n">
        <f aca="false">MAX(Flows!Z64*Z$4*Z9/100,0)</f>
        <v>0</v>
      </c>
      <c r="AA34" s="10" t="n">
        <f aca="false">MAX(Flows!AA64*AA$4*AA9/100,0)</f>
        <v>0</v>
      </c>
      <c r="AB34" s="10" t="n">
        <f aca="false">MAX(Flows!AB64*AB$4*AB9/100,0)</f>
        <v>0</v>
      </c>
      <c r="AC34" s="10" t="n">
        <f aca="false">MAX(Flows!AC64*AC$4*AC9/100,0)</f>
        <v>199393.323378371</v>
      </c>
      <c r="AD34" s="10" t="n">
        <f aca="false">MAX(Flows!AD64*AD$4*AD9/100,0)</f>
        <v>0</v>
      </c>
      <c r="AE34" s="10" t="n">
        <f aca="false">MAX(Flows!AE64*AE$4*AE9/100,0)</f>
        <v>2493647.46434733</v>
      </c>
      <c r="AF34" s="10" t="n">
        <f aca="false">MAX(Flows!AF64*AF$4*AF9/100,0)</f>
        <v>1616941.10449644</v>
      </c>
      <c r="AG34" s="10" t="n">
        <f aca="false">MAX(Flows!AG64*AG$4*AG9/100,0)</f>
        <v>13804687.9856629</v>
      </c>
      <c r="AH34" s="10" t="n">
        <f aca="false">MAX(Flows!AH64*AH$4*AH9/100,0)</f>
        <v>9746020.83958301</v>
      </c>
      <c r="AI34" s="10" t="n">
        <f aca="false">MAX(Flows!AI64*AI$4*AI9/100,0)</f>
        <v>2527446.26693483</v>
      </c>
      <c r="AJ34" s="10" t="n">
        <f aca="false">MAX(Flows!AJ64*AJ$4*AJ9/100,0)</f>
        <v>964888.041164268</v>
      </c>
      <c r="AK34" s="10" t="n">
        <f aca="false">MAX(Flows!AK64*AK$4*AK9/100,0)</f>
        <v>1415757.16095463</v>
      </c>
      <c r="AL34" s="10" t="n">
        <f aca="false">MAX(Flows!AL64*AL$4*AL9/100,0)</f>
        <v>3991858.84385159</v>
      </c>
      <c r="AM34" s="10" t="n">
        <f aca="false">MAX(Flows!AM64*AM$4*AM9/100,0)</f>
        <v>0</v>
      </c>
      <c r="AN34" s="10" t="n">
        <f aca="false">MAX(Flows!AN64*AN$4*AN9/100,0)</f>
        <v>4570966.76657767</v>
      </c>
      <c r="AO34" s="10" t="n">
        <f aca="false">MAX(Flows!AO64*AO$4*AO9/100,0)</f>
        <v>6560507.6253281</v>
      </c>
      <c r="AP34" s="10" t="n">
        <f aca="false">MAX(Flows!AP64*AP$4*AP9/100,0)</f>
        <v>5616733.10378237</v>
      </c>
      <c r="AQ34" s="10" t="n">
        <f aca="false">MAX(Flows!AQ64*AQ$4*AQ9/100,0)</f>
        <v>10623694.264133</v>
      </c>
      <c r="AR34" s="10" t="n">
        <f aca="false">MAX(Flows!AR64*AR$4*AR9/100,0)</f>
        <v>14637086.4376201</v>
      </c>
      <c r="AS34" s="10" t="n">
        <f aca="false">MAX(Flows!AS64*AS$4*AS9/100,0)</f>
        <v>1522091.75820539</v>
      </c>
      <c r="AT34" s="10" t="n">
        <f aca="false">MAX(Flows!AT64*AT$4*AT9/100,0)</f>
        <v>3199846.67919642</v>
      </c>
      <c r="AU34" s="10" t="n">
        <f aca="false">MAX(Flows!AU64*AU$4*AU9/100,0)</f>
        <v>4494869.00826232</v>
      </c>
      <c r="AV34" s="10" t="n">
        <f aca="false">MAX(Flows!AV64*AV$4*AV9/100,0)</f>
        <v>0</v>
      </c>
      <c r="AW34" s="10" t="n">
        <f aca="false">MAX(Flows!AW64*AW$4*AW9/100,0)</f>
        <v>3638917.31119288</v>
      </c>
      <c r="AX34" s="10" t="n">
        <f aca="false">MAX(Flows!AX64*AX$4*AX9/100,0)</f>
        <v>4960146.78730749</v>
      </c>
      <c r="AY34" s="10" t="n">
        <f aca="false">MAX(Flows!AY64*AY$4*AY9/100,0)</f>
        <v>0</v>
      </c>
      <c r="AZ34" s="10" t="n">
        <f aca="false">MAX(Flows!AZ64*AZ$4*AZ9/100,0)</f>
        <v>0</v>
      </c>
      <c r="BA34" s="10" t="n">
        <f aca="false">MAX(Flows!BA64*BA$4*BA9/100,0)</f>
        <v>0</v>
      </c>
      <c r="BB34" s="10" t="n">
        <f aca="false">MAX(Flows!BB64*BB$4*BB9/100,0)</f>
        <v>3243468.20027403</v>
      </c>
      <c r="BC34" s="10" t="n">
        <f aca="false">MAX(Flows!BC64*BC$4*BC9/100,0)</f>
        <v>2088793.70559666</v>
      </c>
      <c r="BD34" s="10" t="n">
        <f aca="false">MAX(Flows!BD64*BD$4*BD9/100,0)</f>
        <v>2404532.03268623</v>
      </c>
      <c r="BE34" s="10" t="n">
        <f aca="false">MAX(Flows!BE64*BE$4*BE9/100,0)</f>
        <v>2035602.27289024</v>
      </c>
      <c r="BF34" s="10" t="n">
        <f aca="false">MAX(Flows!BF64*BF$4*BF9/100,0)</f>
        <v>60036457.7263366</v>
      </c>
      <c r="BG34" s="10" t="n">
        <f aca="false">MAX(Flows!BG64*BG$4*BG9/100,0)</f>
        <v>3413289.02797917</v>
      </c>
      <c r="BH34" s="10" t="n">
        <f aca="false">MAX(Flows!BH64*BH$4*BH9/100,0)</f>
        <v>0</v>
      </c>
      <c r="BI34" s="10" t="n">
        <f aca="false">MAX(Flows!BI64*BI$4*BI9/100,0)</f>
        <v>43848865.2561448</v>
      </c>
      <c r="BJ34" s="10" t="n">
        <f aca="false">MAX(Flows!BJ64*BJ$4*BJ9/100,0)</f>
        <v>43848865.2561449</v>
      </c>
      <c r="BK34" s="10" t="n">
        <f aca="false">MAX(Flows!BK64*BK$4*BK9/100,0)</f>
        <v>43848865.2561448</v>
      </c>
      <c r="BL34" s="10" t="n">
        <f aca="false">MAX(Flows!BL64*BL$4*BL9/100,0)</f>
        <v>3417312.72793915</v>
      </c>
      <c r="BM34" s="10" t="n">
        <f aca="false">MAX(Flows!BM64*BM$4*BM9/100,0)</f>
        <v>3417312.72793915</v>
      </c>
      <c r="BN34" s="10" t="n">
        <f aca="false">MAX(Flows!BN64*BN$4*BN9/100,0)</f>
        <v>0</v>
      </c>
      <c r="BO34" s="10" t="n">
        <f aca="false">MAX(Flows!BO64*BO$4*BO9/100,0)</f>
        <v>0</v>
      </c>
      <c r="BP34" s="10" t="n">
        <f aca="false">MAX(Flows!BP64*BP$4*BP9/100,0)</f>
        <v>0</v>
      </c>
      <c r="BQ34" s="10" t="n">
        <f aca="false">MAX(Flows!BQ64*BQ$4*BQ9/100,0)</f>
        <v>0</v>
      </c>
      <c r="BR34" s="10" t="n">
        <f aca="false">MAX(Flows!BR64*BR$4*BR9/100,0)</f>
        <v>0</v>
      </c>
      <c r="BS34" s="10" t="n">
        <f aca="false">MAX(Flows!BS64*BS$4*BS9/100,0)</f>
        <v>0</v>
      </c>
      <c r="BT34" s="10" t="n">
        <f aca="false">MAX(Flows!BT64*BT$4*BT9/100,0)</f>
        <v>0</v>
      </c>
      <c r="BU34" s="10" t="n">
        <f aca="false">MAX(Flows!BU64*BU$4*BU9/100,0)</f>
        <v>0</v>
      </c>
      <c r="BV34" s="10" t="n">
        <f aca="false">MAX(Flows!BV64*BV$4*BV9/100,0)</f>
        <v>0</v>
      </c>
      <c r="BW34" s="10" t="n">
        <f aca="false">MAX(Flows!BW64*BW$4*BW9/100,0)</f>
        <v>0</v>
      </c>
      <c r="BX34" s="10" t="n">
        <f aca="false">MAX(Flows!BX64*BX$4*BX9/100,0)</f>
        <v>6834625.4558783</v>
      </c>
      <c r="BY34" s="10" t="n">
        <f aca="false">MAX(Flows!BY64*BY$4*BY9/100,0)</f>
        <v>6834625.4558783</v>
      </c>
      <c r="BZ34" s="10" t="n">
        <f aca="false">MAX(Flows!BZ64*BZ$4*BZ9/100,0)</f>
        <v>40214700.6760784</v>
      </c>
      <c r="CA34" s="10" t="n">
        <f aca="false">MAX(Flows!CA64*CA$4*CA9/100,0)</f>
        <v>40214700.6760784</v>
      </c>
      <c r="CB34" s="10" t="n">
        <f aca="false">MAX(Flows!CB64*CB$4*CB9/100,0)</f>
        <v>34173127.2793915</v>
      </c>
      <c r="CC34" s="10" t="n">
        <f aca="false">MAX(Flows!CC64*CC$4*CC9/100,0)</f>
        <v>2192443.26280724</v>
      </c>
      <c r="CD34" s="10" t="n">
        <f aca="false">MAX(Flows!CD64*CD$4*CD9/100,0)</f>
        <v>0</v>
      </c>
      <c r="CE34" s="10" t="n">
        <f aca="false">MAX(Flows!CE64*CE$4*CE9/100,0)</f>
        <v>2192443.26280724</v>
      </c>
      <c r="CF34" s="10" t="n">
        <f aca="false">MAX(Flows!CF64*CF$4*CF9/100,0)</f>
        <v>8719367.88282881</v>
      </c>
      <c r="CG34" s="10" t="n">
        <f aca="false">MAX(Flows!CG64*CG$4*CG9/100,0)</f>
        <v>0</v>
      </c>
      <c r="CH34" s="10" t="n">
        <f aca="false">MAX(Flows!CH64*CH$4*CH9/100,0)</f>
        <v>0</v>
      </c>
      <c r="CI34" s="10" t="n">
        <f aca="false">MAX(Flows!CI64*CI$4*CI9/100,0)</f>
        <v>17086563.6396958</v>
      </c>
      <c r="CJ34" s="10" t="n">
        <f aca="false">MAX(Flows!CJ64*CJ$4*CJ9/100,0)</f>
        <v>1708656.36396957</v>
      </c>
      <c r="CK34" s="10" t="n">
        <f aca="false">MAX(Flows!CK64*CK$4*CK9/100,0)</f>
        <v>1708656.36396958</v>
      </c>
      <c r="CL34" s="7" t="s">
        <v>322</v>
      </c>
      <c r="CM34" s="10" t="n">
        <f aca="false" t="array" ref="CM34:CM34">SUM(IF($C$150:$CK$150=CM$30,$C34:$CK34,0),IF($C$150:$CK$150=CM$30,-$C94:$CK94,0))</f>
        <v>477698793.261158</v>
      </c>
      <c r="CN34" s="10" t="n">
        <f aca="false" t="array" ref="CN34:CN34">SUM(IF($C$150:$CK$150=CN$30,$C34:$CK34,0),IF($C$150:$CK$150=CN$30,-$C94:$CK94,0))</f>
        <v>178678044.144342</v>
      </c>
      <c r="CO34" s="10" t="n">
        <f aca="false" t="array" ref="CO34:CO34">SUM(IF($C$150:$CK$150=CO$30,$C34:$CK34,0),IF($C$150:$CK$150=CO$30,-$C94:$CK94,0))</f>
        <v>317449594.056012</v>
      </c>
      <c r="CP34" s="10" t="n">
        <f aca="false" t="array" ref="CP34:CP34">SUM(IF($C$150:$CK$150=CP$30,$C34:$CK34,0),IF($C$150:$CK$150=CP$30,-$C94:$CK94,0))</f>
        <v>30197022.1343317</v>
      </c>
      <c r="CQ34" s="10" t="n">
        <f aca="false" t="array" ref="CQ34:CQ34">SUM(IF($C$150:$CK$150=CQ$30,$C34:$CK34,0),IF($C$150:$CK$150=CQ$30,-$C94:$CK94,0))</f>
        <v>87763213.5709884</v>
      </c>
      <c r="CR34" s="10" t="n">
        <f aca="false" t="array" ref="CR34:CR34">SUM(IF($C$150:$CK$150=CR$30,$C34:$CK34,0),IF($C$150:$CK$150=CR$30,-$C94:$CK94,0))</f>
        <v>-4352759480311580</v>
      </c>
      <c r="CS34" s="10" t="n">
        <f aca="false" t="array" ref="CS34:CS34">SUM(IF($C$150:$CK$150=CS$30,$C34:$CK34,0),IF($C$150:$CK$150=CS$30,-$C94:$CK94,0))</f>
        <v>2328856.11471827</v>
      </c>
      <c r="CT34" s="10" t="n">
        <f aca="false" t="array" ref="CT34:CT34">SUM(IF($C$150:$CK$150=CT$30,$C34:$CK34,0),IF($C$150:$CK$150=CT$30,-$C94:$CK94,0))</f>
        <v>12136680.610768</v>
      </c>
      <c r="CU34" s="10" t="n">
        <f aca="false" t="array" ref="CU34:CU34">SUM(IF($C$150:$CK$150=CU$30,$C34:$CK34,0),IF($C$150:$CK$150=CU$30,-$C94:$CK94,0))</f>
        <v>-141474216.009093</v>
      </c>
      <c r="CV34" s="10" t="n">
        <f aca="false" t="array" ref="CV34:CV34">SUM(IF($C$150:$CK$150=CV$30,$C34:$CK34,0),IF($C$150:$CK$150=CV$30,-$C94:$CK94,0))</f>
        <v>-157608.531144469</v>
      </c>
      <c r="CX34" s="0" t="str">
        <f aca="false">INDEX($C$1:$CK$1,MATCH(LARGE($C34:$CK34,1),$C34:$CK34,0))</f>
        <v>Jeet (lb)</v>
      </c>
      <c r="CY34" s="0" t="str">
        <f aca="false">INDEX($C$1:$CK$1,MATCH(LARGE($C34:$CK34,2),$C34:$CK34,0))</f>
        <v>Chipak (lb)</v>
      </c>
      <c r="CZ34" s="0" t="str">
        <f aca="false">INDEX($C$1:$CK$1,MATCH(LARGE($C34:$CK34,3),$C34:$CK34,0))</f>
        <v>Cider (gal)</v>
      </c>
      <c r="DA34" s="0" t="str">
        <f aca="false">INDEX($C$1:$CK$1,MATCH(LARGE($C34:$CK34,4),$C34:$CK34,0))</f>
        <v>Salt (lb)</v>
      </c>
      <c r="DB34" s="0" t="str">
        <f aca="false">INDEX($C$1:$CK$1,MATCH(LARGE($C34:$CK34,5),$C34:$CK34,0))</f>
        <v>Jingla (lb)</v>
      </c>
      <c r="DD34" s="0" t="str">
        <f aca="false">IF(LARGE($CM34:$CV34,1)&gt;0,INDEX($CM$30:$CV$30,MATCH(LARGE($CM34:$CV34,1),$CM34:$CV34,0)),"N/A")</f>
        <v>Produce</v>
      </c>
      <c r="DE34" s="0" t="str">
        <f aca="false">IF(LARGE($CM34:$CV34,2)&gt;0,INDEX($CM$30:$CV$30,MATCH(LARGE($CM34:$CV34,2),$CM34:$CV34,0)),"N/A")</f>
        <v>Food Prod</v>
      </c>
      <c r="DF34" s="0" t="str">
        <f aca="false">IF(LARGE($CM34:$CV34,3)&gt;0,INDEX($CM$30:$CV$30,MATCH(LARGE($CM34:$CV34,3),$CM34:$CV34,0)),"N/A")</f>
        <v>Animal</v>
      </c>
      <c r="DG34" s="0" t="str">
        <f aca="false">IF(LARGE($CM34:$CV34,4)&gt;0,INDEX($CM$30:$CV$30,MATCH(LARGE($CM34:$CV34,4),$CM34:$CV34,0)),"N/A")</f>
        <v>Tools</v>
      </c>
      <c r="DH34" s="0" t="str">
        <f aca="false">IF(LARGE($CM34:$CV34,5)&gt;0,INDEX($CM$30:$CV$30,MATCH(LARGE($CM34:$CV34,5),$CM34:$CV34,0)),"N/A")</f>
        <v>Textile</v>
      </c>
    </row>
    <row r="35" customFormat="false" ht="12.8" hidden="false" customHeight="false" outlineLevel="0" collapsed="false">
      <c r="A35" s="7" t="s">
        <v>139</v>
      </c>
      <c r="B35" s="7" t="s">
        <v>39</v>
      </c>
      <c r="C35" s="10" t="n">
        <f aca="false">MAX(Flows!C65*C$4*C10/100,0)</f>
        <v>0</v>
      </c>
      <c r="D35" s="10" t="n">
        <f aca="false">MAX(Flows!D65*D$4*D10/100,0)</f>
        <v>0</v>
      </c>
      <c r="E35" s="10" t="n">
        <f aca="false">MAX(Flows!E65*E$4*E10/100,0)</f>
        <v>0</v>
      </c>
      <c r="F35" s="10" t="n">
        <f aca="false">MAX(Flows!F65*F$4*F10/100,0)</f>
        <v>0</v>
      </c>
      <c r="G35" s="10" t="n">
        <f aca="false">MAX(Flows!G65*G$4*G10/100,0)</f>
        <v>0</v>
      </c>
      <c r="H35" s="10" t="n">
        <f aca="false">MAX(Flows!H65*H$4*H10/100,0)</f>
        <v>0</v>
      </c>
      <c r="I35" s="10" t="n">
        <f aca="false">MAX(Flows!I65*I$4*I10/100,0)</f>
        <v>17081674.0139392</v>
      </c>
      <c r="J35" s="10" t="n">
        <f aca="false">MAX(Flows!J65*J$4*J10/100,0)</f>
        <v>36792645.7882862</v>
      </c>
      <c r="K35" s="10" t="n">
        <f aca="false">MAX(Flows!K65*K$4*K10/100,0)</f>
        <v>0</v>
      </c>
      <c r="L35" s="10" t="n">
        <f aca="false">MAX(Flows!L65*L$4*L10/100,0)</f>
        <v>0</v>
      </c>
      <c r="M35" s="10" t="n">
        <f aca="false">MAX(Flows!M65*M$4*M10/100,0)</f>
        <v>0</v>
      </c>
      <c r="N35" s="10" t="n">
        <f aca="false">MAX(Flows!N65*N$4*N10/100,0)</f>
        <v>0</v>
      </c>
      <c r="O35" s="10" t="n">
        <f aca="false">MAX(Flows!O65*O$4*O10/100,0)</f>
        <v>0</v>
      </c>
      <c r="P35" s="10" t="n">
        <f aca="false">MAX(Flows!P65*P$4*P10/100,0)</f>
        <v>0</v>
      </c>
      <c r="Q35" s="10" t="n">
        <f aca="false">MAX(Flows!Q65*Q$4*Q10/100,0)</f>
        <v>0</v>
      </c>
      <c r="R35" s="10" t="n">
        <f aca="false">MAX(Flows!R65*R$4*R10/100,0)</f>
        <v>0</v>
      </c>
      <c r="S35" s="10" t="n">
        <f aca="false">MAX(Flows!S65*S$4*S10/100,0)</f>
        <v>0</v>
      </c>
      <c r="T35" s="10" t="n">
        <f aca="false">MAX(Flows!T65*T$4*T10/100,0)</f>
        <v>0</v>
      </c>
      <c r="U35" s="10" t="n">
        <f aca="false">MAX(Flows!U65*U$4*U10/100,0)</f>
        <v>0</v>
      </c>
      <c r="V35" s="10" t="n">
        <f aca="false">MAX(Flows!V65*V$4*V10/100,0)</f>
        <v>15143847.447682</v>
      </c>
      <c r="W35" s="10" t="n">
        <f aca="false">MAX(Flows!W65*W$4*W10/100,0)</f>
        <v>0</v>
      </c>
      <c r="X35" s="10" t="n">
        <f aca="false">MAX(Flows!X65*X$4*X10/100,0)</f>
        <v>0</v>
      </c>
      <c r="Y35" s="10" t="n">
        <f aca="false">MAX(Flows!Y65*Y$4*Y10/100,0)</f>
        <v>0</v>
      </c>
      <c r="Z35" s="10" t="n">
        <f aca="false">MAX(Flows!Z65*Z$4*Z10/100,0)</f>
        <v>0</v>
      </c>
      <c r="AA35" s="10" t="n">
        <f aca="false">MAX(Flows!AA65*AA$4*AA10/100,0)</f>
        <v>0</v>
      </c>
      <c r="AB35" s="10" t="n">
        <f aca="false">MAX(Flows!AB65*AB$4*AB10/100,0)</f>
        <v>0</v>
      </c>
      <c r="AC35" s="10" t="n">
        <f aca="false">MAX(Flows!AC65*AC$4*AC10/100,0)</f>
        <v>482011.625845157</v>
      </c>
      <c r="AD35" s="10" t="n">
        <f aca="false">MAX(Flows!AD65*AD$4*AD10/100,0)</f>
        <v>0</v>
      </c>
      <c r="AE35" s="10" t="n">
        <f aca="false">MAX(Flows!AE65*AE$4*AE10/100,0)</f>
        <v>0</v>
      </c>
      <c r="AF35" s="10" t="n">
        <f aca="false">MAX(Flows!AF65*AF$4*AF10/100,0)</f>
        <v>0</v>
      </c>
      <c r="AG35" s="10" t="n">
        <f aca="false">MAX(Flows!AG65*AG$4*AG10/100,0)</f>
        <v>0</v>
      </c>
      <c r="AH35" s="10" t="n">
        <f aca="false">MAX(Flows!AH65*AH$4*AH10/100,0)</f>
        <v>0</v>
      </c>
      <c r="AI35" s="10" t="n">
        <f aca="false">MAX(Flows!AI65*AI$4*AI10/100,0)</f>
        <v>0</v>
      </c>
      <c r="AJ35" s="10" t="n">
        <f aca="false">MAX(Flows!AJ65*AJ$4*AJ10/100,0)</f>
        <v>0</v>
      </c>
      <c r="AK35" s="10" t="n">
        <f aca="false">MAX(Flows!AK65*AK$4*AK10/100,0)</f>
        <v>10195486.6202212</v>
      </c>
      <c r="AL35" s="10" t="n">
        <f aca="false">MAX(Flows!AL65*AL$4*AL10/100,0)</f>
        <v>0</v>
      </c>
      <c r="AM35" s="10" t="n">
        <f aca="false">MAX(Flows!AM65*AM$4*AM10/100,0)</f>
        <v>0</v>
      </c>
      <c r="AN35" s="10" t="n">
        <f aca="false">MAX(Flows!AN65*AN$4*AN10/100,0)</f>
        <v>0</v>
      </c>
      <c r="AO35" s="10" t="n">
        <f aca="false">MAX(Flows!AO65*AO$4*AO10/100,0)</f>
        <v>0</v>
      </c>
      <c r="AP35" s="10" t="n">
        <f aca="false">MAX(Flows!AP65*AP$4*AP10/100,0)</f>
        <v>0</v>
      </c>
      <c r="AQ35" s="10" t="n">
        <f aca="false">MAX(Flows!AQ65*AQ$4*AQ10/100,0)</f>
        <v>0</v>
      </c>
      <c r="AR35" s="10" t="n">
        <f aca="false">MAX(Flows!AR65*AR$4*AR10/100,0)</f>
        <v>0</v>
      </c>
      <c r="AS35" s="10" t="n">
        <f aca="false">MAX(Flows!AS65*AS$4*AS10/100,0)</f>
        <v>0</v>
      </c>
      <c r="AT35" s="10" t="n">
        <f aca="false">MAX(Flows!AT65*AT$4*AT10/100,0)</f>
        <v>0</v>
      </c>
      <c r="AU35" s="10" t="n">
        <f aca="false">MAX(Flows!AU65*AU$4*AU10/100,0)</f>
        <v>0</v>
      </c>
      <c r="AV35" s="10" t="n">
        <f aca="false">MAX(Flows!AV65*AV$4*AV10/100,0)</f>
        <v>0</v>
      </c>
      <c r="AW35" s="10" t="n">
        <f aca="false">MAX(Flows!AW65*AW$4*AW10/100,0)</f>
        <v>9306120.63822733</v>
      </c>
      <c r="AX35" s="10" t="n">
        <f aca="false">MAX(Flows!AX65*AX$4*AX10/100,0)</f>
        <v>4367792.79413043</v>
      </c>
      <c r="AY35" s="10" t="n">
        <f aca="false">MAX(Flows!AY65*AY$4*AY10/100,0)</f>
        <v>3142473.86708781</v>
      </c>
      <c r="AZ35" s="10" t="n">
        <f aca="false">MAX(Flows!AZ65*AZ$4*AZ10/100,0)</f>
        <v>0</v>
      </c>
      <c r="BA35" s="10" t="n">
        <f aca="false">MAX(Flows!BA65*BA$4*BA10/100,0)</f>
        <v>0</v>
      </c>
      <c r="BB35" s="10" t="n">
        <f aca="false">MAX(Flows!BB65*BB$4*BB10/100,0)</f>
        <v>0</v>
      </c>
      <c r="BC35" s="10" t="n">
        <f aca="false">MAX(Flows!BC65*BC$4*BC10/100,0)</f>
        <v>0</v>
      </c>
      <c r="BD35" s="10" t="n">
        <f aca="false">MAX(Flows!BD65*BD$4*BD10/100,0)</f>
        <v>0</v>
      </c>
      <c r="BE35" s="10" t="n">
        <f aca="false">MAX(Flows!BE65*BE$4*BE10/100,0)</f>
        <v>0</v>
      </c>
      <c r="BF35" s="10" t="n">
        <f aca="false">MAX(Flows!BF65*BF$4*BF10/100,0)</f>
        <v>0</v>
      </c>
      <c r="BG35" s="10" t="n">
        <f aca="false">MAX(Flows!BG65*BG$4*BG10/100,0)</f>
        <v>0</v>
      </c>
      <c r="BH35" s="10" t="n">
        <f aca="false">MAX(Flows!BH65*BH$4*BH10/100,0)</f>
        <v>0</v>
      </c>
      <c r="BI35" s="10" t="n">
        <f aca="false">MAX(Flows!BI65*BI$4*BI10/100,0)</f>
        <v>0</v>
      </c>
      <c r="BJ35" s="10" t="n">
        <f aca="false">MAX(Flows!BJ65*BJ$4*BJ10/100,0)</f>
        <v>0</v>
      </c>
      <c r="BK35" s="10" t="n">
        <f aca="false">MAX(Flows!BK65*BK$4*BK10/100,0)</f>
        <v>0</v>
      </c>
      <c r="BL35" s="10" t="n">
        <f aca="false">MAX(Flows!BL65*BL$4*BL10/100,0)</f>
        <v>0</v>
      </c>
      <c r="BM35" s="10" t="n">
        <f aca="false">MAX(Flows!BM65*BM$4*BM10/100,0)</f>
        <v>0</v>
      </c>
      <c r="BN35" s="10" t="n">
        <f aca="false">MAX(Flows!BN65*BN$4*BN10/100,0)</f>
        <v>0</v>
      </c>
      <c r="BO35" s="10" t="n">
        <f aca="false">MAX(Flows!BO65*BO$4*BO10/100,0)</f>
        <v>1714817.30389087</v>
      </c>
      <c r="BP35" s="10" t="n">
        <f aca="false">MAX(Flows!BP65*BP$4*BP10/100,0)</f>
        <v>6859270.56124005</v>
      </c>
      <c r="BQ35" s="10" t="n">
        <f aca="false">MAX(Flows!BQ65*BQ$4*BQ10/100,0)</f>
        <v>0</v>
      </c>
      <c r="BR35" s="10" t="n">
        <f aca="false">MAX(Flows!BR65*BR$4*BR10/100,0)</f>
        <v>1714816.62523554</v>
      </c>
      <c r="BS35" s="10" t="n">
        <f aca="false">MAX(Flows!BS65*BS$4*BS10/100,0)</f>
        <v>1714815.60725255</v>
      </c>
      <c r="BT35" s="10" t="n">
        <f aca="false">MAX(Flows!BT65*BT$4*BT10/100,0)</f>
        <v>0</v>
      </c>
      <c r="BU35" s="10" t="n">
        <f aca="false">MAX(Flows!BU65*BU$4*BU10/100,0)</f>
        <v>0</v>
      </c>
      <c r="BV35" s="10" t="n">
        <f aca="false">MAX(Flows!BV65*BV$4*BV10/100,0)</f>
        <v>0</v>
      </c>
      <c r="BW35" s="10" t="n">
        <f aca="false">MAX(Flows!BW65*BW$4*BW10/100,0)</f>
        <v>0</v>
      </c>
      <c r="BX35" s="10" t="n">
        <f aca="false">MAX(Flows!BX65*BX$4*BX10/100,0)</f>
        <v>0</v>
      </c>
      <c r="BY35" s="10" t="n">
        <f aca="false">MAX(Flows!BY65*BY$4*BY10/100,0)</f>
        <v>0</v>
      </c>
      <c r="BZ35" s="10" t="n">
        <f aca="false">MAX(Flows!BZ65*BZ$4*BZ10/100,0)</f>
        <v>0</v>
      </c>
      <c r="CA35" s="10" t="n">
        <f aca="false">MAX(Flows!CA65*CA$4*CA10/100,0)</f>
        <v>0</v>
      </c>
      <c r="CB35" s="10" t="n">
        <f aca="false">MAX(Flows!CB65*CB$4*CB10/100,0)</f>
        <v>0</v>
      </c>
      <c r="CC35" s="10" t="n">
        <f aca="false">MAX(Flows!CC65*CC$4*CC10/100,0)</f>
        <v>0</v>
      </c>
      <c r="CD35" s="10" t="n">
        <f aca="false">MAX(Flows!CD65*CD$4*CD10/100,0)</f>
        <v>0</v>
      </c>
      <c r="CE35" s="10" t="n">
        <f aca="false">MAX(Flows!CE65*CE$4*CE10/100,0)</f>
        <v>0</v>
      </c>
      <c r="CF35" s="10" t="n">
        <f aca="false">MAX(Flows!CF65*CF$4*CF10/100,0)</f>
        <v>0</v>
      </c>
      <c r="CG35" s="10" t="n">
        <f aca="false">MAX(Flows!CG65*CG$4*CG10/100,0)</f>
        <v>1714749.7776856</v>
      </c>
      <c r="CH35" s="10" t="n">
        <f aca="false">MAX(Flows!CH65*CH$4*CH10/100,0)</f>
        <v>1714749.7776856</v>
      </c>
      <c r="CI35" s="10" t="n">
        <f aca="false">MAX(Flows!CI65*CI$4*CI10/100,0)</f>
        <v>0</v>
      </c>
      <c r="CJ35" s="10" t="n">
        <f aca="false">MAX(Flows!CJ65*CJ$4*CJ10/100,0)</f>
        <v>0</v>
      </c>
      <c r="CK35" s="10" t="n">
        <f aca="false">MAX(Flows!CK65*CK$4*CK10/100,0)</f>
        <v>0</v>
      </c>
      <c r="CL35" s="7" t="s">
        <v>322</v>
      </c>
      <c r="CM35" s="10" t="n">
        <f aca="false" t="array" ref="CM35:CM35">SUM(IF($C$150:$CK$150=CM$30,$C35:$CK35,0),IF($C$150:$CK$150=CM$30,-$C95:$CK95,0))</f>
        <v>-484534657.511245</v>
      </c>
      <c r="CN35" s="10" t="n">
        <f aca="false" t="array" ref="CN35:CN35">SUM(IF($C$150:$CK$150=CN$30,$C35:$CK35,0),IF($C$150:$CK$150=CN$30,-$C95:$CK95,0))</f>
        <v>-417061996.767139</v>
      </c>
      <c r="CO35" s="10" t="n">
        <f aca="false" t="array" ref="CO35:CO35">SUM(IF($C$150:$CK$150=CO$30,$C35:$CK35,0),IF($C$150:$CK$150=CO$30,-$C95:$CK95,0))</f>
        <v>-846590465.424853</v>
      </c>
      <c r="CP35" s="10" t="n">
        <f aca="false" t="array" ref="CP35:CP35">SUM(IF($C$150:$CK$150=CP$30,$C35:$CK35,0),IF($C$150:$CK$150=CP$30,-$C95:$CK95,0))</f>
        <v>-207423555.885879</v>
      </c>
      <c r="CQ35" s="10" t="n">
        <f aca="false" t="array" ref="CQ35:CQ35">SUM(IF($C$150:$CK$150=CQ$30,$C35:$CK35,0),IF($C$150:$CK$150=CQ$30,-$C95:$CK95,0))</f>
        <v>-653819054.228557</v>
      </c>
      <c r="CR35" s="10" t="n">
        <f aca="false" t="array" ref="CR35:CR35">SUM(IF($C$150:$CK$150=CR$30,$C35:$CK35,0),IF($C$150:$CK$150=CR$30,-$C95:$CK95,0))</f>
        <v>1589318.73001292</v>
      </c>
      <c r="CS35" s="10" t="n">
        <f aca="false" t="array" ref="CS35:CS35">SUM(IF($C$150:$CK$150=CS$30,$C35:$CK35,0),IF($C$150:$CK$150=CS$30,-$C95:$CK95,0))</f>
        <v>-131576871.782473</v>
      </c>
      <c r="CT35" s="10" t="n">
        <f aca="false" t="array" ref="CT35:CT35">SUM(IF($C$150:$CK$150=CT$30,$C35:$CK35,0),IF($C$150:$CK$150=CT$30,-$C95:$CK95,0))</f>
        <v>-26346401.953259</v>
      </c>
      <c r="CU35" s="10" t="n">
        <f aca="false" t="array" ref="CU35:CU35">SUM(IF($C$150:$CK$150=CU$30,$C35:$CK35,0),IF($C$150:$CK$150=CU$30,-$C95:$CK95,0))</f>
        <v>53874319.8022254</v>
      </c>
      <c r="CV35" s="10" t="n">
        <f aca="false" t="array" ref="CV35:CV35">SUM(IF($C$150:$CK$150=CV$30,$C35:$CK35,0),IF($C$150:$CK$150=CV$30,-$C95:$CK95,0))</f>
        <v>-1774180.1326513</v>
      </c>
      <c r="CX35" s="0" t="str">
        <f aca="false">INDEX($C$1:$CK$1,MATCH(LARGE($C35:$CK35,1),$C35:$CK35,0))</f>
        <v>Wax (lb)</v>
      </c>
      <c r="CY35" s="0" t="str">
        <f aca="false">INDEX($C$1:$CK$1,MATCH(LARGE($C35:$CK35,2),$C35:$CK35,0))</f>
        <v>Honey (lb)</v>
      </c>
      <c r="CZ35" s="0" t="str">
        <f aca="false">INDEX($C$1:$CK$1,MATCH(LARGE($C35:$CK35,3),$C35:$CK35,0))</f>
        <v>Cider (gal)</v>
      </c>
      <c r="DA35" s="0" t="str">
        <f aca="false">INDEX($C$1:$CK$1,MATCH(LARGE($C35:$CK35,4),$C35:$CK35,0))</f>
        <v>Chisels (ea)</v>
      </c>
      <c r="DB35" s="0" t="str">
        <f aca="false">INDEX($C$1:$CK$1,MATCH(LARGE($C35:$CK35,5),$C35:$CK35,0))</f>
        <v>Thread (Kyd)</v>
      </c>
      <c r="DD35" s="0" t="str">
        <f aca="false">IF(LARGE($CM35:$CV35,1)&gt;0,INDEX($CM$30:$CV$30,MATCH(LARGE($CM35:$CV35,1),$CM35:$CV35,0)),"N/A")</f>
        <v>Honey</v>
      </c>
      <c r="DE35" s="0" t="str">
        <f aca="false">IF(LARGE($CM35:$CV35,2)&gt;0,INDEX($CM$30:$CV$30,MATCH(LARGE($CM35:$CV35,2),$CM35:$CV35,0)),"N/A")</f>
        <v>Mineral</v>
      </c>
      <c r="DF35" s="0" t="str">
        <f aca="false">IF(LARGE($CM35:$CV35,3)&gt;0,INDEX($CM$30:$CV$30,MATCH(LARGE($CM35:$CV35,3),$CM35:$CV35,0)),"N/A")</f>
        <v>N/A</v>
      </c>
      <c r="DG35" s="0" t="str">
        <f aca="false">IF(LARGE($CM35:$CV35,4)&gt;0,INDEX($CM$30:$CV$30,MATCH(LARGE($CM35:$CV35,4),$CM35:$CV35,0)),"N/A")</f>
        <v>N/A</v>
      </c>
      <c r="DH35" s="0" t="str">
        <f aca="false">IF(LARGE($CM35:$CV35,5)&gt;0,INDEX($CM$30:$CV$30,MATCH(LARGE($CM35:$CV35,5),$CM35:$CV35,0)),"N/A")</f>
        <v>N/A</v>
      </c>
    </row>
    <row r="36" customFormat="false" ht="12.8" hidden="false" customHeight="false" outlineLevel="0" collapsed="false">
      <c r="A36" s="7" t="s">
        <v>140</v>
      </c>
      <c r="B36" s="7" t="s">
        <v>39</v>
      </c>
      <c r="C36" s="10" t="n">
        <f aca="false">MAX(Flows!C66*C$4*C11/100,0)</f>
        <v>5776093.18030704</v>
      </c>
      <c r="D36" s="10" t="n">
        <f aca="false">MAX(Flows!D66*D$4*D11/100,0)</f>
        <v>15766111.8698207</v>
      </c>
      <c r="E36" s="10" t="n">
        <f aca="false">MAX(Flows!E66*E$4*E11/100,0)</f>
        <v>0</v>
      </c>
      <c r="F36" s="10" t="n">
        <f aca="false">MAX(Flows!F66*F$4*F11/100,0)</f>
        <v>0</v>
      </c>
      <c r="G36" s="10" t="n">
        <f aca="false">MAX(Flows!G66*G$4*G11/100,0)</f>
        <v>17660470.3637844</v>
      </c>
      <c r="H36" s="10" t="n">
        <f aca="false">MAX(Flows!H66*H$4*H11/100,0)</f>
        <v>0</v>
      </c>
      <c r="I36" s="10" t="n">
        <f aca="false">MAX(Flows!I66*I$4*I11/100,0)</f>
        <v>42215117.9331267</v>
      </c>
      <c r="J36" s="10" t="n">
        <f aca="false">MAX(Flows!J66*J$4*J11/100,0)</f>
        <v>45027554.4939171</v>
      </c>
      <c r="K36" s="10" t="n">
        <f aca="false">MAX(Flows!K66*K$4*K11/100,0)</f>
        <v>0</v>
      </c>
      <c r="L36" s="10" t="n">
        <f aca="false">MAX(Flows!L66*L$4*L11/100,0)</f>
        <v>0</v>
      </c>
      <c r="M36" s="10" t="n">
        <f aca="false">MAX(Flows!M66*M$4*M11/100,0)</f>
        <v>0</v>
      </c>
      <c r="N36" s="10" t="n">
        <f aca="false">MAX(Flows!N66*N$4*N11/100,0)</f>
        <v>16134691.8695907</v>
      </c>
      <c r="O36" s="10" t="n">
        <f aca="false">MAX(Flows!O66*O$4*O11/100,0)</f>
        <v>0</v>
      </c>
      <c r="P36" s="10" t="n">
        <f aca="false">MAX(Flows!P66*P$4*P11/100,0)</f>
        <v>0</v>
      </c>
      <c r="Q36" s="10" t="n">
        <f aca="false">MAX(Flows!Q66*Q$4*Q11/100,0)</f>
        <v>0</v>
      </c>
      <c r="R36" s="10" t="n">
        <f aca="false">MAX(Flows!R66*R$4*R11/100,0)</f>
        <v>6553554.73520892</v>
      </c>
      <c r="S36" s="10" t="n">
        <f aca="false">MAX(Flows!S66*S$4*S11/100,0)</f>
        <v>0</v>
      </c>
      <c r="T36" s="10" t="n">
        <f aca="false">MAX(Flows!T66*T$4*T11/100,0)</f>
        <v>0</v>
      </c>
      <c r="U36" s="10" t="n">
        <f aca="false">MAX(Flows!U66*U$4*U11/100,0)</f>
        <v>0</v>
      </c>
      <c r="V36" s="10" t="n">
        <f aca="false">MAX(Flows!V66*V$4*V11/100,0)</f>
        <v>0</v>
      </c>
      <c r="W36" s="10" t="n">
        <f aca="false">MAX(Flows!W66*W$4*W11/100,0)</f>
        <v>23834447.4786339</v>
      </c>
      <c r="X36" s="10" t="n">
        <f aca="false">MAX(Flows!X66*X$4*X11/100,0)</f>
        <v>0</v>
      </c>
      <c r="Y36" s="10" t="n">
        <f aca="false">MAX(Flows!Y66*Y$4*Y11/100,0)</f>
        <v>0</v>
      </c>
      <c r="Z36" s="10" t="n">
        <f aca="false">MAX(Flows!Z66*Z$4*Z11/100,0)</f>
        <v>480745.662300801</v>
      </c>
      <c r="AA36" s="10" t="n">
        <f aca="false">MAX(Flows!AA66*AA$4*AA11/100,0)</f>
        <v>0</v>
      </c>
      <c r="AB36" s="10" t="n">
        <f aca="false">MAX(Flows!AB66*AB$4*AB11/100,0)</f>
        <v>0</v>
      </c>
      <c r="AC36" s="10" t="n">
        <f aca="false">MAX(Flows!AC66*AC$4*AC11/100,0)</f>
        <v>0</v>
      </c>
      <c r="AD36" s="10" t="n">
        <f aca="false">MAX(Flows!AD66*AD$4*AD11/100,0)</f>
        <v>0</v>
      </c>
      <c r="AE36" s="10" t="n">
        <f aca="false">MAX(Flows!AE66*AE$4*AE11/100,0)</f>
        <v>3191922.6239883</v>
      </c>
      <c r="AF36" s="10" t="n">
        <f aca="false">MAX(Flows!AF66*AF$4*AF11/100,0)</f>
        <v>0</v>
      </c>
      <c r="AG36" s="10" t="n">
        <f aca="false">MAX(Flows!AG66*AG$4*AG11/100,0)</f>
        <v>5891443.23398137</v>
      </c>
      <c r="AH36" s="10" t="n">
        <f aca="false">MAX(Flows!AH66*AH$4*AH11/100,0)</f>
        <v>0</v>
      </c>
      <c r="AI36" s="10" t="n">
        <f aca="false">MAX(Flows!AI66*AI$4*AI11/100,0)</f>
        <v>0</v>
      </c>
      <c r="AJ36" s="10" t="n">
        <f aca="false">MAX(Flows!AJ66*AJ$4*AJ11/100,0)</f>
        <v>0</v>
      </c>
      <c r="AK36" s="10" t="n">
        <f aca="false">MAX(Flows!AK66*AK$4*AK11/100,0)</f>
        <v>9395038.34785662</v>
      </c>
      <c r="AL36" s="10" t="n">
        <f aca="false">MAX(Flows!AL66*AL$4*AL11/100,0)</f>
        <v>0</v>
      </c>
      <c r="AM36" s="10" t="n">
        <f aca="false">MAX(Flows!AM66*AM$4*AM11/100,0)</f>
        <v>4629480.10772168</v>
      </c>
      <c r="AN36" s="10" t="n">
        <f aca="false">MAX(Flows!AN66*AN$4*AN11/100,0)</f>
        <v>10757866.0932478</v>
      </c>
      <c r="AO36" s="10" t="n">
        <f aca="false">MAX(Flows!AO66*AO$4*AO11/100,0)</f>
        <v>0</v>
      </c>
      <c r="AP36" s="10" t="n">
        <f aca="false">MAX(Flows!AP66*AP$4*AP11/100,0)</f>
        <v>1534641.71161764</v>
      </c>
      <c r="AQ36" s="10" t="n">
        <f aca="false">MAX(Flows!AQ66*AQ$4*AQ11/100,0)</f>
        <v>11900372.7203508</v>
      </c>
      <c r="AR36" s="10" t="n">
        <f aca="false">MAX(Flows!AR66*AR$4*AR11/100,0)</f>
        <v>0</v>
      </c>
      <c r="AS36" s="10" t="n">
        <f aca="false">MAX(Flows!AS66*AS$4*AS11/100,0)</f>
        <v>0</v>
      </c>
      <c r="AT36" s="10" t="n">
        <f aca="false">MAX(Flows!AT66*AT$4*AT11/100,0)</f>
        <v>0</v>
      </c>
      <c r="AU36" s="10" t="n">
        <f aca="false">MAX(Flows!AU66*AU$4*AU11/100,0)</f>
        <v>9139177.19901709</v>
      </c>
      <c r="AV36" s="10" t="n">
        <f aca="false">MAX(Flows!AV66*AV$4*AV11/100,0)</f>
        <v>14303931.1922046</v>
      </c>
      <c r="AW36" s="10" t="n">
        <f aca="false">MAX(Flows!AW66*AW$4*AW11/100,0)</f>
        <v>0</v>
      </c>
      <c r="AX36" s="10" t="n">
        <f aca="false">MAX(Flows!AX66*AX$4*AX11/100,0)</f>
        <v>0</v>
      </c>
      <c r="AY36" s="10" t="n">
        <f aca="false">MAX(Flows!AY66*AY$4*AY11/100,0)</f>
        <v>0</v>
      </c>
      <c r="AZ36" s="10" t="n">
        <f aca="false">MAX(Flows!AZ66*AZ$4*AZ11/100,0)</f>
        <v>0</v>
      </c>
      <c r="BA36" s="10" t="n">
        <f aca="false">MAX(Flows!BA66*BA$4*BA11/100,0)</f>
        <v>0</v>
      </c>
      <c r="BB36" s="10" t="n">
        <f aca="false">MAX(Flows!BB66*BB$4*BB11/100,0)</f>
        <v>5215124.32470183</v>
      </c>
      <c r="BC36" s="10" t="n">
        <f aca="false">MAX(Flows!BC66*BC$4*BC11/100,0)</f>
        <v>3530299.20594379</v>
      </c>
      <c r="BD36" s="10" t="n">
        <f aca="false">MAX(Flows!BD66*BD$4*BD11/100,0)</f>
        <v>0</v>
      </c>
      <c r="BE36" s="10" t="n">
        <f aca="false">MAX(Flows!BE66*BE$4*BE11/100,0)</f>
        <v>6445918.53117482</v>
      </c>
      <c r="BF36" s="10" t="n">
        <f aca="false">MAX(Flows!BF66*BF$4*BF11/100,0)</f>
        <v>0</v>
      </c>
      <c r="BG36" s="10" t="n">
        <f aca="false">MAX(Flows!BG66*BG$4*BG11/100,0)</f>
        <v>0</v>
      </c>
      <c r="BH36" s="10" t="n">
        <f aca="false">MAX(Flows!BH66*BH$4*BH11/100,0)</f>
        <v>0</v>
      </c>
      <c r="BI36" s="10" t="n">
        <f aca="false">MAX(Flows!BI66*BI$4*BI11/100,0)</f>
        <v>0</v>
      </c>
      <c r="BJ36" s="10" t="n">
        <f aca="false">MAX(Flows!BJ66*BJ$4*BJ11/100,0)</f>
        <v>0</v>
      </c>
      <c r="BK36" s="10" t="n">
        <f aca="false">MAX(Flows!BK66*BK$4*BK11/100,0)</f>
        <v>0</v>
      </c>
      <c r="BL36" s="10" t="n">
        <f aca="false">MAX(Flows!BL66*BL$4*BL11/100,0)</f>
        <v>0</v>
      </c>
      <c r="BM36" s="10" t="n">
        <f aca="false">MAX(Flows!BM66*BM$4*BM11/100,0)</f>
        <v>0</v>
      </c>
      <c r="BN36" s="10" t="n">
        <f aca="false">MAX(Flows!BN66*BN$4*BN11/100,0)</f>
        <v>0</v>
      </c>
      <c r="BO36" s="10" t="n">
        <f aca="false">MAX(Flows!BO66*BO$4*BO11/100,0)</f>
        <v>0</v>
      </c>
      <c r="BP36" s="10" t="n">
        <f aca="false">MAX(Flows!BP66*BP$4*BP11/100,0)</f>
        <v>0</v>
      </c>
      <c r="BQ36" s="10" t="n">
        <f aca="false">MAX(Flows!BQ66*BQ$4*BQ11/100,0)</f>
        <v>0</v>
      </c>
      <c r="BR36" s="10" t="n">
        <f aca="false">MAX(Flows!BR66*BR$4*BR11/100,0)</f>
        <v>0</v>
      </c>
      <c r="BS36" s="10" t="n">
        <f aca="false">MAX(Flows!BS66*BS$4*BS11/100,0)</f>
        <v>0</v>
      </c>
      <c r="BT36" s="10" t="n">
        <f aca="false">MAX(Flows!BT66*BT$4*BT11/100,0)</f>
        <v>0</v>
      </c>
      <c r="BU36" s="10" t="n">
        <f aca="false">MAX(Flows!BU66*BU$4*BU11/100,0)</f>
        <v>0</v>
      </c>
      <c r="BV36" s="10" t="n">
        <f aca="false">MAX(Flows!BV66*BV$4*BV11/100,0)</f>
        <v>0</v>
      </c>
      <c r="BW36" s="10" t="n">
        <f aca="false">MAX(Flows!BW66*BW$4*BW11/100,0)</f>
        <v>0</v>
      </c>
      <c r="BX36" s="10" t="n">
        <f aca="false">MAX(Flows!BX66*BX$4*BX11/100,0)</f>
        <v>0</v>
      </c>
      <c r="BY36" s="10" t="n">
        <f aca="false">MAX(Flows!BY66*BY$4*BY11/100,0)</f>
        <v>0</v>
      </c>
      <c r="BZ36" s="10" t="n">
        <f aca="false">MAX(Flows!BZ66*BZ$4*BZ11/100,0)</f>
        <v>0</v>
      </c>
      <c r="CA36" s="10" t="n">
        <f aca="false">MAX(Flows!CA66*CA$4*CA11/100,0)</f>
        <v>0</v>
      </c>
      <c r="CB36" s="10" t="n">
        <f aca="false">MAX(Flows!CB66*CB$4*CB11/100,0)</f>
        <v>0</v>
      </c>
      <c r="CC36" s="10" t="n">
        <f aca="false">MAX(Flows!CC66*CC$4*CC11/100,0)</f>
        <v>0</v>
      </c>
      <c r="CD36" s="10" t="n">
        <f aca="false">MAX(Flows!CD66*CD$4*CD11/100,0)</f>
        <v>0</v>
      </c>
      <c r="CE36" s="10" t="n">
        <f aca="false">MAX(Flows!CE66*CE$4*CE11/100,0)</f>
        <v>0</v>
      </c>
      <c r="CF36" s="10" t="n">
        <f aca="false">MAX(Flows!CF66*CF$4*CF11/100,0)</f>
        <v>0</v>
      </c>
      <c r="CG36" s="10" t="n">
        <f aca="false">MAX(Flows!CG66*CG$4*CG11/100,0)</f>
        <v>0</v>
      </c>
      <c r="CH36" s="10" t="n">
        <f aca="false">MAX(Flows!CH66*CH$4*CH11/100,0)</f>
        <v>0</v>
      </c>
      <c r="CI36" s="10" t="n">
        <f aca="false">MAX(Flows!CI66*CI$4*CI11/100,0)</f>
        <v>0</v>
      </c>
      <c r="CJ36" s="10" t="n">
        <f aca="false">MAX(Flows!CJ66*CJ$4*CJ11/100,0)</f>
        <v>0</v>
      </c>
      <c r="CK36" s="10" t="n">
        <f aca="false">MAX(Flows!CK66*CK$4*CK11/100,0)</f>
        <v>0</v>
      </c>
      <c r="CL36" s="7" t="s">
        <v>322</v>
      </c>
      <c r="CM36" s="10" t="n">
        <f aca="false" t="array" ref="CM36:CM36">SUM(IF($C$150:$CK$150=CM$30,$C36:$CK36,0),IF($C$150:$CK$150=CM$30,-$C96:$CK96,0))</f>
        <v>28958284.2353662</v>
      </c>
      <c r="CN36" s="10" t="n">
        <f aca="false" t="array" ref="CN36:CN36">SUM(IF($C$150:$CK$150=CN$30,$C36:$CK36,0),IF($C$150:$CK$150=CN$30,-$C96:$CK96,0))</f>
        <v>-33091237.228556</v>
      </c>
      <c r="CO36" s="10" t="n">
        <f aca="false" t="array" ref="CO36:CO36">SUM(IF($C$150:$CK$150=CO$30,$C36:$CK36,0),IF($C$150:$CK$150=CO$30,-$C96:$CK96,0))</f>
        <v>13905905.9556391</v>
      </c>
      <c r="CP36" s="10" t="n">
        <f aca="false" t="array" ref="CP36:CP36">SUM(IF($C$150:$CK$150=CP$30,$C36:$CK36,0),IF($C$150:$CK$150=CP$30,-$C96:$CK96,0))</f>
        <v>-14500521.059159</v>
      </c>
      <c r="CQ36" s="10" t="n">
        <f aca="false" t="array" ref="CQ36:CQ36">SUM(IF($C$150:$CK$150=CQ$30,$C36:$CK36,0),IF($C$150:$CK$150=CQ$30,-$C96:$CK96,0))</f>
        <v>7148474.48119959</v>
      </c>
      <c r="CR36" s="10" t="n">
        <f aca="false" t="array" ref="CR36:CR36">SUM(IF($C$150:$CK$150=CR$30,$C36:$CK36,0),IF($C$150:$CK$150=CR$30,-$C96:$CK96,0))</f>
        <v>-5839940902579080</v>
      </c>
      <c r="CS36" s="10" t="n">
        <f aca="false" t="array" ref="CS36:CS36">SUM(IF($C$150:$CK$150=CS$30,$C36:$CK36,0),IF($C$150:$CK$150=CS$30,-$C96:$CK96,0))</f>
        <v>2490638.1738976</v>
      </c>
      <c r="CT36" s="10" t="n">
        <f aca="false" t="array" ref="CT36:CT36">SUM(IF($C$150:$CK$150=CT$30,$C36:$CK36,0),IF($C$150:$CK$150=CT$30,-$C96:$CK96,0))</f>
        <v>-1684472.28494537</v>
      </c>
      <c r="CU36" s="10" t="n">
        <f aca="false" t="array" ref="CU36:CU36">SUM(IF($C$150:$CK$150=CU$30,$C36:$CK36,0),IF($C$150:$CK$150=CU$30,-$C96:$CK96,0))</f>
        <v>87242672.4270438</v>
      </c>
      <c r="CV36" s="10" t="n">
        <f aca="false" t="array" ref="CV36:CV36">SUM(IF($C$150:$CK$150=CV$30,$C36:$CK36,0),IF($C$150:$CK$150=CV$30,-$C96:$CK96,0))</f>
        <v>-618516.012300212</v>
      </c>
      <c r="CX36" s="0" t="str">
        <f aca="false">INDEX($C$1:$CK$1,MATCH(LARGE($C36:$CK36,1),$C36:$CK36,0))</f>
        <v>Wax (lb)</v>
      </c>
      <c r="CY36" s="0" t="str">
        <f aca="false">INDEX($C$1:$CK$1,MATCH(LARGE($C36:$CK36,2),$C36:$CK36,0))</f>
        <v>Honey (lb)</v>
      </c>
      <c r="CZ36" s="0" t="str">
        <f aca="false">INDEX($C$1:$CK$1,MATCH(LARGE($C36:$CK36,3),$C36:$CK36,0))</f>
        <v>Sauce (lb)</v>
      </c>
      <c r="DA36" s="0" t="str">
        <f aca="false">INDEX($C$1:$CK$1,MATCH(LARGE($C36:$CK36,4),$C36:$CK36,0))</f>
        <v>Nunives (lb)</v>
      </c>
      <c r="DB36" s="0" t="str">
        <f aca="false">INDEX($C$1:$CK$1,MATCH(LARGE($C36:$CK36,5),$C36:$CK36,0))</f>
        <v>Jingla (lb)</v>
      </c>
      <c r="DD36" s="0" t="str">
        <f aca="false">IF(LARGE($CM36:$CV36,1)&gt;0,INDEX($CM$30:$CV$30,MATCH(LARGE($CM36:$CV36,1),$CM36:$CV36,0)),"N/A")</f>
        <v>Honey</v>
      </c>
      <c r="DE36" s="0" t="str">
        <f aca="false">IF(LARGE($CM36:$CV36,2)&gt;0,INDEX($CM$30:$CV$30,MATCH(LARGE($CM36:$CV36,2),$CM36:$CV36,0)),"N/A")</f>
        <v>Produce</v>
      </c>
      <c r="DF36" s="0" t="str">
        <f aca="false">IF(LARGE($CM36:$CV36,3)&gt;0,INDEX($CM$30:$CV$30,MATCH(LARGE($CM36:$CV36,3),$CM36:$CV36,0)),"N/A")</f>
        <v>Food Prod</v>
      </c>
      <c r="DG36" s="0" t="str">
        <f aca="false">IF(LARGE($CM36:$CV36,4)&gt;0,INDEX($CM$30:$CV$30,MATCH(LARGE($CM36:$CV36,4),$CM36:$CV36,0)),"N/A")</f>
        <v>Tools</v>
      </c>
      <c r="DH36" s="0" t="str">
        <f aca="false">IF(LARGE($CM36:$CV36,5)&gt;0,INDEX($CM$30:$CV$30,MATCH(LARGE($CM36:$CV36,5),$CM36:$CV36,0)),"N/A")</f>
        <v>Wood</v>
      </c>
    </row>
    <row r="37" customFormat="false" ht="12.8" hidden="false" customHeight="false" outlineLevel="0" collapsed="false">
      <c r="A37" s="7" t="s">
        <v>141</v>
      </c>
      <c r="B37" s="7" t="s">
        <v>39</v>
      </c>
      <c r="C37" s="10" t="n">
        <f aca="false">MAX(Flows!C67*C$4*C12/100,0)</f>
        <v>0</v>
      </c>
      <c r="D37" s="10" t="n">
        <f aca="false">MAX(Flows!D67*D$4*D12/100,0)</f>
        <v>0</v>
      </c>
      <c r="E37" s="10" t="n">
        <f aca="false">MAX(Flows!E67*E$4*E12/100,0)</f>
        <v>0</v>
      </c>
      <c r="F37" s="10" t="n">
        <f aca="false">MAX(Flows!F67*F$4*F12/100,0)</f>
        <v>0</v>
      </c>
      <c r="G37" s="10" t="n">
        <f aca="false">MAX(Flows!G67*G$4*G12/100,0)</f>
        <v>0</v>
      </c>
      <c r="H37" s="10" t="n">
        <f aca="false">MAX(Flows!H67*H$4*H12/100,0)</f>
        <v>0</v>
      </c>
      <c r="I37" s="10" t="n">
        <f aca="false">MAX(Flows!I67*I$4*I12/100,0)</f>
        <v>37938084.2417311</v>
      </c>
      <c r="J37" s="10" t="n">
        <f aca="false">MAX(Flows!J67*J$4*J12/100,0)</f>
        <v>52565021.0334311</v>
      </c>
      <c r="K37" s="10" t="n">
        <f aca="false">MAX(Flows!K67*K$4*K12/100,0)</f>
        <v>0</v>
      </c>
      <c r="L37" s="10" t="n">
        <f aca="false">MAX(Flows!L67*L$4*L12/100,0)</f>
        <v>0</v>
      </c>
      <c r="M37" s="10" t="n">
        <f aca="false">MAX(Flows!M67*M$4*M12/100,0)</f>
        <v>0</v>
      </c>
      <c r="N37" s="10" t="n">
        <f aca="false">MAX(Flows!N67*N$4*N12/100,0)</f>
        <v>0</v>
      </c>
      <c r="O37" s="10" t="n">
        <f aca="false">MAX(Flows!O67*O$4*O12/100,0)</f>
        <v>0</v>
      </c>
      <c r="P37" s="10" t="n">
        <f aca="false">MAX(Flows!P67*P$4*P12/100,0)</f>
        <v>0</v>
      </c>
      <c r="Q37" s="10" t="n">
        <f aca="false">MAX(Flows!Q67*Q$4*Q12/100,0)</f>
        <v>0</v>
      </c>
      <c r="R37" s="10" t="n">
        <f aca="false">MAX(Flows!R67*R$4*R12/100,0)</f>
        <v>0</v>
      </c>
      <c r="S37" s="10" t="n">
        <f aca="false">MAX(Flows!S67*S$4*S12/100,0)</f>
        <v>0</v>
      </c>
      <c r="T37" s="10" t="n">
        <f aca="false">MAX(Flows!T67*T$4*T12/100,0)</f>
        <v>0</v>
      </c>
      <c r="U37" s="10" t="n">
        <f aca="false">MAX(Flows!U67*U$4*U12/100,0)</f>
        <v>0</v>
      </c>
      <c r="V37" s="10" t="n">
        <f aca="false">MAX(Flows!V67*V$4*V12/100,0)</f>
        <v>0</v>
      </c>
      <c r="W37" s="10" t="n">
        <f aca="false">MAX(Flows!W67*W$4*W12/100,0)</f>
        <v>0</v>
      </c>
      <c r="X37" s="10" t="n">
        <f aca="false">MAX(Flows!X67*X$4*X12/100,0)</f>
        <v>31036583.8192818</v>
      </c>
      <c r="Y37" s="10" t="n">
        <f aca="false">MAX(Flows!Y67*Y$4*Y12/100,0)</f>
        <v>0</v>
      </c>
      <c r="Z37" s="10" t="n">
        <f aca="false">MAX(Flows!Z67*Z$4*Z12/100,0)</f>
        <v>754729.469683327</v>
      </c>
      <c r="AA37" s="10" t="n">
        <f aca="false">MAX(Flows!AA67*AA$4*AA12/100,0)</f>
        <v>0</v>
      </c>
      <c r="AB37" s="10" t="n">
        <f aca="false">MAX(Flows!AB67*AB$4*AB12/100,0)</f>
        <v>0</v>
      </c>
      <c r="AC37" s="10" t="n">
        <f aca="false">MAX(Flows!AC67*AC$4*AC12/100,0)</f>
        <v>100801.508079062</v>
      </c>
      <c r="AD37" s="10" t="n">
        <f aca="false">MAX(Flows!AD67*AD$4*AD12/100,0)</f>
        <v>0</v>
      </c>
      <c r="AE37" s="10" t="n">
        <f aca="false">MAX(Flows!AE67*AE$4*AE12/100,0)</f>
        <v>0</v>
      </c>
      <c r="AF37" s="10" t="n">
        <f aca="false">MAX(Flows!AF67*AF$4*AF12/100,0)</f>
        <v>433944.491919235</v>
      </c>
      <c r="AG37" s="10" t="n">
        <f aca="false">MAX(Flows!AG67*AG$4*AG12/100,0)</f>
        <v>0</v>
      </c>
      <c r="AH37" s="10" t="n">
        <f aca="false">MAX(Flows!AH67*AH$4*AH12/100,0)</f>
        <v>0</v>
      </c>
      <c r="AI37" s="10" t="n">
        <f aca="false">MAX(Flows!AI67*AI$4*AI12/100,0)</f>
        <v>2897825.4110223</v>
      </c>
      <c r="AJ37" s="10" t="n">
        <f aca="false">MAX(Flows!AJ67*AJ$4*AJ12/100,0)</f>
        <v>2060533.4663252</v>
      </c>
      <c r="AK37" s="10" t="n">
        <f aca="false">MAX(Flows!AK67*AK$4*AK12/100,0)</f>
        <v>2858799.14048267</v>
      </c>
      <c r="AL37" s="10" t="n">
        <f aca="false">MAX(Flows!AL67*AL$4*AL12/100,0)</f>
        <v>4073555.36878804</v>
      </c>
      <c r="AM37" s="10" t="n">
        <f aca="false">MAX(Flows!AM67*AM$4*AM12/100,0)</f>
        <v>0</v>
      </c>
      <c r="AN37" s="10" t="n">
        <f aca="false">MAX(Flows!AN67*AN$4*AN12/100,0)</f>
        <v>2547454.58095386</v>
      </c>
      <c r="AO37" s="10" t="n">
        <f aca="false">MAX(Flows!AO67*AO$4*AO12/100,0)</f>
        <v>10931377.6358608</v>
      </c>
      <c r="AP37" s="10" t="n">
        <f aca="false">MAX(Flows!AP67*AP$4*AP12/100,0)</f>
        <v>0</v>
      </c>
      <c r="AQ37" s="10" t="n">
        <f aca="false">MAX(Flows!AQ67*AQ$4*AQ12/100,0)</f>
        <v>0</v>
      </c>
      <c r="AR37" s="10" t="n">
        <f aca="false">MAX(Flows!AR67*AR$4*AR12/100,0)</f>
        <v>0</v>
      </c>
      <c r="AS37" s="10" t="n">
        <f aca="false">MAX(Flows!AS67*AS$4*AS12/100,0)</f>
        <v>7632485.19542944</v>
      </c>
      <c r="AT37" s="10" t="n">
        <f aca="false">MAX(Flows!AT67*AT$4*AT12/100,0)</f>
        <v>2022313.92679448</v>
      </c>
      <c r="AU37" s="10" t="n">
        <f aca="false">MAX(Flows!AU67*AU$4*AU12/100,0)</f>
        <v>0</v>
      </c>
      <c r="AV37" s="10" t="n">
        <f aca="false">MAX(Flows!AV67*AV$4*AV12/100,0)</f>
        <v>0</v>
      </c>
      <c r="AW37" s="10" t="n">
        <f aca="false">MAX(Flows!AW67*AW$4*AW12/100,0)</f>
        <v>1661179.5076451</v>
      </c>
      <c r="AX37" s="10" t="n">
        <f aca="false">MAX(Flows!AX67*AX$4*AX12/100,0)</f>
        <v>0</v>
      </c>
      <c r="AY37" s="10" t="n">
        <f aca="false">MAX(Flows!AY67*AY$4*AY12/100,0)</f>
        <v>0</v>
      </c>
      <c r="AZ37" s="10" t="n">
        <f aca="false">MAX(Flows!AZ67*AZ$4*AZ12/100,0)</f>
        <v>0</v>
      </c>
      <c r="BA37" s="10" t="n">
        <f aca="false">MAX(Flows!BA67*BA$4*BA12/100,0)</f>
        <v>0</v>
      </c>
      <c r="BB37" s="10" t="n">
        <f aca="false">MAX(Flows!BB67*BB$4*BB12/100,0)</f>
        <v>0</v>
      </c>
      <c r="BC37" s="10" t="n">
        <f aca="false">MAX(Flows!BC67*BC$4*BC12/100,0)</f>
        <v>5155467.38480498</v>
      </c>
      <c r="BD37" s="10" t="n">
        <f aca="false">MAX(Flows!BD67*BD$4*BD12/100,0)</f>
        <v>1828632.49823585</v>
      </c>
      <c r="BE37" s="10" t="n">
        <f aca="false">MAX(Flows!BE67*BE$4*BE12/100,0)</f>
        <v>5563767.90441537</v>
      </c>
      <c r="BF37" s="10" t="n">
        <f aca="false">MAX(Flows!BF67*BF$4*BF12/100,0)</f>
        <v>42175655.3462644</v>
      </c>
      <c r="BG37" s="10" t="n">
        <f aca="false">MAX(Flows!BG67*BG$4*BG12/100,0)</f>
        <v>5630646.32704582</v>
      </c>
      <c r="BH37" s="10" t="n">
        <f aca="false">MAX(Flows!BH67*BH$4*BH12/100,0)</f>
        <v>4920565.98142336</v>
      </c>
      <c r="BI37" s="10" t="n">
        <f aca="false">MAX(Flows!BI67*BI$4*BI12/100,0)</f>
        <v>0</v>
      </c>
      <c r="BJ37" s="10" t="n">
        <f aca="false">MAX(Flows!BJ67*BJ$4*BJ12/100,0)</f>
        <v>0</v>
      </c>
      <c r="BK37" s="10" t="n">
        <f aca="false">MAX(Flows!BK67*BK$4*BK12/100,0)</f>
        <v>0</v>
      </c>
      <c r="BL37" s="10" t="n">
        <f aca="false">MAX(Flows!BL67*BL$4*BL12/100,0)</f>
        <v>0</v>
      </c>
      <c r="BM37" s="10" t="n">
        <f aca="false">MAX(Flows!BM67*BM$4*BM12/100,0)</f>
        <v>0</v>
      </c>
      <c r="BN37" s="10" t="n">
        <f aca="false">MAX(Flows!BN67*BN$4*BN12/100,0)</f>
        <v>0</v>
      </c>
      <c r="BO37" s="10" t="n">
        <f aca="false">MAX(Flows!BO67*BO$4*BO12/100,0)</f>
        <v>0</v>
      </c>
      <c r="BP37" s="10" t="n">
        <f aca="false">MAX(Flows!BP67*BP$4*BP12/100,0)</f>
        <v>0</v>
      </c>
      <c r="BQ37" s="10" t="n">
        <f aca="false">MAX(Flows!BQ67*BQ$4*BQ12/100,0)</f>
        <v>0</v>
      </c>
      <c r="BR37" s="10" t="n">
        <f aca="false">MAX(Flows!BR67*BR$4*BR12/100,0)</f>
        <v>0</v>
      </c>
      <c r="BS37" s="10" t="n">
        <f aca="false">MAX(Flows!BS67*BS$4*BS12/100,0)</f>
        <v>0</v>
      </c>
      <c r="BT37" s="10" t="n">
        <f aca="false">MAX(Flows!BT67*BT$4*BT12/100,0)</f>
        <v>0</v>
      </c>
      <c r="BU37" s="10" t="n">
        <f aca="false">MAX(Flows!BU67*BU$4*BU12/100,0)</f>
        <v>0</v>
      </c>
      <c r="BV37" s="10" t="n">
        <f aca="false">MAX(Flows!BV67*BV$4*BV12/100,0)</f>
        <v>0</v>
      </c>
      <c r="BW37" s="10" t="n">
        <f aca="false">MAX(Flows!BW67*BW$4*BW12/100,0)</f>
        <v>0</v>
      </c>
      <c r="BX37" s="10" t="n">
        <f aca="false">MAX(Flows!BX67*BX$4*BX12/100,0)</f>
        <v>0</v>
      </c>
      <c r="BY37" s="10" t="n">
        <f aca="false">MAX(Flows!BY67*BY$4*BY12/100,0)</f>
        <v>0</v>
      </c>
      <c r="BZ37" s="10" t="n">
        <f aca="false">MAX(Flows!BZ67*BZ$4*BZ12/100,0)</f>
        <v>0</v>
      </c>
      <c r="CA37" s="10" t="n">
        <f aca="false">MAX(Flows!CA67*CA$4*CA12/100,0)</f>
        <v>0</v>
      </c>
      <c r="CB37" s="10" t="n">
        <f aca="false">MAX(Flows!CB67*CB$4*CB12/100,0)</f>
        <v>0</v>
      </c>
      <c r="CC37" s="10" t="n">
        <f aca="false">MAX(Flows!CC67*CC$4*CC12/100,0)</f>
        <v>0</v>
      </c>
      <c r="CD37" s="10" t="n">
        <f aca="false">MAX(Flows!CD67*CD$4*CD12/100,0)</f>
        <v>0</v>
      </c>
      <c r="CE37" s="10" t="n">
        <f aca="false">MAX(Flows!CE67*CE$4*CE12/100,0)</f>
        <v>0</v>
      </c>
      <c r="CF37" s="10" t="n">
        <f aca="false">MAX(Flows!CF67*CF$4*CF12/100,0)</f>
        <v>0</v>
      </c>
      <c r="CG37" s="10" t="n">
        <f aca="false">MAX(Flows!CG67*CG$4*CG12/100,0)</f>
        <v>0</v>
      </c>
      <c r="CH37" s="10" t="n">
        <f aca="false">MAX(Flows!CH67*CH$4*CH12/100,0)</f>
        <v>0</v>
      </c>
      <c r="CI37" s="10" t="n">
        <f aca="false">MAX(Flows!CI67*CI$4*CI12/100,0)</f>
        <v>0</v>
      </c>
      <c r="CJ37" s="10" t="n">
        <f aca="false">MAX(Flows!CJ67*CJ$4*CJ12/100,0)</f>
        <v>0</v>
      </c>
      <c r="CK37" s="10" t="n">
        <f aca="false">MAX(Flows!CK67*CK$4*CK12/100,0)</f>
        <v>0</v>
      </c>
      <c r="CL37" s="7" t="s">
        <v>322</v>
      </c>
      <c r="CM37" s="10" t="n">
        <f aca="false" t="array" ref="CM37:CM37">SUM(IF($C$150:$CK$150=CM$30,$C37:$CK37,0),IF($C$150:$CK$150=CM$30,-$C97:$CK97,0))</f>
        <v>-1744529.0088085</v>
      </c>
      <c r="CN37" s="10" t="n">
        <f aca="false" t="array" ref="CN37:CN37">SUM(IF($C$150:$CK$150=CN$30,$C37:$CK37,0),IF($C$150:$CK$150=CN$30,-$C97:$CK97,0))</f>
        <v>-50017189.1426424</v>
      </c>
      <c r="CO37" s="10" t="n">
        <f aca="false" t="array" ref="CO37:CO37">SUM(IF($C$150:$CK$150=CO$30,$C37:$CK37,0),IF($C$150:$CK$150=CO$30,-$C97:$CK97,0))</f>
        <v>-212157307.912965</v>
      </c>
      <c r="CP37" s="10" t="n">
        <f aca="false" t="array" ref="CP37:CP37">SUM(IF($C$150:$CK$150=CP$30,$C37:$CK37,0),IF($C$150:$CK$150=CP$30,-$C97:$CK97,0))</f>
        <v>-5838809.99691507</v>
      </c>
      <c r="CQ37" s="10" t="n">
        <f aca="false" t="array" ref="CQ37:CQ37">SUM(IF($C$150:$CK$150=CQ$30,$C37:$CK37,0),IF($C$150:$CK$150=CQ$30,-$C97:$CK97,0))</f>
        <v>-50369892.0278751</v>
      </c>
      <c r="CR37" s="10" t="n">
        <f aca="false" t="array" ref="CR37:CR37">SUM(IF($C$150:$CK$150=CR$30,$C37:$CK37,0),IF($C$150:$CK$150=CR$30,-$C97:$CK97,0))</f>
        <v>-2165068464240170</v>
      </c>
      <c r="CS37" s="10" t="n">
        <f aca="false" t="array" ref="CS37:CS37">SUM(IF($C$150:$CK$150=CS$30,$C37:$CK37,0),IF($C$150:$CK$150=CS$30,-$C97:$CK97,0))</f>
        <v>-9597581.76074692</v>
      </c>
      <c r="CT37" s="10" t="n">
        <f aca="false" t="array" ref="CT37:CT37">SUM(IF($C$150:$CK$150=CT$30,$C37:$CK37,0),IF($C$150:$CK$150=CT$30,-$C97:$CK97,0))</f>
        <v>-5564142.8988066</v>
      </c>
      <c r="CU37" s="10" t="n">
        <f aca="false" t="array" ref="CU37:CU37">SUM(IF($C$150:$CK$150=CU$30,$C37:$CK37,0),IF($C$150:$CK$150=CU$30,-$C97:$CK97,0))</f>
        <v>90503105.2751622</v>
      </c>
      <c r="CV37" s="10" t="n">
        <f aca="false" t="array" ref="CV37:CV37">SUM(IF($C$150:$CK$150=CV$30,$C37:$CK37,0),IF($C$150:$CK$150=CV$30,-$C97:$CK97,0))</f>
        <v>-470265.77757962</v>
      </c>
      <c r="CX37" s="0" t="str">
        <f aca="false">INDEX($C$1:$CK$1,MATCH(LARGE($C37:$CK37,1),$C37:$CK37,0))</f>
        <v>Wax (lb)</v>
      </c>
      <c r="CY37" s="0" t="str">
        <f aca="false">INDEX($C$1:$CK$1,MATCH(LARGE($C37:$CK37,2),$C37:$CK37,0))</f>
        <v>Salt (lb)</v>
      </c>
      <c r="CZ37" s="0" t="str">
        <f aca="false">INDEX($C$1:$CK$1,MATCH(LARGE($C37:$CK37,3),$C37:$CK37,0))</f>
        <v>Honey (lb)</v>
      </c>
      <c r="DA37" s="0" t="str">
        <f aca="false">INDEX($C$1:$CK$1,MATCH(LARGE($C37:$CK37,4),$C37:$CK37,0))</f>
        <v>Chipak (lb)</v>
      </c>
      <c r="DB37" s="0" t="str">
        <f aca="false">INDEX($C$1:$CK$1,MATCH(LARGE($C37:$CK37,5),$C37:$CK37,0))</f>
        <v>Chainmail (ea)</v>
      </c>
      <c r="DD37" s="0" t="str">
        <f aca="false">IF(LARGE($CM37:$CV37,1)&gt;0,INDEX($CM$30:$CV$30,MATCH(LARGE($CM37:$CV37,1),$CM37:$CV37,0)),"N/A")</f>
        <v>Honey</v>
      </c>
      <c r="DE37" s="0" t="str">
        <f aca="false">IF(LARGE($CM37:$CV37,2)&gt;0,INDEX($CM$30:$CV$30,MATCH(LARGE($CM37:$CV37,2),$CM37:$CV37,0)),"N/A")</f>
        <v>N/A</v>
      </c>
      <c r="DF37" s="0" t="str">
        <f aca="false">IF(LARGE($CM37:$CV37,3)&gt;0,INDEX($CM$30:$CV$30,MATCH(LARGE($CM37:$CV37,3),$CM37:$CV37,0)),"N/A")</f>
        <v>N/A</v>
      </c>
      <c r="DG37" s="0" t="str">
        <f aca="false">IF(LARGE($CM37:$CV37,4)&gt;0,INDEX($CM$30:$CV$30,MATCH(LARGE($CM37:$CV37,4),$CM37:$CV37,0)),"N/A")</f>
        <v>N/A</v>
      </c>
      <c r="DH37" s="0" t="str">
        <f aca="false">IF(LARGE($CM37:$CV37,5)&gt;0,INDEX($CM$30:$CV$30,MATCH(LARGE($CM37:$CV37,5),$CM37:$CV37,0)),"N/A")</f>
        <v>N/A</v>
      </c>
    </row>
    <row r="38" customFormat="false" ht="12.8" hidden="false" customHeight="false" outlineLevel="0" collapsed="false">
      <c r="A38" s="7" t="s">
        <v>142</v>
      </c>
      <c r="B38" s="7" t="s">
        <v>39</v>
      </c>
      <c r="C38" s="10" t="n">
        <f aca="false">MAX(Flows!C68*C$4*C13/100,0)</f>
        <v>0</v>
      </c>
      <c r="D38" s="10" t="n">
        <f aca="false">MAX(Flows!D68*D$4*D13/100,0)</f>
        <v>0</v>
      </c>
      <c r="E38" s="10" t="n">
        <f aca="false">MAX(Flows!E68*E$4*E13/100,0)</f>
        <v>0</v>
      </c>
      <c r="F38" s="10" t="n">
        <f aca="false">MAX(Flows!F68*F$4*F13/100,0)</f>
        <v>0</v>
      </c>
      <c r="G38" s="10" t="n">
        <f aca="false">MAX(Flows!G68*G$4*G13/100,0)</f>
        <v>0</v>
      </c>
      <c r="H38" s="10" t="n">
        <f aca="false">MAX(Flows!H68*H$4*H13/100,0)</f>
        <v>0</v>
      </c>
      <c r="I38" s="10" t="n">
        <f aca="false">MAX(Flows!I68*I$4*I13/100,0)</f>
        <v>0</v>
      </c>
      <c r="J38" s="10" t="n">
        <f aca="false">MAX(Flows!J68*J$4*J13/100,0)</f>
        <v>63486455.8216264</v>
      </c>
      <c r="K38" s="10" t="n">
        <f aca="false">MAX(Flows!K68*K$4*K13/100,0)</f>
        <v>0</v>
      </c>
      <c r="L38" s="10" t="n">
        <f aca="false">MAX(Flows!L68*L$4*L13/100,0)</f>
        <v>0</v>
      </c>
      <c r="M38" s="10" t="n">
        <f aca="false">MAX(Flows!M68*M$4*M13/100,0)</f>
        <v>0</v>
      </c>
      <c r="N38" s="10" t="n">
        <f aca="false">MAX(Flows!N68*N$4*N13/100,0)</f>
        <v>0</v>
      </c>
      <c r="O38" s="10" t="n">
        <f aca="false">MAX(Flows!O68*O$4*O13/100,0)</f>
        <v>0</v>
      </c>
      <c r="P38" s="10" t="n">
        <f aca="false">MAX(Flows!P68*P$4*P13/100,0)</f>
        <v>0</v>
      </c>
      <c r="Q38" s="10" t="n">
        <f aca="false">MAX(Flows!Q68*Q$4*Q13/100,0)</f>
        <v>0</v>
      </c>
      <c r="R38" s="10" t="n">
        <f aca="false">MAX(Flows!R68*R$4*R13/100,0)</f>
        <v>0</v>
      </c>
      <c r="S38" s="10" t="n">
        <f aca="false">MAX(Flows!S68*S$4*S13/100,0)</f>
        <v>0</v>
      </c>
      <c r="T38" s="10" t="n">
        <f aca="false">MAX(Flows!T68*T$4*T13/100,0)</f>
        <v>0</v>
      </c>
      <c r="U38" s="10" t="n">
        <f aca="false">MAX(Flows!U68*U$4*U13/100,0)</f>
        <v>0</v>
      </c>
      <c r="V38" s="10" t="n">
        <f aca="false">MAX(Flows!V68*V$4*V13/100,0)</f>
        <v>0</v>
      </c>
      <c r="W38" s="10" t="n">
        <f aca="false">MAX(Flows!W68*W$4*W13/100,0)</f>
        <v>0</v>
      </c>
      <c r="X38" s="10" t="n">
        <f aca="false">MAX(Flows!X68*X$4*X13/100,0)</f>
        <v>0</v>
      </c>
      <c r="Y38" s="10" t="n">
        <f aca="false">MAX(Flows!Y68*Y$4*Y13/100,0)</f>
        <v>0</v>
      </c>
      <c r="Z38" s="10" t="n">
        <f aca="false">MAX(Flows!Z68*Z$4*Z13/100,0)</f>
        <v>0</v>
      </c>
      <c r="AA38" s="10" t="n">
        <f aca="false">MAX(Flows!AA68*AA$4*AA13/100,0)</f>
        <v>0</v>
      </c>
      <c r="AB38" s="10" t="n">
        <f aca="false">MAX(Flows!AB68*AB$4*AB13/100,0)</f>
        <v>0</v>
      </c>
      <c r="AC38" s="10" t="n">
        <f aca="false">MAX(Flows!AC68*AC$4*AC13/100,0)</f>
        <v>453331.630121458</v>
      </c>
      <c r="AD38" s="10" t="n">
        <f aca="false">MAX(Flows!AD68*AD$4*AD13/100,0)</f>
        <v>0</v>
      </c>
      <c r="AE38" s="10" t="n">
        <f aca="false">MAX(Flows!AE68*AE$4*AE13/100,0)</f>
        <v>0</v>
      </c>
      <c r="AF38" s="10" t="n">
        <f aca="false">MAX(Flows!AF68*AF$4*AF13/100,0)</f>
        <v>0</v>
      </c>
      <c r="AG38" s="10" t="n">
        <f aca="false">MAX(Flows!AG68*AG$4*AG13/100,0)</f>
        <v>0</v>
      </c>
      <c r="AH38" s="10" t="n">
        <f aca="false">MAX(Flows!AH68*AH$4*AH13/100,0)</f>
        <v>0</v>
      </c>
      <c r="AI38" s="10" t="n">
        <f aca="false">MAX(Flows!AI68*AI$4*AI13/100,0)</f>
        <v>5221509.99538401</v>
      </c>
      <c r="AJ38" s="10" t="n">
        <f aca="false">MAX(Flows!AJ68*AJ$4*AJ13/100,0)</f>
        <v>0</v>
      </c>
      <c r="AK38" s="10" t="n">
        <f aca="false">MAX(Flows!AK68*AK$4*AK13/100,0)</f>
        <v>0</v>
      </c>
      <c r="AL38" s="10" t="n">
        <f aca="false">MAX(Flows!AL68*AL$4*AL13/100,0)</f>
        <v>0</v>
      </c>
      <c r="AM38" s="10" t="n">
        <f aca="false">MAX(Flows!AM68*AM$4*AM13/100,0)</f>
        <v>0</v>
      </c>
      <c r="AN38" s="10" t="n">
        <f aca="false">MAX(Flows!AN68*AN$4*AN13/100,0)</f>
        <v>0</v>
      </c>
      <c r="AO38" s="10" t="n">
        <f aca="false">MAX(Flows!AO68*AO$4*AO13/100,0)</f>
        <v>0</v>
      </c>
      <c r="AP38" s="10" t="n">
        <f aca="false">MAX(Flows!AP68*AP$4*AP13/100,0)</f>
        <v>0</v>
      </c>
      <c r="AQ38" s="10" t="n">
        <f aca="false">MAX(Flows!AQ68*AQ$4*AQ13/100,0)</f>
        <v>0</v>
      </c>
      <c r="AR38" s="10" t="n">
        <f aca="false">MAX(Flows!AR68*AR$4*AR13/100,0)</f>
        <v>0</v>
      </c>
      <c r="AS38" s="10" t="n">
        <f aca="false">MAX(Flows!AS68*AS$4*AS13/100,0)</f>
        <v>0</v>
      </c>
      <c r="AT38" s="10" t="n">
        <f aca="false">MAX(Flows!AT68*AT$4*AT13/100,0)</f>
        <v>0</v>
      </c>
      <c r="AU38" s="10" t="n">
        <f aca="false">MAX(Flows!AU68*AU$4*AU13/100,0)</f>
        <v>0</v>
      </c>
      <c r="AV38" s="10" t="n">
        <f aca="false">MAX(Flows!AV68*AV$4*AV13/100,0)</f>
        <v>0</v>
      </c>
      <c r="AW38" s="10" t="n">
        <f aca="false">MAX(Flows!AW68*AW$4*AW13/100,0)</f>
        <v>8994016.83352499</v>
      </c>
      <c r="AX38" s="10" t="n">
        <f aca="false">MAX(Flows!AX68*AX$4*AX13/100,0)</f>
        <v>0</v>
      </c>
      <c r="AY38" s="10" t="n">
        <f aca="false">MAX(Flows!AY68*AY$4*AY13/100,0)</f>
        <v>4579610.9930659</v>
      </c>
      <c r="AZ38" s="10" t="n">
        <f aca="false">MAX(Flows!AZ68*AZ$4*AZ13/100,0)</f>
        <v>2896026.80318326</v>
      </c>
      <c r="BA38" s="10" t="n">
        <f aca="false">MAX(Flows!BA68*BA$4*BA13/100,0)</f>
        <v>0</v>
      </c>
      <c r="BB38" s="10" t="n">
        <f aca="false">MAX(Flows!BB68*BB$4*BB13/100,0)</f>
        <v>0</v>
      </c>
      <c r="BC38" s="10" t="n">
        <f aca="false">MAX(Flows!BC68*BC$4*BC13/100,0)</f>
        <v>0</v>
      </c>
      <c r="BD38" s="10" t="n">
        <f aca="false">MAX(Flows!BD68*BD$4*BD13/100,0)</f>
        <v>0</v>
      </c>
      <c r="BE38" s="10" t="n">
        <f aca="false">MAX(Flows!BE68*BE$4*BE13/100,0)</f>
        <v>0</v>
      </c>
      <c r="BF38" s="10" t="n">
        <f aca="false">MAX(Flows!BF68*BF$4*BF13/100,0)</f>
        <v>0</v>
      </c>
      <c r="BG38" s="10" t="n">
        <f aca="false">MAX(Flows!BG68*BG$4*BG13/100,0)</f>
        <v>0</v>
      </c>
      <c r="BH38" s="10" t="n">
        <f aca="false">MAX(Flows!BH68*BH$4*BH13/100,0)</f>
        <v>0</v>
      </c>
      <c r="BI38" s="10" t="n">
        <f aca="false">MAX(Flows!BI68*BI$4*BI13/100,0)</f>
        <v>0</v>
      </c>
      <c r="BJ38" s="10" t="n">
        <f aca="false">MAX(Flows!BJ68*BJ$4*BJ13/100,0)</f>
        <v>0</v>
      </c>
      <c r="BK38" s="10" t="n">
        <f aca="false">MAX(Flows!BK68*BK$4*BK13/100,0)</f>
        <v>0</v>
      </c>
      <c r="BL38" s="10" t="n">
        <f aca="false">MAX(Flows!BL68*BL$4*BL13/100,0)</f>
        <v>0</v>
      </c>
      <c r="BM38" s="10" t="n">
        <f aca="false">MAX(Flows!BM68*BM$4*BM13/100,0)</f>
        <v>0</v>
      </c>
      <c r="BN38" s="10" t="n">
        <f aca="false">MAX(Flows!BN68*BN$4*BN13/100,0)</f>
        <v>0</v>
      </c>
      <c r="BO38" s="10" t="n">
        <f aca="false">MAX(Flows!BO68*BO$4*BO13/100,0)</f>
        <v>1769568.39491796</v>
      </c>
      <c r="BP38" s="10" t="n">
        <f aca="false">MAX(Flows!BP68*BP$4*BP13/100,0)</f>
        <v>7078274.73174162</v>
      </c>
      <c r="BQ38" s="10" t="n">
        <f aca="false">MAX(Flows!BQ68*BQ$4*BQ13/100,0)</f>
        <v>0</v>
      </c>
      <c r="BR38" s="10" t="n">
        <f aca="false">MAX(Flows!BR68*BR$4*BR13/100,0)</f>
        <v>1769567.81390295</v>
      </c>
      <c r="BS38" s="10" t="n">
        <f aca="false">MAX(Flows!BS68*BS$4*BS13/100,0)</f>
        <v>1769566.94238044</v>
      </c>
      <c r="BT38" s="10" t="n">
        <f aca="false">MAX(Flows!BT68*BT$4*BT13/100,0)</f>
        <v>0</v>
      </c>
      <c r="BU38" s="10" t="n">
        <f aca="false">MAX(Flows!BU68*BU$4*BU13/100,0)</f>
        <v>0</v>
      </c>
      <c r="BV38" s="10" t="n">
        <f aca="false">MAX(Flows!BV68*BV$4*BV13/100,0)</f>
        <v>0</v>
      </c>
      <c r="BW38" s="10" t="n">
        <f aca="false">MAX(Flows!BW68*BW$4*BW13/100,0)</f>
        <v>0</v>
      </c>
      <c r="BX38" s="10" t="n">
        <f aca="false">MAX(Flows!BX68*BX$4*BX13/100,0)</f>
        <v>0</v>
      </c>
      <c r="BY38" s="10" t="n">
        <f aca="false">MAX(Flows!BY68*BY$4*BY13/100,0)</f>
        <v>0</v>
      </c>
      <c r="BZ38" s="10" t="n">
        <f aca="false">MAX(Flows!BZ68*BZ$4*BZ13/100,0)</f>
        <v>0</v>
      </c>
      <c r="CA38" s="10" t="n">
        <f aca="false">MAX(Flows!CA68*CA$4*CA13/100,0)</f>
        <v>0</v>
      </c>
      <c r="CB38" s="10" t="n">
        <f aca="false">MAX(Flows!CB68*CB$4*CB13/100,0)</f>
        <v>0</v>
      </c>
      <c r="CC38" s="10" t="n">
        <f aca="false">MAX(Flows!CC68*CC$4*CC13/100,0)</f>
        <v>0</v>
      </c>
      <c r="CD38" s="10" t="n">
        <f aca="false">MAX(Flows!CD68*CD$4*CD13/100,0)</f>
        <v>0</v>
      </c>
      <c r="CE38" s="10" t="n">
        <f aca="false">MAX(Flows!CE68*CE$4*CE13/100,0)</f>
        <v>0</v>
      </c>
      <c r="CF38" s="10" t="n">
        <f aca="false">MAX(Flows!CF68*CF$4*CF13/100,0)</f>
        <v>0</v>
      </c>
      <c r="CG38" s="10" t="n">
        <f aca="false">MAX(Flows!CG68*CG$4*CG13/100,0)</f>
        <v>1769510.5839245</v>
      </c>
      <c r="CH38" s="10" t="n">
        <f aca="false">MAX(Flows!CH68*CH$4*CH13/100,0)</f>
        <v>1769510.5839245</v>
      </c>
      <c r="CI38" s="10" t="n">
        <f aca="false">MAX(Flows!CI68*CI$4*CI13/100,0)</f>
        <v>0</v>
      </c>
      <c r="CJ38" s="10" t="n">
        <f aca="false">MAX(Flows!CJ68*CJ$4*CJ13/100,0)</f>
        <v>0</v>
      </c>
      <c r="CK38" s="10" t="n">
        <f aca="false">MAX(Flows!CK68*CK$4*CK13/100,0)</f>
        <v>0</v>
      </c>
      <c r="CL38" s="7" t="s">
        <v>322</v>
      </c>
      <c r="CM38" s="10" t="n">
        <f aca="false" t="array" ref="CM38:CM38">SUM(IF($C$150:$CK$150=CM$30,$C38:$CK38,0),IF($C$150:$CK$150=CM$30,-$C98:$CK98,0))</f>
        <v>-450241968.695631</v>
      </c>
      <c r="CN38" s="10" t="n">
        <f aca="false" t="array" ref="CN38:CN38">SUM(IF($C$150:$CK$150=CN$30,$C38:$CK38,0),IF($C$150:$CK$150=CN$30,-$C98:$CK98,0))</f>
        <v>-385046816.650809</v>
      </c>
      <c r="CO38" s="10" t="n">
        <f aca="false" t="array" ref="CO38:CO38">SUM(IF($C$150:$CK$150=CO$30,$C38:$CK38,0),IF($C$150:$CK$150=CO$30,-$C98:$CK98,0))</f>
        <v>-1067246077.95223</v>
      </c>
      <c r="CP38" s="10" t="n">
        <f aca="false" t="array" ref="CP38:CP38">SUM(IF($C$150:$CK$150=CP$30,$C38:$CK38,0),IF($C$150:$CK$150=CP$30,-$C98:$CK98,0))</f>
        <v>-139718239.660503</v>
      </c>
      <c r="CQ38" s="10" t="n">
        <f aca="false" t="array" ref="CQ38:CQ38">SUM(IF($C$150:$CK$150=CQ$30,$C38:$CK38,0),IF($C$150:$CK$150=CQ$30,-$C98:$CK98,0))</f>
        <v>-472685635.311984</v>
      </c>
      <c r="CR38" s="10" t="n">
        <f aca="false" t="array" ref="CR38:CR38">SUM(IF($C$150:$CK$150=CR$30,$C38:$CK38,0),IF($C$150:$CK$150=CR$30,-$C98:$CK98,0))</f>
        <v>-54065089.9451375</v>
      </c>
      <c r="CS38" s="10" t="n">
        <f aca="false" t="array" ref="CS38:CS38">SUM(IF($C$150:$CK$150=CS$30,$C38:$CK38,0),IF($C$150:$CK$150=CS$30,-$C98:$CK98,0))</f>
        <v>-88626951.7590648</v>
      </c>
      <c r="CT38" s="10" t="n">
        <f aca="false" t="array" ref="CT38:CT38">SUM(IF($C$150:$CK$150=CT$30,$C38:$CK38,0),IF($C$150:$CK$150=CT$30,-$C98:$CK98,0))</f>
        <v>-28647603.9753802</v>
      </c>
      <c r="CU38" s="10" t="n">
        <f aca="false" t="array" ref="CU38:CU38">SUM(IF($C$150:$CK$150=CU$30,$C38:$CK38,0),IF($C$150:$CK$150=CU$30,-$C98:$CK98,0))</f>
        <v>43427208.9370532</v>
      </c>
      <c r="CV38" s="10" t="n">
        <f aca="false" t="array" ref="CV38:CV38">SUM(IF($C$150:$CK$150=CV$30,$C38:$CK38,0),IF($C$150:$CK$150=CV$30,-$C98:$CK98,0))</f>
        <v>-729894.58381726</v>
      </c>
      <c r="CX38" s="0" t="str">
        <f aca="false">INDEX($C$1:$CK$1,MATCH(LARGE($C38:$CK38,1),$C38:$CK38,0))</f>
        <v>Wax (lb)</v>
      </c>
      <c r="CY38" s="0" t="str">
        <f aca="false">INDEX($C$1:$CK$1,MATCH(LARGE($C38:$CK38,2),$C38:$CK38,0))</f>
        <v>Thread (Kyd)</v>
      </c>
      <c r="CZ38" s="0" t="str">
        <f aca="false">INDEX($C$1:$CK$1,MATCH(LARGE($C38:$CK38,3),$C38:$CK38,0))</f>
        <v>Iron (lb)</v>
      </c>
      <c r="DA38" s="0" t="str">
        <f aca="false">INDEX($C$1:$CK$1,MATCH(LARGE($C38:$CK38,4),$C38:$CK38,0))</f>
        <v>Auger (ea)</v>
      </c>
      <c r="DB38" s="0" t="str">
        <f aca="false">INDEX($C$1:$CK$1,MATCH(LARGE($C38:$CK38,5),$C38:$CK38,0))</f>
        <v>Silk Cloth (yd)</v>
      </c>
      <c r="DD38" s="0" t="str">
        <f aca="false">IF(LARGE($CM38:$CV38,1)&gt;0,INDEX($CM$30:$CV$30,MATCH(LARGE($CM38:$CV38,1),$CM38:$CV38,0)),"N/A")</f>
        <v>Honey</v>
      </c>
      <c r="DE38" s="0" t="str">
        <f aca="false">IF(LARGE($CM38:$CV38,2)&gt;0,INDEX($CM$30:$CV$30,MATCH(LARGE($CM38:$CV38,2),$CM38:$CV38,0)),"N/A")</f>
        <v>N/A</v>
      </c>
      <c r="DF38" s="0" t="str">
        <f aca="false">IF(LARGE($CM38:$CV38,3)&gt;0,INDEX($CM$30:$CV$30,MATCH(LARGE($CM38:$CV38,3),$CM38:$CV38,0)),"N/A")</f>
        <v>N/A</v>
      </c>
      <c r="DG38" s="0" t="str">
        <f aca="false">IF(LARGE($CM38:$CV38,4)&gt;0,INDEX($CM$30:$CV$30,MATCH(LARGE($CM38:$CV38,4),$CM38:$CV38,0)),"N/A")</f>
        <v>N/A</v>
      </c>
      <c r="DH38" s="0" t="str">
        <f aca="false">IF(LARGE($CM38:$CV38,5)&gt;0,INDEX($CM$30:$CV$30,MATCH(LARGE($CM38:$CV38,5),$CM38:$CV38,0)),"N/A")</f>
        <v>N/A</v>
      </c>
    </row>
    <row r="39" customFormat="false" ht="12.8" hidden="false" customHeight="false" outlineLevel="0" collapsed="false">
      <c r="A39" s="7" t="s">
        <v>143</v>
      </c>
      <c r="B39" s="7" t="s">
        <v>39</v>
      </c>
      <c r="C39" s="10" t="n">
        <f aca="false">MAX(Flows!C69*C$4*C14/100,0)</f>
        <v>21259843.2426681</v>
      </c>
      <c r="D39" s="10" t="n">
        <f aca="false">MAX(Flows!D69*D$4*D14/100,0)</f>
        <v>36867946.5655153</v>
      </c>
      <c r="E39" s="10" t="n">
        <f aca="false">MAX(Flows!E69*E$4*E14/100,0)</f>
        <v>19072496.0113723</v>
      </c>
      <c r="F39" s="10" t="n">
        <f aca="false">MAX(Flows!F69*F$4*F14/100,0)</f>
        <v>0</v>
      </c>
      <c r="G39" s="10" t="n">
        <f aca="false">MAX(Flows!G69*G$4*G14/100,0)</f>
        <v>27585555.2395577</v>
      </c>
      <c r="H39" s="10" t="n">
        <f aca="false">MAX(Flows!H69*H$4*H14/100,0)</f>
        <v>0</v>
      </c>
      <c r="I39" s="10" t="n">
        <f aca="false">MAX(Flows!I69*I$4*I14/100,0)</f>
        <v>37972357.2578549</v>
      </c>
      <c r="J39" s="10" t="n">
        <f aca="false">MAX(Flows!J69*J$4*J14/100,0)</f>
        <v>0</v>
      </c>
      <c r="K39" s="10" t="n">
        <f aca="false">MAX(Flows!K69*K$4*K14/100,0)</f>
        <v>0</v>
      </c>
      <c r="L39" s="10" t="n">
        <f aca="false">MAX(Flows!L69*L$4*L14/100,0)</f>
        <v>0</v>
      </c>
      <c r="M39" s="10" t="n">
        <f aca="false">MAX(Flows!M69*M$4*M14/100,0)</f>
        <v>0</v>
      </c>
      <c r="N39" s="10" t="n">
        <f aca="false">MAX(Flows!N69*N$4*N14/100,0)</f>
        <v>28033945.7252717</v>
      </c>
      <c r="O39" s="10" t="n">
        <f aca="false">MAX(Flows!O69*O$4*O14/100,0)</f>
        <v>0</v>
      </c>
      <c r="P39" s="10" t="n">
        <f aca="false">MAX(Flows!P69*P$4*P14/100,0)</f>
        <v>0</v>
      </c>
      <c r="Q39" s="10" t="n">
        <f aca="false">MAX(Flows!Q69*Q$4*Q14/100,0)</f>
        <v>20538845.9228973</v>
      </c>
      <c r="R39" s="10" t="n">
        <f aca="false">MAX(Flows!R69*R$4*R14/100,0)</f>
        <v>23694713.6506317</v>
      </c>
      <c r="S39" s="10" t="n">
        <f aca="false">MAX(Flows!S69*S$4*S14/100,0)</f>
        <v>0</v>
      </c>
      <c r="T39" s="10" t="n">
        <f aca="false">MAX(Flows!T69*T$4*T14/100,0)</f>
        <v>0</v>
      </c>
      <c r="U39" s="10" t="n">
        <f aca="false">MAX(Flows!U69*U$4*U14/100,0)</f>
        <v>0</v>
      </c>
      <c r="V39" s="10" t="n">
        <f aca="false">MAX(Flows!V69*V$4*V14/100,0)</f>
        <v>26961424.8245414</v>
      </c>
      <c r="W39" s="10" t="n">
        <f aca="false">MAX(Flows!W69*W$4*W14/100,0)</f>
        <v>16900866.4952205</v>
      </c>
      <c r="X39" s="10" t="n">
        <f aca="false">MAX(Flows!X69*X$4*X14/100,0)</f>
        <v>5258938.09975942</v>
      </c>
      <c r="Y39" s="10" t="n">
        <f aca="false">MAX(Flows!Y69*Y$4*Y14/100,0)</f>
        <v>0</v>
      </c>
      <c r="Z39" s="10" t="n">
        <f aca="false">MAX(Flows!Z69*Z$4*Z14/100,0)</f>
        <v>378041.653164104</v>
      </c>
      <c r="AA39" s="10" t="n">
        <f aca="false">MAX(Flows!AA69*AA$4*AA14/100,0)</f>
        <v>24840.5855005135</v>
      </c>
      <c r="AB39" s="10" t="n">
        <f aca="false">MAX(Flows!AB69*AB$4*AB14/100,0)</f>
        <v>199570.618203333</v>
      </c>
      <c r="AC39" s="10" t="n">
        <f aca="false">MAX(Flows!AC69*AC$4*AC14/100,0)</f>
        <v>0</v>
      </c>
      <c r="AD39" s="10" t="n">
        <f aca="false">MAX(Flows!AD69*AD$4*AD14/100,0)</f>
        <v>99785.3091016667</v>
      </c>
      <c r="AE39" s="10" t="n">
        <f aca="false">MAX(Flows!AE69*AE$4*AE14/100,0)</f>
        <v>0</v>
      </c>
      <c r="AF39" s="10" t="n">
        <f aca="false">MAX(Flows!AF69*AF$4*AF14/100,0)</f>
        <v>1570884.97407891</v>
      </c>
      <c r="AG39" s="10" t="n">
        <f aca="false">MAX(Flows!AG69*AG$4*AG14/100,0)</f>
        <v>9246595.2743275</v>
      </c>
      <c r="AH39" s="10" t="n">
        <f aca="false">MAX(Flows!AH69*AH$4*AH14/100,0)</f>
        <v>2592475.74265519</v>
      </c>
      <c r="AI39" s="10" t="n">
        <f aca="false">MAX(Flows!AI69*AI$4*AI14/100,0)</f>
        <v>6539344.00501348</v>
      </c>
      <c r="AJ39" s="10" t="n">
        <f aca="false">MAX(Flows!AJ69*AJ$4*AJ14/100,0)</f>
        <v>7862965.56140698</v>
      </c>
      <c r="AK39" s="10" t="n">
        <f aca="false">MAX(Flows!AK69*AK$4*AK14/100,0)</f>
        <v>1979330.03269642</v>
      </c>
      <c r="AL39" s="10" t="n">
        <f aca="false">MAX(Flows!AL69*AL$4*AL14/100,0)</f>
        <v>3350352.32186594</v>
      </c>
      <c r="AM39" s="10" t="n">
        <f aca="false">MAX(Flows!AM69*AM$4*AM14/100,0)</f>
        <v>14085556.1873822</v>
      </c>
      <c r="AN39" s="10" t="n">
        <f aca="false">MAX(Flows!AN69*AN$4*AN14/100,0)</f>
        <v>0</v>
      </c>
      <c r="AO39" s="10" t="n">
        <f aca="false">MAX(Flows!AO69*AO$4*AO14/100,0)</f>
        <v>990024.920897923</v>
      </c>
      <c r="AP39" s="10" t="n">
        <f aca="false">MAX(Flows!AP69*AP$4*AP14/100,0)</f>
        <v>12967691.0853203</v>
      </c>
      <c r="AQ39" s="10" t="n">
        <f aca="false">MAX(Flows!AQ69*AQ$4*AQ14/100,0)</f>
        <v>2312515.04645861</v>
      </c>
      <c r="AR39" s="10" t="n">
        <f aca="false">MAX(Flows!AR69*AR$4*AR14/100,0)</f>
        <v>0</v>
      </c>
      <c r="AS39" s="10" t="n">
        <f aca="false">MAX(Flows!AS69*AS$4*AS14/100,0)</f>
        <v>6295039.94760212</v>
      </c>
      <c r="AT39" s="10" t="n">
        <f aca="false">MAX(Flows!AT69*AT$4*AT14/100,0)</f>
        <v>1316869.56951351</v>
      </c>
      <c r="AU39" s="10" t="n">
        <f aca="false">MAX(Flows!AU69*AU$4*AU14/100,0)</f>
        <v>11940379.3143109</v>
      </c>
      <c r="AV39" s="10" t="n">
        <f aca="false">MAX(Flows!AV69*AV$4*AV14/100,0)</f>
        <v>13737264.9051993</v>
      </c>
      <c r="AW39" s="10" t="n">
        <f aca="false">MAX(Flows!AW69*AW$4*AW14/100,0)</f>
        <v>0</v>
      </c>
      <c r="AX39" s="10" t="n">
        <f aca="false">MAX(Flows!AX69*AX$4*AX14/100,0)</f>
        <v>3572295.21795343</v>
      </c>
      <c r="AY39" s="10" t="n">
        <f aca="false">MAX(Flows!AY69*AY$4*AY14/100,0)</f>
        <v>0</v>
      </c>
      <c r="AZ39" s="10" t="n">
        <f aca="false">MAX(Flows!AZ69*AZ$4*AZ14/100,0)</f>
        <v>834833.202030506</v>
      </c>
      <c r="BA39" s="10" t="n">
        <f aca="false">MAX(Flows!BA69*BA$4*BA14/100,0)</f>
        <v>0</v>
      </c>
      <c r="BB39" s="10" t="n">
        <f aca="false">MAX(Flows!BB69*BB$4*BB14/100,0)</f>
        <v>55945.2822636716</v>
      </c>
      <c r="BC39" s="10" t="n">
        <f aca="false">MAX(Flows!BC69*BC$4*BC14/100,0)</f>
        <v>4981852.55531809</v>
      </c>
      <c r="BD39" s="10" t="n">
        <f aca="false">MAX(Flows!BD69*BD$4*BD14/100,0)</f>
        <v>4649289.06179181</v>
      </c>
      <c r="BE39" s="10" t="n">
        <f aca="false">MAX(Flows!BE69*BE$4*BE14/100,0)</f>
        <v>1681101.23176114</v>
      </c>
      <c r="BF39" s="10" t="n">
        <f aca="false">MAX(Flows!BF69*BF$4*BF14/100,0)</f>
        <v>38181793.6763255</v>
      </c>
      <c r="BG39" s="10" t="n">
        <f aca="false">MAX(Flows!BG69*BG$4*BG14/100,0)</f>
        <v>3974646.58695532</v>
      </c>
      <c r="BH39" s="10" t="n">
        <f aca="false">MAX(Flows!BH69*BH$4*BH14/100,0)</f>
        <v>972930.372627328</v>
      </c>
      <c r="BI39" s="10" t="n">
        <f aca="false">MAX(Flows!BI69*BI$4*BI14/100,0)</f>
        <v>11862245.5157972</v>
      </c>
      <c r="BJ39" s="10" t="n">
        <f aca="false">MAX(Flows!BJ69*BJ$4*BJ14/100,0)</f>
        <v>11862245.5157972</v>
      </c>
      <c r="BK39" s="10" t="n">
        <f aca="false">MAX(Flows!BK69*BK$4*BK14/100,0)</f>
        <v>11862245.5157972</v>
      </c>
      <c r="BL39" s="10" t="n">
        <f aca="false">MAX(Flows!BL69*BL$4*BL14/100,0)</f>
        <v>2053884.59228973</v>
      </c>
      <c r="BM39" s="10" t="n">
        <f aca="false">MAX(Flows!BM69*BM$4*BM14/100,0)</f>
        <v>2053884.59228973</v>
      </c>
      <c r="BN39" s="10" t="n">
        <f aca="false">MAX(Flows!BN69*BN$4*BN14/100,0)</f>
        <v>0</v>
      </c>
      <c r="BO39" s="10" t="n">
        <f aca="false">MAX(Flows!BO69*BO$4*BO14/100,0)</f>
        <v>0</v>
      </c>
      <c r="BP39" s="10" t="n">
        <f aca="false">MAX(Flows!BP69*BP$4*BP14/100,0)</f>
        <v>0</v>
      </c>
      <c r="BQ39" s="10" t="n">
        <f aca="false">MAX(Flows!BQ69*BQ$4*BQ14/100,0)</f>
        <v>0</v>
      </c>
      <c r="BR39" s="10" t="n">
        <f aca="false">MAX(Flows!BR69*BR$4*BR14/100,0)</f>
        <v>0</v>
      </c>
      <c r="BS39" s="10" t="n">
        <f aca="false">MAX(Flows!BS69*BS$4*BS14/100,0)</f>
        <v>0</v>
      </c>
      <c r="BT39" s="10" t="n">
        <f aca="false">MAX(Flows!BT69*BT$4*BT14/100,0)</f>
        <v>0</v>
      </c>
      <c r="BU39" s="10" t="n">
        <f aca="false">MAX(Flows!BU69*BU$4*BU14/100,0)</f>
        <v>0</v>
      </c>
      <c r="BV39" s="10" t="n">
        <f aca="false">MAX(Flows!BV69*BV$4*BV14/100,0)</f>
        <v>0</v>
      </c>
      <c r="BW39" s="10" t="n">
        <f aca="false">MAX(Flows!BW69*BW$4*BW14/100,0)</f>
        <v>0</v>
      </c>
      <c r="BX39" s="10" t="n">
        <f aca="false">MAX(Flows!BX69*BX$4*BX14/100,0)</f>
        <v>4107769.18457946</v>
      </c>
      <c r="BY39" s="10" t="n">
        <f aca="false">MAX(Flows!BY69*BY$4*BY14/100,0)</f>
        <v>4107769.18457946</v>
      </c>
      <c r="BZ39" s="10" t="n">
        <f aca="false">MAX(Flows!BZ69*BZ$4*BZ14/100,0)</f>
        <v>12589710.8504838</v>
      </c>
      <c r="CA39" s="10" t="n">
        <f aca="false">MAX(Flows!CA69*CA$4*CA14/100,0)</f>
        <v>12589710.8504838</v>
      </c>
      <c r="CB39" s="10" t="n">
        <f aca="false">MAX(Flows!CB69*CB$4*CB14/100,0)</f>
        <v>20538845.9228973</v>
      </c>
      <c r="CC39" s="10" t="n">
        <f aca="false">MAX(Flows!CC69*CC$4*CC14/100,0)</f>
        <v>593112.275789861</v>
      </c>
      <c r="CD39" s="10" t="n">
        <f aca="false">MAX(Flows!CD69*CD$4*CD14/100,0)</f>
        <v>0</v>
      </c>
      <c r="CE39" s="10" t="n">
        <f aca="false">MAX(Flows!CE69*CE$4*CE14/100,0)</f>
        <v>593112.275789861</v>
      </c>
      <c r="CF39" s="10" t="n">
        <f aca="false">MAX(Flows!CF69*CF$4*CF14/100,0)</f>
        <v>1816691.01378215</v>
      </c>
      <c r="CG39" s="10" t="n">
        <f aca="false">MAX(Flows!CG69*CG$4*CG14/100,0)</f>
        <v>0</v>
      </c>
      <c r="CH39" s="10" t="n">
        <f aca="false">MAX(Flows!CH69*CH$4*CH14/100,0)</f>
        <v>0</v>
      </c>
      <c r="CI39" s="10" t="n">
        <f aca="false">MAX(Flows!CI69*CI$4*CI14/100,0)</f>
        <v>10269422.9614487</v>
      </c>
      <c r="CJ39" s="10" t="n">
        <f aca="false">MAX(Flows!CJ69*CJ$4*CJ14/100,0)</f>
        <v>1026942.29614487</v>
      </c>
      <c r="CK39" s="10" t="n">
        <f aca="false">MAX(Flows!CK69*CK$4*CK14/100,0)</f>
        <v>1026942.29614486</v>
      </c>
      <c r="CL39" s="7" t="s">
        <v>322</v>
      </c>
      <c r="CM39" s="10" t="n">
        <f aca="false" t="array" ref="CM39:CM39">SUM(IF($C$150:$CK$150=CM$30,$C39:$CK39,0),IF($C$150:$CK$150=CM$30,-$C99:$CK99,0))</f>
        <v>116818881.641476</v>
      </c>
      <c r="CN39" s="10" t="n">
        <f aca="false" t="array" ref="CN39:CN39">SUM(IF($C$150:$CK$150=CN$30,$C39:$CK39,0),IF($C$150:$CK$150=CN$30,-$C99:$CK99,0))</f>
        <v>57089214.8327139</v>
      </c>
      <c r="CO39" s="10" t="n">
        <f aca="false" t="array" ref="CO39:CO39">SUM(IF($C$150:$CK$150=CO$30,$C39:$CK39,0),IF($C$150:$CK$150=CO$30,-$C99:$CK99,0))</f>
        <v>141756785.574654</v>
      </c>
      <c r="CP39" s="10" t="n">
        <f aca="false" t="array" ref="CP39:CP39">SUM(IF($C$150:$CK$150=CP$30,$C39:$CK39,0),IF($C$150:$CK$150=CP$30,-$C99:$CK99,0))</f>
        <v>19761606.1328001</v>
      </c>
      <c r="CQ39" s="10" t="n">
        <f aca="false" t="array" ref="CQ39:CQ39">SUM(IF($C$150:$CK$150=CQ$30,$C39:$CK39,0),IF($C$150:$CK$150=CQ$30,-$C99:$CK99,0))</f>
        <v>88363244.751612</v>
      </c>
      <c r="CR39" s="10" t="n">
        <f aca="false" t="array" ref="CR39:CR39">SUM(IF($C$150:$CK$150=CR$30,$C39:$CK39,0),IF($C$150:$CK$150=CR$30,-$C99:$CK99,0))</f>
        <v>-6218604320736950</v>
      </c>
      <c r="CS39" s="10" t="n">
        <f aca="false" t="array" ref="CS39:CS39">SUM(IF($C$150:$CK$150=CS$30,$C39:$CK39,0),IF($C$150:$CK$150=CS$30,-$C99:$CK99,0))</f>
        <v>15714015.7147787</v>
      </c>
      <c r="CT39" s="10" t="n">
        <f aca="false" t="array" ref="CT39:CT39">SUM(IF($C$150:$CK$150=CT$30,$C39:$CK39,0),IF($C$150:$CK$150=CT$30,-$C99:$CK99,0))</f>
        <v>3870575.60607189</v>
      </c>
      <c r="CU39" s="10" t="n">
        <f aca="false" t="array" ref="CU39:CU39">SUM(IF($C$150:$CK$150=CU$30,$C39:$CK39,0),IF($C$150:$CK$150=CU$30,-$C99:$CK99,0))</f>
        <v>37556148.8685319</v>
      </c>
      <c r="CV39" s="10" t="n">
        <f aca="false" t="array" ref="CV39:CV39">SUM(IF($C$150:$CK$150=CV$30,$C39:$CK39,0),IF($C$150:$CK$150=CV$30,-$C99:$CK99,0))</f>
        <v>299355.927305</v>
      </c>
      <c r="CX39" s="0" t="str">
        <f aca="false">INDEX($C$1:$CK$1,MATCH(LARGE($C39:$CK39,1),$C39:$CK39,0))</f>
        <v>Salt (lb)</v>
      </c>
      <c r="CY39" s="0" t="str">
        <f aca="false">INDEX($C$1:$CK$1,MATCH(LARGE($C39:$CK39,2),$C39:$CK39,0))</f>
        <v>Honey (lb)</v>
      </c>
      <c r="CZ39" s="0" t="str">
        <f aca="false">INDEX($C$1:$CK$1,MATCH(LARGE($C39:$CK39,3),$C39:$CK39,0))</f>
        <v>Jeet (lb)</v>
      </c>
      <c r="DA39" s="0" t="str">
        <f aca="false">INDEX($C$1:$CK$1,MATCH(LARGE($C39:$CK39,4),$C39:$CK39,0))</f>
        <v>Jingla (lb)</v>
      </c>
      <c r="DB39" s="0" t="str">
        <f aca="false">INDEX($C$1:$CK$1,MATCH(LARGE($C39:$CK39,5),$C39:$CK39,0))</f>
        <v>Nunives (lb)</v>
      </c>
      <c r="DD39" s="0" t="str">
        <f aca="false">IF(LARGE($CM39:$CV39,1)&gt;0,INDEX($CM$30:$CV$30,MATCH(LARGE($CM39:$CV39,1),$CM39:$CV39,0)),"N/A")</f>
        <v>Food Prod</v>
      </c>
      <c r="DE39" s="0" t="str">
        <f aca="false">IF(LARGE($CM39:$CV39,2)&gt;0,INDEX($CM$30:$CV$30,MATCH(LARGE($CM39:$CV39,2),$CM39:$CV39,0)),"N/A")</f>
        <v>Produce</v>
      </c>
      <c r="DF39" s="0" t="str">
        <f aca="false">IF(LARGE($CM39:$CV39,3)&gt;0,INDEX($CM$30:$CV$30,MATCH(LARGE($CM39:$CV39,3),$CM39:$CV39,0)),"N/A")</f>
        <v>Tools</v>
      </c>
      <c r="DG39" s="0" t="str">
        <f aca="false">IF(LARGE($CM39:$CV39,4)&gt;0,INDEX($CM$30:$CV$30,MATCH(LARGE($CM39:$CV39,4),$CM39:$CV39,0)),"N/A")</f>
        <v>Animal</v>
      </c>
      <c r="DH39" s="0" t="str">
        <f aca="false">IF(LARGE($CM39:$CV39,5)&gt;0,INDEX($CM$30:$CV$30,MATCH(LARGE($CM39:$CV39,5),$CM39:$CV39,0)),"N/A")</f>
        <v>Honey</v>
      </c>
    </row>
    <row r="40" customFormat="false" ht="12.8" hidden="false" customHeight="false" outlineLevel="0" collapsed="false">
      <c r="A40" s="7" t="s">
        <v>144</v>
      </c>
      <c r="B40" s="7" t="s">
        <v>39</v>
      </c>
      <c r="C40" s="10" t="n">
        <f aca="false">MAX(Flows!C70*C$4*C15/100,0)</f>
        <v>0</v>
      </c>
      <c r="D40" s="10" t="n">
        <f aca="false">MAX(Flows!D70*D$4*D15/100,0)</f>
        <v>0</v>
      </c>
      <c r="E40" s="10" t="n">
        <f aca="false">MAX(Flows!E70*E$4*E15/100,0)</f>
        <v>0</v>
      </c>
      <c r="F40" s="10" t="n">
        <f aca="false">MAX(Flows!F70*F$4*F15/100,0)</f>
        <v>0</v>
      </c>
      <c r="G40" s="10" t="n">
        <f aca="false">MAX(Flows!G70*G$4*G15/100,0)</f>
        <v>0</v>
      </c>
      <c r="H40" s="10" t="n">
        <f aca="false">MAX(Flows!H70*H$4*H15/100,0)</f>
        <v>0</v>
      </c>
      <c r="I40" s="10" t="n">
        <f aca="false">MAX(Flows!I70*I$4*I15/100,0)</f>
        <v>17472709.9178822</v>
      </c>
      <c r="J40" s="10" t="n">
        <f aca="false">MAX(Flows!J70*J$4*J15/100,0)</f>
        <v>0</v>
      </c>
      <c r="K40" s="10" t="n">
        <f aca="false">MAX(Flows!K70*K$4*K15/100,0)</f>
        <v>0</v>
      </c>
      <c r="L40" s="10" t="n">
        <f aca="false">MAX(Flows!L70*L$4*L15/100,0)</f>
        <v>0</v>
      </c>
      <c r="M40" s="10" t="n">
        <f aca="false">MAX(Flows!M70*M$4*M15/100,0)</f>
        <v>0</v>
      </c>
      <c r="N40" s="10" t="n">
        <f aca="false">MAX(Flows!N70*N$4*N15/100,0)</f>
        <v>0</v>
      </c>
      <c r="O40" s="10" t="n">
        <f aca="false">MAX(Flows!O70*O$4*O15/100,0)</f>
        <v>0</v>
      </c>
      <c r="P40" s="10" t="n">
        <f aca="false">MAX(Flows!P70*P$4*P15/100,0)</f>
        <v>0</v>
      </c>
      <c r="Q40" s="10" t="n">
        <f aca="false">MAX(Flows!Q70*Q$4*Q15/100,0)</f>
        <v>0</v>
      </c>
      <c r="R40" s="10" t="n">
        <f aca="false">MAX(Flows!R70*R$4*R15/100,0)</f>
        <v>0</v>
      </c>
      <c r="S40" s="10" t="n">
        <f aca="false">MAX(Flows!S70*S$4*S15/100,0)</f>
        <v>0</v>
      </c>
      <c r="T40" s="10" t="n">
        <f aca="false">MAX(Flows!T70*T$4*T15/100,0)</f>
        <v>0</v>
      </c>
      <c r="U40" s="10" t="n">
        <f aca="false">MAX(Flows!U70*U$4*U15/100,0)</f>
        <v>0</v>
      </c>
      <c r="V40" s="10" t="n">
        <f aca="false">MAX(Flows!V70*V$4*V15/100,0)</f>
        <v>0</v>
      </c>
      <c r="W40" s="10" t="n">
        <f aca="false">MAX(Flows!W70*W$4*W15/100,0)</f>
        <v>0</v>
      </c>
      <c r="X40" s="10" t="n">
        <f aca="false">MAX(Flows!X70*X$4*X15/100,0)</f>
        <v>0</v>
      </c>
      <c r="Y40" s="10" t="n">
        <f aca="false">MAX(Flows!Y70*Y$4*Y15/100,0)</f>
        <v>0</v>
      </c>
      <c r="Z40" s="10" t="n">
        <f aca="false">MAX(Flows!Z70*Z$4*Z15/100,0)</f>
        <v>0</v>
      </c>
      <c r="AA40" s="10" t="n">
        <f aca="false">MAX(Flows!AA70*AA$4*AA15/100,0)</f>
        <v>0</v>
      </c>
      <c r="AB40" s="10" t="n">
        <f aca="false">MAX(Flows!AB70*AB$4*AB15/100,0)</f>
        <v>0</v>
      </c>
      <c r="AC40" s="10" t="n">
        <f aca="false">MAX(Flows!AC70*AC$4*AC15/100,0)</f>
        <v>417770.868820196</v>
      </c>
      <c r="AD40" s="10" t="n">
        <f aca="false">MAX(Flows!AD70*AD$4*AD15/100,0)</f>
        <v>0</v>
      </c>
      <c r="AE40" s="10" t="n">
        <f aca="false">MAX(Flows!AE70*AE$4*AE15/100,0)</f>
        <v>0</v>
      </c>
      <c r="AF40" s="10" t="n">
        <f aca="false">MAX(Flows!AF70*AF$4*AF15/100,0)</f>
        <v>0</v>
      </c>
      <c r="AG40" s="10" t="n">
        <f aca="false">MAX(Flows!AG70*AG$4*AG15/100,0)</f>
        <v>0</v>
      </c>
      <c r="AH40" s="10" t="n">
        <f aca="false">MAX(Flows!AH70*AH$4*AH15/100,0)</f>
        <v>4496617.90784379</v>
      </c>
      <c r="AI40" s="10" t="n">
        <f aca="false">MAX(Flows!AI70*AI$4*AI15/100,0)</f>
        <v>0</v>
      </c>
      <c r="AJ40" s="10" t="n">
        <f aca="false">MAX(Flows!AJ70*AJ$4*AJ15/100,0)</f>
        <v>0</v>
      </c>
      <c r="AK40" s="10" t="n">
        <f aca="false">MAX(Flows!AK70*AK$4*AK15/100,0)</f>
        <v>0</v>
      </c>
      <c r="AL40" s="10" t="n">
        <f aca="false">MAX(Flows!AL70*AL$4*AL15/100,0)</f>
        <v>0</v>
      </c>
      <c r="AM40" s="10" t="n">
        <f aca="false">MAX(Flows!AM70*AM$4*AM15/100,0)</f>
        <v>0</v>
      </c>
      <c r="AN40" s="10" t="n">
        <f aca="false">MAX(Flows!AN70*AN$4*AN15/100,0)</f>
        <v>0</v>
      </c>
      <c r="AO40" s="10" t="n">
        <f aca="false">MAX(Flows!AO70*AO$4*AO15/100,0)</f>
        <v>0</v>
      </c>
      <c r="AP40" s="10" t="n">
        <f aca="false">MAX(Flows!AP70*AP$4*AP15/100,0)</f>
        <v>0</v>
      </c>
      <c r="AQ40" s="10" t="n">
        <f aca="false">MAX(Flows!AQ70*AQ$4*AQ15/100,0)</f>
        <v>12735699.0195831</v>
      </c>
      <c r="AR40" s="10" t="n">
        <f aca="false">MAX(Flows!AR70*AR$4*AR15/100,0)</f>
        <v>0</v>
      </c>
      <c r="AS40" s="10" t="n">
        <f aca="false">MAX(Flows!AS70*AS$4*AS15/100,0)</f>
        <v>0</v>
      </c>
      <c r="AT40" s="10" t="n">
        <f aca="false">MAX(Flows!AT70*AT$4*AT15/100,0)</f>
        <v>0</v>
      </c>
      <c r="AU40" s="10" t="n">
        <f aca="false">MAX(Flows!AU70*AU$4*AU15/100,0)</f>
        <v>0</v>
      </c>
      <c r="AV40" s="10" t="n">
        <f aca="false">MAX(Flows!AV70*AV$4*AV15/100,0)</f>
        <v>5808151.39978612</v>
      </c>
      <c r="AW40" s="10" t="n">
        <f aca="false">MAX(Flows!AW70*AW$4*AW15/100,0)</f>
        <v>8109821.23095491</v>
      </c>
      <c r="AX40" s="10" t="n">
        <f aca="false">MAX(Flows!AX70*AX$4*AX15/100,0)</f>
        <v>0</v>
      </c>
      <c r="AY40" s="10" t="n">
        <f aca="false">MAX(Flows!AY70*AY$4*AY15/100,0)</f>
        <v>5671017.47971677</v>
      </c>
      <c r="AZ40" s="10" t="n">
        <f aca="false">MAX(Flows!AZ70*AZ$4*AZ15/100,0)</f>
        <v>4671247.08237734</v>
      </c>
      <c r="BA40" s="10" t="n">
        <f aca="false">MAX(Flows!BA70*BA$4*BA15/100,0)</f>
        <v>0</v>
      </c>
      <c r="BB40" s="10" t="n">
        <f aca="false">MAX(Flows!BB70*BB$4*BB15/100,0)</f>
        <v>5440099.87713893</v>
      </c>
      <c r="BC40" s="10" t="n">
        <f aca="false">MAX(Flows!BC70*BC$4*BC15/100,0)</f>
        <v>0</v>
      </c>
      <c r="BD40" s="10" t="n">
        <f aca="false">MAX(Flows!BD70*BD$4*BD15/100,0)</f>
        <v>0</v>
      </c>
      <c r="BE40" s="10" t="n">
        <f aca="false">MAX(Flows!BE70*BE$4*BE15/100,0)</f>
        <v>0</v>
      </c>
      <c r="BF40" s="10" t="n">
        <f aca="false">MAX(Flows!BF70*BF$4*BF15/100,0)</f>
        <v>0</v>
      </c>
      <c r="BG40" s="10" t="n">
        <f aca="false">MAX(Flows!BG70*BG$4*BG15/100,0)</f>
        <v>0</v>
      </c>
      <c r="BH40" s="10" t="n">
        <f aca="false">MAX(Flows!BH70*BH$4*BH15/100,0)</f>
        <v>0</v>
      </c>
      <c r="BI40" s="10" t="n">
        <f aca="false">MAX(Flows!BI70*BI$4*BI15/100,0)</f>
        <v>0</v>
      </c>
      <c r="BJ40" s="10" t="n">
        <f aca="false">MAX(Flows!BJ70*BJ$4*BJ15/100,0)</f>
        <v>0</v>
      </c>
      <c r="BK40" s="10" t="n">
        <f aca="false">MAX(Flows!BK70*BK$4*BK15/100,0)</f>
        <v>0</v>
      </c>
      <c r="BL40" s="10" t="n">
        <f aca="false">MAX(Flows!BL70*BL$4*BL15/100,0)</f>
        <v>0</v>
      </c>
      <c r="BM40" s="10" t="n">
        <f aca="false">MAX(Flows!BM70*BM$4*BM15/100,0)</f>
        <v>0</v>
      </c>
      <c r="BN40" s="10" t="n">
        <f aca="false">MAX(Flows!BN70*BN$4*BN15/100,0)</f>
        <v>0</v>
      </c>
      <c r="BO40" s="10" t="n">
        <f aca="false">MAX(Flows!BO70*BO$4*BO15/100,0)</f>
        <v>2221329.57551854</v>
      </c>
      <c r="BP40" s="10" t="n">
        <f aca="false">MAX(Flows!BP70*BP$4*BP15/100,0)</f>
        <v>8885319.51209132</v>
      </c>
      <c r="BQ40" s="10" t="n">
        <f aca="false">MAX(Flows!BQ70*BQ$4*BQ15/100,0)</f>
        <v>0</v>
      </c>
      <c r="BR40" s="10" t="n">
        <f aca="false">MAX(Flows!BR70*BR$4*BR15/100,0)</f>
        <v>2221328.96527934</v>
      </c>
      <c r="BS40" s="10" t="n">
        <f aca="false">MAX(Flows!BS70*BS$4*BS15/100,0)</f>
        <v>2221328.04992053</v>
      </c>
      <c r="BT40" s="10" t="n">
        <f aca="false">MAX(Flows!BT70*BT$4*BT15/100,0)</f>
        <v>0</v>
      </c>
      <c r="BU40" s="10" t="n">
        <f aca="false">MAX(Flows!BU70*BU$4*BU15/100,0)</f>
        <v>0</v>
      </c>
      <c r="BV40" s="10" t="n">
        <f aca="false">MAX(Flows!BV70*BV$4*BV15/100,0)</f>
        <v>0</v>
      </c>
      <c r="BW40" s="10" t="n">
        <f aca="false">MAX(Flows!BW70*BW$4*BW15/100,0)</f>
        <v>0</v>
      </c>
      <c r="BX40" s="10" t="n">
        <f aca="false">MAX(Flows!BX70*BX$4*BX15/100,0)</f>
        <v>0</v>
      </c>
      <c r="BY40" s="10" t="n">
        <f aca="false">MAX(Flows!BY70*BY$4*BY15/100,0)</f>
        <v>0</v>
      </c>
      <c r="BZ40" s="10" t="n">
        <f aca="false">MAX(Flows!BZ70*BZ$4*BZ15/100,0)</f>
        <v>0</v>
      </c>
      <c r="CA40" s="10" t="n">
        <f aca="false">MAX(Flows!CA70*CA$4*CA15/100,0)</f>
        <v>0</v>
      </c>
      <c r="CB40" s="10" t="n">
        <f aca="false">MAX(Flows!CB70*CB$4*CB15/100,0)</f>
        <v>0</v>
      </c>
      <c r="CC40" s="10" t="n">
        <f aca="false">MAX(Flows!CC70*CC$4*CC15/100,0)</f>
        <v>0</v>
      </c>
      <c r="CD40" s="10" t="n">
        <f aca="false">MAX(Flows!CD70*CD$4*CD15/100,0)</f>
        <v>0</v>
      </c>
      <c r="CE40" s="10" t="n">
        <f aca="false">MAX(Flows!CE70*CE$4*CE15/100,0)</f>
        <v>0</v>
      </c>
      <c r="CF40" s="10" t="n">
        <f aca="false">MAX(Flows!CF70*CF$4*CF15/100,0)</f>
        <v>0</v>
      </c>
      <c r="CG40" s="10" t="n">
        <f aca="false">MAX(Flows!CG70*CG$4*CG15/100,0)</f>
        <v>2221268.85671774</v>
      </c>
      <c r="CH40" s="10" t="n">
        <f aca="false">MAX(Flows!CH70*CH$4*CH15/100,0)</f>
        <v>2221268.85671774</v>
      </c>
      <c r="CI40" s="10" t="n">
        <f aca="false">MAX(Flows!CI70*CI$4*CI15/100,0)</f>
        <v>0</v>
      </c>
      <c r="CJ40" s="10" t="n">
        <f aca="false">MAX(Flows!CJ70*CJ$4*CJ15/100,0)</f>
        <v>0</v>
      </c>
      <c r="CK40" s="10" t="n">
        <f aca="false">MAX(Flows!CK70*CK$4*CK15/100,0)</f>
        <v>0</v>
      </c>
      <c r="CL40" s="7" t="s">
        <v>322</v>
      </c>
      <c r="CM40" s="10" t="n">
        <f aca="false" t="array" ref="CM40:CM40">SUM(IF($C$150:$CK$150=CM$30,$C40:$CK40,0),IF($C$150:$CK$150=CM$30,-$C100:$CK100,0))</f>
        <v>-452333982.196481</v>
      </c>
      <c r="CN40" s="10" t="n">
        <f aca="false" t="array" ref="CN40:CN40">SUM(IF($C$150:$CK$150=CN$30,$C40:$CK40,0),IF($C$150:$CK$150=CN$30,-$C100:$CK100,0))</f>
        <v>-356776103.936006</v>
      </c>
      <c r="CO40" s="10" t="n">
        <f aca="false" t="array" ref="CO40:CO40">SUM(IF($C$150:$CK$150=CO$30,$C40:$CK40,0),IF($C$150:$CK$150=CO$30,-$C100:$CK100,0))</f>
        <v>-1088014076.32922</v>
      </c>
      <c r="CP40" s="10" t="n">
        <f aca="false" t="array" ref="CP40:CP40">SUM(IF($C$150:$CK$150=CP$30,$C40:$CK40,0),IF($C$150:$CK$150=CP$30,-$C100:$CK100,0))</f>
        <v>-65607103.404942</v>
      </c>
      <c r="CQ40" s="10" t="n">
        <f aca="false" t="array" ref="CQ40:CQ40">SUM(IF($C$150:$CK$150=CQ$30,$C40:$CK40,0),IF($C$150:$CK$150=CQ$30,-$C100:$CK100,0))</f>
        <v>-338532828.559517</v>
      </c>
      <c r="CR40" s="10" t="n">
        <f aca="false" t="array" ref="CR40:CR40">SUM(IF($C$150:$CK$150=CR$30,$C40:$CK40,0),IF($C$150:$CK$150=CR$30,-$C100:$CK100,0))</f>
        <v>10946063.1634931</v>
      </c>
      <c r="CS40" s="10" t="n">
        <f aca="false" t="array" ref="CS40:CS40">SUM(IF($C$150:$CK$150=CS$30,$C40:$CK40,0),IF($C$150:$CK$150=CS$30,-$C100:$CK100,0))</f>
        <v>-66079722.7062339</v>
      </c>
      <c r="CT40" s="10" t="n">
        <f aca="false" t="array" ref="CT40:CT40">SUM(IF($C$150:$CK$150=CT$30,$C40:$CK40,0),IF($C$150:$CK$150=CT$30,-$C100:$CK100,0))</f>
        <v>-25785406.6381997</v>
      </c>
      <c r="CU40" s="10" t="n">
        <f aca="false" t="array" ref="CU40:CU40">SUM(IF($C$150:$CK$150=CU$30,$C40:$CK40,0),IF($C$150:$CK$150=CU$30,-$C100:$CK100,0))</f>
        <v>13981315.484408</v>
      </c>
      <c r="CV40" s="10" t="n">
        <f aca="false" t="array" ref="CV40:CV40">SUM(IF($C$150:$CK$150=CV$30,$C40:$CK40,0),IF($C$150:$CK$150=CV$30,-$C100:$CK100,0))</f>
        <v>-397757.881400859</v>
      </c>
      <c r="CX40" s="0" t="str">
        <f aca="false">INDEX($C$1:$CK$1,MATCH(LARGE($C40:$CK40,1),$C40:$CK40,0))</f>
        <v>Honey (lb)</v>
      </c>
      <c r="CY40" s="0" t="str">
        <f aca="false">INDEX($C$1:$CK$1,MATCH(LARGE($C40:$CK40,2),$C40:$CK40,0))</f>
        <v>Shortsword (ea)</v>
      </c>
      <c r="CZ40" s="0" t="str">
        <f aca="false">INDEX($C$1:$CK$1,MATCH(LARGE($C40:$CK40,3),$C40:$CK40,0))</f>
        <v>Iron (lb)</v>
      </c>
      <c r="DA40" s="0" t="str">
        <f aca="false">INDEX($C$1:$CK$1,MATCH(LARGE($C40:$CK40,4),$C40:$CK40,0))</f>
        <v>Thread (Kyd)</v>
      </c>
      <c r="DB40" s="0" t="str">
        <f aca="false">INDEX($C$1:$CK$1,MATCH(LARGE($C40:$CK40,5),$C40:$CK40,0))</f>
        <v>Battleaxe (ea)</v>
      </c>
      <c r="DD40" s="0" t="str">
        <f aca="false">IF(LARGE($CM40:$CV40,1)&gt;0,INDEX($CM$30:$CV$30,MATCH(LARGE($CM40:$CV40,1),$CM40:$CV40,0)),"N/A")</f>
        <v>Honey</v>
      </c>
      <c r="DE40" s="0" t="str">
        <f aca="false">IF(LARGE($CM40:$CV40,2)&gt;0,INDEX($CM$30:$CV$30,MATCH(LARGE($CM40:$CV40,2),$CM40:$CV40,0)),"N/A")</f>
        <v>Mineral</v>
      </c>
      <c r="DF40" s="0" t="str">
        <f aca="false">IF(LARGE($CM40:$CV40,3)&gt;0,INDEX($CM$30:$CV$30,MATCH(LARGE($CM40:$CV40,3),$CM40:$CV40,0)),"N/A")</f>
        <v>N/A</v>
      </c>
      <c r="DG40" s="0" t="str">
        <f aca="false">IF(LARGE($CM40:$CV40,4)&gt;0,INDEX($CM$30:$CV$30,MATCH(LARGE($CM40:$CV40,4),$CM40:$CV40,0)),"N/A")</f>
        <v>N/A</v>
      </c>
      <c r="DH40" s="0" t="str">
        <f aca="false">IF(LARGE($CM40:$CV40,5)&gt;0,INDEX($CM$30:$CV$30,MATCH(LARGE($CM40:$CV40,5),$CM40:$CV40,0)),"N/A")</f>
        <v>N/A</v>
      </c>
    </row>
    <row r="41" customFormat="false" ht="12.8" hidden="false" customHeight="false" outlineLevel="0" collapsed="false">
      <c r="A41" s="7" t="s">
        <v>145</v>
      </c>
      <c r="B41" s="7" t="s">
        <v>39</v>
      </c>
      <c r="C41" s="10" t="n">
        <f aca="false">MAX(Flows!C71*C$4*C16/100,0)</f>
        <v>0</v>
      </c>
      <c r="D41" s="10" t="n">
        <f aca="false">MAX(Flows!D71*D$4*D16/100,0)</f>
        <v>0</v>
      </c>
      <c r="E41" s="10" t="n">
        <f aca="false">MAX(Flows!E71*E$4*E16/100,0)</f>
        <v>0</v>
      </c>
      <c r="F41" s="10" t="n">
        <f aca="false">MAX(Flows!F71*F$4*F16/100,0)</f>
        <v>0</v>
      </c>
      <c r="G41" s="10" t="n">
        <f aca="false">MAX(Flows!G71*G$4*G16/100,0)</f>
        <v>0</v>
      </c>
      <c r="H41" s="10" t="n">
        <f aca="false">MAX(Flows!H71*H$4*H16/100,0)</f>
        <v>0</v>
      </c>
      <c r="I41" s="10" t="n">
        <f aca="false">MAX(Flows!I71*I$4*I16/100,0)</f>
        <v>33435394.6151882</v>
      </c>
      <c r="J41" s="10" t="n">
        <f aca="false">MAX(Flows!J71*J$4*J16/100,0)</f>
        <v>881314.984394379</v>
      </c>
      <c r="K41" s="10" t="n">
        <f aca="false">MAX(Flows!K71*K$4*K16/100,0)</f>
        <v>0</v>
      </c>
      <c r="L41" s="10" t="n">
        <f aca="false">MAX(Flows!L71*L$4*L16/100,0)</f>
        <v>0</v>
      </c>
      <c r="M41" s="10" t="n">
        <f aca="false">MAX(Flows!M71*M$4*M16/100,0)</f>
        <v>0</v>
      </c>
      <c r="N41" s="10" t="n">
        <f aca="false">MAX(Flows!N71*N$4*N16/100,0)</f>
        <v>0</v>
      </c>
      <c r="O41" s="10" t="n">
        <f aca="false">MAX(Flows!O71*O$4*O16/100,0)</f>
        <v>0</v>
      </c>
      <c r="P41" s="10" t="n">
        <f aca="false">MAX(Flows!P71*P$4*P16/100,0)</f>
        <v>0</v>
      </c>
      <c r="Q41" s="10" t="n">
        <f aca="false">MAX(Flows!Q71*Q$4*Q16/100,0)</f>
        <v>0</v>
      </c>
      <c r="R41" s="10" t="n">
        <f aca="false">MAX(Flows!R71*R$4*R16/100,0)</f>
        <v>0</v>
      </c>
      <c r="S41" s="10" t="n">
        <f aca="false">MAX(Flows!S71*S$4*S16/100,0)</f>
        <v>0</v>
      </c>
      <c r="T41" s="10" t="n">
        <f aca="false">MAX(Flows!T71*T$4*T16/100,0)</f>
        <v>0</v>
      </c>
      <c r="U41" s="10" t="n">
        <f aca="false">MAX(Flows!U71*U$4*U16/100,0)</f>
        <v>0</v>
      </c>
      <c r="V41" s="10" t="n">
        <f aca="false">MAX(Flows!V71*V$4*V16/100,0)</f>
        <v>0</v>
      </c>
      <c r="W41" s="10" t="n">
        <f aca="false">MAX(Flows!W71*W$4*W16/100,0)</f>
        <v>0</v>
      </c>
      <c r="X41" s="10" t="n">
        <f aca="false">MAX(Flows!X71*X$4*X16/100,0)</f>
        <v>0</v>
      </c>
      <c r="Y41" s="10" t="n">
        <f aca="false">MAX(Flows!Y71*Y$4*Y16/100,0)</f>
        <v>0</v>
      </c>
      <c r="Z41" s="10" t="n">
        <f aca="false">MAX(Flows!Z71*Z$4*Z16/100,0)</f>
        <v>473301.78583555</v>
      </c>
      <c r="AA41" s="10" t="n">
        <f aca="false">MAX(Flows!AA71*AA$4*AA16/100,0)</f>
        <v>0</v>
      </c>
      <c r="AB41" s="10" t="n">
        <f aca="false">MAX(Flows!AB71*AB$4*AB16/100,0)</f>
        <v>0</v>
      </c>
      <c r="AC41" s="10" t="n">
        <f aca="false">MAX(Flows!AC71*AC$4*AC16/100,0)</f>
        <v>0</v>
      </c>
      <c r="AD41" s="10" t="n">
        <f aca="false">MAX(Flows!AD71*AD$4*AD16/100,0)</f>
        <v>0</v>
      </c>
      <c r="AE41" s="10" t="n">
        <f aca="false">MAX(Flows!AE71*AE$4*AE16/100,0)</f>
        <v>0</v>
      </c>
      <c r="AF41" s="10" t="n">
        <f aca="false">MAX(Flows!AF71*AF$4*AF16/100,0)</f>
        <v>0</v>
      </c>
      <c r="AG41" s="10" t="n">
        <f aca="false">MAX(Flows!AG71*AG$4*AG16/100,0)</f>
        <v>9009679.5271285</v>
      </c>
      <c r="AH41" s="10" t="n">
        <f aca="false">MAX(Flows!AH71*AH$4*AH16/100,0)</f>
        <v>0</v>
      </c>
      <c r="AI41" s="10" t="n">
        <f aca="false">MAX(Flows!AI71*AI$4*AI16/100,0)</f>
        <v>14918295.1869974</v>
      </c>
      <c r="AJ41" s="10" t="n">
        <f aca="false">MAX(Flows!AJ71*AJ$4*AJ16/100,0)</f>
        <v>0</v>
      </c>
      <c r="AK41" s="10" t="n">
        <f aca="false">MAX(Flows!AK71*AK$4*AK16/100,0)</f>
        <v>0</v>
      </c>
      <c r="AL41" s="10" t="n">
        <f aca="false">MAX(Flows!AL71*AL$4*AL16/100,0)</f>
        <v>0</v>
      </c>
      <c r="AM41" s="10" t="n">
        <f aca="false">MAX(Flows!AM71*AM$4*AM16/100,0)</f>
        <v>0</v>
      </c>
      <c r="AN41" s="10" t="n">
        <f aca="false">MAX(Flows!AN71*AN$4*AN16/100,0)</f>
        <v>0</v>
      </c>
      <c r="AO41" s="10" t="n">
        <f aca="false">MAX(Flows!AO71*AO$4*AO16/100,0)</f>
        <v>0</v>
      </c>
      <c r="AP41" s="10" t="n">
        <f aca="false">MAX(Flows!AP71*AP$4*AP16/100,0)</f>
        <v>0</v>
      </c>
      <c r="AQ41" s="10" t="n">
        <f aca="false">MAX(Flows!AQ71*AQ$4*AQ16/100,0)</f>
        <v>5896655.44914293</v>
      </c>
      <c r="AR41" s="10" t="n">
        <f aca="false">MAX(Flows!AR71*AR$4*AR16/100,0)</f>
        <v>314811.022207466</v>
      </c>
      <c r="AS41" s="10" t="n">
        <f aca="false">MAX(Flows!AS71*AS$4*AS16/100,0)</f>
        <v>0</v>
      </c>
      <c r="AT41" s="10" t="n">
        <f aca="false">MAX(Flows!AT71*AT$4*AT16/100,0)</f>
        <v>0</v>
      </c>
      <c r="AU41" s="10" t="n">
        <f aca="false">MAX(Flows!AU71*AU$4*AU16/100,0)</f>
        <v>11722501.5483094</v>
      </c>
      <c r="AV41" s="10" t="n">
        <f aca="false">MAX(Flows!AV71*AV$4*AV16/100,0)</f>
        <v>0</v>
      </c>
      <c r="AW41" s="10" t="n">
        <f aca="false">MAX(Flows!AW71*AW$4*AW16/100,0)</f>
        <v>0</v>
      </c>
      <c r="AX41" s="10" t="n">
        <f aca="false">MAX(Flows!AX71*AX$4*AX16/100,0)</f>
        <v>190436.508746678</v>
      </c>
      <c r="AY41" s="10" t="n">
        <f aca="false">MAX(Flows!AY71*AY$4*AY16/100,0)</f>
        <v>0</v>
      </c>
      <c r="AZ41" s="10" t="n">
        <f aca="false">MAX(Flows!AZ71*AZ$4*AZ16/100,0)</f>
        <v>0</v>
      </c>
      <c r="BA41" s="10" t="n">
        <f aca="false">MAX(Flows!BA71*BA$4*BA16/100,0)</f>
        <v>0</v>
      </c>
      <c r="BB41" s="10" t="n">
        <f aca="false">MAX(Flows!BB71*BB$4*BB16/100,0)</f>
        <v>0</v>
      </c>
      <c r="BC41" s="10" t="n">
        <f aca="false">MAX(Flows!BC71*BC$4*BC16/100,0)</f>
        <v>3418144.47756312</v>
      </c>
      <c r="BD41" s="10" t="n">
        <f aca="false">MAX(Flows!BD71*BD$4*BD16/100,0)</f>
        <v>0</v>
      </c>
      <c r="BE41" s="10" t="n">
        <f aca="false">MAX(Flows!BE71*BE$4*BE16/100,0)</f>
        <v>0</v>
      </c>
      <c r="BF41" s="10" t="n">
        <f aca="false">MAX(Flows!BF71*BF$4*BF16/100,0)</f>
        <v>0</v>
      </c>
      <c r="BG41" s="10" t="n">
        <f aca="false">MAX(Flows!BG71*BG$4*BG16/100,0)</f>
        <v>0</v>
      </c>
      <c r="BH41" s="10" t="n">
        <f aca="false">MAX(Flows!BH71*BH$4*BH16/100,0)</f>
        <v>0</v>
      </c>
      <c r="BI41" s="10" t="n">
        <f aca="false">MAX(Flows!BI71*BI$4*BI16/100,0)</f>
        <v>0</v>
      </c>
      <c r="BJ41" s="10" t="n">
        <f aca="false">MAX(Flows!BJ71*BJ$4*BJ16/100,0)</f>
        <v>0</v>
      </c>
      <c r="BK41" s="10" t="n">
        <f aca="false">MAX(Flows!BK71*BK$4*BK16/100,0)</f>
        <v>0</v>
      </c>
      <c r="BL41" s="10" t="n">
        <f aca="false">MAX(Flows!BL71*BL$4*BL16/100,0)</f>
        <v>0</v>
      </c>
      <c r="BM41" s="10" t="n">
        <f aca="false">MAX(Flows!BM71*BM$4*BM16/100,0)</f>
        <v>0</v>
      </c>
      <c r="BN41" s="10" t="n">
        <f aca="false">MAX(Flows!BN71*BN$4*BN16/100,0)</f>
        <v>0</v>
      </c>
      <c r="BO41" s="10" t="n">
        <f aca="false">MAX(Flows!BO71*BO$4*BO16/100,0)</f>
        <v>0</v>
      </c>
      <c r="BP41" s="10" t="n">
        <f aca="false">MAX(Flows!BP71*BP$4*BP16/100,0)</f>
        <v>0</v>
      </c>
      <c r="BQ41" s="10" t="n">
        <f aca="false">MAX(Flows!BQ71*BQ$4*BQ16/100,0)</f>
        <v>0</v>
      </c>
      <c r="BR41" s="10" t="n">
        <f aca="false">MAX(Flows!BR71*BR$4*BR16/100,0)</f>
        <v>0</v>
      </c>
      <c r="BS41" s="10" t="n">
        <f aca="false">MAX(Flows!BS71*BS$4*BS16/100,0)</f>
        <v>0</v>
      </c>
      <c r="BT41" s="10" t="n">
        <f aca="false">MAX(Flows!BT71*BT$4*BT16/100,0)</f>
        <v>0</v>
      </c>
      <c r="BU41" s="10" t="n">
        <f aca="false">MAX(Flows!BU71*BU$4*BU16/100,0)</f>
        <v>0</v>
      </c>
      <c r="BV41" s="10" t="n">
        <f aca="false">MAX(Flows!BV71*BV$4*BV16/100,0)</f>
        <v>0</v>
      </c>
      <c r="BW41" s="10" t="n">
        <f aca="false">MAX(Flows!BW71*BW$4*BW16/100,0)</f>
        <v>0</v>
      </c>
      <c r="BX41" s="10" t="n">
        <f aca="false">MAX(Flows!BX71*BX$4*BX16/100,0)</f>
        <v>0</v>
      </c>
      <c r="BY41" s="10" t="n">
        <f aca="false">MAX(Flows!BY71*BY$4*BY16/100,0)</f>
        <v>0</v>
      </c>
      <c r="BZ41" s="10" t="n">
        <f aca="false">MAX(Flows!BZ71*BZ$4*BZ16/100,0)</f>
        <v>6663987.2955378</v>
      </c>
      <c r="CA41" s="10" t="n">
        <f aca="false">MAX(Flows!CA71*CA$4*CA16/100,0)</f>
        <v>6663987.29553783</v>
      </c>
      <c r="CB41" s="10" t="n">
        <f aca="false">MAX(Flows!CB71*CB$4*CB16/100,0)</f>
        <v>0</v>
      </c>
      <c r="CC41" s="10" t="n">
        <f aca="false">MAX(Flows!CC71*CC$4*CC16/100,0)</f>
        <v>0</v>
      </c>
      <c r="CD41" s="10" t="n">
        <f aca="false">MAX(Flows!CD71*CD$4*CD16/100,0)</f>
        <v>0</v>
      </c>
      <c r="CE41" s="10" t="n">
        <f aca="false">MAX(Flows!CE71*CE$4*CE16/100,0)</f>
        <v>0</v>
      </c>
      <c r="CF41" s="10" t="n">
        <f aca="false">MAX(Flows!CF71*CF$4*CF16/100,0)</f>
        <v>0</v>
      </c>
      <c r="CG41" s="10" t="n">
        <f aca="false">MAX(Flows!CG71*CG$4*CG16/100,0)</f>
        <v>0</v>
      </c>
      <c r="CH41" s="10" t="n">
        <f aca="false">MAX(Flows!CH71*CH$4*CH16/100,0)</f>
        <v>0</v>
      </c>
      <c r="CI41" s="10" t="n">
        <f aca="false">MAX(Flows!CI71*CI$4*CI16/100,0)</f>
        <v>0</v>
      </c>
      <c r="CJ41" s="10" t="n">
        <f aca="false">MAX(Flows!CJ71*CJ$4*CJ16/100,0)</f>
        <v>0</v>
      </c>
      <c r="CK41" s="10" t="n">
        <f aca="false">MAX(Flows!CK71*CK$4*CK16/100,0)</f>
        <v>0</v>
      </c>
      <c r="CL41" s="7" t="s">
        <v>322</v>
      </c>
      <c r="CM41" s="10" t="n">
        <f aca="false" t="array" ref="CM41:CM41">SUM(IF($C$150:$CK$150=CM$30,$C41:$CK41,0),IF($C$150:$CK$150=CM$30,-$C101:$CK101,0))</f>
        <v>-59728764.6403043</v>
      </c>
      <c r="CN41" s="10" t="n">
        <f aca="false" t="array" ref="CN41:CN41">SUM(IF($C$150:$CK$150=CN$30,$C41:$CK41,0),IF($C$150:$CK$150=CN$30,-$C101:$CK101,0))</f>
        <v>-64172930.7580891</v>
      </c>
      <c r="CO41" s="10" t="n">
        <f aca="false" t="array" ref="CO41:CO41">SUM(IF($C$150:$CK$150=CO$30,$C41:$CK41,0),IF($C$150:$CK$150=CO$30,-$C101:$CK101,0))</f>
        <v>-87562719.7421291</v>
      </c>
      <c r="CP41" s="10" t="n">
        <f aca="false" t="array" ref="CP41:CP41">SUM(IF($C$150:$CK$150=CP$30,$C41:$CK41,0),IF($C$150:$CK$150=CP$30,-$C101:$CK101,0))</f>
        <v>-44227958.0816683</v>
      </c>
      <c r="CQ41" s="10" t="n">
        <f aca="false" t="array" ref="CQ41:CQ41">SUM(IF($C$150:$CK$150=CQ$30,$C41:$CK41,0),IF($C$150:$CK$150=CQ$30,-$C101:$CK101,0))</f>
        <v>-54340937.415823</v>
      </c>
      <c r="CR41" s="10" t="n">
        <f aca="false" t="array" ref="CR41:CR41">SUM(IF($C$150:$CK$150=CR$30,$C41:$CK41,0),IF($C$150:$CK$150=CR$30,-$C101:$CK101,0))</f>
        <v>-5350714382596570</v>
      </c>
      <c r="CS41" s="10" t="n">
        <f aca="false" t="array" ref="CS41:CS41">SUM(IF($C$150:$CK$150=CS$30,$C41:$CK41,0),IF($C$150:$CK$150=CS$30,-$C101:$CK101,0))</f>
        <v>10236116.0580432</v>
      </c>
      <c r="CT41" s="10" t="n">
        <f aca="false" t="array" ref="CT41:CT41">SUM(IF($C$150:$CK$150=CT$30,$C41:$CK41,0),IF($C$150:$CK$150=CT$30,-$C101:$CK101,0))</f>
        <v>-2927734.73704032</v>
      </c>
      <c r="CU41" s="10" t="n">
        <f aca="false" t="array" ref="CU41:CU41">SUM(IF($C$150:$CK$150=CU$30,$C41:$CK41,0),IF($C$150:$CK$150=CU$30,-$C101:$CK101,0))</f>
        <v>34316709.5995826</v>
      </c>
      <c r="CV41" s="10" t="n">
        <f aca="false" t="array" ref="CV41:CV41">SUM(IF($C$150:$CK$150=CV$30,$C41:$CK41,0),IF($C$150:$CK$150=CV$30,-$C101:$CK101,0))</f>
        <v>-1152055.52571613</v>
      </c>
      <c r="CX41" s="0" t="str">
        <f aca="false">INDEX($C$1:$CK$1,MATCH(LARGE($C41:$CK41,1),$C41:$CK41,0))</f>
        <v>Honey (lb)</v>
      </c>
      <c r="CY41" s="0" t="str">
        <f aca="false">INDEX($C$1:$CK$1,MATCH(LARGE($C41:$CK41,2),$C41:$CK41,0))</f>
        <v>Auger (ea)</v>
      </c>
      <c r="CZ41" s="0" t="str">
        <f aca="false">INDEX($C$1:$CK$1,MATCH(LARGE($C41:$CK41,3),$C41:$CK41,0))</f>
        <v>Spear (ea)</v>
      </c>
      <c r="DA41" s="0" t="str">
        <f aca="false">INDEX($C$1:$CK$1,MATCH(LARGE($C41:$CK41,4),$C41:$CK41,0))</f>
        <v>Hoe (ea)</v>
      </c>
      <c r="DB41" s="0" t="str">
        <f aca="false">INDEX($C$1:$CK$1,MATCH(LARGE($C41:$CK41,5),$C41:$CK41,0))</f>
        <v>Whale Wax (lb)</v>
      </c>
      <c r="DD41" s="0" t="str">
        <f aca="false">IF(LARGE($CM41:$CV41,1)&gt;0,INDEX($CM$30:$CV$30,MATCH(LARGE($CM41:$CV41,1),$CM41:$CV41,0)),"N/A")</f>
        <v>Honey</v>
      </c>
      <c r="DE41" s="0" t="str">
        <f aca="false">IF(LARGE($CM41:$CV41,2)&gt;0,INDEX($CM$30:$CV$30,MATCH(LARGE($CM41:$CV41,2),$CM41:$CV41,0)),"N/A")</f>
        <v>Wood</v>
      </c>
      <c r="DF41" s="0" t="str">
        <f aca="false">IF(LARGE($CM41:$CV41,3)&gt;0,INDEX($CM$30:$CV$30,MATCH(LARGE($CM41:$CV41,3),$CM41:$CV41,0)),"N/A")</f>
        <v>N/A</v>
      </c>
      <c r="DG41" s="0" t="str">
        <f aca="false">IF(LARGE($CM41:$CV41,4)&gt;0,INDEX($CM$30:$CV$30,MATCH(LARGE($CM41:$CV41,4),$CM41:$CV41,0)),"N/A")</f>
        <v>N/A</v>
      </c>
      <c r="DH41" s="0" t="str">
        <f aca="false">IF(LARGE($CM41:$CV41,5)&gt;0,INDEX($CM$30:$CV$30,MATCH(LARGE($CM41:$CV41,5),$CM41:$CV41,0)),"N/A")</f>
        <v>N/A</v>
      </c>
    </row>
    <row r="42" customFormat="false" ht="12.8" hidden="false" customHeight="false" outlineLevel="0" collapsed="false">
      <c r="A42" s="7" t="s">
        <v>147</v>
      </c>
      <c r="B42" s="7" t="s">
        <v>39</v>
      </c>
      <c r="C42" s="10" t="n">
        <f aca="false">MAX(Flows!C72*C$4*C17/100,0)</f>
        <v>0</v>
      </c>
      <c r="D42" s="10" t="n">
        <f aca="false">MAX(Flows!D72*D$4*D17/100,0)</f>
        <v>0</v>
      </c>
      <c r="E42" s="10" t="n">
        <f aca="false">MAX(Flows!E72*E$4*E17/100,0)</f>
        <v>0</v>
      </c>
      <c r="F42" s="10" t="n">
        <f aca="false">MAX(Flows!F72*F$4*F17/100,0)</f>
        <v>0</v>
      </c>
      <c r="G42" s="10" t="n">
        <f aca="false">MAX(Flows!G72*G$4*G17/100,0)</f>
        <v>0</v>
      </c>
      <c r="H42" s="10" t="n">
        <f aca="false">MAX(Flows!H72*H$4*H17/100,0)</f>
        <v>0</v>
      </c>
      <c r="I42" s="10" t="n">
        <f aca="false">MAX(Flows!I72*I$4*I17/100,0)</f>
        <v>23599450.0126799</v>
      </c>
      <c r="J42" s="10" t="n">
        <f aca="false">MAX(Flows!J72*J$4*J17/100,0)</f>
        <v>44105404.9704299</v>
      </c>
      <c r="K42" s="10" t="n">
        <f aca="false">MAX(Flows!K72*K$4*K17/100,0)</f>
        <v>0</v>
      </c>
      <c r="L42" s="10" t="n">
        <f aca="false">MAX(Flows!L72*L$4*L17/100,0)</f>
        <v>0</v>
      </c>
      <c r="M42" s="10" t="n">
        <f aca="false">MAX(Flows!M72*M$4*M17/100,0)</f>
        <v>0</v>
      </c>
      <c r="N42" s="10" t="n">
        <f aca="false">MAX(Flows!N72*N$4*N17/100,0)</f>
        <v>0</v>
      </c>
      <c r="O42" s="10" t="n">
        <f aca="false">MAX(Flows!O72*O$4*O17/100,0)</f>
        <v>0</v>
      </c>
      <c r="P42" s="10" t="n">
        <f aca="false">MAX(Flows!P72*P$4*P17/100,0)</f>
        <v>0</v>
      </c>
      <c r="Q42" s="10" t="n">
        <f aca="false">MAX(Flows!Q72*Q$4*Q17/100,0)</f>
        <v>0</v>
      </c>
      <c r="R42" s="10" t="n">
        <f aca="false">MAX(Flows!R72*R$4*R17/100,0)</f>
        <v>0</v>
      </c>
      <c r="S42" s="10" t="n">
        <f aca="false">MAX(Flows!S72*S$4*S17/100,0)</f>
        <v>0</v>
      </c>
      <c r="T42" s="10" t="n">
        <f aca="false">MAX(Flows!T72*T$4*T17/100,0)</f>
        <v>0</v>
      </c>
      <c r="U42" s="10" t="n">
        <f aca="false">MAX(Flows!U72*U$4*U17/100,0)</f>
        <v>0</v>
      </c>
      <c r="V42" s="10" t="n">
        <f aca="false">MAX(Flows!V72*V$4*V17/100,0)</f>
        <v>0</v>
      </c>
      <c r="W42" s="10" t="n">
        <f aca="false">MAX(Flows!W72*W$4*W17/100,0)</f>
        <v>50834473.7063595</v>
      </c>
      <c r="X42" s="10" t="n">
        <f aca="false">MAX(Flows!X72*X$4*X17/100,0)</f>
        <v>0</v>
      </c>
      <c r="Y42" s="10" t="n">
        <f aca="false">MAX(Flows!Y72*Y$4*Y17/100,0)</f>
        <v>0</v>
      </c>
      <c r="Z42" s="10" t="n">
        <f aca="false">MAX(Flows!Z72*Z$4*Z17/100,0)</f>
        <v>758603.991282249</v>
      </c>
      <c r="AA42" s="10" t="n">
        <f aca="false">MAX(Flows!AA72*AA$4*AA17/100,0)</f>
        <v>0</v>
      </c>
      <c r="AB42" s="10" t="n">
        <f aca="false">MAX(Flows!AB72*AB$4*AB17/100,0)</f>
        <v>0</v>
      </c>
      <c r="AC42" s="10" t="n">
        <f aca="false">MAX(Flows!AC72*AC$4*AC17/100,0)</f>
        <v>93919.5745212198</v>
      </c>
      <c r="AD42" s="10" t="n">
        <f aca="false">MAX(Flows!AD72*AD$4*AD17/100,0)</f>
        <v>0</v>
      </c>
      <c r="AE42" s="10" t="n">
        <f aca="false">MAX(Flows!AE72*AE$4*AE17/100,0)</f>
        <v>0</v>
      </c>
      <c r="AF42" s="10" t="n">
        <f aca="false">MAX(Flows!AF72*AF$4*AF17/100,0)</f>
        <v>0</v>
      </c>
      <c r="AG42" s="10" t="n">
        <f aca="false">MAX(Flows!AG72*AG$4*AG17/100,0)</f>
        <v>0</v>
      </c>
      <c r="AH42" s="10" t="n">
        <f aca="false">MAX(Flows!AH72*AH$4*AH17/100,0)</f>
        <v>0</v>
      </c>
      <c r="AI42" s="10" t="n">
        <f aca="false">MAX(Flows!AI72*AI$4*AI17/100,0)</f>
        <v>0</v>
      </c>
      <c r="AJ42" s="10" t="n">
        <f aca="false">MAX(Flows!AJ72*AJ$4*AJ17/100,0)</f>
        <v>0</v>
      </c>
      <c r="AK42" s="10" t="n">
        <f aca="false">MAX(Flows!AK72*AK$4*AK17/100,0)</f>
        <v>0</v>
      </c>
      <c r="AL42" s="10" t="n">
        <f aca="false">MAX(Flows!AL72*AL$4*AL17/100,0)</f>
        <v>0</v>
      </c>
      <c r="AM42" s="10" t="n">
        <f aca="false">MAX(Flows!AM72*AM$4*AM17/100,0)</f>
        <v>0</v>
      </c>
      <c r="AN42" s="10" t="n">
        <f aca="false">MAX(Flows!AN72*AN$4*AN17/100,0)</f>
        <v>0</v>
      </c>
      <c r="AO42" s="10" t="n">
        <f aca="false">MAX(Flows!AO72*AO$4*AO17/100,0)</f>
        <v>0</v>
      </c>
      <c r="AP42" s="10" t="n">
        <f aca="false">MAX(Flows!AP72*AP$4*AP17/100,0)</f>
        <v>1794695.68889596</v>
      </c>
      <c r="AQ42" s="10" t="n">
        <f aca="false">MAX(Flows!AQ72*AQ$4*AQ17/100,0)</f>
        <v>0</v>
      </c>
      <c r="AR42" s="10" t="n">
        <f aca="false">MAX(Flows!AR72*AR$4*AR17/100,0)</f>
        <v>0</v>
      </c>
      <c r="AS42" s="10" t="n">
        <f aca="false">MAX(Flows!AS72*AS$4*AS17/100,0)</f>
        <v>0</v>
      </c>
      <c r="AT42" s="10" t="n">
        <f aca="false">MAX(Flows!AT72*AT$4*AT17/100,0)</f>
        <v>249244.081204444</v>
      </c>
      <c r="AU42" s="10" t="n">
        <f aca="false">MAX(Flows!AU72*AU$4*AU17/100,0)</f>
        <v>0</v>
      </c>
      <c r="AV42" s="10" t="n">
        <f aca="false">MAX(Flows!AV72*AV$4*AV17/100,0)</f>
        <v>7398578.1587507</v>
      </c>
      <c r="AW42" s="10" t="n">
        <f aca="false">MAX(Flows!AW72*AW$4*AW17/100,0)</f>
        <v>1656550.65744104</v>
      </c>
      <c r="AX42" s="10" t="n">
        <f aca="false">MAX(Flows!AX72*AX$4*AX17/100,0)</f>
        <v>0</v>
      </c>
      <c r="AY42" s="10" t="n">
        <f aca="false">MAX(Flows!AY72*AY$4*AY17/100,0)</f>
        <v>0</v>
      </c>
      <c r="AZ42" s="10" t="n">
        <f aca="false">MAX(Flows!AZ72*AZ$4*AZ17/100,0)</f>
        <v>0</v>
      </c>
      <c r="BA42" s="10" t="n">
        <f aca="false">MAX(Flows!BA72*BA$4*BA17/100,0)</f>
        <v>0</v>
      </c>
      <c r="BB42" s="10" t="n">
        <f aca="false">MAX(Flows!BB72*BB$4*BB17/100,0)</f>
        <v>0</v>
      </c>
      <c r="BC42" s="10" t="n">
        <f aca="false">MAX(Flows!BC72*BC$4*BC17/100,0)</f>
        <v>0</v>
      </c>
      <c r="BD42" s="10" t="n">
        <f aca="false">MAX(Flows!BD72*BD$4*BD17/100,0)</f>
        <v>0</v>
      </c>
      <c r="BE42" s="10" t="n">
        <f aca="false">MAX(Flows!BE72*BE$4*BE17/100,0)</f>
        <v>0</v>
      </c>
      <c r="BF42" s="10" t="n">
        <f aca="false">MAX(Flows!BF72*BF$4*BF17/100,0)</f>
        <v>0</v>
      </c>
      <c r="BG42" s="10" t="n">
        <f aca="false">MAX(Flows!BG72*BG$4*BG17/100,0)</f>
        <v>0</v>
      </c>
      <c r="BH42" s="10" t="n">
        <f aca="false">MAX(Flows!BH72*BH$4*BH17/100,0)</f>
        <v>0</v>
      </c>
      <c r="BI42" s="10" t="n">
        <f aca="false">MAX(Flows!BI72*BI$4*BI17/100,0)</f>
        <v>0</v>
      </c>
      <c r="BJ42" s="10" t="n">
        <f aca="false">MAX(Flows!BJ72*BJ$4*BJ17/100,0)</f>
        <v>0</v>
      </c>
      <c r="BK42" s="10" t="n">
        <f aca="false">MAX(Flows!BK72*BK$4*BK17/100,0)</f>
        <v>0</v>
      </c>
      <c r="BL42" s="10" t="n">
        <f aca="false">MAX(Flows!BL72*BL$4*BL17/100,0)</f>
        <v>0</v>
      </c>
      <c r="BM42" s="10" t="n">
        <f aca="false">MAX(Flows!BM72*BM$4*BM17/100,0)</f>
        <v>0</v>
      </c>
      <c r="BN42" s="10" t="n">
        <f aca="false">MAX(Flows!BN72*BN$4*BN17/100,0)</f>
        <v>0</v>
      </c>
      <c r="BO42" s="10" t="n">
        <f aca="false">MAX(Flows!BO72*BO$4*BO17/100,0)</f>
        <v>0</v>
      </c>
      <c r="BP42" s="10" t="n">
        <f aca="false">MAX(Flows!BP72*BP$4*BP17/100,0)</f>
        <v>0</v>
      </c>
      <c r="BQ42" s="10" t="n">
        <f aca="false">MAX(Flows!BQ72*BQ$4*BQ17/100,0)</f>
        <v>0</v>
      </c>
      <c r="BR42" s="10" t="n">
        <f aca="false">MAX(Flows!BR72*BR$4*BR17/100,0)</f>
        <v>0</v>
      </c>
      <c r="BS42" s="10" t="n">
        <f aca="false">MAX(Flows!BS72*BS$4*BS17/100,0)</f>
        <v>0</v>
      </c>
      <c r="BT42" s="10" t="n">
        <f aca="false">MAX(Flows!BT72*BT$4*BT17/100,0)</f>
        <v>0</v>
      </c>
      <c r="BU42" s="10" t="n">
        <f aca="false">MAX(Flows!BU72*BU$4*BU17/100,0)</f>
        <v>0</v>
      </c>
      <c r="BV42" s="10" t="n">
        <f aca="false">MAX(Flows!BV72*BV$4*BV17/100,0)</f>
        <v>0</v>
      </c>
      <c r="BW42" s="10" t="n">
        <f aca="false">MAX(Flows!BW72*BW$4*BW17/100,0)</f>
        <v>0</v>
      </c>
      <c r="BX42" s="10" t="n">
        <f aca="false">MAX(Flows!BX72*BX$4*BX17/100,0)</f>
        <v>0</v>
      </c>
      <c r="BY42" s="10" t="n">
        <f aca="false">MAX(Flows!BY72*BY$4*BY17/100,0)</f>
        <v>0</v>
      </c>
      <c r="BZ42" s="10" t="n">
        <f aca="false">MAX(Flows!BZ72*BZ$4*BZ17/100,0)</f>
        <v>0</v>
      </c>
      <c r="CA42" s="10" t="n">
        <f aca="false">MAX(Flows!CA72*CA$4*CA17/100,0)</f>
        <v>0</v>
      </c>
      <c r="CB42" s="10" t="n">
        <f aca="false">MAX(Flows!CB72*CB$4*CB17/100,0)</f>
        <v>0</v>
      </c>
      <c r="CC42" s="10" t="n">
        <f aca="false">MAX(Flows!CC72*CC$4*CC17/100,0)</f>
        <v>0</v>
      </c>
      <c r="CD42" s="10" t="n">
        <f aca="false">MAX(Flows!CD72*CD$4*CD17/100,0)</f>
        <v>0</v>
      </c>
      <c r="CE42" s="10" t="n">
        <f aca="false">MAX(Flows!CE72*CE$4*CE17/100,0)</f>
        <v>0</v>
      </c>
      <c r="CF42" s="10" t="n">
        <f aca="false">MAX(Flows!CF72*CF$4*CF17/100,0)</f>
        <v>0</v>
      </c>
      <c r="CG42" s="10" t="n">
        <f aca="false">MAX(Flows!CG72*CG$4*CG17/100,0)</f>
        <v>0</v>
      </c>
      <c r="CH42" s="10" t="n">
        <f aca="false">MAX(Flows!CH72*CH$4*CH17/100,0)</f>
        <v>0</v>
      </c>
      <c r="CI42" s="10" t="n">
        <f aca="false">MAX(Flows!CI72*CI$4*CI17/100,0)</f>
        <v>0</v>
      </c>
      <c r="CJ42" s="10" t="n">
        <f aca="false">MAX(Flows!CJ72*CJ$4*CJ17/100,0)</f>
        <v>0</v>
      </c>
      <c r="CK42" s="10" t="n">
        <f aca="false">MAX(Flows!CK72*CK$4*CK17/100,0)</f>
        <v>0</v>
      </c>
      <c r="CL42" s="7" t="s">
        <v>322</v>
      </c>
      <c r="CM42" s="10" t="n">
        <f aca="false" t="array" ref="CM42:CM42">SUM(IF($C$150:$CK$150=CM$30,$C42:$CK42,0),IF($C$150:$CK$150=CM$30,-$C102:$CK102,0))</f>
        <v>-418219970.935936</v>
      </c>
      <c r="CN42" s="10" t="n">
        <f aca="false" t="array" ref="CN42:CN42">SUM(IF($C$150:$CK$150=CN$30,$C42:$CK42,0),IF($C$150:$CK$150=CN$30,-$C102:$CK102,0))</f>
        <v>-168040519.850779</v>
      </c>
      <c r="CO42" s="10" t="n">
        <f aca="false" t="array" ref="CO42:CO42">SUM(IF($C$150:$CK$150=CO$30,$C42:$CK42,0),IF($C$150:$CK$150=CO$30,-$C102:$CK102,0))</f>
        <v>-317934789.480508</v>
      </c>
      <c r="CP42" s="10" t="n">
        <f aca="false" t="array" ref="CP42:CP42">SUM(IF($C$150:$CK$150=CP$30,$C42:$CK42,0),IF($C$150:$CK$150=CP$30,-$C102:$CK102,0))</f>
        <v>-79586191.9915179</v>
      </c>
      <c r="CQ42" s="10" t="n">
        <f aca="false" t="array" ref="CQ42:CQ42">SUM(IF($C$150:$CK$150=CQ$30,$C42:$CK42,0),IF($C$150:$CK$150=CQ$30,-$C102:$CK102,0))</f>
        <v>-193959951.451995</v>
      </c>
      <c r="CR42" s="10" t="n">
        <f aca="false" t="array" ref="CR42:CR42">SUM(IF($C$150:$CK$150=CR$30,$C42:$CK42,0),IF($C$150:$CK$150=CR$30,-$C102:$CK102,0))</f>
        <v>-2495089606944370</v>
      </c>
      <c r="CS42" s="10" t="n">
        <f aca="false" t="array" ref="CS42:CS42">SUM(IF($C$150:$CK$150=CS$30,$C42:$CK42,0),IF($C$150:$CK$150=CS$30,-$C102:$CK102,0))</f>
        <v>-31355132.0423653</v>
      </c>
      <c r="CT42" s="10" t="n">
        <f aca="false" t="array" ref="CT42:CT42">SUM(IF($C$150:$CK$150=CT$30,$C42:$CK42,0),IF($C$150:$CK$150=CT$30,-$C102:$CK102,0))</f>
        <v>-12204158.5487996</v>
      </c>
      <c r="CU42" s="10" t="n">
        <f aca="false" t="array" ref="CU42:CU42">SUM(IF($C$150:$CK$150=CU$30,$C42:$CK42,0),IF($C$150:$CK$150=CU$30,-$C102:$CK102,0))</f>
        <v>67704854.9831098</v>
      </c>
      <c r="CV42" s="10" t="n">
        <f aca="false" t="array" ref="CV42:CV42">SUM(IF($C$150:$CK$150=CV$30,$C42:$CK42,0),IF($C$150:$CK$150=CV$30,-$C102:$CK102,0))</f>
        <v>-1397740.59555796</v>
      </c>
      <c r="CX42" s="0" t="str">
        <f aca="false">INDEX($C$1:$CK$1,MATCH(LARGE($C42:$CK42,1),$C42:$CK42,0))</f>
        <v>Sauce (lb)</v>
      </c>
      <c r="CY42" s="0" t="str">
        <f aca="false">INDEX($C$1:$CK$1,MATCH(LARGE($C42:$CK42,2),$C42:$CK42,0))</f>
        <v>Wax (lb)</v>
      </c>
      <c r="CZ42" s="0" t="str">
        <f aca="false">INDEX($C$1:$CK$1,MATCH(LARGE($C42:$CK42,3),$C42:$CK42,0))</f>
        <v>Honey (lb)</v>
      </c>
      <c r="DA42" s="0" t="str">
        <f aca="false">INDEX($C$1:$CK$1,MATCH(LARGE($C42:$CK42,4),$C42:$CK42,0))</f>
        <v>Battleaxe (ea)</v>
      </c>
      <c r="DB42" s="0" t="str">
        <f aca="false">INDEX($C$1:$CK$1,MATCH(LARGE($C42:$CK42,5),$C42:$CK42,0))</f>
        <v>Platemail (ea)</v>
      </c>
      <c r="DD42" s="0" t="str">
        <f aca="false">IF(LARGE($CM42:$CV42,1)&gt;0,INDEX($CM$30:$CV$30,MATCH(LARGE($CM42:$CV42,1),$CM42:$CV42,0)),"N/A")</f>
        <v>Honey</v>
      </c>
      <c r="DE42" s="0" t="str">
        <f aca="false">IF(LARGE($CM42:$CV42,2)&gt;0,INDEX($CM$30:$CV$30,MATCH(LARGE($CM42:$CV42,2),$CM42:$CV42,0)),"N/A")</f>
        <v>N/A</v>
      </c>
      <c r="DF42" s="0" t="str">
        <f aca="false">IF(LARGE($CM42:$CV42,3)&gt;0,INDEX($CM$30:$CV$30,MATCH(LARGE($CM42:$CV42,3),$CM42:$CV42,0)),"N/A")</f>
        <v>N/A</v>
      </c>
      <c r="DG42" s="0" t="str">
        <f aca="false">IF(LARGE($CM42:$CV42,4)&gt;0,INDEX($CM$30:$CV$30,MATCH(LARGE($CM42:$CV42,4),$CM42:$CV42,0)),"N/A")</f>
        <v>N/A</v>
      </c>
      <c r="DH42" s="0" t="str">
        <f aca="false">IF(LARGE($CM42:$CV42,5)&gt;0,INDEX($CM$30:$CV$30,MATCH(LARGE($CM42:$CV42,5),$CM42:$CV42,0)),"N/A")</f>
        <v>N/A</v>
      </c>
    </row>
    <row r="43" customFormat="false" ht="12.8" hidden="false" customHeight="false" outlineLevel="0" collapsed="false">
      <c r="A43" s="7" t="s">
        <v>148</v>
      </c>
      <c r="B43" s="7" t="s">
        <v>39</v>
      </c>
      <c r="C43" s="10" t="n">
        <f aca="false">MAX(Flows!C73*C$4*C18/100,0)</f>
        <v>4022235.38500158</v>
      </c>
      <c r="D43" s="10" t="n">
        <f aca="false">MAX(Flows!D73*D$4*D18/100,0)</f>
        <v>4491042.1672512</v>
      </c>
      <c r="E43" s="10" t="n">
        <f aca="false">MAX(Flows!E73*E$4*E18/100,0)</f>
        <v>3901322.95214077</v>
      </c>
      <c r="F43" s="10" t="n">
        <f aca="false">MAX(Flows!F73*F$4*F18/100,0)</f>
        <v>0</v>
      </c>
      <c r="G43" s="10" t="n">
        <f aca="false">MAX(Flows!G73*G$4*G18/100,0)</f>
        <v>4590662.27283788</v>
      </c>
      <c r="H43" s="10" t="n">
        <f aca="false">MAX(Flows!H73*H$4*H18/100,0)</f>
        <v>0</v>
      </c>
      <c r="I43" s="10" t="n">
        <f aca="false">MAX(Flows!I73*I$4*I18/100,0)</f>
        <v>19435230.5626196</v>
      </c>
      <c r="J43" s="10" t="n">
        <f aca="false">MAX(Flows!J73*J$4*J18/100,0)</f>
        <v>55206146.0303117</v>
      </c>
      <c r="K43" s="10" t="n">
        <f aca="false">MAX(Flows!K73*K$4*K18/100,0)</f>
        <v>0</v>
      </c>
      <c r="L43" s="10" t="n">
        <f aca="false">MAX(Flows!L73*L$4*L18/100,0)</f>
        <v>0</v>
      </c>
      <c r="M43" s="10" t="n">
        <f aca="false">MAX(Flows!M73*M$4*M18/100,0)</f>
        <v>0</v>
      </c>
      <c r="N43" s="10" t="n">
        <f aca="false">MAX(Flows!N73*N$4*N18/100,0)</f>
        <v>0</v>
      </c>
      <c r="O43" s="10" t="n">
        <f aca="false">MAX(Flows!O73*O$4*O18/100,0)</f>
        <v>0</v>
      </c>
      <c r="P43" s="10" t="n">
        <f aca="false">MAX(Flows!P73*P$4*P18/100,0)</f>
        <v>0</v>
      </c>
      <c r="Q43" s="10" t="n">
        <f aca="false">MAX(Flows!Q73*Q$4*Q18/100,0)</f>
        <v>0</v>
      </c>
      <c r="R43" s="10" t="n">
        <f aca="false">MAX(Flows!R73*R$4*R18/100,0)</f>
        <v>4253783.28447163</v>
      </c>
      <c r="S43" s="10" t="n">
        <f aca="false">MAX(Flows!S73*S$4*S18/100,0)</f>
        <v>0</v>
      </c>
      <c r="T43" s="10" t="n">
        <f aca="false">MAX(Flows!T73*T$4*T18/100,0)</f>
        <v>0</v>
      </c>
      <c r="U43" s="10" t="n">
        <f aca="false">MAX(Flows!U73*U$4*U18/100,0)</f>
        <v>0</v>
      </c>
      <c r="V43" s="10" t="n">
        <f aca="false">MAX(Flows!V73*V$4*V18/100,0)</f>
        <v>0</v>
      </c>
      <c r="W43" s="10" t="n">
        <f aca="false">MAX(Flows!W73*W$4*W18/100,0)</f>
        <v>29904368.8391054</v>
      </c>
      <c r="X43" s="10" t="n">
        <f aca="false">MAX(Flows!X73*X$4*X18/100,0)</f>
        <v>71128222.2132847</v>
      </c>
      <c r="Y43" s="10" t="n">
        <f aca="false">MAX(Flows!Y73*Y$4*Y18/100,0)</f>
        <v>0</v>
      </c>
      <c r="Z43" s="10" t="n">
        <f aca="false">MAX(Flows!Z73*Z$4*Z18/100,0)</f>
        <v>0</v>
      </c>
      <c r="AA43" s="10" t="n">
        <f aca="false">MAX(Flows!AA73*AA$4*AA18/100,0)</f>
        <v>0</v>
      </c>
      <c r="AB43" s="10" t="n">
        <f aca="false">MAX(Flows!AB73*AB$4*AB18/100,0)</f>
        <v>0</v>
      </c>
      <c r="AC43" s="10" t="n">
        <f aca="false">MAX(Flows!AC73*AC$4*AC18/100,0)</f>
        <v>191825.454213976</v>
      </c>
      <c r="AD43" s="10" t="n">
        <f aca="false">MAX(Flows!AD73*AD$4*AD18/100,0)</f>
        <v>0</v>
      </c>
      <c r="AE43" s="10" t="n">
        <f aca="false">MAX(Flows!AE73*AE$4*AE18/100,0)</f>
        <v>0</v>
      </c>
      <c r="AF43" s="10" t="n">
        <f aca="false">MAX(Flows!AF73*AF$4*AF18/100,0)</f>
        <v>0</v>
      </c>
      <c r="AG43" s="10" t="n">
        <f aca="false">MAX(Flows!AG73*AG$4*AG18/100,0)</f>
        <v>0</v>
      </c>
      <c r="AH43" s="10" t="n">
        <f aca="false">MAX(Flows!AH73*AH$4*AH18/100,0)</f>
        <v>0</v>
      </c>
      <c r="AI43" s="10" t="n">
        <f aca="false">MAX(Flows!AI73*AI$4*AI18/100,0)</f>
        <v>0</v>
      </c>
      <c r="AJ43" s="10" t="n">
        <f aca="false">MAX(Flows!AJ73*AJ$4*AJ18/100,0)</f>
        <v>1261456.0485355</v>
      </c>
      <c r="AK43" s="10" t="n">
        <f aca="false">MAX(Flows!AK73*AK$4*AK18/100,0)</f>
        <v>11081753.8546068</v>
      </c>
      <c r="AL43" s="10" t="n">
        <f aca="false">MAX(Flows!AL73*AL$4*AL18/100,0)</f>
        <v>282554.879062421</v>
      </c>
      <c r="AM43" s="10" t="n">
        <f aca="false">MAX(Flows!AM73*AM$4*AM18/100,0)</f>
        <v>1162592.97497621</v>
      </c>
      <c r="AN43" s="10" t="n">
        <f aca="false">MAX(Flows!AN73*AN$4*AN18/100,0)</f>
        <v>0</v>
      </c>
      <c r="AO43" s="10" t="n">
        <f aca="false">MAX(Flows!AO73*AO$4*AO18/100,0)</f>
        <v>106322.307363563</v>
      </c>
      <c r="AP43" s="10" t="n">
        <f aca="false">MAX(Flows!AP73*AP$4*AP18/100,0)</f>
        <v>0</v>
      </c>
      <c r="AQ43" s="10" t="n">
        <f aca="false">MAX(Flows!AQ73*AQ$4*AQ18/100,0)</f>
        <v>7331655.22377926</v>
      </c>
      <c r="AR43" s="10" t="n">
        <f aca="false">MAX(Flows!AR73*AR$4*AR18/100,0)</f>
        <v>0</v>
      </c>
      <c r="AS43" s="10" t="n">
        <f aca="false">MAX(Flows!AS73*AS$4*AS18/100,0)</f>
        <v>6719909.67197077</v>
      </c>
      <c r="AT43" s="10" t="n">
        <f aca="false">MAX(Flows!AT73*AT$4*AT18/100,0)</f>
        <v>0</v>
      </c>
      <c r="AU43" s="10" t="n">
        <f aca="false">MAX(Flows!AU73*AU$4*AU18/100,0)</f>
        <v>10412111.3304851</v>
      </c>
      <c r="AV43" s="10" t="n">
        <f aca="false">MAX(Flows!AV73*AV$4*AV18/100,0)</f>
        <v>0</v>
      </c>
      <c r="AW43" s="10" t="n">
        <f aca="false">MAX(Flows!AW73*AW$4*AW18/100,0)</f>
        <v>3591397.18157915</v>
      </c>
      <c r="AX43" s="10" t="n">
        <f aca="false">MAX(Flows!AX73*AX$4*AX18/100,0)</f>
        <v>1443938.3387831</v>
      </c>
      <c r="AY43" s="10" t="n">
        <f aca="false">MAX(Flows!AY73*AY$4*AY18/100,0)</f>
        <v>0</v>
      </c>
      <c r="AZ43" s="10" t="n">
        <f aca="false">MAX(Flows!AZ73*AZ$4*AZ18/100,0)</f>
        <v>0</v>
      </c>
      <c r="BA43" s="10" t="n">
        <f aca="false">MAX(Flows!BA73*BA$4*BA18/100,0)</f>
        <v>0</v>
      </c>
      <c r="BB43" s="10" t="n">
        <f aca="false">MAX(Flows!BB73*BB$4*BB18/100,0)</f>
        <v>0</v>
      </c>
      <c r="BC43" s="10" t="n">
        <f aca="false">MAX(Flows!BC73*BC$4*BC18/100,0)</f>
        <v>0</v>
      </c>
      <c r="BD43" s="10" t="n">
        <f aca="false">MAX(Flows!BD73*BD$4*BD18/100,0)</f>
        <v>0</v>
      </c>
      <c r="BE43" s="10" t="n">
        <f aca="false">MAX(Flows!BE73*BE$4*BE18/100,0)</f>
        <v>0</v>
      </c>
      <c r="BF43" s="10" t="n">
        <f aca="false">MAX(Flows!BF73*BF$4*BF18/100,0)</f>
        <v>3888506.82653538</v>
      </c>
      <c r="BG43" s="10" t="n">
        <f aca="false">MAX(Flows!BG73*BG$4*BG18/100,0)</f>
        <v>0</v>
      </c>
      <c r="BH43" s="10" t="n">
        <f aca="false">MAX(Flows!BH73*BH$4*BH18/100,0)</f>
        <v>0</v>
      </c>
      <c r="BI43" s="10" t="n">
        <f aca="false">MAX(Flows!BI73*BI$4*BI18/100,0)</f>
        <v>4477070.21457554</v>
      </c>
      <c r="BJ43" s="10" t="n">
        <f aca="false">MAX(Flows!BJ73*BJ$4*BJ18/100,0)</f>
        <v>4477070.21457561</v>
      </c>
      <c r="BK43" s="10" t="n">
        <f aca="false">MAX(Flows!BK73*BK$4*BK18/100,0)</f>
        <v>4477070.21457554</v>
      </c>
      <c r="BL43" s="10" t="n">
        <f aca="false">MAX(Flows!BL73*BL$4*BL18/100,0)</f>
        <v>0</v>
      </c>
      <c r="BM43" s="10" t="n">
        <f aca="false">MAX(Flows!BM73*BM$4*BM18/100,0)</f>
        <v>0</v>
      </c>
      <c r="BN43" s="10" t="n">
        <f aca="false">MAX(Flows!BN73*BN$4*BN18/100,0)</f>
        <v>0</v>
      </c>
      <c r="BO43" s="10" t="n">
        <f aca="false">MAX(Flows!BO73*BO$4*BO18/100,0)</f>
        <v>0</v>
      </c>
      <c r="BP43" s="10" t="n">
        <f aca="false">MAX(Flows!BP73*BP$4*BP18/100,0)</f>
        <v>0</v>
      </c>
      <c r="BQ43" s="10" t="n">
        <f aca="false">MAX(Flows!BQ73*BQ$4*BQ18/100,0)</f>
        <v>0</v>
      </c>
      <c r="BR43" s="10" t="n">
        <f aca="false">MAX(Flows!BR73*BR$4*BR18/100,0)</f>
        <v>0</v>
      </c>
      <c r="BS43" s="10" t="n">
        <f aca="false">MAX(Flows!BS73*BS$4*BS18/100,0)</f>
        <v>0</v>
      </c>
      <c r="BT43" s="10" t="n">
        <f aca="false">MAX(Flows!BT73*BT$4*BT18/100,0)</f>
        <v>0</v>
      </c>
      <c r="BU43" s="10" t="n">
        <f aca="false">MAX(Flows!BU73*BU$4*BU18/100,0)</f>
        <v>0</v>
      </c>
      <c r="BV43" s="10" t="n">
        <f aca="false">MAX(Flows!BV73*BV$4*BV18/100,0)</f>
        <v>0</v>
      </c>
      <c r="BW43" s="10" t="n">
        <f aca="false">MAX(Flows!BW73*BW$4*BW18/100,0)</f>
        <v>0</v>
      </c>
      <c r="BX43" s="10" t="n">
        <f aca="false">MAX(Flows!BX73*BX$4*BX18/100,0)</f>
        <v>0</v>
      </c>
      <c r="BY43" s="10" t="n">
        <f aca="false">MAX(Flows!BY73*BY$4*BY18/100,0)</f>
        <v>0</v>
      </c>
      <c r="BZ43" s="10" t="n">
        <f aca="false">MAX(Flows!BZ73*BZ$4*BZ18/100,0)</f>
        <v>2587811.59585906</v>
      </c>
      <c r="CA43" s="10" t="n">
        <f aca="false">MAX(Flows!CA73*CA$4*CA18/100,0)</f>
        <v>2587811.59585908</v>
      </c>
      <c r="CB43" s="10" t="n">
        <f aca="false">MAX(Flows!CB73*CB$4*CB18/100,0)</f>
        <v>0</v>
      </c>
      <c r="CC43" s="10" t="n">
        <f aca="false">MAX(Flows!CC73*CC$4*CC18/100,0)</f>
        <v>223853.510728778</v>
      </c>
      <c r="CD43" s="10" t="n">
        <f aca="false">MAX(Flows!CD73*CD$4*CD18/100,0)</f>
        <v>0</v>
      </c>
      <c r="CE43" s="10" t="n">
        <f aca="false">MAX(Flows!CE73*CE$4*CE18/100,0)</f>
        <v>223853.510728777</v>
      </c>
      <c r="CF43" s="10" t="n">
        <f aca="false">MAX(Flows!CF73*CF$4*CF18/100,0)</f>
        <v>447707.021457554</v>
      </c>
      <c r="CG43" s="10" t="n">
        <f aca="false">MAX(Flows!CG73*CG$4*CG18/100,0)</f>
        <v>0</v>
      </c>
      <c r="CH43" s="10" t="n">
        <f aca="false">MAX(Flows!CH73*CH$4*CH18/100,0)</f>
        <v>0</v>
      </c>
      <c r="CI43" s="10" t="n">
        <f aca="false">MAX(Flows!CI73*CI$4*CI18/100,0)</f>
        <v>0</v>
      </c>
      <c r="CJ43" s="10" t="n">
        <f aca="false">MAX(Flows!CJ73*CJ$4*CJ18/100,0)</f>
        <v>0</v>
      </c>
      <c r="CK43" s="10" t="n">
        <f aca="false">MAX(Flows!CK73*CK$4*CK18/100,0)</f>
        <v>0</v>
      </c>
      <c r="CL43" s="7" t="s">
        <v>322</v>
      </c>
      <c r="CM43" s="10" t="n">
        <f aca="false" t="array" ref="CM43:CM43">SUM(IF($C$150:$CK$150=CM$30,$C43:$CK43,0),IF($C$150:$CK$150=CM$30,-$C103:$CK103,0))</f>
        <v>82284947.0994841</v>
      </c>
      <c r="CN43" s="10" t="n">
        <f aca="false" t="array" ref="CN43:CN43">SUM(IF($C$150:$CK$150=CN$30,$C43:$CK43,0),IF($C$150:$CK$150=CN$30,-$C103:$CK103,0))</f>
        <v>-56162470.2929072</v>
      </c>
      <c r="CO43" s="10" t="n">
        <f aca="false" t="array" ref="CO43:CO43">SUM(IF($C$150:$CK$150=CO$30,$C43:$CK43,0),IF($C$150:$CK$150=CO$30,-$C103:$CK103,0))</f>
        <v>-24178378.2238392</v>
      </c>
      <c r="CP43" s="10" t="n">
        <f aca="false" t="array" ref="CP43:CP43">SUM(IF($C$150:$CK$150=CP$30,$C43:$CK43,0),IF($C$150:$CK$150=CP$30,-$C103:$CK103,0))</f>
        <v>-33617842.0559531</v>
      </c>
      <c r="CQ43" s="10" t="n">
        <f aca="false" t="array" ref="CQ43:CQ43">SUM(IF($C$150:$CK$150=CQ$30,$C43:$CK43,0),IF($C$150:$CK$150=CQ$30,-$C103:$CK103,0))</f>
        <v>-38706362.1394955</v>
      </c>
      <c r="CR43" s="10" t="n">
        <f aca="false" t="array" ref="CR43:CR43">SUM(IF($C$150:$CK$150=CR$30,$C43:$CK43,0),IF($C$150:$CK$150=CR$30,-$C103:$CK103,0))</f>
        <v>-2905731240436100</v>
      </c>
      <c r="CS43" s="10" t="n">
        <f aca="false" t="array" ref="CS43:CS43">SUM(IF($C$150:$CK$150=CS$30,$C43:$CK43,0),IF($C$150:$CK$150=CS$30,-$C103:$CK103,0))</f>
        <v>-1613809.25457164</v>
      </c>
      <c r="CT43" s="10" t="n">
        <f aca="false" t="array" ref="CT43:CT43">SUM(IF($C$150:$CK$150=CT$30,$C43:$CK43,0),IF($C$150:$CK$150=CT$30,-$C103:$CK103,0))</f>
        <v>-1477361.21993389</v>
      </c>
      <c r="CU43" s="10" t="n">
        <f aca="false" t="array" ref="CU43:CU43">SUM(IF($C$150:$CK$150=CU$30,$C43:$CK43,0),IF($C$150:$CK$150=CU$30,-$C103:$CK103,0))</f>
        <v>74641376.5929313</v>
      </c>
      <c r="CV43" s="10" t="n">
        <f aca="false" t="array" ref="CV43:CV43">SUM(IF($C$150:$CK$150=CV$30,$C43:$CK43,0),IF($C$150:$CK$150=CV$30,-$C103:$CK103,0))</f>
        <v>-803864.712593044</v>
      </c>
      <c r="CX43" s="0" t="str">
        <f aca="false">INDEX($C$1:$CK$1,MATCH(LARGE($C43:$CK43,1),$C43:$CK43,0))</f>
        <v>Chipak (lb)</v>
      </c>
      <c r="CY43" s="0" t="str">
        <f aca="false">INDEX($C$1:$CK$1,MATCH(LARGE($C43:$CK43,2),$C43:$CK43,0))</f>
        <v>Wax (lb)</v>
      </c>
      <c r="CZ43" s="0" t="str">
        <f aca="false">INDEX($C$1:$CK$1,MATCH(LARGE($C43:$CK43,3),$C43:$CK43,0))</f>
        <v>Sauce (lb)</v>
      </c>
      <c r="DA43" s="0" t="str">
        <f aca="false">INDEX($C$1:$CK$1,MATCH(LARGE($C43:$CK43,4),$C43:$CK43,0))</f>
        <v>Honey (lb)</v>
      </c>
      <c r="DB43" s="0" t="str">
        <f aca="false">INDEX($C$1:$CK$1,MATCH(LARGE($C43:$CK43,5),$C43:$CK43,0))</f>
        <v>Chisels (ea)</v>
      </c>
      <c r="DD43" s="0" t="str">
        <f aca="false">IF(LARGE($CM43:$CV43,1)&gt;0,INDEX($CM$30:$CV$30,MATCH(LARGE($CM43:$CV43,1),$CM43:$CV43,0)),"N/A")</f>
        <v>Produce</v>
      </c>
      <c r="DE43" s="0" t="str">
        <f aca="false">IF(LARGE($CM43:$CV43,2)&gt;0,INDEX($CM$30:$CV$30,MATCH(LARGE($CM43:$CV43,2),$CM43:$CV43,0)),"N/A")</f>
        <v>Honey</v>
      </c>
      <c r="DF43" s="0" t="str">
        <f aca="false">IF(LARGE($CM43:$CV43,3)&gt;0,INDEX($CM$30:$CV$30,MATCH(LARGE($CM43:$CV43,3),$CM43:$CV43,0)),"N/A")</f>
        <v>N/A</v>
      </c>
      <c r="DG43" s="0" t="str">
        <f aca="false">IF(LARGE($CM43:$CV43,4)&gt;0,INDEX($CM$30:$CV$30,MATCH(LARGE($CM43:$CV43,4),$CM43:$CV43,0)),"N/A")</f>
        <v>N/A</v>
      </c>
      <c r="DH43" s="0" t="str">
        <f aca="false">IF(LARGE($CM43:$CV43,5)&gt;0,INDEX($CM$30:$CV$30,MATCH(LARGE($CM43:$CV43,5),$CM43:$CV43,0)),"N/A")</f>
        <v>N/A</v>
      </c>
    </row>
    <row r="44" customFormat="false" ht="12.8" hidden="false" customHeight="false" outlineLevel="0" collapsed="false">
      <c r="A44" s="7" t="s">
        <v>150</v>
      </c>
      <c r="B44" s="7" t="s">
        <v>39</v>
      </c>
      <c r="C44" s="10" t="n">
        <f aca="false">MAX(Flows!C74*C$4*C19/100,0)</f>
        <v>0</v>
      </c>
      <c r="D44" s="10" t="n">
        <f aca="false">MAX(Flows!D74*D$4*D19/100,0)</f>
        <v>0</v>
      </c>
      <c r="E44" s="10" t="n">
        <f aca="false">MAX(Flows!E74*E$4*E19/100,0)</f>
        <v>0</v>
      </c>
      <c r="F44" s="10" t="n">
        <f aca="false">MAX(Flows!F74*F$4*F19/100,0)</f>
        <v>0</v>
      </c>
      <c r="G44" s="10" t="n">
        <f aca="false">MAX(Flows!G74*G$4*G19/100,0)</f>
        <v>0</v>
      </c>
      <c r="H44" s="10" t="n">
        <f aca="false">MAX(Flows!H74*H$4*H19/100,0)</f>
        <v>0</v>
      </c>
      <c r="I44" s="10" t="n">
        <f aca="false">MAX(Flows!I74*I$4*I19/100,0)</f>
        <v>37544477.6043493</v>
      </c>
      <c r="J44" s="10" t="n">
        <f aca="false">MAX(Flows!J74*J$4*J19/100,0)</f>
        <v>11631775.1684184</v>
      </c>
      <c r="K44" s="10" t="n">
        <f aca="false">MAX(Flows!K74*K$4*K19/100,0)</f>
        <v>0</v>
      </c>
      <c r="L44" s="10" t="n">
        <f aca="false">MAX(Flows!L74*L$4*L19/100,0)</f>
        <v>0</v>
      </c>
      <c r="M44" s="10" t="n">
        <f aca="false">MAX(Flows!M74*M$4*M19/100,0)</f>
        <v>0</v>
      </c>
      <c r="N44" s="10" t="n">
        <f aca="false">MAX(Flows!N74*N$4*N19/100,0)</f>
        <v>0</v>
      </c>
      <c r="O44" s="10" t="n">
        <f aca="false">MAX(Flows!O74*O$4*O19/100,0)</f>
        <v>0</v>
      </c>
      <c r="P44" s="10" t="n">
        <f aca="false">MAX(Flows!P74*P$4*P19/100,0)</f>
        <v>0</v>
      </c>
      <c r="Q44" s="10" t="n">
        <f aca="false">MAX(Flows!Q74*Q$4*Q19/100,0)</f>
        <v>0</v>
      </c>
      <c r="R44" s="10" t="n">
        <f aca="false">MAX(Flows!R74*R$4*R19/100,0)</f>
        <v>0</v>
      </c>
      <c r="S44" s="10" t="n">
        <f aca="false">MAX(Flows!S74*S$4*S19/100,0)</f>
        <v>0</v>
      </c>
      <c r="T44" s="10" t="n">
        <f aca="false">MAX(Flows!T74*T$4*T19/100,0)</f>
        <v>0</v>
      </c>
      <c r="U44" s="10" t="n">
        <f aca="false">MAX(Flows!U74*U$4*U19/100,0)</f>
        <v>0</v>
      </c>
      <c r="V44" s="10" t="n">
        <f aca="false">MAX(Flows!V74*V$4*V19/100,0)</f>
        <v>0</v>
      </c>
      <c r="W44" s="10" t="n">
        <f aca="false">MAX(Flows!W74*W$4*W19/100,0)</f>
        <v>0</v>
      </c>
      <c r="X44" s="10" t="n">
        <f aca="false">MAX(Flows!X74*X$4*X19/100,0)</f>
        <v>0</v>
      </c>
      <c r="Y44" s="10" t="n">
        <f aca="false">MAX(Flows!Y74*Y$4*Y19/100,0)</f>
        <v>0</v>
      </c>
      <c r="Z44" s="10" t="n">
        <f aca="false">MAX(Flows!Z74*Z$4*Z19/100,0)</f>
        <v>370598.065548123</v>
      </c>
      <c r="AA44" s="10" t="n">
        <f aca="false">MAX(Flows!AA74*AA$4*AA19/100,0)</f>
        <v>48967.8570343289</v>
      </c>
      <c r="AB44" s="10" t="n">
        <f aca="false">MAX(Flows!AB74*AB$4*AB19/100,0)</f>
        <v>0</v>
      </c>
      <c r="AC44" s="10" t="n">
        <f aca="false">MAX(Flows!AC74*AC$4*AC19/100,0)</f>
        <v>0</v>
      </c>
      <c r="AD44" s="10" t="n">
        <f aca="false">MAX(Flows!AD74*AD$4*AD19/100,0)</f>
        <v>0</v>
      </c>
      <c r="AE44" s="10" t="n">
        <f aca="false">MAX(Flows!AE74*AE$4*AE19/100,0)</f>
        <v>0</v>
      </c>
      <c r="AF44" s="10" t="n">
        <f aca="false">MAX(Flows!AF74*AF$4*AF19/100,0)</f>
        <v>1227266.17652501</v>
      </c>
      <c r="AG44" s="10" t="n">
        <f aca="false">MAX(Flows!AG74*AG$4*AG19/100,0)</f>
        <v>0</v>
      </c>
      <c r="AH44" s="10" t="n">
        <f aca="false">MAX(Flows!AH74*AH$4*AH19/100,0)</f>
        <v>0</v>
      </c>
      <c r="AI44" s="10" t="n">
        <f aca="false">MAX(Flows!AI74*AI$4*AI19/100,0)</f>
        <v>0</v>
      </c>
      <c r="AJ44" s="10" t="n">
        <f aca="false">MAX(Flows!AJ74*AJ$4*AJ19/100,0)</f>
        <v>0</v>
      </c>
      <c r="AK44" s="10" t="n">
        <f aca="false">MAX(Flows!AK74*AK$4*AK19/100,0)</f>
        <v>0</v>
      </c>
      <c r="AL44" s="10" t="n">
        <f aca="false">MAX(Flows!AL74*AL$4*AL19/100,0)</f>
        <v>0</v>
      </c>
      <c r="AM44" s="10" t="n">
        <f aca="false">MAX(Flows!AM74*AM$4*AM19/100,0)</f>
        <v>0</v>
      </c>
      <c r="AN44" s="10" t="n">
        <f aca="false">MAX(Flows!AN74*AN$4*AN19/100,0)</f>
        <v>3718847.26502287</v>
      </c>
      <c r="AO44" s="10" t="n">
        <f aca="false">MAX(Flows!AO74*AO$4*AO19/100,0)</f>
        <v>0</v>
      </c>
      <c r="AP44" s="10" t="n">
        <f aca="false">MAX(Flows!AP74*AP$4*AP19/100,0)</f>
        <v>0</v>
      </c>
      <c r="AQ44" s="10" t="n">
        <f aca="false">MAX(Flows!AQ74*AQ$4*AQ19/100,0)</f>
        <v>0</v>
      </c>
      <c r="AR44" s="10" t="n">
        <f aca="false">MAX(Flows!AR74*AR$4*AR19/100,0)</f>
        <v>0</v>
      </c>
      <c r="AS44" s="10" t="n">
        <f aca="false">MAX(Flows!AS74*AS$4*AS19/100,0)</f>
        <v>0</v>
      </c>
      <c r="AT44" s="10" t="n">
        <f aca="false">MAX(Flows!AT74*AT$4*AT19/100,0)</f>
        <v>0</v>
      </c>
      <c r="AU44" s="10" t="n">
        <f aca="false">MAX(Flows!AU74*AU$4*AU19/100,0)</f>
        <v>0</v>
      </c>
      <c r="AV44" s="10" t="n">
        <f aca="false">MAX(Flows!AV74*AV$4*AV19/100,0)</f>
        <v>0</v>
      </c>
      <c r="AW44" s="10" t="n">
        <f aca="false">MAX(Flows!AW74*AW$4*AW19/100,0)</f>
        <v>0</v>
      </c>
      <c r="AX44" s="10" t="n">
        <f aca="false">MAX(Flows!AX74*AX$4*AX19/100,0)</f>
        <v>3666206.38501324</v>
      </c>
      <c r="AY44" s="10" t="n">
        <f aca="false">MAX(Flows!AY74*AY$4*AY19/100,0)</f>
        <v>0</v>
      </c>
      <c r="AZ44" s="10" t="n">
        <f aca="false">MAX(Flows!AZ74*AZ$4*AZ19/100,0)</f>
        <v>0</v>
      </c>
      <c r="BA44" s="10" t="n">
        <f aca="false">MAX(Flows!BA74*BA$4*BA19/100,0)</f>
        <v>0</v>
      </c>
      <c r="BB44" s="10" t="n">
        <f aca="false">MAX(Flows!BB74*BB$4*BB19/100,0)</f>
        <v>0</v>
      </c>
      <c r="BC44" s="10" t="n">
        <f aca="false">MAX(Flows!BC74*BC$4*BC19/100,0)</f>
        <v>0</v>
      </c>
      <c r="BD44" s="10" t="n">
        <f aca="false">MAX(Flows!BD74*BD$4*BD19/100,0)</f>
        <v>0</v>
      </c>
      <c r="BE44" s="10" t="n">
        <f aca="false">MAX(Flows!BE74*BE$4*BE19/100,0)</f>
        <v>0</v>
      </c>
      <c r="BF44" s="10" t="n">
        <f aca="false">MAX(Flows!BF74*BF$4*BF19/100,0)</f>
        <v>0</v>
      </c>
      <c r="BG44" s="10" t="n">
        <f aca="false">MAX(Flows!BG74*BG$4*BG19/100,0)</f>
        <v>0</v>
      </c>
      <c r="BH44" s="10" t="n">
        <f aca="false">MAX(Flows!BH74*BH$4*BH19/100,0)</f>
        <v>0</v>
      </c>
      <c r="BI44" s="10" t="n">
        <f aca="false">MAX(Flows!BI74*BI$4*BI19/100,0)</f>
        <v>0</v>
      </c>
      <c r="BJ44" s="10" t="n">
        <f aca="false">MAX(Flows!BJ74*BJ$4*BJ19/100,0)</f>
        <v>0</v>
      </c>
      <c r="BK44" s="10" t="n">
        <f aca="false">MAX(Flows!BK74*BK$4*BK19/100,0)</f>
        <v>0</v>
      </c>
      <c r="BL44" s="10" t="n">
        <f aca="false">MAX(Flows!BL74*BL$4*BL19/100,0)</f>
        <v>0</v>
      </c>
      <c r="BM44" s="10" t="n">
        <f aca="false">MAX(Flows!BM74*BM$4*BM19/100,0)</f>
        <v>0</v>
      </c>
      <c r="BN44" s="10" t="n">
        <f aca="false">MAX(Flows!BN74*BN$4*BN19/100,0)</f>
        <v>0</v>
      </c>
      <c r="BO44" s="10" t="n">
        <f aca="false">MAX(Flows!BO74*BO$4*BO19/100,0)</f>
        <v>0</v>
      </c>
      <c r="BP44" s="10" t="n">
        <f aca="false">MAX(Flows!BP74*BP$4*BP19/100,0)</f>
        <v>0</v>
      </c>
      <c r="BQ44" s="10" t="n">
        <f aca="false">MAX(Flows!BQ74*BQ$4*BQ19/100,0)</f>
        <v>0</v>
      </c>
      <c r="BR44" s="10" t="n">
        <f aca="false">MAX(Flows!BR74*BR$4*BR19/100,0)</f>
        <v>0</v>
      </c>
      <c r="BS44" s="10" t="n">
        <f aca="false">MAX(Flows!BS74*BS$4*BS19/100,0)</f>
        <v>0</v>
      </c>
      <c r="BT44" s="10" t="n">
        <f aca="false">MAX(Flows!BT74*BT$4*BT19/100,0)</f>
        <v>0</v>
      </c>
      <c r="BU44" s="10" t="n">
        <f aca="false">MAX(Flows!BU74*BU$4*BU19/100,0)</f>
        <v>0</v>
      </c>
      <c r="BV44" s="10" t="n">
        <f aca="false">MAX(Flows!BV74*BV$4*BV19/100,0)</f>
        <v>0</v>
      </c>
      <c r="BW44" s="10" t="n">
        <f aca="false">MAX(Flows!BW74*BW$4*BW19/100,0)</f>
        <v>0</v>
      </c>
      <c r="BX44" s="10" t="n">
        <f aca="false">MAX(Flows!BX74*BX$4*BX19/100,0)</f>
        <v>0</v>
      </c>
      <c r="BY44" s="10" t="n">
        <f aca="false">MAX(Flows!BY74*BY$4*BY19/100,0)</f>
        <v>0</v>
      </c>
      <c r="BZ44" s="10" t="n">
        <f aca="false">MAX(Flows!BZ74*BZ$4*BZ19/100,0)</f>
        <v>0</v>
      </c>
      <c r="CA44" s="10" t="n">
        <f aca="false">MAX(Flows!CA74*CA$4*CA19/100,0)</f>
        <v>0</v>
      </c>
      <c r="CB44" s="10" t="n">
        <f aca="false">MAX(Flows!CB74*CB$4*CB19/100,0)</f>
        <v>0</v>
      </c>
      <c r="CC44" s="10" t="n">
        <f aca="false">MAX(Flows!CC74*CC$4*CC19/100,0)</f>
        <v>0</v>
      </c>
      <c r="CD44" s="10" t="n">
        <f aca="false">MAX(Flows!CD74*CD$4*CD19/100,0)</f>
        <v>0</v>
      </c>
      <c r="CE44" s="10" t="n">
        <f aca="false">MAX(Flows!CE74*CE$4*CE19/100,0)</f>
        <v>0</v>
      </c>
      <c r="CF44" s="10" t="n">
        <f aca="false">MAX(Flows!CF74*CF$4*CF19/100,0)</f>
        <v>0</v>
      </c>
      <c r="CG44" s="10" t="n">
        <f aca="false">MAX(Flows!CG74*CG$4*CG19/100,0)</f>
        <v>0</v>
      </c>
      <c r="CH44" s="10" t="n">
        <f aca="false">MAX(Flows!CH74*CH$4*CH19/100,0)</f>
        <v>0</v>
      </c>
      <c r="CI44" s="10" t="n">
        <f aca="false">MAX(Flows!CI74*CI$4*CI19/100,0)</f>
        <v>0</v>
      </c>
      <c r="CJ44" s="10" t="n">
        <f aca="false">MAX(Flows!CJ74*CJ$4*CJ19/100,0)</f>
        <v>0</v>
      </c>
      <c r="CK44" s="10" t="n">
        <f aca="false">MAX(Flows!CK74*CK$4*CK19/100,0)</f>
        <v>0</v>
      </c>
      <c r="CL44" s="7" t="s">
        <v>322</v>
      </c>
      <c r="CM44" s="10" t="n">
        <f aca="false" t="array" ref="CM44:CM44">SUM(IF($C$150:$CK$150=CM$30,$C44:$CK44,0),IF($C$150:$CK$150=CM$30,-$C104:$CK104,0))</f>
        <v>-356895289.7875</v>
      </c>
      <c r="CN44" s="10" t="n">
        <f aca="false" t="array" ref="CN44:CN44">SUM(IF($C$150:$CK$150=CN$30,$C44:$CK44,0),IF($C$150:$CK$150=CN$30,-$C104:$CK104,0))</f>
        <v>-173772214.871555</v>
      </c>
      <c r="CO44" s="10" t="n">
        <f aca="false" t="array" ref="CO44:CO44">SUM(IF($C$150:$CK$150=CO$30,$C44:$CK44,0),IF($C$150:$CK$150=CO$30,-$C104:$CK104,0))</f>
        <v>-280676131.371255</v>
      </c>
      <c r="CP44" s="10" t="n">
        <f aca="false" t="array" ref="CP44:CP44">SUM(IF($C$150:$CK$150=CP$30,$C44:$CK44,0),IF($C$150:$CK$150=CP$30,-$C104:$CK104,0))</f>
        <v>-73798746.4467428</v>
      </c>
      <c r="CQ44" s="10" t="n">
        <f aca="false" t="array" ref="CQ44:CQ44">SUM(IF($C$150:$CK$150=CQ$30,$C44:$CK44,0),IF($C$150:$CK$150=CQ$30,-$C104:$CK104,0))</f>
        <v>-182645829.288826</v>
      </c>
      <c r="CR44" s="10" t="n">
        <f aca="false" t="array" ref="CR44:CR44">SUM(IF($C$150:$CK$150=CR$30,$C44:$CK44,0),IF($C$150:$CK$150=CR$30,-$C104:$CK104,0))</f>
        <v>-7506358664151160</v>
      </c>
      <c r="CS44" s="10" t="n">
        <f aca="false" t="array" ref="CS44:CS44">SUM(IF($C$150:$CK$150=CS$30,$C44:$CK44,0),IF($C$150:$CK$150=CS$30,-$C104:$CK104,0))</f>
        <v>-21952124.3738357</v>
      </c>
      <c r="CT44" s="10" t="n">
        <f aca="false" t="array" ref="CT44:CT44">SUM(IF($C$150:$CK$150=CT$30,$C44:$CK44,0),IF($C$150:$CK$150=CT$30,-$C104:$CK104,0))</f>
        <v>-8850940.66041703</v>
      </c>
      <c r="CU44" s="10" t="n">
        <f aca="false" t="array" ref="CU44:CU44">SUM(IF($C$150:$CK$150=CU$30,$C44:$CK44,0),IF($C$150:$CK$150=CU$30,-$C104:$CK104,0))</f>
        <v>49176252.7727677</v>
      </c>
      <c r="CV44" s="10" t="n">
        <f aca="false" t="array" ref="CV44:CV44">SUM(IF($C$150:$CK$150=CV$30,$C44:$CK44,0),IF($C$150:$CK$150=CV$30,-$C104:$CK104,0))</f>
        <v>-454558.771460197</v>
      </c>
      <c r="CX44" s="0" t="str">
        <f aca="false">INDEX($C$1:$CK$1,MATCH(LARGE($C44:$CK44,1),$C44:$CK44,0))</f>
        <v>Honey (lb)</v>
      </c>
      <c r="CY44" s="0" t="str">
        <f aca="false">INDEX($C$1:$CK$1,MATCH(LARGE($C44:$CK44,2),$C44:$CK44,0))</f>
        <v>Wax (lb)</v>
      </c>
      <c r="CZ44" s="0" t="str">
        <f aca="false">INDEX($C$1:$CK$1,MATCH(LARGE($C44:$CK44,3),$C44:$CK44,0))</f>
        <v>Axe (ea)</v>
      </c>
      <c r="DA44" s="0" t="str">
        <f aca="false">INDEX($C$1:$CK$1,MATCH(LARGE($C44:$CK44,4),$C44:$CK44,0))</f>
        <v>Sweater (ea)</v>
      </c>
      <c r="DB44" s="0" t="str">
        <f aca="false">INDEX($C$1:$CK$1,MATCH(LARGE($C44:$CK44,5),$C44:$CK44,0))</f>
        <v>Zhou Shoes (ea)</v>
      </c>
      <c r="DD44" s="0" t="str">
        <f aca="false">IF(LARGE($CM44:$CV44,1)&gt;0,INDEX($CM$30:$CV$30,MATCH(LARGE($CM44:$CV44,1),$CM44:$CV44,0)),"N/A")</f>
        <v>Honey</v>
      </c>
      <c r="DE44" s="0" t="str">
        <f aca="false">IF(LARGE($CM44:$CV44,2)&gt;0,INDEX($CM$30:$CV$30,MATCH(LARGE($CM44:$CV44,2),$CM44:$CV44,0)),"N/A")</f>
        <v>N/A</v>
      </c>
      <c r="DF44" s="0" t="str">
        <f aca="false">IF(LARGE($CM44:$CV44,3)&gt;0,INDEX($CM$30:$CV$30,MATCH(LARGE($CM44:$CV44,3),$CM44:$CV44,0)),"N/A")</f>
        <v>N/A</v>
      </c>
      <c r="DG44" s="0" t="str">
        <f aca="false">IF(LARGE($CM44:$CV44,4)&gt;0,INDEX($CM$30:$CV$30,MATCH(LARGE($CM44:$CV44,4),$CM44:$CV44,0)),"N/A")</f>
        <v>N/A</v>
      </c>
      <c r="DH44" s="0" t="str">
        <f aca="false">IF(LARGE($CM44:$CV44,5)&gt;0,INDEX($CM$30:$CV$30,MATCH(LARGE($CM44:$CV44,5),$CM44:$CV44,0)),"N/A")</f>
        <v>N/A</v>
      </c>
    </row>
    <row r="45" customFormat="false" ht="12.8" hidden="false" customHeight="false" outlineLevel="0" collapsed="false">
      <c r="A45" s="7" t="s">
        <v>151</v>
      </c>
      <c r="B45" s="7" t="s">
        <v>39</v>
      </c>
      <c r="C45" s="10" t="n">
        <f aca="false">MAX(Flows!C75*C$4*C20/100,0)</f>
        <v>27903267.1912555</v>
      </c>
      <c r="D45" s="10" t="n">
        <f aca="false">MAX(Flows!D75*D$4*D20/100,0)</f>
        <v>50426498.1209007</v>
      </c>
      <c r="E45" s="10" t="n">
        <f aca="false">MAX(Flows!E75*E$4*E20/100,0)</f>
        <v>25872070.4896113</v>
      </c>
      <c r="F45" s="10" t="n">
        <f aca="false">MAX(Flows!F75*F$4*F20/100,0)</f>
        <v>0</v>
      </c>
      <c r="G45" s="10" t="n">
        <f aca="false">MAX(Flows!G75*G$4*G20/100,0)</f>
        <v>31789400.3792136</v>
      </c>
      <c r="H45" s="10" t="n">
        <f aca="false">MAX(Flows!H75*H$4*H20/100,0)</f>
        <v>0</v>
      </c>
      <c r="I45" s="10" t="n">
        <f aca="false">MAX(Flows!I75*I$4*I20/100,0)</f>
        <v>0</v>
      </c>
      <c r="J45" s="10" t="n">
        <f aca="false">MAX(Flows!J75*J$4*J20/100,0)</f>
        <v>4973493.78338588</v>
      </c>
      <c r="K45" s="10" t="n">
        <f aca="false">MAX(Flows!K75*K$4*K20/100,0)</f>
        <v>0</v>
      </c>
      <c r="L45" s="10" t="n">
        <f aca="false">MAX(Flows!L75*L$4*L20/100,0)</f>
        <v>0</v>
      </c>
      <c r="M45" s="10" t="n">
        <f aca="false">MAX(Flows!M75*M$4*M20/100,0)</f>
        <v>0</v>
      </c>
      <c r="N45" s="10" t="n">
        <f aca="false">MAX(Flows!N75*N$4*N20/100,0)</f>
        <v>33129661.3527705</v>
      </c>
      <c r="O45" s="10" t="n">
        <f aca="false">MAX(Flows!O75*O$4*O20/100,0)</f>
        <v>0</v>
      </c>
      <c r="P45" s="10" t="n">
        <f aca="false">MAX(Flows!P75*P$4*P20/100,0)</f>
        <v>0</v>
      </c>
      <c r="Q45" s="10" t="n">
        <f aca="false">MAX(Flows!Q75*Q$4*Q20/100,0)</f>
        <v>24581159.1686751</v>
      </c>
      <c r="R45" s="10" t="n">
        <f aca="false">MAX(Flows!R75*R$4*R20/100,0)</f>
        <v>28960229.1653862</v>
      </c>
      <c r="S45" s="10" t="n">
        <f aca="false">MAX(Flows!S75*S$4*S20/100,0)</f>
        <v>0</v>
      </c>
      <c r="T45" s="10" t="n">
        <f aca="false">MAX(Flows!T75*T$4*T20/100,0)</f>
        <v>0</v>
      </c>
      <c r="U45" s="10" t="n">
        <f aca="false">MAX(Flows!U75*U$4*U20/100,0)</f>
        <v>0</v>
      </c>
      <c r="V45" s="10" t="n">
        <f aca="false">MAX(Flows!V75*V$4*V20/100,0)</f>
        <v>6401353.38683647</v>
      </c>
      <c r="W45" s="10" t="n">
        <f aca="false">MAX(Flows!W75*W$4*W20/100,0)</f>
        <v>71618159.3912641</v>
      </c>
      <c r="X45" s="10" t="n">
        <f aca="false">MAX(Flows!X75*X$4*X20/100,0)</f>
        <v>49913019.1765021</v>
      </c>
      <c r="Y45" s="10" t="n">
        <f aca="false">MAX(Flows!Y75*Y$4*Y20/100,0)</f>
        <v>0</v>
      </c>
      <c r="Z45" s="10" t="n">
        <f aca="false">MAX(Flows!Z75*Z$4*Z20/100,0)</f>
        <v>448315.257289561</v>
      </c>
      <c r="AA45" s="10" t="n">
        <f aca="false">MAX(Flows!AA75*AA$4*AA20/100,0)</f>
        <v>0</v>
      </c>
      <c r="AB45" s="10" t="n">
        <f aca="false">MAX(Flows!AB75*AB$4*AB20/100,0)</f>
        <v>92351.5505296568</v>
      </c>
      <c r="AC45" s="10" t="n">
        <f aca="false">MAX(Flows!AC75*AC$4*AC20/100,0)</f>
        <v>0</v>
      </c>
      <c r="AD45" s="10" t="n">
        <f aca="false">MAX(Flows!AD75*AD$4*AD20/100,0)</f>
        <v>46175.7752648284</v>
      </c>
      <c r="AE45" s="10" t="n">
        <f aca="false">MAX(Flows!AE75*AE$4*AE20/100,0)</f>
        <v>1639486.20788706</v>
      </c>
      <c r="AF45" s="10" t="n">
        <f aca="false">MAX(Flows!AF75*AF$4*AF20/100,0)</f>
        <v>389137.081592299</v>
      </c>
      <c r="AG45" s="10" t="n">
        <f aca="false">MAX(Flows!AG75*AG$4*AG20/100,0)</f>
        <v>8282579.53058837</v>
      </c>
      <c r="AH45" s="10" t="n">
        <f aca="false">MAX(Flows!AH75*AH$4*AH20/100,0)</f>
        <v>8909231.0420976</v>
      </c>
      <c r="AI45" s="10" t="n">
        <f aca="false">MAX(Flows!AI75*AI$4*AI20/100,0)</f>
        <v>0</v>
      </c>
      <c r="AJ45" s="10" t="n">
        <f aca="false">MAX(Flows!AJ75*AJ$4*AJ20/100,0)</f>
        <v>8304604.41784738</v>
      </c>
      <c r="AK45" s="10" t="n">
        <f aca="false">MAX(Flows!AK75*AK$4*AK20/100,0)</f>
        <v>7032563.46648229</v>
      </c>
      <c r="AL45" s="10" t="n">
        <f aca="false">MAX(Flows!AL75*AL$4*AL20/100,0)</f>
        <v>1143129.78090466</v>
      </c>
      <c r="AM45" s="10" t="n">
        <f aca="false">MAX(Flows!AM75*AM$4*AM20/100,0)</f>
        <v>1194956.87109821</v>
      </c>
      <c r="AN45" s="10" t="n">
        <f aca="false">MAX(Flows!AN75*AN$4*AN20/100,0)</f>
        <v>12212655.2336476</v>
      </c>
      <c r="AO45" s="10" t="n">
        <f aca="false">MAX(Flows!AO75*AO$4*AO20/100,0)</f>
        <v>4775690.27371156</v>
      </c>
      <c r="AP45" s="10" t="n">
        <f aca="false">MAX(Flows!AP75*AP$4*AP20/100,0)</f>
        <v>12777589.3694042</v>
      </c>
      <c r="AQ45" s="10" t="n">
        <f aca="false">MAX(Flows!AQ75*AQ$4*AQ20/100,0)</f>
        <v>10743866.5004111</v>
      </c>
      <c r="AR45" s="10" t="n">
        <f aca="false">MAX(Flows!AR75*AR$4*AR20/100,0)</f>
        <v>0</v>
      </c>
      <c r="AS45" s="10" t="n">
        <f aca="false">MAX(Flows!AS75*AS$4*AS20/100,0)</f>
        <v>7140685.80416999</v>
      </c>
      <c r="AT45" s="10" t="n">
        <f aca="false">MAX(Flows!AT75*AT$4*AT20/100,0)</f>
        <v>0</v>
      </c>
      <c r="AU45" s="10" t="n">
        <f aca="false">MAX(Flows!AU75*AU$4*AU20/100,0)</f>
        <v>0</v>
      </c>
      <c r="AV45" s="10" t="n">
        <f aca="false">MAX(Flows!AV75*AV$4*AV20/100,0)</f>
        <v>1110549.6095481</v>
      </c>
      <c r="AW45" s="10" t="n">
        <f aca="false">MAX(Flows!AW75*AW$4*AW20/100,0)</f>
        <v>0</v>
      </c>
      <c r="AX45" s="10" t="n">
        <f aca="false">MAX(Flows!AX75*AX$4*AX20/100,0)</f>
        <v>4131099.76920718</v>
      </c>
      <c r="AY45" s="10" t="n">
        <f aca="false">MAX(Flows!AY75*AY$4*AY20/100,0)</f>
        <v>0</v>
      </c>
      <c r="AZ45" s="10" t="n">
        <f aca="false">MAX(Flows!AZ75*AZ$4*AZ20/100,0)</f>
        <v>301825.842945593</v>
      </c>
      <c r="BA45" s="10" t="n">
        <f aca="false">MAX(Flows!BA75*BA$4*BA20/100,0)</f>
        <v>0</v>
      </c>
      <c r="BB45" s="10" t="n">
        <f aca="false">MAX(Flows!BB75*BB$4*BB20/100,0)</f>
        <v>5880325.7324389</v>
      </c>
      <c r="BC45" s="10" t="n">
        <f aca="false">MAX(Flows!BC75*BC$4*BC20/100,0)</f>
        <v>2012333.62901007</v>
      </c>
      <c r="BD45" s="10" t="n">
        <f aca="false">MAX(Flows!BD75*BD$4*BD20/100,0)</f>
        <v>13158379.4275455</v>
      </c>
      <c r="BE45" s="10" t="n">
        <f aca="false">MAX(Flows!BE75*BE$4*BE20/100,0)</f>
        <v>2599923.60444319</v>
      </c>
      <c r="BF45" s="10" t="n">
        <f aca="false">MAX(Flows!BF75*BF$4*BF20/100,0)</f>
        <v>0</v>
      </c>
      <c r="BG45" s="10" t="n">
        <f aca="false">MAX(Flows!BG75*BG$4*BG20/100,0)</f>
        <v>1861699.64780479</v>
      </c>
      <c r="BH45" s="10" t="n">
        <f aca="false">MAX(Flows!BH75*BH$4*BH20/100,0)</f>
        <v>4533365.90809362</v>
      </c>
      <c r="BI45" s="10" t="n">
        <f aca="false">MAX(Flows!BI75*BI$4*BI20/100,0)</f>
        <v>20727523.2571582</v>
      </c>
      <c r="BJ45" s="10" t="n">
        <f aca="false">MAX(Flows!BJ75*BJ$4*BJ20/100,0)</f>
        <v>20727523.2571582</v>
      </c>
      <c r="BK45" s="10" t="n">
        <f aca="false">MAX(Flows!BK75*BK$4*BK20/100,0)</f>
        <v>20727523.2571582</v>
      </c>
      <c r="BL45" s="10" t="n">
        <f aca="false">MAX(Flows!BL75*BL$4*BL20/100,0)</f>
        <v>2458115.91686752</v>
      </c>
      <c r="BM45" s="10" t="n">
        <f aca="false">MAX(Flows!BM75*BM$4*BM20/100,0)</f>
        <v>2458115.91686752</v>
      </c>
      <c r="BN45" s="10" t="n">
        <f aca="false">MAX(Flows!BN75*BN$4*BN20/100,0)</f>
        <v>0</v>
      </c>
      <c r="BO45" s="10" t="n">
        <f aca="false">MAX(Flows!BO75*BO$4*BO20/100,0)</f>
        <v>0</v>
      </c>
      <c r="BP45" s="10" t="n">
        <f aca="false">MAX(Flows!BP75*BP$4*BP20/100,0)</f>
        <v>0</v>
      </c>
      <c r="BQ45" s="10" t="n">
        <f aca="false">MAX(Flows!BQ75*BQ$4*BQ20/100,0)</f>
        <v>0</v>
      </c>
      <c r="BR45" s="10" t="n">
        <f aca="false">MAX(Flows!BR75*BR$4*BR20/100,0)</f>
        <v>0</v>
      </c>
      <c r="BS45" s="10" t="n">
        <f aca="false">MAX(Flows!BS75*BS$4*BS20/100,0)</f>
        <v>0</v>
      </c>
      <c r="BT45" s="10" t="n">
        <f aca="false">MAX(Flows!BT75*BT$4*BT20/100,0)</f>
        <v>0</v>
      </c>
      <c r="BU45" s="10" t="n">
        <f aca="false">MAX(Flows!BU75*BU$4*BU20/100,0)</f>
        <v>0</v>
      </c>
      <c r="BV45" s="10" t="n">
        <f aca="false">MAX(Flows!BV75*BV$4*BV20/100,0)</f>
        <v>0</v>
      </c>
      <c r="BW45" s="10" t="n">
        <f aca="false">MAX(Flows!BW75*BW$4*BW20/100,0)</f>
        <v>0</v>
      </c>
      <c r="BX45" s="10" t="n">
        <f aca="false">MAX(Flows!BX75*BX$4*BX20/100,0)</f>
        <v>4916231.83373503</v>
      </c>
      <c r="BY45" s="10" t="n">
        <f aca="false">MAX(Flows!BY75*BY$4*BY20/100,0)</f>
        <v>4916231.83373503</v>
      </c>
      <c r="BZ45" s="10" t="n">
        <f aca="false">MAX(Flows!BZ75*BZ$4*BZ20/100,0)</f>
        <v>20742370.0994409</v>
      </c>
      <c r="CA45" s="10" t="n">
        <f aca="false">MAX(Flows!CA75*CA$4*CA20/100,0)</f>
        <v>20742370.0994409</v>
      </c>
      <c r="CB45" s="10" t="n">
        <f aca="false">MAX(Flows!CB75*CB$4*CB20/100,0)</f>
        <v>24581159.1686751</v>
      </c>
      <c r="CC45" s="10" t="n">
        <f aca="false">MAX(Flows!CC75*CC$4*CC20/100,0)</f>
        <v>1036376.16285791</v>
      </c>
      <c r="CD45" s="10" t="n">
        <f aca="false">MAX(Flows!CD75*CD$4*CD20/100,0)</f>
        <v>0</v>
      </c>
      <c r="CE45" s="10" t="n">
        <f aca="false">MAX(Flows!CE75*CE$4*CE20/100,0)</f>
        <v>1036376.16285791</v>
      </c>
      <c r="CF45" s="10" t="n">
        <f aca="false">MAX(Flows!CF75*CF$4*CF20/100,0)</f>
        <v>2972079.3958616</v>
      </c>
      <c r="CG45" s="10" t="n">
        <f aca="false">MAX(Flows!CG75*CG$4*CG20/100,0)</f>
        <v>0</v>
      </c>
      <c r="CH45" s="10" t="n">
        <f aca="false">MAX(Flows!CH75*CH$4*CH20/100,0)</f>
        <v>0</v>
      </c>
      <c r="CI45" s="10" t="n">
        <f aca="false">MAX(Flows!CI75*CI$4*CI20/100,0)</f>
        <v>12290579.5843376</v>
      </c>
      <c r="CJ45" s="10" t="n">
        <f aca="false">MAX(Flows!CJ75*CJ$4*CJ20/100,0)</f>
        <v>1229057.95843376</v>
      </c>
      <c r="CK45" s="10" t="n">
        <f aca="false">MAX(Flows!CK75*CK$4*CK20/100,0)</f>
        <v>1229057.95843376</v>
      </c>
      <c r="CL45" s="7" t="s">
        <v>322</v>
      </c>
      <c r="CM45" s="10" t="n">
        <f aca="false" t="array" ref="CM45:CM45">SUM(IF($C$150:$CK$150=CM$30,$C45:$CK45,0),IF($C$150:$CK$150=CM$30,-$C105:$CK105,0))</f>
        <v>191130649.518998</v>
      </c>
      <c r="CN45" s="10" t="n">
        <f aca="false" t="array" ref="CN45:CN45">SUM(IF($C$150:$CK$150=CN$30,$C45:$CK45,0),IF($C$150:$CK$150=CN$30,-$C105:$CK105,0))</f>
        <v>95505206.719567</v>
      </c>
      <c r="CO45" s="10" t="n">
        <f aca="false" t="array" ref="CO45:CO45">SUM(IF($C$150:$CK$150=CO$30,$C45:$CK45,0),IF($C$150:$CK$150=CO$30,-$C105:$CK105,0))</f>
        <v>204772850.729251</v>
      </c>
      <c r="CP45" s="10" t="n">
        <f aca="false" t="array" ref="CP45:CP45">SUM(IF($C$150:$CK$150=CP$30,$C45:$CK45,0),IF($C$150:$CK$150=CP$30,-$C105:$CK105,0))</f>
        <v>35618868.7228252</v>
      </c>
      <c r="CQ45" s="10" t="n">
        <f aca="false" t="array" ref="CQ45:CQ45">SUM(IF($C$150:$CK$150=CQ$30,$C45:$CK45,0),IF($C$150:$CK$150=CQ$30,-$C105:$CK105,0))</f>
        <v>91336528.5721072</v>
      </c>
      <c r="CR45" s="10" t="n">
        <f aca="false" t="array" ref="CR45:CR45">SUM(IF($C$150:$CK$150=CR$30,$C45:$CK45,0),IF($C$150:$CK$150=CR$30,-$C105:$CK105,0))</f>
        <v>-4466860649716220</v>
      </c>
      <c r="CS45" s="10" t="n">
        <f aca="false" t="array" ref="CS45:CS45">SUM(IF($C$150:$CK$150=CS$30,$C45:$CK45,0),IF($C$150:$CK$150=CS$30,-$C105:$CK105,0))</f>
        <v>-2439617.51312752</v>
      </c>
      <c r="CT45" s="10" t="n">
        <f aca="false" t="array" ref="CT45:CT45">SUM(IF($C$150:$CK$150=CT$30,$C45:$CK45,0),IF($C$150:$CK$150=CT$30,-$C105:$CK105,0))</f>
        <v>5430195.31272912</v>
      </c>
      <c r="CU45" s="10" t="n">
        <f aca="false" t="array" ref="CU45:CU45">SUM(IF($C$150:$CK$150=CU$30,$C45:$CK45,0),IF($C$150:$CK$150=CU$30,-$C105:$CK105,0))</f>
        <v>2546024.02241231</v>
      </c>
      <c r="CV45" s="10" t="n">
        <f aca="false" t="array" ref="CV45:CV45">SUM(IF($C$150:$CK$150=CV$30,$C45:$CK45,0),IF($C$150:$CK$150=CV$30,-$C105:$CK105,0))</f>
        <v>138527.325794485</v>
      </c>
      <c r="CX45" s="0" t="str">
        <f aca="false">INDEX($C$1:$CK$1,MATCH(LARGE($C45:$CK45,1),$C45:$CK45,0))</f>
        <v>Sauce (lb)</v>
      </c>
      <c r="CY45" s="0" t="str">
        <f aca="false">INDEX($C$1:$CK$1,MATCH(LARGE($C45:$CK45,2),$C45:$CK45,0))</f>
        <v>Jeet (lb)</v>
      </c>
      <c r="CZ45" s="0" t="str">
        <f aca="false">INDEX($C$1:$CK$1,MATCH(LARGE($C45:$CK45,3),$C45:$CK45,0))</f>
        <v>Chipak (lb)</v>
      </c>
      <c r="DA45" s="0" t="str">
        <f aca="false">INDEX($C$1:$CK$1,MATCH(LARGE($C45:$CK45,4),$C45:$CK45,0))</f>
        <v>Jingla (lb)</v>
      </c>
      <c r="DB45" s="0" t="str">
        <f aca="false">INDEX($C$1:$CK$1,MATCH(LARGE($C45:$CK45,5),$C45:$CK45,0))</f>
        <v>Nunives (lb)</v>
      </c>
      <c r="DD45" s="0" t="str">
        <f aca="false">IF(LARGE($CM45:$CV45,1)&gt;0,INDEX($CM$30:$CV$30,MATCH(LARGE($CM45:$CV45,1),$CM45:$CV45,0)),"N/A")</f>
        <v>Food Prod</v>
      </c>
      <c r="DE45" s="0" t="str">
        <f aca="false">IF(LARGE($CM45:$CV45,2)&gt;0,INDEX($CM$30:$CV$30,MATCH(LARGE($CM45:$CV45,2),$CM45:$CV45,0)),"N/A")</f>
        <v>Produce</v>
      </c>
      <c r="DF45" s="0" t="str">
        <f aca="false">IF(LARGE($CM45:$CV45,3)&gt;0,INDEX($CM$30:$CV$30,MATCH(LARGE($CM45:$CV45,3),$CM45:$CV45,0)),"N/A")</f>
        <v>Animal</v>
      </c>
      <c r="DG45" s="0" t="str">
        <f aca="false">IF(LARGE($CM45:$CV45,4)&gt;0,INDEX($CM$30:$CV$30,MATCH(LARGE($CM45:$CV45,4),$CM45:$CV45,0)),"N/A")</f>
        <v>Tools</v>
      </c>
      <c r="DH45" s="0" t="str">
        <f aca="false">IF(LARGE($CM45:$CV45,5)&gt;0,INDEX($CM$30:$CV$30,MATCH(LARGE($CM45:$CV45,5),$CM45:$CV45,0)),"N/A")</f>
        <v>Textile</v>
      </c>
    </row>
    <row r="46" s="17" customFormat="true" ht="12.8" hidden="false" customHeight="false" outlineLevel="0" collapsed="false">
      <c r="A46" s="21" t="s">
        <v>152</v>
      </c>
      <c r="B46" s="21" t="s">
        <v>39</v>
      </c>
      <c r="C46" s="25" t="n">
        <f aca="false">MAX(Flows!C76*C$4*C21/100,0)</f>
        <v>0</v>
      </c>
      <c r="D46" s="25" t="n">
        <f aca="false">MAX(Flows!D76*D$4*D21/100,0)</f>
        <v>931821.974408132</v>
      </c>
      <c r="E46" s="25" t="n">
        <f aca="false">MAX(Flows!E76*E$4*E21/100,0)</f>
        <v>0</v>
      </c>
      <c r="F46" s="25" t="n">
        <f aca="false">MAX(Flows!F76*F$4*F21/100,0)</f>
        <v>0</v>
      </c>
      <c r="G46" s="25" t="n">
        <f aca="false">MAX(Flows!G76*G$4*G21/100,0)</f>
        <v>2135765.89239557</v>
      </c>
      <c r="H46" s="25" t="n">
        <f aca="false">MAX(Flows!H76*H$4*H21/100,0)</f>
        <v>0</v>
      </c>
      <c r="I46" s="25" t="n">
        <f aca="false">MAX(Flows!I76*I$4*I21/100,0)</f>
        <v>0</v>
      </c>
      <c r="J46" s="25" t="n">
        <f aca="false">MAX(Flows!J76*J$4*J21/100,0)</f>
        <v>52726814.7449416</v>
      </c>
      <c r="K46" s="25" t="n">
        <f aca="false">MAX(Flows!K76*K$4*K21/100,0)</f>
        <v>0</v>
      </c>
      <c r="L46" s="25" t="n">
        <f aca="false">MAX(Flows!L76*L$4*L21/100,0)</f>
        <v>0</v>
      </c>
      <c r="M46" s="25" t="n">
        <f aca="false">MAX(Flows!M76*M$4*M21/100,0)</f>
        <v>0</v>
      </c>
      <c r="N46" s="25" t="n">
        <f aca="false">MAX(Flows!N76*N$4*N21/100,0)</f>
        <v>4824519.33910289</v>
      </c>
      <c r="O46" s="25" t="n">
        <f aca="false">MAX(Flows!O76*O$4*O21/100,0)</f>
        <v>0</v>
      </c>
      <c r="P46" s="25" t="n">
        <f aca="false">MAX(Flows!P76*P$4*P21/100,0)</f>
        <v>0</v>
      </c>
      <c r="Q46" s="25" t="n">
        <f aca="false">MAX(Flows!Q76*Q$4*Q21/100,0)</f>
        <v>24296977.4588255</v>
      </c>
      <c r="R46" s="25" t="n">
        <f aca="false">MAX(Flows!R76*R$4*R21/100,0)</f>
        <v>0</v>
      </c>
      <c r="S46" s="25" t="n">
        <f aca="false">MAX(Flows!S76*S$4*S21/100,0)</f>
        <v>0</v>
      </c>
      <c r="T46" s="25" t="n">
        <f aca="false">MAX(Flows!T76*T$4*T21/100,0)</f>
        <v>0</v>
      </c>
      <c r="U46" s="25" t="n">
        <f aca="false">MAX(Flows!U76*U$4*U21/100,0)</f>
        <v>0</v>
      </c>
      <c r="V46" s="25" t="n">
        <f aca="false">MAX(Flows!V76*V$4*V21/100,0)</f>
        <v>0</v>
      </c>
      <c r="W46" s="25" t="n">
        <f aca="false">MAX(Flows!W76*W$4*W21/100,0)</f>
        <v>35901008.7059961</v>
      </c>
      <c r="X46" s="25" t="n">
        <f aca="false">MAX(Flows!X76*X$4*X21/100,0)</f>
        <v>0</v>
      </c>
      <c r="Y46" s="25" t="n">
        <f aca="false">MAX(Flows!Y76*Y$4*Y21/100,0)</f>
        <v>0</v>
      </c>
      <c r="Z46" s="25" t="n">
        <f aca="false">MAX(Flows!Z76*Z$4*Z21/100,0)</f>
        <v>713102.446179741</v>
      </c>
      <c r="AA46" s="25" t="n">
        <f aca="false">MAX(Flows!AA76*AA$4*AA21/100,0)</f>
        <v>61799.6459871588</v>
      </c>
      <c r="AB46" s="25" t="n">
        <f aca="false">MAX(Flows!AB76*AB$4*AB21/100,0)</f>
        <v>272676.133283781</v>
      </c>
      <c r="AC46" s="25" t="n">
        <f aca="false">MAX(Flows!AC76*AC$4*AC21/100,0)</f>
        <v>114199.316569505</v>
      </c>
      <c r="AD46" s="25" t="n">
        <f aca="false">MAX(Flows!AD76*AD$4*AD21/100,0)</f>
        <v>136338.066641891</v>
      </c>
      <c r="AE46" s="25" t="n">
        <f aca="false">MAX(Flows!AE76*AE$4*AE21/100,0)</f>
        <v>3223830.30368003</v>
      </c>
      <c r="AF46" s="25" t="n">
        <f aca="false">MAX(Flows!AF76*AF$4*AF21/100,0)</f>
        <v>1179880.3293181</v>
      </c>
      <c r="AG46" s="25" t="n">
        <f aca="false">MAX(Flows!AG76*AG$4*AG21/100,0)</f>
        <v>1494213.03571413</v>
      </c>
      <c r="AH46" s="25" t="n">
        <f aca="false">MAX(Flows!AH76*AH$4*AH21/100,0)</f>
        <v>12395376.1409592</v>
      </c>
      <c r="AI46" s="25" t="n">
        <f aca="false">MAX(Flows!AI76*AI$4*AI21/100,0)</f>
        <v>6507929.9904569</v>
      </c>
      <c r="AJ46" s="25" t="n">
        <f aca="false">MAX(Flows!AJ76*AJ$4*AJ21/100,0)</f>
        <v>2330842.61014368</v>
      </c>
      <c r="AK46" s="25" t="n">
        <f aca="false">MAX(Flows!AK76*AK$4*AK21/100,0)</f>
        <v>3898027.81577136</v>
      </c>
      <c r="AL46" s="25" t="n">
        <f aca="false">MAX(Flows!AL76*AL$4*AL21/100,0)</f>
        <v>7909870.25270901</v>
      </c>
      <c r="AM46" s="25" t="n">
        <f aca="false">MAX(Flows!AM76*AM$4*AM21/100,0)</f>
        <v>8183367.51670161</v>
      </c>
      <c r="AN46" s="25" t="n">
        <f aca="false">MAX(Flows!AN76*AN$4*AN21/100,0)</f>
        <v>9436519.50214536</v>
      </c>
      <c r="AO46" s="25" t="n">
        <f aca="false">MAX(Flows!AO76*AO$4*AO21/100,0)</f>
        <v>5628683.4838205</v>
      </c>
      <c r="AP46" s="25" t="n">
        <f aca="false">MAX(Flows!AP76*AP$4*AP21/100,0)</f>
        <v>7579078.79421046</v>
      </c>
      <c r="AQ46" s="25" t="n">
        <f aca="false">MAX(Flows!AQ76*AQ$4*AQ21/100,0)</f>
        <v>0</v>
      </c>
      <c r="AR46" s="25" t="n">
        <f aca="false">MAX(Flows!AR76*AR$4*AR21/100,0)</f>
        <v>5509169.10959343</v>
      </c>
      <c r="AS46" s="25" t="n">
        <f aca="false">MAX(Flows!AS76*AS$4*AS21/100,0)</f>
        <v>3430824.66787995</v>
      </c>
      <c r="AT46" s="25" t="n">
        <f aca="false">MAX(Flows!AT76*AT$4*AT21/100,0)</f>
        <v>8024379.55502055</v>
      </c>
      <c r="AU46" s="25" t="n">
        <f aca="false">MAX(Flows!AU76*AU$4*AU21/100,0)</f>
        <v>13462982.0040981</v>
      </c>
      <c r="AV46" s="25" t="n">
        <f aca="false">MAX(Flows!AV76*AV$4*AV21/100,0)</f>
        <v>10083689.9795971</v>
      </c>
      <c r="AW46" s="25" t="n">
        <f aca="false">MAX(Flows!AW76*AW$4*AW21/100,0)</f>
        <v>2755461.30615133</v>
      </c>
      <c r="AX46" s="25" t="n">
        <f aca="false">MAX(Flows!AX76*AX$4*AX21/100,0)</f>
        <v>5601708.5636724</v>
      </c>
      <c r="AY46" s="25" t="n">
        <f aca="false">MAX(Flows!AY76*AY$4*AY21/100,0)</f>
        <v>5067684.07177592</v>
      </c>
      <c r="AZ46" s="25" t="n">
        <f aca="false">MAX(Flows!AZ76*AZ$4*AZ21/100,0)</f>
        <v>6469341.91322027</v>
      </c>
      <c r="BA46" s="25" t="n">
        <f aca="false">MAX(Flows!BA76*BA$4*BA21/100,0)</f>
        <v>0</v>
      </c>
      <c r="BB46" s="25" t="n">
        <f aca="false">MAX(Flows!BB76*BB$4*BB21/100,0)</f>
        <v>11076024.5616796</v>
      </c>
      <c r="BC46" s="25" t="n">
        <f aca="false">MAX(Flows!BC76*BC$4*BC21/100,0)</f>
        <v>2650896.82187043</v>
      </c>
      <c r="BD46" s="25" t="n">
        <f aca="false">MAX(Flows!BD76*BD$4*BD21/100,0)</f>
        <v>4320080.60035234</v>
      </c>
      <c r="BE46" s="25" t="n">
        <f aca="false">MAX(Flows!BE76*BE$4*BE21/100,0)</f>
        <v>1711694.23955801</v>
      </c>
      <c r="BF46" s="25" t="n">
        <f aca="false">MAX(Flows!BF76*BF$4*BF21/100,0)</f>
        <v>27020112.7957902</v>
      </c>
      <c r="BG46" s="25" t="n">
        <f aca="false">MAX(Flows!BG76*BG$4*BG21/100,0)</f>
        <v>0</v>
      </c>
      <c r="BH46" s="25" t="n">
        <f aca="false">MAX(Flows!BH76*BH$4*BH21/100,0)</f>
        <v>1310921.65353992</v>
      </c>
      <c r="BI46" s="25" t="n">
        <f aca="false">MAX(Flows!BI76*BI$4*BI21/100,0)</f>
        <v>12705607.3810867</v>
      </c>
      <c r="BJ46" s="25" t="n">
        <f aca="false">MAX(Flows!BJ76*BJ$4*BJ21/100,0)</f>
        <v>12705607.3810867</v>
      </c>
      <c r="BK46" s="25" t="n">
        <f aca="false">MAX(Flows!BK76*BK$4*BK21/100,0)</f>
        <v>12705607.3810867</v>
      </c>
      <c r="BL46" s="25" t="n">
        <f aca="false">MAX(Flows!BL76*BL$4*BL21/100,0)</f>
        <v>2429697.74588255</v>
      </c>
      <c r="BM46" s="25" t="n">
        <f aca="false">MAX(Flows!BM76*BM$4*BM21/100,0)</f>
        <v>2429697.74588255</v>
      </c>
      <c r="BN46" s="25" t="n">
        <f aca="false">MAX(Flows!BN76*BN$4*BN21/100,0)</f>
        <v>0</v>
      </c>
      <c r="BO46" s="25" t="n">
        <f aca="false">MAX(Flows!BO76*BO$4*BO21/100,0)</f>
        <v>2980164.5809707</v>
      </c>
      <c r="BP46" s="25" t="n">
        <f aca="false">MAX(Flows!BP76*BP$4*BP21/100,0)</f>
        <v>11920658.7888857</v>
      </c>
      <c r="BQ46" s="25" t="n">
        <f aca="false">MAX(Flows!BQ76*BQ$4*BQ21/100,0)</f>
        <v>0</v>
      </c>
      <c r="BR46" s="25" t="n">
        <f aca="false">MAX(Flows!BR76*BR$4*BR21/100,0)</f>
        <v>2980164.34645914</v>
      </c>
      <c r="BS46" s="25" t="n">
        <f aca="false">MAX(Flows!BS76*BS$4*BS21/100,0)</f>
        <v>2980163.99469181</v>
      </c>
      <c r="BT46" s="25" t="n">
        <f aca="false">MAX(Flows!BT76*BT$4*BT21/100,0)</f>
        <v>0</v>
      </c>
      <c r="BU46" s="25" t="n">
        <f aca="false">MAX(Flows!BU76*BU$4*BU21/100,0)</f>
        <v>0</v>
      </c>
      <c r="BV46" s="25" t="n">
        <f aca="false">MAX(Flows!BV76*BV$4*BV21/100,0)</f>
        <v>0</v>
      </c>
      <c r="BW46" s="25" t="n">
        <f aca="false">MAX(Flows!BW76*BW$4*BW21/100,0)</f>
        <v>0</v>
      </c>
      <c r="BX46" s="25" t="n">
        <f aca="false">MAX(Flows!BX76*BX$4*BX21/100,0)</f>
        <v>4859395.4917651</v>
      </c>
      <c r="BY46" s="25" t="n">
        <f aca="false">MAX(Flows!BY76*BY$4*BY21/100,0)</f>
        <v>4859395.4917651</v>
      </c>
      <c r="BZ46" s="25" t="n">
        <f aca="false">MAX(Flows!BZ76*BZ$4*BZ21/100,0)</f>
        <v>12652916.7962903</v>
      </c>
      <c r="CA46" s="25" t="n">
        <f aca="false">MAX(Flows!CA76*CA$4*CA21/100,0)</f>
        <v>12652916.7962903</v>
      </c>
      <c r="CB46" s="25" t="n">
        <f aca="false">MAX(Flows!CB76*CB$4*CB21/100,0)</f>
        <v>24296977.4588255</v>
      </c>
      <c r="CC46" s="25" t="n">
        <f aca="false">MAX(Flows!CC76*CC$4*CC21/100,0)</f>
        <v>635280.369054335</v>
      </c>
      <c r="CD46" s="25" t="n">
        <f aca="false">MAX(Flows!CD76*CD$4*CD21/100,0)</f>
        <v>0</v>
      </c>
      <c r="CE46" s="25" t="n">
        <f aca="false">MAX(Flows!CE76*CE$4*CE21/100,0)</f>
        <v>635280.369054335</v>
      </c>
      <c r="CF46" s="25" t="n">
        <f aca="false">MAX(Flows!CF76*CF$4*CF21/100,0)</f>
        <v>2890816.66448092</v>
      </c>
      <c r="CG46" s="25" t="n">
        <f aca="false">MAX(Flows!CG76*CG$4*CG21/100,0)</f>
        <v>2980141.24707126</v>
      </c>
      <c r="CH46" s="25" t="n">
        <f aca="false">MAX(Flows!CH76*CH$4*CH21/100,0)</f>
        <v>2980141.24707126</v>
      </c>
      <c r="CI46" s="25" t="n">
        <f aca="false">MAX(Flows!CI76*CI$4*CI21/100,0)</f>
        <v>12148488.7294128</v>
      </c>
      <c r="CJ46" s="25" t="n">
        <f aca="false">MAX(Flows!CJ76*CJ$4*CJ21/100,0)</f>
        <v>1214848.87294128</v>
      </c>
      <c r="CK46" s="25" t="n">
        <f aca="false">MAX(Flows!CK76*CK$4*CK21/100,0)</f>
        <v>1214848.87294128</v>
      </c>
      <c r="CL46" s="21" t="s">
        <v>322</v>
      </c>
      <c r="CM46" s="25" t="n">
        <f aca="false" t="array" ref="CM46:CM46">SUM(IF($C$150:$CK$150=CM$30,$C46:$CK46,0),IF($C$150:$CK$150=CM$30,-$C106:$CK106,0))</f>
        <v>-14200633.8427848</v>
      </c>
      <c r="CN46" s="25" t="n">
        <f aca="false" t="array" ref="CN46:CN46">SUM(IF($C$150:$CK$150=CN$30,$C46:$CK46,0),IF($C$150:$CK$150=CN$30,-$C106:$CK106,0))</f>
        <v>58244804.7542942</v>
      </c>
      <c r="CO46" s="25" t="n">
        <f aca="false" t="array" ref="CO46:CO46">SUM(IF($C$150:$CK$150=CO$30,$C46:$CK46,0),IF($C$150:$CK$150=CO$30,-$C106:$CK106,0))</f>
        <v>63137370.4337793</v>
      </c>
      <c r="CP46" s="25" t="n">
        <f aca="false" t="array" ref="CP46:CP46">SUM(IF($C$150:$CK$150=CP$30,$C46:$CK46,0),IF($C$150:$CK$150=CP$30,-$C106:$CK106,0))</f>
        <v>49371683.0618105</v>
      </c>
      <c r="CQ46" s="25" t="n">
        <f aca="false" t="array" ref="CQ46:CQ46">SUM(IF($C$150:$CK$150=CQ$30,$C46:$CK46,0),IF($C$150:$CK$150=CQ$30,-$C106:$CK106,0))</f>
        <v>95626065.8549151</v>
      </c>
      <c r="CR46" s="25" t="n">
        <f aca="false" t="array" ref="CR46:CR46">SUM(IF($C$150:$CK$150=CR$30,$C46:$CK46,0),IF($C$150:$CK$150=CR$30,-$C106:$CK106,0))</f>
        <v>53955746.3175096</v>
      </c>
      <c r="CS46" s="25" t="n">
        <f aca="false" t="array" ref="CS46:CS46">SUM(IF($C$150:$CK$150=CS$30,$C46:$CK46,0),IF($C$150:$CK$150=CS$30,-$C106:$CK106,0))</f>
        <v>24691961.397168</v>
      </c>
      <c r="CT46" s="25" t="n">
        <f aca="false" t="array" ref="CT46:CT46">SUM(IF($C$150:$CK$150=CT$30,$C46:$CK46,0),IF($C$150:$CK$150=CT$30,-$C106:$CK106,0))</f>
        <v>5320514.41036348</v>
      </c>
      <c r="CU46" s="25" t="n">
        <f aca="false" t="array" ref="CU46:CU46">SUM(IF($C$150:$CK$150=CU$30,$C46:$CK46,0),IF($C$150:$CK$150=CU$30,-$C106:$CK106,0))</f>
        <v>33748562.6776278</v>
      </c>
      <c r="CV46" s="25" t="n">
        <f aca="false" t="array" ref="CV46:CV46">SUM(IF($C$150:$CK$150=CV$30,$C46:$CK46,0),IF($C$150:$CK$150=CV$30,-$C106:$CK106,0))</f>
        <v>409014.199925672</v>
      </c>
      <c r="CX46" s="17" t="str">
        <f aca="false">INDEX($C$1:$CK$1,MATCH(LARGE($C46:$CK46,1),$C46:$CK46,0))</f>
        <v>Wax (lb)</v>
      </c>
      <c r="CY46" s="17" t="str">
        <f aca="false">INDEX($C$1:$CK$1,MATCH(LARGE($C46:$CK46,2),$C46:$CK46,0))</f>
        <v>Sauce (lb)</v>
      </c>
      <c r="CZ46" s="17" t="str">
        <f aca="false">INDEX($C$1:$CK$1,MATCH(LARGE($C46:$CK46,3),$C46:$CK46,0))</f>
        <v>Salt (lb)</v>
      </c>
      <c r="DA46" s="17" t="str">
        <f aca="false">INDEX($C$1:$CK$1,MATCH(LARGE($C46:$CK46,4),$C46:$CK46,0))</f>
        <v>Veg Oil (lb)</v>
      </c>
      <c r="DB46" s="17" t="s">
        <v>401</v>
      </c>
      <c r="DD46" s="17" t="str">
        <f aca="false">IF(LARGE($CM46:$CV46,1)&gt;0,INDEX($CM$30:$CV$30,MATCH(LARGE($CM46:$CV46,1),$CM46:$CV46,0)),"N/A")</f>
        <v>Tools</v>
      </c>
      <c r="DE46" s="17" t="str">
        <f aca="false">IF(LARGE($CM46:$CV46,2)&gt;0,INDEX($CM$30:$CV$30,MATCH(LARGE($CM46:$CV46,2),$CM46:$CV46,0)),"N/A")</f>
        <v>Food Prod</v>
      </c>
      <c r="DF46" s="17" t="str">
        <f aca="false">IF(LARGE($CM46:$CV46,3)&gt;0,INDEX($CM$30:$CV$30,MATCH(LARGE($CM46:$CV46,3),$CM46:$CV46,0)),"N/A")</f>
        <v>Animal</v>
      </c>
      <c r="DG46" s="17" t="str">
        <f aca="false">IF(LARGE($CM46:$CV46,4)&gt;0,INDEX($CM$30:$CV$30,MATCH(LARGE($CM46:$CV46,4),$CM46:$CV46,0)),"N/A")</f>
        <v>Mineral</v>
      </c>
      <c r="DH46" s="17" t="str">
        <f aca="false">IF(LARGE($CM46:$CV46,5)&gt;0,INDEX($CM$30:$CV$30,MATCH(LARGE($CM46:$CV46,5),$CM46:$CV46,0)),"N/A")</f>
        <v>Textile</v>
      </c>
    </row>
    <row r="47" customFormat="false" ht="12.8" hidden="false" customHeight="false" outlineLevel="0" collapsed="false">
      <c r="A47" s="7" t="s">
        <v>153</v>
      </c>
      <c r="B47" s="7" t="s">
        <v>39</v>
      </c>
      <c r="C47" s="10" t="n">
        <f aca="false">MAX(Flows!C77*C$4*C22/100,0)</f>
        <v>0</v>
      </c>
      <c r="D47" s="10" t="n">
        <f aca="false">MAX(Flows!D77*D$4*D22/100,0)</f>
        <v>0</v>
      </c>
      <c r="E47" s="10" t="n">
        <f aca="false">MAX(Flows!E77*E$4*E22/100,0)</f>
        <v>0</v>
      </c>
      <c r="F47" s="10" t="n">
        <f aca="false">MAX(Flows!F77*F$4*F22/100,0)</f>
        <v>0</v>
      </c>
      <c r="G47" s="10" t="n">
        <f aca="false">MAX(Flows!G77*G$4*G22/100,0)</f>
        <v>0</v>
      </c>
      <c r="H47" s="10" t="n">
        <f aca="false">MAX(Flows!H77*H$4*H22/100,0)</f>
        <v>0</v>
      </c>
      <c r="I47" s="10" t="n">
        <f aca="false">MAX(Flows!I77*I$4*I22/100,0)</f>
        <v>29142862.6830305</v>
      </c>
      <c r="J47" s="10" t="n">
        <f aca="false">MAX(Flows!J77*J$4*J22/100,0)</f>
        <v>51043927.1213091</v>
      </c>
      <c r="K47" s="10" t="n">
        <f aca="false">MAX(Flows!K77*K$4*K22/100,0)</f>
        <v>0</v>
      </c>
      <c r="L47" s="10" t="n">
        <f aca="false">MAX(Flows!L77*L$4*L22/100,0)</f>
        <v>0</v>
      </c>
      <c r="M47" s="10" t="n">
        <f aca="false">MAX(Flows!M77*M$4*M22/100,0)</f>
        <v>0</v>
      </c>
      <c r="N47" s="10" t="n">
        <f aca="false">MAX(Flows!N77*N$4*N22/100,0)</f>
        <v>0</v>
      </c>
      <c r="O47" s="10" t="n">
        <f aca="false">MAX(Flows!O77*O$4*O22/100,0)</f>
        <v>0</v>
      </c>
      <c r="P47" s="10" t="n">
        <f aca="false">MAX(Flows!P77*P$4*P22/100,0)</f>
        <v>0</v>
      </c>
      <c r="Q47" s="10" t="n">
        <f aca="false">MAX(Flows!Q77*Q$4*Q22/100,0)</f>
        <v>0</v>
      </c>
      <c r="R47" s="10" t="n">
        <f aca="false">MAX(Flows!R77*R$4*R22/100,0)</f>
        <v>0</v>
      </c>
      <c r="S47" s="10" t="n">
        <f aca="false">MAX(Flows!S77*S$4*S22/100,0)</f>
        <v>0</v>
      </c>
      <c r="T47" s="10" t="n">
        <f aca="false">MAX(Flows!T77*T$4*T22/100,0)</f>
        <v>0</v>
      </c>
      <c r="U47" s="10" t="n">
        <f aca="false">MAX(Flows!U77*U$4*U22/100,0)</f>
        <v>0</v>
      </c>
      <c r="V47" s="10" t="n">
        <f aca="false">MAX(Flows!V77*V$4*V22/100,0)</f>
        <v>61107723.087056</v>
      </c>
      <c r="W47" s="10" t="n">
        <f aca="false">MAX(Flows!W77*W$4*W22/100,0)</f>
        <v>14235036.4150618</v>
      </c>
      <c r="X47" s="10" t="n">
        <f aca="false">MAX(Flows!X77*X$4*X22/100,0)</f>
        <v>783619.747269836</v>
      </c>
      <c r="Y47" s="10" t="n">
        <f aca="false">MAX(Flows!Y77*Y$4*Y22/100,0)</f>
        <v>0</v>
      </c>
      <c r="Z47" s="10" t="n">
        <f aca="false">MAX(Flows!Z77*Z$4*Z22/100,0)</f>
        <v>0</v>
      </c>
      <c r="AA47" s="10" t="n">
        <f aca="false">MAX(Flows!AA77*AA$4*AA22/100,0)</f>
        <v>57280.0428779863</v>
      </c>
      <c r="AB47" s="10" t="n">
        <f aca="false">MAX(Flows!AB77*AB$4*AB22/100,0)</f>
        <v>236875.032510498</v>
      </c>
      <c r="AC47" s="10" t="n">
        <f aca="false">MAX(Flows!AC77*AC$4*AC22/100,0)</f>
        <v>0</v>
      </c>
      <c r="AD47" s="10" t="n">
        <f aca="false">MAX(Flows!AD77*AD$4*AD22/100,0)</f>
        <v>118437.516255249</v>
      </c>
      <c r="AE47" s="10" t="n">
        <f aca="false">MAX(Flows!AE77*AE$4*AE22/100,0)</f>
        <v>0</v>
      </c>
      <c r="AF47" s="10" t="n">
        <f aca="false">MAX(Flows!AF77*AF$4*AF22/100,0)</f>
        <v>0</v>
      </c>
      <c r="AG47" s="10" t="n">
        <f aca="false">MAX(Flows!AG77*AG$4*AG22/100,0)</f>
        <v>3716107.50135902</v>
      </c>
      <c r="AH47" s="10" t="n">
        <f aca="false">MAX(Flows!AH77*AH$4*AH22/100,0)</f>
        <v>0</v>
      </c>
      <c r="AI47" s="10" t="n">
        <f aca="false">MAX(Flows!AI77*AI$4*AI22/100,0)</f>
        <v>0</v>
      </c>
      <c r="AJ47" s="10" t="n">
        <f aca="false">MAX(Flows!AJ77*AJ$4*AJ22/100,0)</f>
        <v>5728337.64134013</v>
      </c>
      <c r="AK47" s="10" t="n">
        <f aca="false">MAX(Flows!AK77*AK$4*AK22/100,0)</f>
        <v>0</v>
      </c>
      <c r="AL47" s="10" t="n">
        <f aca="false">MAX(Flows!AL77*AL$4*AL22/100,0)</f>
        <v>0</v>
      </c>
      <c r="AM47" s="10" t="n">
        <f aca="false">MAX(Flows!AM77*AM$4*AM22/100,0)</f>
        <v>12478798.5019575</v>
      </c>
      <c r="AN47" s="10" t="n">
        <f aca="false">MAX(Flows!AN77*AN$4*AN22/100,0)</f>
        <v>0</v>
      </c>
      <c r="AO47" s="10" t="n">
        <f aca="false">MAX(Flows!AO77*AO$4*AO22/100,0)</f>
        <v>0</v>
      </c>
      <c r="AP47" s="10" t="n">
        <f aca="false">MAX(Flows!AP77*AP$4*AP22/100,0)</f>
        <v>8459685.8082835</v>
      </c>
      <c r="AQ47" s="10" t="n">
        <f aca="false">MAX(Flows!AQ77*AQ$4*AQ22/100,0)</f>
        <v>0</v>
      </c>
      <c r="AR47" s="10" t="n">
        <f aca="false">MAX(Flows!AR77*AR$4*AR22/100,0)</f>
        <v>7147794.19037159</v>
      </c>
      <c r="AS47" s="10" t="n">
        <f aca="false">MAX(Flows!AS77*AS$4*AS22/100,0)</f>
        <v>6299705.25803921</v>
      </c>
      <c r="AT47" s="10" t="n">
        <f aca="false">MAX(Flows!AT77*AT$4*AT22/100,0)</f>
        <v>0</v>
      </c>
      <c r="AU47" s="10" t="n">
        <f aca="false">MAX(Flows!AU77*AU$4*AU22/100,0)</f>
        <v>5017185.33941817</v>
      </c>
      <c r="AV47" s="10" t="n">
        <f aca="false">MAX(Flows!AV77*AV$4*AV22/100,0)</f>
        <v>1399163.26118214</v>
      </c>
      <c r="AW47" s="10" t="n">
        <f aca="false">MAX(Flows!AW77*AW$4*AW22/100,0)</f>
        <v>0</v>
      </c>
      <c r="AX47" s="10" t="n">
        <f aca="false">MAX(Flows!AX77*AX$4*AX22/100,0)</f>
        <v>0</v>
      </c>
      <c r="AY47" s="10" t="n">
        <f aca="false">MAX(Flows!AY77*AY$4*AY22/100,0)</f>
        <v>0</v>
      </c>
      <c r="AZ47" s="10" t="n">
        <f aca="false">MAX(Flows!AZ77*AZ$4*AZ22/100,0)</f>
        <v>158480.453006382</v>
      </c>
      <c r="BA47" s="10" t="n">
        <f aca="false">MAX(Flows!BA77*BA$4*BA22/100,0)</f>
        <v>0</v>
      </c>
      <c r="BB47" s="10" t="n">
        <f aca="false">MAX(Flows!BB77*BB$4*BB22/100,0)</f>
        <v>8201027.51560994</v>
      </c>
      <c r="BC47" s="10" t="n">
        <f aca="false">MAX(Flows!BC77*BC$4*BC22/100,0)</f>
        <v>0</v>
      </c>
      <c r="BD47" s="10" t="n">
        <f aca="false">MAX(Flows!BD77*BD$4*BD22/100,0)</f>
        <v>0</v>
      </c>
      <c r="BE47" s="10" t="n">
        <f aca="false">MAX(Flows!BE77*BE$4*BE22/100,0)</f>
        <v>762539.309330019</v>
      </c>
      <c r="BF47" s="10" t="n">
        <f aca="false">MAX(Flows!BF77*BF$4*BF22/100,0)</f>
        <v>55482712.3046928</v>
      </c>
      <c r="BG47" s="10" t="n">
        <f aca="false">MAX(Flows!BG77*BG$4*BG22/100,0)</f>
        <v>0</v>
      </c>
      <c r="BH47" s="10" t="n">
        <f aca="false">MAX(Flows!BH77*BH$4*BH22/100,0)</f>
        <v>0</v>
      </c>
      <c r="BI47" s="10" t="n">
        <f aca="false">MAX(Flows!BI77*BI$4*BI22/100,0)</f>
        <v>0</v>
      </c>
      <c r="BJ47" s="10" t="n">
        <f aca="false">MAX(Flows!BJ77*BJ$4*BJ22/100,0)</f>
        <v>0</v>
      </c>
      <c r="BK47" s="10" t="n">
        <f aca="false">MAX(Flows!BK77*BK$4*BK22/100,0)</f>
        <v>0</v>
      </c>
      <c r="BL47" s="10" t="n">
        <f aca="false">MAX(Flows!BL77*BL$4*BL22/100,0)</f>
        <v>0</v>
      </c>
      <c r="BM47" s="10" t="n">
        <f aca="false">MAX(Flows!BM77*BM$4*BM22/100,0)</f>
        <v>0</v>
      </c>
      <c r="BN47" s="10" t="n">
        <f aca="false">MAX(Flows!BN77*BN$4*BN22/100,0)</f>
        <v>0</v>
      </c>
      <c r="BO47" s="10" t="n">
        <f aca="false">MAX(Flows!BO77*BO$4*BO22/100,0)</f>
        <v>0</v>
      </c>
      <c r="BP47" s="10" t="n">
        <f aca="false">MAX(Flows!BP77*BP$4*BP22/100,0)</f>
        <v>0</v>
      </c>
      <c r="BQ47" s="10" t="n">
        <f aca="false">MAX(Flows!BQ77*BQ$4*BQ22/100,0)</f>
        <v>0</v>
      </c>
      <c r="BR47" s="10" t="n">
        <f aca="false">MAX(Flows!BR77*BR$4*BR22/100,0)</f>
        <v>0</v>
      </c>
      <c r="BS47" s="10" t="n">
        <f aca="false">MAX(Flows!BS77*BS$4*BS22/100,0)</f>
        <v>0</v>
      </c>
      <c r="BT47" s="10" t="n">
        <f aca="false">MAX(Flows!BT77*BT$4*BT22/100,0)</f>
        <v>0</v>
      </c>
      <c r="BU47" s="10" t="n">
        <f aca="false">MAX(Flows!BU77*BU$4*BU22/100,0)</f>
        <v>0</v>
      </c>
      <c r="BV47" s="10" t="n">
        <f aca="false">MAX(Flows!BV77*BV$4*BV22/100,0)</f>
        <v>0</v>
      </c>
      <c r="BW47" s="10" t="n">
        <f aca="false">MAX(Flows!BW77*BW$4*BW22/100,0)</f>
        <v>0</v>
      </c>
      <c r="BX47" s="10" t="n">
        <f aca="false">MAX(Flows!BX77*BX$4*BX22/100,0)</f>
        <v>0</v>
      </c>
      <c r="BY47" s="10" t="n">
        <f aca="false">MAX(Flows!BY77*BY$4*BY22/100,0)</f>
        <v>0</v>
      </c>
      <c r="BZ47" s="10" t="n">
        <f aca="false">MAX(Flows!BZ77*BZ$4*BZ22/100,0)</f>
        <v>0</v>
      </c>
      <c r="CA47" s="10" t="n">
        <f aca="false">MAX(Flows!CA77*CA$4*CA22/100,0)</f>
        <v>0</v>
      </c>
      <c r="CB47" s="10" t="n">
        <f aca="false">MAX(Flows!CB77*CB$4*CB22/100,0)</f>
        <v>0</v>
      </c>
      <c r="CC47" s="10" t="n">
        <f aca="false">MAX(Flows!CC77*CC$4*CC22/100,0)</f>
        <v>0</v>
      </c>
      <c r="CD47" s="10" t="n">
        <f aca="false">MAX(Flows!CD77*CD$4*CD22/100,0)</f>
        <v>0</v>
      </c>
      <c r="CE47" s="10" t="n">
        <f aca="false">MAX(Flows!CE77*CE$4*CE22/100,0)</f>
        <v>0</v>
      </c>
      <c r="CF47" s="10" t="n">
        <f aca="false">MAX(Flows!CF77*CF$4*CF22/100,0)</f>
        <v>0</v>
      </c>
      <c r="CG47" s="10" t="n">
        <f aca="false">MAX(Flows!CG77*CG$4*CG22/100,0)</f>
        <v>0</v>
      </c>
      <c r="CH47" s="10" t="n">
        <f aca="false">MAX(Flows!CH77*CH$4*CH22/100,0)</f>
        <v>0</v>
      </c>
      <c r="CI47" s="10" t="n">
        <f aca="false">MAX(Flows!CI77*CI$4*CI22/100,0)</f>
        <v>0</v>
      </c>
      <c r="CJ47" s="10" t="n">
        <f aca="false">MAX(Flows!CJ77*CJ$4*CJ22/100,0)</f>
        <v>0</v>
      </c>
      <c r="CK47" s="10" t="n">
        <f aca="false">MAX(Flows!CK77*CK$4*CK22/100,0)</f>
        <v>0</v>
      </c>
      <c r="CL47" s="7" t="s">
        <v>322</v>
      </c>
      <c r="CM47" s="10" t="n">
        <f aca="false" t="array" ref="CM47:CM47">SUM(IF($C$150:$CK$150=CM$30,$C47:$CK47,0),IF($C$150:$CK$150=CM$30,-$C107:$CK107,0))</f>
        <v>-104590200.883195</v>
      </c>
      <c r="CN47" s="10" t="n">
        <f aca="false" t="array" ref="CN47:CN47">SUM(IF($C$150:$CK$150=CN$30,$C47:$CK47,0),IF($C$150:$CK$150=CN$30,-$C107:$CK107,0))</f>
        <v>-105114559.897151</v>
      </c>
      <c r="CO47" s="10" t="n">
        <f aca="false" t="array" ref="CO47:CO47">SUM(IF($C$150:$CK$150=CO$30,$C47:$CK47,0),IF($C$150:$CK$150=CO$30,-$C107:$CK107,0))</f>
        <v>-13501862.4686773</v>
      </c>
      <c r="CP47" s="10" t="n">
        <f aca="false" t="array" ref="CP47:CP47">SUM(IF($C$150:$CK$150=CP$30,$C47:$CK47,0),IF($C$150:$CK$150=CP$30,-$C107:$CK107,0))</f>
        <v>-15201152.5245</v>
      </c>
      <c r="CQ47" s="10" t="n">
        <f aca="false" t="array" ref="CQ47:CQ47">SUM(IF($C$150:$CK$150=CQ$30,$C47:$CK47,0),IF($C$150:$CK$150=CQ$30,-$C107:$CK107,0))</f>
        <v>4110756.91709941</v>
      </c>
      <c r="CR47" s="10" t="n">
        <f aca="false" t="array" ref="CR47:CR47">SUM(IF($C$150:$CK$150=CR$30,$C47:$CK47,0),IF($C$150:$CK$150=CR$30,-$C107:$CK107,0))</f>
        <v>-6329495973736810</v>
      </c>
      <c r="CS47" s="10" t="n">
        <f aca="false" t="array" ref="CS47:CS47">SUM(IF($C$150:$CK$150=CS$30,$C47:$CK47,0),IF($C$150:$CK$150=CS$30,-$C107:$CK107,0))</f>
        <v>-9849522.4871596</v>
      </c>
      <c r="CT47" s="10" t="n">
        <f aca="false" t="array" ref="CT47:CT47">SUM(IF($C$150:$CK$150=CT$30,$C47:$CK47,0),IF($C$150:$CK$150=CT$30,-$C107:$CK107,0))</f>
        <v>-4144232.38488942</v>
      </c>
      <c r="CU47" s="10" t="n">
        <f aca="false" t="array" ref="CU47:CU47">SUM(IF($C$150:$CK$150=CU$30,$C47:$CK47,0),IF($C$150:$CK$150=CU$30,-$C107:$CK107,0))</f>
        <v>80186789.8043396</v>
      </c>
      <c r="CV47" s="10" t="n">
        <f aca="false" t="array" ref="CV47:CV47">SUM(IF($C$150:$CK$150=CV$30,$C47:$CK47,0),IF($C$150:$CK$150=CV$30,-$C107:$CK107,0))</f>
        <v>355312.548765746</v>
      </c>
      <c r="CX47" s="0" t="str">
        <f aca="false">INDEX($C$1:$CK$1,MATCH(LARGE($C47:$CK47,1),$C47:$CK47,0))</f>
        <v>Cider (gal)</v>
      </c>
      <c r="CY47" s="0" t="str">
        <f aca="false">INDEX($C$1:$CK$1,MATCH(LARGE($C47:$CK47,2),$C47:$CK47,0))</f>
        <v>Salt (lb)</v>
      </c>
      <c r="CZ47" s="0" t="str">
        <f aca="false">INDEX($C$1:$CK$1,MATCH(LARGE($C47:$CK47,3),$C47:$CK47,0))</f>
        <v>Wax (lb)</v>
      </c>
      <c r="DA47" s="0" t="str">
        <f aca="false">INDEX($C$1:$CK$1,MATCH(LARGE($C47:$CK47,4),$C47:$CK47,0))</f>
        <v>Honey (lb)</v>
      </c>
      <c r="DB47" s="0" t="str">
        <f aca="false">INDEX($C$1:$CK$1,MATCH(LARGE($C47:$CK47,5),$C47:$CK47,0))</f>
        <v>Sauce (lb)</v>
      </c>
      <c r="DD47" s="0" t="str">
        <f aca="false">IF(LARGE($CM47:$CV47,1)&gt;0,INDEX($CM$30:$CV$30,MATCH(LARGE($CM47:$CV47,1),$CM47:$CV47,0)),"N/A")</f>
        <v>Honey</v>
      </c>
      <c r="DE47" s="0" t="str">
        <f aca="false">IF(LARGE($CM47:$CV47,2)&gt;0,INDEX($CM$30:$CV$30,MATCH(LARGE($CM47:$CV47,2),$CM47:$CV47,0)),"N/A")</f>
        <v>Tools</v>
      </c>
      <c r="DF47" s="0" t="str">
        <f aca="false">IF(LARGE($CM47:$CV47,3)&gt;0,INDEX($CM$30:$CV$30,MATCH(LARGE($CM47:$CV47,3),$CM47:$CV47,0)),"N/A")</f>
        <v>Service</v>
      </c>
      <c r="DG47" s="0" t="str">
        <f aca="false">IF(LARGE($CM47:$CV47,4)&gt;0,INDEX($CM$30:$CV$30,MATCH(LARGE($CM47:$CV47,4),$CM47:$CV47,0)),"N/A")</f>
        <v>N/A</v>
      </c>
      <c r="DH47" s="0" t="str">
        <f aca="false">IF(LARGE($CM47:$CV47,5)&gt;0,INDEX($CM$30:$CV$30,MATCH(LARGE($CM47:$CV47,5),$CM47:$CV47,0)),"N/A")</f>
        <v>N/A</v>
      </c>
    </row>
    <row r="48" customFormat="false" ht="12.8" hidden="false" customHeight="false" outlineLevel="0" collapsed="false">
      <c r="A48" s="7" t="s">
        <v>155</v>
      </c>
      <c r="B48" s="7" t="s">
        <v>39</v>
      </c>
      <c r="C48" s="10" t="n">
        <f aca="false">MAX(Flows!C78*C$4*C23/100,0)</f>
        <v>0</v>
      </c>
      <c r="D48" s="10" t="n">
        <f aca="false">MAX(Flows!D78*D$4*D23/100,0)</f>
        <v>0</v>
      </c>
      <c r="E48" s="10" t="n">
        <f aca="false">MAX(Flows!E78*E$4*E23/100,0)</f>
        <v>0</v>
      </c>
      <c r="F48" s="10" t="n">
        <f aca="false">MAX(Flows!F78*F$4*F23/100,0)</f>
        <v>0</v>
      </c>
      <c r="G48" s="10" t="n">
        <f aca="false">MAX(Flows!G78*G$4*G23/100,0)</f>
        <v>0</v>
      </c>
      <c r="H48" s="10" t="n">
        <f aca="false">MAX(Flows!H78*H$4*H23/100,0)</f>
        <v>0</v>
      </c>
      <c r="I48" s="10" t="n">
        <f aca="false">MAX(Flows!I78*I$4*I23/100,0)</f>
        <v>37454241.4450499</v>
      </c>
      <c r="J48" s="10" t="n">
        <f aca="false">MAX(Flows!J78*J$4*J23/100,0)</f>
        <v>69476741.1998555</v>
      </c>
      <c r="K48" s="10" t="n">
        <f aca="false">MAX(Flows!K78*K$4*K23/100,0)</f>
        <v>0</v>
      </c>
      <c r="L48" s="10" t="n">
        <f aca="false">MAX(Flows!L78*L$4*L23/100,0)</f>
        <v>0</v>
      </c>
      <c r="M48" s="10" t="n">
        <f aca="false">MAX(Flows!M78*M$4*M23/100,0)</f>
        <v>0</v>
      </c>
      <c r="N48" s="10" t="n">
        <f aca="false">MAX(Flows!N78*N$4*N23/100,0)</f>
        <v>0</v>
      </c>
      <c r="O48" s="10" t="n">
        <f aca="false">MAX(Flows!O78*O$4*O23/100,0)</f>
        <v>0</v>
      </c>
      <c r="P48" s="10" t="n">
        <f aca="false">MAX(Flows!P78*P$4*P23/100,0)</f>
        <v>0</v>
      </c>
      <c r="Q48" s="10" t="n">
        <f aca="false">MAX(Flows!Q78*Q$4*Q23/100,0)</f>
        <v>0</v>
      </c>
      <c r="R48" s="10" t="n">
        <f aca="false">MAX(Flows!R78*R$4*R23/100,0)</f>
        <v>0</v>
      </c>
      <c r="S48" s="10" t="n">
        <f aca="false">MAX(Flows!S78*S$4*S23/100,0)</f>
        <v>0</v>
      </c>
      <c r="T48" s="10" t="n">
        <f aca="false">MAX(Flows!T78*T$4*T23/100,0)</f>
        <v>0</v>
      </c>
      <c r="U48" s="10" t="n">
        <f aca="false">MAX(Flows!U78*U$4*U23/100,0)</f>
        <v>0</v>
      </c>
      <c r="V48" s="10" t="n">
        <f aca="false">MAX(Flows!V78*V$4*V23/100,0)</f>
        <v>0</v>
      </c>
      <c r="W48" s="10" t="n">
        <f aca="false">MAX(Flows!W78*W$4*W23/100,0)</f>
        <v>0</v>
      </c>
      <c r="X48" s="10" t="n">
        <f aca="false">MAX(Flows!X78*X$4*X23/100,0)</f>
        <v>0</v>
      </c>
      <c r="Y48" s="10" t="n">
        <f aca="false">MAX(Flows!Y78*Y$4*Y23/100,0)</f>
        <v>0</v>
      </c>
      <c r="Z48" s="10" t="n">
        <f aca="false">MAX(Flows!Z78*Z$4*Z23/100,0)</f>
        <v>0</v>
      </c>
      <c r="AA48" s="10" t="n">
        <f aca="false">MAX(Flows!AA78*AA$4*AA23/100,0)</f>
        <v>0</v>
      </c>
      <c r="AB48" s="10" t="n">
        <f aca="false">MAX(Flows!AB78*AB$4*AB23/100,0)</f>
        <v>0</v>
      </c>
      <c r="AC48" s="10" t="n">
        <f aca="false">MAX(Flows!AC78*AC$4*AC23/100,0)</f>
        <v>554516.732352315</v>
      </c>
      <c r="AD48" s="10" t="n">
        <f aca="false">MAX(Flows!AD78*AD$4*AD23/100,0)</f>
        <v>0</v>
      </c>
      <c r="AE48" s="10" t="n">
        <f aca="false">MAX(Flows!AE78*AE$4*AE23/100,0)</f>
        <v>0</v>
      </c>
      <c r="AF48" s="10" t="n">
        <f aca="false">MAX(Flows!AF78*AF$4*AF23/100,0)</f>
        <v>0</v>
      </c>
      <c r="AG48" s="10" t="n">
        <f aca="false">MAX(Flows!AG78*AG$4*AG23/100,0)</f>
        <v>0</v>
      </c>
      <c r="AH48" s="10" t="n">
        <f aca="false">MAX(Flows!AH78*AH$4*AH23/100,0)</f>
        <v>0</v>
      </c>
      <c r="AI48" s="10" t="n">
        <f aca="false">MAX(Flows!AI78*AI$4*AI23/100,0)</f>
        <v>0</v>
      </c>
      <c r="AJ48" s="10" t="n">
        <f aca="false">MAX(Flows!AJ78*AJ$4*AJ23/100,0)</f>
        <v>0</v>
      </c>
      <c r="AK48" s="10" t="n">
        <f aca="false">MAX(Flows!AK78*AK$4*AK23/100,0)</f>
        <v>0</v>
      </c>
      <c r="AL48" s="10" t="n">
        <f aca="false">MAX(Flows!AL78*AL$4*AL23/100,0)</f>
        <v>0</v>
      </c>
      <c r="AM48" s="10" t="n">
        <f aca="false">MAX(Flows!AM78*AM$4*AM23/100,0)</f>
        <v>0</v>
      </c>
      <c r="AN48" s="10" t="n">
        <f aca="false">MAX(Flows!AN78*AN$4*AN23/100,0)</f>
        <v>0</v>
      </c>
      <c r="AO48" s="10" t="n">
        <f aca="false">MAX(Flows!AO78*AO$4*AO23/100,0)</f>
        <v>0</v>
      </c>
      <c r="AP48" s="10" t="n">
        <f aca="false">MAX(Flows!AP78*AP$4*AP23/100,0)</f>
        <v>0</v>
      </c>
      <c r="AQ48" s="10" t="n">
        <f aca="false">MAX(Flows!AQ78*AQ$4*AQ23/100,0)</f>
        <v>0</v>
      </c>
      <c r="AR48" s="10" t="n">
        <f aca="false">MAX(Flows!AR78*AR$4*AR23/100,0)</f>
        <v>0</v>
      </c>
      <c r="AS48" s="10" t="n">
        <f aca="false">MAX(Flows!AS78*AS$4*AS23/100,0)</f>
        <v>0</v>
      </c>
      <c r="AT48" s="10" t="n">
        <f aca="false">MAX(Flows!AT78*AT$4*AT23/100,0)</f>
        <v>0</v>
      </c>
      <c r="AU48" s="10" t="n">
        <f aca="false">MAX(Flows!AU78*AU$4*AU23/100,0)</f>
        <v>0</v>
      </c>
      <c r="AV48" s="10" t="n">
        <f aca="false">MAX(Flows!AV78*AV$4*AV23/100,0)</f>
        <v>0</v>
      </c>
      <c r="AW48" s="10" t="n">
        <f aca="false">MAX(Flows!AW78*AW$4*AW23/100,0)</f>
        <v>10278184.4806596</v>
      </c>
      <c r="AX48" s="10" t="n">
        <f aca="false">MAX(Flows!AX78*AX$4*AX23/100,0)</f>
        <v>0</v>
      </c>
      <c r="AY48" s="10" t="n">
        <f aca="false">MAX(Flows!AY78*AY$4*AY23/100,0)</f>
        <v>1467332.23826824</v>
      </c>
      <c r="AZ48" s="10" t="n">
        <f aca="false">MAX(Flows!AZ78*AZ$4*AZ23/100,0)</f>
        <v>0</v>
      </c>
      <c r="BA48" s="10" t="n">
        <f aca="false">MAX(Flows!BA78*BA$4*BA23/100,0)</f>
        <v>0</v>
      </c>
      <c r="BB48" s="10" t="n">
        <f aca="false">MAX(Flows!BB78*BB$4*BB23/100,0)</f>
        <v>0</v>
      </c>
      <c r="BC48" s="10" t="n">
        <f aca="false">MAX(Flows!BC78*BC$4*BC23/100,0)</f>
        <v>0</v>
      </c>
      <c r="BD48" s="10" t="n">
        <f aca="false">MAX(Flows!BD78*BD$4*BD23/100,0)</f>
        <v>0</v>
      </c>
      <c r="BE48" s="10" t="n">
        <f aca="false">MAX(Flows!BE78*BE$4*BE23/100,0)</f>
        <v>0</v>
      </c>
      <c r="BF48" s="10" t="n">
        <f aca="false">MAX(Flows!BF78*BF$4*BF23/100,0)</f>
        <v>0</v>
      </c>
      <c r="BG48" s="10" t="n">
        <f aca="false">MAX(Flows!BG78*BG$4*BG23/100,0)</f>
        <v>0</v>
      </c>
      <c r="BH48" s="10" t="n">
        <f aca="false">MAX(Flows!BH78*BH$4*BH23/100,0)</f>
        <v>0</v>
      </c>
      <c r="BI48" s="10" t="n">
        <f aca="false">MAX(Flows!BI78*BI$4*BI23/100,0)</f>
        <v>0</v>
      </c>
      <c r="BJ48" s="10" t="n">
        <f aca="false">MAX(Flows!BJ78*BJ$4*BJ23/100,0)</f>
        <v>0</v>
      </c>
      <c r="BK48" s="10" t="n">
        <f aca="false">MAX(Flows!BK78*BK$4*BK23/100,0)</f>
        <v>0</v>
      </c>
      <c r="BL48" s="10" t="n">
        <f aca="false">MAX(Flows!BL78*BL$4*BL23/100,0)</f>
        <v>0</v>
      </c>
      <c r="BM48" s="10" t="n">
        <f aca="false">MAX(Flows!BM78*BM$4*BM23/100,0)</f>
        <v>0</v>
      </c>
      <c r="BN48" s="10" t="n">
        <f aca="false">MAX(Flows!BN78*BN$4*BN23/100,0)</f>
        <v>0</v>
      </c>
      <c r="BO48" s="10" t="n">
        <f aca="false">MAX(Flows!BO78*BO$4*BO23/100,0)</f>
        <v>394327.481094327</v>
      </c>
      <c r="BP48" s="10" t="n">
        <f aca="false">MAX(Flows!BP78*BP$4*BP23/100,0)</f>
        <v>1577311.93660214</v>
      </c>
      <c r="BQ48" s="10" t="n">
        <f aca="false">MAX(Flows!BQ78*BQ$4*BQ23/100,0)</f>
        <v>0</v>
      </c>
      <c r="BR48" s="10" t="n">
        <f aca="false">MAX(Flows!BR78*BR$4*BR23/100,0)</f>
        <v>394326.466283536</v>
      </c>
      <c r="BS48" s="10" t="n">
        <f aca="false">MAX(Flows!BS78*BS$4*BS23/100,0)</f>
        <v>394324.944067351</v>
      </c>
      <c r="BT48" s="10" t="n">
        <f aca="false">MAX(Flows!BT78*BT$4*BT23/100,0)</f>
        <v>0</v>
      </c>
      <c r="BU48" s="10" t="n">
        <f aca="false">MAX(Flows!BU78*BU$4*BU23/100,0)</f>
        <v>0</v>
      </c>
      <c r="BV48" s="10" t="n">
        <f aca="false">MAX(Flows!BV78*BV$4*BV23/100,0)</f>
        <v>0</v>
      </c>
      <c r="BW48" s="10" t="n">
        <f aca="false">MAX(Flows!BW78*BW$4*BW23/100,0)</f>
        <v>0</v>
      </c>
      <c r="BX48" s="10" t="n">
        <f aca="false">MAX(Flows!BX78*BX$4*BX23/100,0)</f>
        <v>0</v>
      </c>
      <c r="BY48" s="10" t="n">
        <f aca="false">MAX(Flows!BY78*BY$4*BY23/100,0)</f>
        <v>0</v>
      </c>
      <c r="BZ48" s="10" t="n">
        <f aca="false">MAX(Flows!BZ78*BZ$4*BZ23/100,0)</f>
        <v>0</v>
      </c>
      <c r="CA48" s="10" t="n">
        <f aca="false">MAX(Flows!CA78*CA$4*CA23/100,0)</f>
        <v>0</v>
      </c>
      <c r="CB48" s="10" t="n">
        <f aca="false">MAX(Flows!CB78*CB$4*CB23/100,0)</f>
        <v>0</v>
      </c>
      <c r="CC48" s="10" t="n">
        <f aca="false">MAX(Flows!CC78*CC$4*CC23/100,0)</f>
        <v>0</v>
      </c>
      <c r="CD48" s="10" t="n">
        <f aca="false">MAX(Flows!CD78*CD$4*CD23/100,0)</f>
        <v>0</v>
      </c>
      <c r="CE48" s="10" t="n">
        <f aca="false">MAX(Flows!CE78*CE$4*CE23/100,0)</f>
        <v>0</v>
      </c>
      <c r="CF48" s="10" t="n">
        <f aca="false">MAX(Flows!CF78*CF$4*CF23/100,0)</f>
        <v>0</v>
      </c>
      <c r="CG48" s="10" t="n">
        <f aca="false">MAX(Flows!CG78*CG$4*CG23/100,0)</f>
        <v>394226.507420617</v>
      </c>
      <c r="CH48" s="10" t="n">
        <f aca="false">MAX(Flows!CH78*CH$4*CH23/100,0)</f>
        <v>394226.507420618</v>
      </c>
      <c r="CI48" s="10" t="n">
        <f aca="false">MAX(Flows!CI78*CI$4*CI23/100,0)</f>
        <v>0</v>
      </c>
      <c r="CJ48" s="10" t="n">
        <f aca="false">MAX(Flows!CJ78*CJ$4*CJ23/100,0)</f>
        <v>0</v>
      </c>
      <c r="CK48" s="10" t="n">
        <f aca="false">MAX(Flows!CK78*CK$4*CK23/100,0)</f>
        <v>0</v>
      </c>
      <c r="CL48" s="7" t="s">
        <v>322</v>
      </c>
      <c r="CM48" s="10" t="n">
        <f aca="false" t="array" ref="CM48:CM48">SUM(IF($C$150:$CK$150=CM$30,$C48:$CK48,0),IF($C$150:$CK$150=CM$30,-$C108:$CK108,0))</f>
        <v>-1450362149.05491</v>
      </c>
      <c r="CN48" s="10" t="n">
        <f aca="false" t="array" ref="CN48:CN48">SUM(IF($C$150:$CK$150=CN$30,$C48:$CK48,0),IF($C$150:$CK$150=CN$30,-$C108:$CK108,0))</f>
        <v>-956355778.097855</v>
      </c>
      <c r="CO48" s="10" t="n">
        <f aca="false" t="array" ref="CO48:CO48">SUM(IF($C$150:$CK$150=CO$30,$C48:$CK48,0),IF($C$150:$CK$150=CO$30,-$C108:$CK108,0))</f>
        <v>-3762798381.58069</v>
      </c>
      <c r="CP48" s="10" t="n">
        <f aca="false" t="array" ref="CP48:CP48">SUM(IF($C$150:$CK$150=CP$30,$C48:$CK48,0),IF($C$150:$CK$150=CP$30,-$C108:$CK108,0))</f>
        <v>-635122691.217991</v>
      </c>
      <c r="CQ48" s="10" t="n">
        <f aca="false" t="array" ref="CQ48:CQ48">SUM(IF($C$150:$CK$150=CQ$30,$C48:$CK48,0),IF($C$150:$CK$150=CQ$30,-$C108:$CK108,0))</f>
        <v>-1825730614.4773</v>
      </c>
      <c r="CR48" s="10" t="n">
        <f aca="false" t="array" ref="CR48:CR48">SUM(IF($C$150:$CK$150=CR$30,$C48:$CK48,0),IF($C$150:$CK$150=CR$30,-$C108:$CK108,0))</f>
        <v>-267890227.339946</v>
      </c>
      <c r="CS48" s="10" t="n">
        <f aca="false" t="array" ref="CS48:CS48">SUM(IF($C$150:$CK$150=CS$30,$C48:$CK48,0),IF($C$150:$CK$150=CS$30,-$C108:$CK108,0))</f>
        <v>-240911161.837954</v>
      </c>
      <c r="CT48" s="10" t="n">
        <f aca="false" t="array" ref="CT48:CT48">SUM(IF($C$150:$CK$150=CT$30,$C48:$CK48,0),IF($C$150:$CK$150=CT$30,-$C108:$CK108,0))</f>
        <v>-69496411.5426104</v>
      </c>
      <c r="CU48" s="10" t="n">
        <f aca="false" t="array" ref="CU48:CU48">SUM(IF($C$150:$CK$150=CU$30,$C48:$CK48,0),IF($C$150:$CK$150=CU$30,-$C108:$CK108,0))</f>
        <v>106930982.644905</v>
      </c>
      <c r="CV48" s="10" t="n">
        <f aca="false" t="array" ref="CV48:CV48">SUM(IF($C$150:$CK$150=CV$30,$C48:$CK48,0),IF($C$150:$CK$150=CV$30,-$C108:$CK108,0))</f>
        <v>-2820117.89891749</v>
      </c>
      <c r="CX48" s="0" t="str">
        <f aca="false">INDEX($C$1:$CK$1,MATCH(LARGE($C48:$CK48,1),$C48:$CK48,0))</f>
        <v>Wax (lb)</v>
      </c>
      <c r="CY48" s="0" t="str">
        <f aca="false">INDEX($C$1:$CK$1,MATCH(LARGE($C48:$CK48,2),$C48:$CK48,0))</f>
        <v>Honey (lb)</v>
      </c>
      <c r="CZ48" s="0" t="str">
        <f aca="false">INDEX($C$1:$CK$1,MATCH(LARGE($C48:$CK48,3),$C48:$CK48,0))</f>
        <v>Thread (Kyd)</v>
      </c>
      <c r="DA48" s="0" t="str">
        <f aca="false">INDEX($C$1:$CK$1,MATCH(LARGE($C48:$CK48,4),$C48:$CK48,0))</f>
        <v>Iron (lb)</v>
      </c>
      <c r="DB48" s="0" t="str">
        <f aca="false">INDEX($C$1:$CK$1,MATCH(LARGE($C48:$CK48,5),$C48:$CK48,0))</f>
        <v>Silk Cloth (yd)</v>
      </c>
      <c r="DD48" s="0" t="str">
        <f aca="false">IF(LARGE($CM48:$CV48,1)&gt;0,INDEX($CM$30:$CV$30,MATCH(LARGE($CM48:$CV48,1),$CM48:$CV48,0)),"N/A")</f>
        <v>Honey</v>
      </c>
      <c r="DE48" s="0" t="str">
        <f aca="false">IF(LARGE($CM48:$CV48,2)&gt;0,INDEX($CM$30:$CV$30,MATCH(LARGE($CM48:$CV48,2),$CM48:$CV48,0)),"N/A")</f>
        <v>N/A</v>
      </c>
      <c r="DF48" s="0" t="str">
        <f aca="false">IF(LARGE($CM48:$CV48,3)&gt;0,INDEX($CM$30:$CV$30,MATCH(LARGE($CM48:$CV48,3),$CM48:$CV48,0)),"N/A")</f>
        <v>N/A</v>
      </c>
      <c r="DG48" s="0" t="str">
        <f aca="false">IF(LARGE($CM48:$CV48,4)&gt;0,INDEX($CM$30:$CV$30,MATCH(LARGE($CM48:$CV48,4),$CM48:$CV48,0)),"N/A")</f>
        <v>N/A</v>
      </c>
      <c r="DH48" s="0" t="str">
        <f aca="false">IF(LARGE($CM48:$CV48,5)&gt;0,INDEX($CM$30:$CV$30,MATCH(LARGE($CM48:$CV48,5),$CM48:$CV48,0)),"N/A")</f>
        <v>N/A</v>
      </c>
    </row>
    <row r="49" customFormat="false" ht="12.8" hidden="false" customHeight="false" outlineLevel="0" collapsed="false">
      <c r="A49" s="7" t="s">
        <v>156</v>
      </c>
      <c r="B49" s="7" t="s">
        <v>39</v>
      </c>
      <c r="C49" s="10" t="n">
        <f aca="false">MAX(Flows!C79*C$4*C24/100,0)</f>
        <v>18428671.909453</v>
      </c>
      <c r="D49" s="10" t="n">
        <f aca="false">MAX(Flows!D79*D$4*D24/100,0)</f>
        <v>47727216.1844219</v>
      </c>
      <c r="E49" s="10" t="n">
        <f aca="false">MAX(Flows!E79*E$4*E24/100,0)</f>
        <v>15170911.6786956</v>
      </c>
      <c r="F49" s="10" t="n">
        <f aca="false">MAX(Flows!F79*F$4*F24/100,0)</f>
        <v>0</v>
      </c>
      <c r="G49" s="10" t="n">
        <f aca="false">MAX(Flows!G79*G$4*G24/100,0)</f>
        <v>29531202.5019775</v>
      </c>
      <c r="H49" s="10" t="n">
        <f aca="false">MAX(Flows!H79*H$4*H24/100,0)</f>
        <v>0</v>
      </c>
      <c r="I49" s="10" t="n">
        <f aca="false">MAX(Flows!I79*I$4*I24/100,0)</f>
        <v>31866616.9169654</v>
      </c>
      <c r="J49" s="10" t="n">
        <f aca="false">MAX(Flows!J79*J$4*J24/100,0)</f>
        <v>0</v>
      </c>
      <c r="K49" s="10" t="n">
        <f aca="false">MAX(Flows!K79*K$4*K24/100,0)</f>
        <v>0</v>
      </c>
      <c r="L49" s="10" t="n">
        <f aca="false">MAX(Flows!L79*L$4*L24/100,0)</f>
        <v>0</v>
      </c>
      <c r="M49" s="10" t="n">
        <f aca="false">MAX(Flows!M79*M$4*M24/100,0)</f>
        <v>0</v>
      </c>
      <c r="N49" s="10" t="n">
        <f aca="false">MAX(Flows!N79*N$4*N24/100,0)</f>
        <v>17004298.0721691</v>
      </c>
      <c r="O49" s="10" t="n">
        <f aca="false">MAX(Flows!O79*O$4*O24/100,0)</f>
        <v>0</v>
      </c>
      <c r="P49" s="10" t="n">
        <f aca="false">MAX(Flows!P79*P$4*P24/100,0)</f>
        <v>0</v>
      </c>
      <c r="Q49" s="10" t="n">
        <f aca="false">MAX(Flows!Q79*Q$4*Q24/100,0)</f>
        <v>35696272.8347066</v>
      </c>
      <c r="R49" s="10" t="n">
        <f aca="false">MAX(Flows!R79*R$4*R24/100,0)</f>
        <v>23605868.324836</v>
      </c>
      <c r="S49" s="10" t="n">
        <f aca="false">MAX(Flows!S79*S$4*S24/100,0)</f>
        <v>0</v>
      </c>
      <c r="T49" s="10" t="n">
        <f aca="false">MAX(Flows!T79*T$4*T24/100,0)</f>
        <v>0</v>
      </c>
      <c r="U49" s="10" t="n">
        <f aca="false">MAX(Flows!U79*U$4*U24/100,0)</f>
        <v>0</v>
      </c>
      <c r="V49" s="10" t="n">
        <f aca="false">MAX(Flows!V79*V$4*V24/100,0)</f>
        <v>65904151.6145501</v>
      </c>
      <c r="W49" s="10" t="n">
        <f aca="false">MAX(Flows!W79*W$4*W24/100,0)</f>
        <v>45603521.759043</v>
      </c>
      <c r="X49" s="10" t="n">
        <f aca="false">MAX(Flows!X79*X$4*X24/100,0)</f>
        <v>53309995.7323496</v>
      </c>
      <c r="Y49" s="10" t="n">
        <f aca="false">MAX(Flows!Y79*Y$4*Y24/100,0)</f>
        <v>0</v>
      </c>
      <c r="Z49" s="10" t="n">
        <f aca="false">MAX(Flows!Z79*Z$4*Z24/100,0)</f>
        <v>0</v>
      </c>
      <c r="AA49" s="10" t="n">
        <f aca="false">MAX(Flows!AA79*AA$4*AA24/100,0)</f>
        <v>70741.2118759807</v>
      </c>
      <c r="AB49" s="10" t="n">
        <f aca="false">MAX(Flows!AB79*AB$4*AB24/100,0)</f>
        <v>348432.555879285</v>
      </c>
      <c r="AC49" s="10" t="n">
        <f aca="false">MAX(Flows!AC79*AC$4*AC24/100,0)</f>
        <v>0</v>
      </c>
      <c r="AD49" s="10" t="n">
        <f aca="false">MAX(Flows!AD79*AD$4*AD24/100,0)</f>
        <v>174216.277939643</v>
      </c>
      <c r="AE49" s="10" t="n">
        <f aca="false">MAX(Flows!AE79*AE$4*AE24/100,0)</f>
        <v>617597.443760072</v>
      </c>
      <c r="AF49" s="10" t="n">
        <f aca="false">MAX(Flows!AF79*AF$4*AF24/100,0)</f>
        <v>2537257.29590178</v>
      </c>
      <c r="AG49" s="10" t="n">
        <f aca="false">MAX(Flows!AG79*AG$4*AG24/100,0)</f>
        <v>4563949.20968568</v>
      </c>
      <c r="AH49" s="10" t="n">
        <f aca="false">MAX(Flows!AH79*AH$4*AH24/100,0)</f>
        <v>2924205.43166124</v>
      </c>
      <c r="AI49" s="10" t="n">
        <f aca="false">MAX(Flows!AI79*AI$4*AI24/100,0)</f>
        <v>9781277.29630894</v>
      </c>
      <c r="AJ49" s="10" t="n">
        <f aca="false">MAX(Flows!AJ79*AJ$4*AJ24/100,0)</f>
        <v>5997252.94497281</v>
      </c>
      <c r="AK49" s="10" t="n">
        <f aca="false">MAX(Flows!AK79*AK$4*AK24/100,0)</f>
        <v>5983187.61611308</v>
      </c>
      <c r="AL49" s="10" t="n">
        <f aca="false">MAX(Flows!AL79*AL$4*AL24/100,0)</f>
        <v>9742707.04296358</v>
      </c>
      <c r="AM49" s="10" t="n">
        <f aca="false">MAX(Flows!AM79*AM$4*AM24/100,0)</f>
        <v>7200462.77750792</v>
      </c>
      <c r="AN49" s="10" t="n">
        <f aca="false">MAX(Flows!AN79*AN$4*AN24/100,0)</f>
        <v>7051912.41389717</v>
      </c>
      <c r="AO49" s="10" t="n">
        <f aca="false">MAX(Flows!AO79*AO$4*AO24/100,0)</f>
        <v>9464093.46421157</v>
      </c>
      <c r="AP49" s="10" t="n">
        <f aca="false">MAX(Flows!AP79*AP$4*AP24/100,0)</f>
        <v>3668790.12721505</v>
      </c>
      <c r="AQ49" s="10" t="n">
        <f aca="false">MAX(Flows!AQ79*AQ$4*AQ24/100,0)</f>
        <v>5174212.10757227</v>
      </c>
      <c r="AR49" s="10" t="n">
        <f aca="false">MAX(Flows!AR79*AR$4*AR24/100,0)</f>
        <v>5254129.57182053</v>
      </c>
      <c r="AS49" s="10" t="n">
        <f aca="false">MAX(Flows!AS79*AS$4*AS24/100,0)</f>
        <v>6063491.35202703</v>
      </c>
      <c r="AT49" s="10" t="n">
        <f aca="false">MAX(Flows!AT79*AT$4*AT24/100,0)</f>
        <v>11676138.8053392</v>
      </c>
      <c r="AU49" s="10" t="n">
        <f aca="false">MAX(Flows!AU79*AU$4*AU24/100,0)</f>
        <v>0</v>
      </c>
      <c r="AV49" s="10" t="n">
        <f aca="false">MAX(Flows!AV79*AV$4*AV24/100,0)</f>
        <v>9072551.33536718</v>
      </c>
      <c r="AW49" s="10" t="n">
        <f aca="false">MAX(Flows!AW79*AW$4*AW24/100,0)</f>
        <v>0</v>
      </c>
      <c r="AX49" s="10" t="n">
        <f aca="false">MAX(Flows!AX79*AX$4*AX24/100,0)</f>
        <v>0</v>
      </c>
      <c r="AY49" s="10" t="n">
        <f aca="false">MAX(Flows!AY79*AY$4*AY24/100,0)</f>
        <v>0</v>
      </c>
      <c r="AZ49" s="10" t="n">
        <f aca="false">MAX(Flows!AZ79*AZ$4*AZ24/100,0)</f>
        <v>1757775.58407358</v>
      </c>
      <c r="BA49" s="10" t="n">
        <f aca="false">MAX(Flows!BA79*BA$4*BA24/100,0)</f>
        <v>0</v>
      </c>
      <c r="BB49" s="10" t="n">
        <f aca="false">MAX(Flows!BB79*BB$4*BB24/100,0)</f>
        <v>4896423.16749494</v>
      </c>
      <c r="BC49" s="10" t="n">
        <f aca="false">MAX(Flows!BC79*BC$4*BC24/100,0)</f>
        <v>4630923.61491333</v>
      </c>
      <c r="BD49" s="10" t="n">
        <f aca="false">MAX(Flows!BD79*BD$4*BD24/100,0)</f>
        <v>10900542.9527806</v>
      </c>
      <c r="BE49" s="10" t="n">
        <f aca="false">MAX(Flows!BE79*BE$4*BE24/100,0)</f>
        <v>3350586.55677074</v>
      </c>
      <c r="BF49" s="10" t="n">
        <f aca="false">MAX(Flows!BF79*BF$4*BF24/100,0)</f>
        <v>38963852.8337961</v>
      </c>
      <c r="BG49" s="10" t="n">
        <f aca="false">MAX(Flows!BG79*BG$4*BG24/100,0)</f>
        <v>0</v>
      </c>
      <c r="BH49" s="10" t="n">
        <f aca="false">MAX(Flows!BH79*BH$4*BH24/100,0)</f>
        <v>621061.2086118</v>
      </c>
      <c r="BI49" s="10" t="n">
        <f aca="false">MAX(Flows!BI79*BI$4*BI24/100,0)</f>
        <v>22499609.9004448</v>
      </c>
      <c r="BJ49" s="10" t="n">
        <f aca="false">MAX(Flows!BJ79*BJ$4*BJ24/100,0)</f>
        <v>22499609.9004448</v>
      </c>
      <c r="BK49" s="10" t="n">
        <f aca="false">MAX(Flows!BK79*BK$4*BK24/100,0)</f>
        <v>22499609.9004448</v>
      </c>
      <c r="BL49" s="10" t="n">
        <f aca="false">MAX(Flows!BL79*BL$4*BL24/100,0)</f>
        <v>3569627.28347067</v>
      </c>
      <c r="BM49" s="10" t="n">
        <f aca="false">MAX(Flows!BM79*BM$4*BM24/100,0)</f>
        <v>3569627.28347066</v>
      </c>
      <c r="BN49" s="10" t="n">
        <f aca="false">MAX(Flows!BN79*BN$4*BN24/100,0)</f>
        <v>0</v>
      </c>
      <c r="BO49" s="10" t="n">
        <f aca="false">MAX(Flows!BO79*BO$4*BO24/100,0)</f>
        <v>0</v>
      </c>
      <c r="BP49" s="10" t="n">
        <f aca="false">MAX(Flows!BP79*BP$4*BP24/100,0)</f>
        <v>0</v>
      </c>
      <c r="BQ49" s="10" t="n">
        <f aca="false">MAX(Flows!BQ79*BQ$4*BQ24/100,0)</f>
        <v>0</v>
      </c>
      <c r="BR49" s="10" t="n">
        <f aca="false">MAX(Flows!BR79*BR$4*BR24/100,0)</f>
        <v>0</v>
      </c>
      <c r="BS49" s="10" t="n">
        <f aca="false">MAX(Flows!BS79*BS$4*BS24/100,0)</f>
        <v>0</v>
      </c>
      <c r="BT49" s="10" t="n">
        <f aca="false">MAX(Flows!BT79*BT$4*BT24/100,0)</f>
        <v>0</v>
      </c>
      <c r="BU49" s="10" t="n">
        <f aca="false">MAX(Flows!BU79*BU$4*BU24/100,0)</f>
        <v>0</v>
      </c>
      <c r="BV49" s="10" t="n">
        <f aca="false">MAX(Flows!BV79*BV$4*BV24/100,0)</f>
        <v>0</v>
      </c>
      <c r="BW49" s="10" t="n">
        <f aca="false">MAX(Flows!BW79*BW$4*BW24/100,0)</f>
        <v>0</v>
      </c>
      <c r="BX49" s="10" t="n">
        <f aca="false">MAX(Flows!BX79*BX$4*BX24/100,0)</f>
        <v>7139254.56694133</v>
      </c>
      <c r="BY49" s="10" t="n">
        <f aca="false">MAX(Flows!BY79*BY$4*BY24/100,0)</f>
        <v>7139254.56694133</v>
      </c>
      <c r="BZ49" s="10" t="n">
        <f aca="false">MAX(Flows!BZ79*BZ$4*BZ24/100,0)</f>
        <v>22995060.3354732</v>
      </c>
      <c r="CA49" s="10" t="n">
        <f aca="false">MAX(Flows!CA79*CA$4*CA24/100,0)</f>
        <v>22995060.3354732</v>
      </c>
      <c r="CB49" s="10" t="n">
        <f aca="false">MAX(Flows!CB79*CB$4*CB24/100,0)</f>
        <v>35696272.8347066</v>
      </c>
      <c r="CC49" s="10" t="n">
        <f aca="false">MAX(Flows!CC79*CC$4*CC24/100,0)</f>
        <v>1124980.49502224</v>
      </c>
      <c r="CD49" s="10" t="n">
        <f aca="false">MAX(Flows!CD79*CD$4*CD24/100,0)</f>
        <v>0</v>
      </c>
      <c r="CE49" s="10" t="n">
        <f aca="false">MAX(Flows!CE79*CE$4*CE24/100,0)</f>
        <v>1124980.49502224</v>
      </c>
      <c r="CF49" s="10" t="n">
        <f aca="false">MAX(Flows!CF79*CF$4*CF24/100,0)</f>
        <v>2249960.99004448</v>
      </c>
      <c r="CG49" s="10" t="n">
        <f aca="false">MAX(Flows!CG79*CG$4*CG24/100,0)</f>
        <v>0</v>
      </c>
      <c r="CH49" s="10" t="n">
        <f aca="false">MAX(Flows!CH79*CH$4*CH24/100,0)</f>
        <v>0</v>
      </c>
      <c r="CI49" s="10" t="n">
        <f aca="false">MAX(Flows!CI79*CI$4*CI24/100,0)</f>
        <v>17848136.4173533</v>
      </c>
      <c r="CJ49" s="10" t="n">
        <f aca="false">MAX(Flows!CJ79*CJ$4*CJ24/100,0)</f>
        <v>1784813.64173533</v>
      </c>
      <c r="CK49" s="10" t="n">
        <f aca="false">MAX(Flows!CK79*CK$4*CK24/100,0)</f>
        <v>1784813.64173533</v>
      </c>
      <c r="CL49" s="7" t="s">
        <v>322</v>
      </c>
      <c r="CM49" s="10" t="n">
        <f aca="false" t="array" ref="CM49:CM49">SUM(IF($C$150:$CK$150=CM$30,$C49:$CK49,0),IF($C$150:$CK$150=CM$30,-$C109:$CK109,0))</f>
        <v>162743624.169614</v>
      </c>
      <c r="CN49" s="10" t="n">
        <f aca="false" t="array" ref="CN49:CN49">SUM(IF($C$150:$CK$150=CN$30,$C49:$CK49,0),IF($C$150:$CK$150=CN$30,-$C109:$CK109,0))</f>
        <v>95968710.9217258</v>
      </c>
      <c r="CO49" s="10" t="n">
        <f aca="false" t="array" ref="CO49:CO49">SUM(IF($C$150:$CK$150=CO$30,$C49:$CK49,0),IF($C$150:$CK$150=CO$30,-$C109:$CK109,0))</f>
        <v>247434369.17774</v>
      </c>
      <c r="CP49" s="10" t="n">
        <f aca="false" t="array" ref="CP49:CP49">SUM(IF($C$150:$CK$150=CP$30,$C49:$CK49,0),IF($C$150:$CK$150=CP$30,-$C109:$CK109,0))</f>
        <v>30544733.4444503</v>
      </c>
      <c r="CQ49" s="10" t="n">
        <f aca="false" t="array" ref="CQ49:CQ49">SUM(IF($C$150:$CK$150=CQ$30,$C49:$CK49,0),IF($C$150:$CK$150=CQ$30,-$C109:$CK109,0))</f>
        <v>112327616.404579</v>
      </c>
      <c r="CR49" s="10" t="n">
        <f aca="false" t="array" ref="CR49:CR49">SUM(IF($C$150:$CK$150=CR$30,$C49:$CK49,0),IF($C$150:$CK$150=CR$30,-$C109:$CK109,0))</f>
        <v>-6919837508713010</v>
      </c>
      <c r="CS49" s="10" t="n">
        <f aca="false" t="array" ref="CS49:CS49">SUM(IF($C$150:$CK$150=CS$30,$C49:$CK49,0),IF($C$150:$CK$150=CS$30,-$C109:$CK109,0))</f>
        <v>11700105.4401459</v>
      </c>
      <c r="CT49" s="10" t="n">
        <f aca="false" t="array" ref="CT49:CT49">SUM(IF($C$150:$CK$150=CT$30,$C49:$CK49,0),IF($C$150:$CK$150=CT$30,-$C109:$CK109,0))</f>
        <v>5819588.27351514</v>
      </c>
      <c r="CU49" s="10" t="n">
        <f aca="false" t="array" ref="CU49:CU49">SUM(IF($C$150:$CK$150=CU$30,$C49:$CK49,0),IF($C$150:$CK$150=CU$30,-$C109:$CK109,0))</f>
        <v>-20182177.1621317</v>
      </c>
      <c r="CV49" s="10" t="n">
        <f aca="false" t="array" ref="CV49:CV49">SUM(IF($C$150:$CK$150=CV$30,$C49:$CK49,0),IF($C$150:$CK$150=CV$30,-$C109:$CK109,0))</f>
        <v>522648.833818927</v>
      </c>
      <c r="CX49" s="0" t="str">
        <f aca="false">INDEX($C$1:$CK$1,MATCH(LARGE($C49:$CK49,1),$C49:$CK49,0))</f>
        <v>Cider (gal)</v>
      </c>
      <c r="CY49" s="0" t="str">
        <f aca="false">INDEX($C$1:$CK$1,MATCH(LARGE($C49:$CK49,2),$C49:$CK49,0))</f>
        <v>Chipak (lb)</v>
      </c>
      <c r="CZ49" s="0" t="str">
        <f aca="false">INDEX($C$1:$CK$1,MATCH(LARGE($C49:$CK49,3),$C49:$CK49,0))</f>
        <v>Jeet (lb)</v>
      </c>
      <c r="DA49" s="0" t="str">
        <f aca="false">INDEX($C$1:$CK$1,MATCH(LARGE($C49:$CK49,4),$C49:$CK49,0))</f>
        <v>Sauce (lb)</v>
      </c>
      <c r="DB49" s="0" t="str">
        <f aca="false">INDEX($C$1:$CK$1,MATCH(LARGE($C49:$CK49,5),$C49:$CK49,0))</f>
        <v>Salt (lb)</v>
      </c>
      <c r="DD49" s="0" t="str">
        <f aca="false">IF(LARGE($CM49:$CV49,1)&gt;0,INDEX($CM$30:$CV$30,MATCH(LARGE($CM49:$CV49,1),$CM49:$CV49,0)),"N/A")</f>
        <v>Food Prod</v>
      </c>
      <c r="DE49" s="0" t="str">
        <f aca="false">IF(LARGE($CM49:$CV49,2)&gt;0,INDEX($CM$30:$CV$30,MATCH(LARGE($CM49:$CV49,2),$CM49:$CV49,0)),"N/A")</f>
        <v>Produce</v>
      </c>
      <c r="DF49" s="0" t="str">
        <f aca="false">IF(LARGE($CM49:$CV49,3)&gt;0,INDEX($CM$30:$CV$30,MATCH(LARGE($CM49:$CV49,3),$CM49:$CV49,0)),"N/A")</f>
        <v>Tools</v>
      </c>
      <c r="DG49" s="0" t="str">
        <f aca="false">IF(LARGE($CM49:$CV49,4)&gt;0,INDEX($CM$30:$CV$30,MATCH(LARGE($CM49:$CV49,4),$CM49:$CV49,0)),"N/A")</f>
        <v>Animal</v>
      </c>
      <c r="DH49" s="0" t="str">
        <f aca="false">IF(LARGE($CM49:$CV49,5)&gt;0,INDEX($CM$30:$CV$30,MATCH(LARGE($CM49:$CV49,5),$CM49:$CV49,0)),"N/A")</f>
        <v>Textile</v>
      </c>
    </row>
    <row r="50" customFormat="false" ht="12.8" hidden="false" customHeight="false" outlineLevel="0" collapsed="false">
      <c r="A50" s="7" t="s">
        <v>157</v>
      </c>
      <c r="B50" s="7" t="s">
        <v>39</v>
      </c>
      <c r="C50" s="10" t="n">
        <f aca="false">MAX(Flows!C80*C$4*C25/100,0)</f>
        <v>0</v>
      </c>
      <c r="D50" s="10" t="n">
        <f aca="false">MAX(Flows!D80*D$4*D25/100,0)</f>
        <v>0</v>
      </c>
      <c r="E50" s="10" t="n">
        <f aca="false">MAX(Flows!E80*E$4*E25/100,0)</f>
        <v>0</v>
      </c>
      <c r="F50" s="10" t="n">
        <f aca="false">MAX(Flows!F80*F$4*F25/100,0)</f>
        <v>0</v>
      </c>
      <c r="G50" s="10" t="n">
        <f aca="false">MAX(Flows!G80*G$4*G25/100,0)</f>
        <v>0</v>
      </c>
      <c r="H50" s="10" t="n">
        <f aca="false">MAX(Flows!H80*H$4*H25/100,0)</f>
        <v>0</v>
      </c>
      <c r="I50" s="10" t="n">
        <f aca="false">MAX(Flows!I80*I$4*I25/100,0)</f>
        <v>19944755.0606825</v>
      </c>
      <c r="J50" s="10" t="n">
        <f aca="false">MAX(Flows!J80*J$4*J25/100,0)</f>
        <v>10433941.969985</v>
      </c>
      <c r="K50" s="10" t="n">
        <f aca="false">MAX(Flows!K80*K$4*K25/100,0)</f>
        <v>0</v>
      </c>
      <c r="L50" s="10" t="n">
        <f aca="false">MAX(Flows!L80*L$4*L25/100,0)</f>
        <v>0</v>
      </c>
      <c r="M50" s="10" t="n">
        <f aca="false">MAX(Flows!M80*M$4*M25/100,0)</f>
        <v>0</v>
      </c>
      <c r="N50" s="10" t="n">
        <f aca="false">MAX(Flows!N80*N$4*N25/100,0)</f>
        <v>0</v>
      </c>
      <c r="O50" s="10" t="n">
        <f aca="false">MAX(Flows!O80*O$4*O25/100,0)</f>
        <v>0</v>
      </c>
      <c r="P50" s="10" t="n">
        <f aca="false">MAX(Flows!P80*P$4*P25/100,0)</f>
        <v>0</v>
      </c>
      <c r="Q50" s="10" t="n">
        <f aca="false">MAX(Flows!Q80*Q$4*Q25/100,0)</f>
        <v>0</v>
      </c>
      <c r="R50" s="10" t="n">
        <f aca="false">MAX(Flows!R80*R$4*R25/100,0)</f>
        <v>0</v>
      </c>
      <c r="S50" s="10" t="n">
        <f aca="false">MAX(Flows!S80*S$4*S25/100,0)</f>
        <v>0</v>
      </c>
      <c r="T50" s="10" t="n">
        <f aca="false">MAX(Flows!T80*T$4*T25/100,0)</f>
        <v>0</v>
      </c>
      <c r="U50" s="10" t="n">
        <f aca="false">MAX(Flows!U80*U$4*U25/100,0)</f>
        <v>0</v>
      </c>
      <c r="V50" s="10" t="n">
        <f aca="false">MAX(Flows!V80*V$4*V25/100,0)</f>
        <v>25736860.7947975</v>
      </c>
      <c r="W50" s="10" t="n">
        <f aca="false">MAX(Flows!W80*W$4*W25/100,0)</f>
        <v>0</v>
      </c>
      <c r="X50" s="10" t="n">
        <f aca="false">MAX(Flows!X80*X$4*X25/100,0)</f>
        <v>0</v>
      </c>
      <c r="Y50" s="10" t="n">
        <f aca="false">MAX(Flows!Y80*Y$4*Y25/100,0)</f>
        <v>0</v>
      </c>
      <c r="Z50" s="10" t="n">
        <f aca="false">MAX(Flows!Z80*Z$4*Z25/100,0)</f>
        <v>0</v>
      </c>
      <c r="AA50" s="10" t="n">
        <f aca="false">MAX(Flows!AA80*AA$4*AA25/100,0)</f>
        <v>0</v>
      </c>
      <c r="AB50" s="10" t="n">
        <f aca="false">MAX(Flows!AB80*AB$4*AB25/100,0)</f>
        <v>0</v>
      </c>
      <c r="AC50" s="10" t="n">
        <f aca="false">MAX(Flows!AC80*AC$4*AC25/100,0)</f>
        <v>473662.675592391</v>
      </c>
      <c r="AD50" s="10" t="n">
        <f aca="false">MAX(Flows!AD80*AD$4*AD25/100,0)</f>
        <v>0</v>
      </c>
      <c r="AE50" s="10" t="n">
        <f aca="false">MAX(Flows!AE80*AE$4*AE25/100,0)</f>
        <v>0</v>
      </c>
      <c r="AF50" s="10" t="n">
        <f aca="false">MAX(Flows!AF80*AF$4*AF25/100,0)</f>
        <v>0</v>
      </c>
      <c r="AG50" s="10" t="n">
        <f aca="false">MAX(Flows!AG80*AG$4*AG25/100,0)</f>
        <v>0</v>
      </c>
      <c r="AH50" s="10" t="n">
        <f aca="false">MAX(Flows!AH80*AH$4*AH25/100,0)</f>
        <v>0</v>
      </c>
      <c r="AI50" s="10" t="n">
        <f aca="false">MAX(Flows!AI80*AI$4*AI25/100,0)</f>
        <v>0</v>
      </c>
      <c r="AJ50" s="10" t="n">
        <f aca="false">MAX(Flows!AJ80*AJ$4*AJ25/100,0)</f>
        <v>2919504.10986034</v>
      </c>
      <c r="AK50" s="10" t="n">
        <f aca="false">MAX(Flows!AK80*AK$4*AK25/100,0)</f>
        <v>6104214.57884829</v>
      </c>
      <c r="AL50" s="10" t="n">
        <f aca="false">MAX(Flows!AL80*AL$4*AL25/100,0)</f>
        <v>0</v>
      </c>
      <c r="AM50" s="10" t="n">
        <f aca="false">MAX(Flows!AM80*AM$4*AM25/100,0)</f>
        <v>0</v>
      </c>
      <c r="AN50" s="10" t="n">
        <f aca="false">MAX(Flows!AN80*AN$4*AN25/100,0)</f>
        <v>1041133.74101382</v>
      </c>
      <c r="AO50" s="10" t="n">
        <f aca="false">MAX(Flows!AO80*AO$4*AO25/100,0)</f>
        <v>0</v>
      </c>
      <c r="AP50" s="10" t="n">
        <f aca="false">MAX(Flows!AP80*AP$4*AP25/100,0)</f>
        <v>0</v>
      </c>
      <c r="AQ50" s="10" t="n">
        <f aca="false">MAX(Flows!AQ80*AQ$4*AQ25/100,0)</f>
        <v>0</v>
      </c>
      <c r="AR50" s="10" t="n">
        <f aca="false">MAX(Flows!AR80*AR$4*AR25/100,0)</f>
        <v>0</v>
      </c>
      <c r="AS50" s="10" t="n">
        <f aca="false">MAX(Flows!AS80*AS$4*AS25/100,0)</f>
        <v>0</v>
      </c>
      <c r="AT50" s="10" t="n">
        <f aca="false">MAX(Flows!AT80*AT$4*AT25/100,0)</f>
        <v>0</v>
      </c>
      <c r="AU50" s="10" t="n">
        <f aca="false">MAX(Flows!AU80*AU$4*AU25/100,0)</f>
        <v>0</v>
      </c>
      <c r="AV50" s="10" t="n">
        <f aca="false">MAX(Flows!AV80*AV$4*AV25/100,0)</f>
        <v>0</v>
      </c>
      <c r="AW50" s="10" t="n">
        <f aca="false">MAX(Flows!AW80*AW$4*AW25/100,0)</f>
        <v>9069775.41750523</v>
      </c>
      <c r="AX50" s="10" t="n">
        <f aca="false">MAX(Flows!AX80*AX$4*AX25/100,0)</f>
        <v>0</v>
      </c>
      <c r="AY50" s="10" t="n">
        <f aca="false">MAX(Flows!AY80*AY$4*AY25/100,0)</f>
        <v>3578084.64377514</v>
      </c>
      <c r="AZ50" s="10" t="n">
        <f aca="false">MAX(Flows!AZ80*AZ$4*AZ25/100,0)</f>
        <v>1283669.7898031</v>
      </c>
      <c r="BA50" s="10" t="n">
        <f aca="false">MAX(Flows!BA80*BA$4*BA25/100,0)</f>
        <v>0</v>
      </c>
      <c r="BB50" s="10" t="n">
        <f aca="false">MAX(Flows!BB80*BB$4*BB25/100,0)</f>
        <v>0</v>
      </c>
      <c r="BC50" s="10" t="n">
        <f aca="false">MAX(Flows!BC80*BC$4*BC25/100,0)</f>
        <v>0</v>
      </c>
      <c r="BD50" s="10" t="n">
        <f aca="false">MAX(Flows!BD80*BD$4*BD25/100,0)</f>
        <v>0</v>
      </c>
      <c r="BE50" s="10" t="n">
        <f aca="false">MAX(Flows!BE80*BE$4*BE25/100,0)</f>
        <v>0</v>
      </c>
      <c r="BF50" s="10" t="n">
        <f aca="false">MAX(Flows!BF80*BF$4*BF25/100,0)</f>
        <v>0</v>
      </c>
      <c r="BG50" s="10" t="n">
        <f aca="false">MAX(Flows!BG80*BG$4*BG25/100,0)</f>
        <v>0</v>
      </c>
      <c r="BH50" s="10" t="n">
        <f aca="false">MAX(Flows!BH80*BH$4*BH25/100,0)</f>
        <v>0</v>
      </c>
      <c r="BI50" s="10" t="n">
        <f aca="false">MAX(Flows!BI80*BI$4*BI25/100,0)</f>
        <v>0</v>
      </c>
      <c r="BJ50" s="10" t="n">
        <f aca="false">MAX(Flows!BJ80*BJ$4*BJ25/100,0)</f>
        <v>0</v>
      </c>
      <c r="BK50" s="10" t="n">
        <f aca="false">MAX(Flows!BK80*BK$4*BK25/100,0)</f>
        <v>0</v>
      </c>
      <c r="BL50" s="10" t="n">
        <f aca="false">MAX(Flows!BL80*BL$4*BL25/100,0)</f>
        <v>0</v>
      </c>
      <c r="BM50" s="10" t="n">
        <f aca="false">MAX(Flows!BM80*BM$4*BM25/100,0)</f>
        <v>0</v>
      </c>
      <c r="BN50" s="10" t="n">
        <f aca="false">MAX(Flows!BN80*BN$4*BN25/100,0)</f>
        <v>0</v>
      </c>
      <c r="BO50" s="10" t="n">
        <f aca="false">MAX(Flows!BO80*BO$4*BO25/100,0)</f>
        <v>1933294.87929213</v>
      </c>
      <c r="BP50" s="10" t="n">
        <f aca="false">MAX(Flows!BP80*BP$4*BP25/100,0)</f>
        <v>7733180.74327762</v>
      </c>
      <c r="BQ50" s="10" t="n">
        <f aca="false">MAX(Flows!BQ80*BQ$4*BQ25/100,0)</f>
        <v>0</v>
      </c>
      <c r="BR50" s="10" t="n">
        <f aca="false">MAX(Flows!BR80*BR$4*BR25/100,0)</f>
        <v>1933294.26093741</v>
      </c>
      <c r="BS50" s="10" t="n">
        <f aca="false">MAX(Flows!BS80*BS$4*BS25/100,0)</f>
        <v>1933293.33340532</v>
      </c>
      <c r="BT50" s="10" t="n">
        <f aca="false">MAX(Flows!BT80*BT$4*BT25/100,0)</f>
        <v>0</v>
      </c>
      <c r="BU50" s="10" t="n">
        <f aca="false">MAX(Flows!BU80*BU$4*BU25/100,0)</f>
        <v>0</v>
      </c>
      <c r="BV50" s="10" t="n">
        <f aca="false">MAX(Flows!BV80*BV$4*BV25/100,0)</f>
        <v>0</v>
      </c>
      <c r="BW50" s="10" t="n">
        <f aca="false">MAX(Flows!BW80*BW$4*BW25/100,0)</f>
        <v>0</v>
      </c>
      <c r="BX50" s="10" t="n">
        <f aca="false">MAX(Flows!BX80*BX$4*BX25/100,0)</f>
        <v>0</v>
      </c>
      <c r="BY50" s="10" t="n">
        <f aca="false">MAX(Flows!BY80*BY$4*BY25/100,0)</f>
        <v>0</v>
      </c>
      <c r="BZ50" s="10" t="n">
        <f aca="false">MAX(Flows!BZ80*BZ$4*BZ25/100,0)</f>
        <v>0</v>
      </c>
      <c r="CA50" s="10" t="n">
        <f aca="false">MAX(Flows!CA80*CA$4*CA25/100,0)</f>
        <v>0</v>
      </c>
      <c r="CB50" s="10" t="n">
        <f aca="false">MAX(Flows!CB80*CB$4*CB25/100,0)</f>
        <v>0</v>
      </c>
      <c r="CC50" s="10" t="n">
        <f aca="false">MAX(Flows!CC80*CC$4*CC25/100,0)</f>
        <v>0</v>
      </c>
      <c r="CD50" s="10" t="n">
        <f aca="false">MAX(Flows!CD80*CD$4*CD25/100,0)</f>
        <v>0</v>
      </c>
      <c r="CE50" s="10" t="n">
        <f aca="false">MAX(Flows!CE80*CE$4*CE25/100,0)</f>
        <v>0</v>
      </c>
      <c r="CF50" s="10" t="n">
        <f aca="false">MAX(Flows!CF80*CF$4*CF25/100,0)</f>
        <v>0</v>
      </c>
      <c r="CG50" s="10" t="n">
        <f aca="false">MAX(Flows!CG80*CG$4*CG25/100,0)</f>
        <v>1933233.35299672</v>
      </c>
      <c r="CH50" s="10" t="n">
        <f aca="false">MAX(Flows!CH80*CH$4*CH25/100,0)</f>
        <v>1933233.35299671</v>
      </c>
      <c r="CI50" s="10" t="n">
        <f aca="false">MAX(Flows!CI80*CI$4*CI25/100,0)</f>
        <v>0</v>
      </c>
      <c r="CJ50" s="10" t="n">
        <f aca="false">MAX(Flows!CJ80*CJ$4*CJ25/100,0)</f>
        <v>0</v>
      </c>
      <c r="CK50" s="10" t="n">
        <f aca="false">MAX(Flows!CK80*CK$4*CK25/100,0)</f>
        <v>0</v>
      </c>
      <c r="CL50" s="7" t="s">
        <v>322</v>
      </c>
      <c r="CM50" s="10" t="n">
        <f aca="false" t="array" ref="CM50:CM50">SUM(IF($C$150:$CK$150=CM$30,$C50:$CK50,0),IF($C$150:$CK$150=CM$30,-$C110:$CK110,0))</f>
        <v>-542917826.624095</v>
      </c>
      <c r="CN50" s="10" t="n">
        <f aca="false" t="array" ref="CN50:CN50">SUM(IF($C$150:$CK$150=CN$30,$C50:$CK50,0),IF($C$150:$CK$150=CN$30,-$C110:$CK110,0))</f>
        <v>-385991204.270106</v>
      </c>
      <c r="CO50" s="10" t="n">
        <f aca="false" t="array" ref="CO50:CO50">SUM(IF($C$150:$CK$150=CO$30,$C50:$CK50,0),IF($C$150:$CK$150=CO$30,-$C110:$CK110,0))</f>
        <v>-650982286.630935</v>
      </c>
      <c r="CP50" s="10" t="n">
        <f aca="false" t="array" ref="CP50:CP50">SUM(IF($C$150:$CK$150=CP$30,$C50:$CK50,0),IF($C$150:$CK$150=CP$30,-$C110:$CK110,0))</f>
        <v>-194040738.679949</v>
      </c>
      <c r="CQ50" s="10" t="n">
        <f aca="false" t="array" ref="CQ50:CQ50">SUM(IF($C$150:$CK$150=CQ$30,$C50:$CK50,0),IF($C$150:$CK$150=CQ$30,-$C110:$CK110,0))</f>
        <v>-421724858.848791</v>
      </c>
      <c r="CR50" s="10" t="n">
        <f aca="false" t="array" ref="CR50:CR50">SUM(IF($C$150:$CK$150=CR$30,$C50:$CK50,0),IF($C$150:$CK$150=CR$30,-$C110:$CK110,0))</f>
        <v>-66935093.5739286</v>
      </c>
      <c r="CS50" s="10" t="n">
        <f aca="false" t="array" ref="CS50:CS50">SUM(IF($C$150:$CK$150=CS$30,$C50:$CK50,0),IF($C$150:$CK$150=CS$30,-$C110:$CK110,0))</f>
        <v>-69172522.7605289</v>
      </c>
      <c r="CT50" s="10" t="n">
        <f aca="false" t="array" ref="CT50:CT50">SUM(IF($C$150:$CK$150=CT$30,$C50:$CK50,0),IF($C$150:$CK$150=CT$30,-$C110:$CK110,0))</f>
        <v>-27153071.8829666</v>
      </c>
      <c r="CU50" s="10" t="n">
        <f aca="false" t="array" ref="CU50:CU50">SUM(IF($C$150:$CK$150=CU$30,$C50:$CK50,0),IF($C$150:$CK$150=CU$30,-$C110:$CK110,0))</f>
        <v>30378697.0306675</v>
      </c>
      <c r="CV50" s="10" t="n">
        <f aca="false" t="array" ref="CV50:CV50">SUM(IF($C$150:$CK$150=CV$30,$C50:$CK50,0),IF($C$150:$CK$150=CV$30,-$C110:$CK110,0))</f>
        <v>-1150757.78896527</v>
      </c>
      <c r="CX50" s="0" t="str">
        <f aca="false">INDEX($C$1:$CK$1,MATCH(LARGE($C50:$CK50,1),$C50:$CK50,0))</f>
        <v>Cider (gal)</v>
      </c>
      <c r="CY50" s="0" t="str">
        <f aca="false">INDEX($C$1:$CK$1,MATCH(LARGE($C50:$CK50,2),$C50:$CK50,0))</f>
        <v>Honey (lb)</v>
      </c>
      <c r="CZ50" s="0" t="str">
        <f aca="false">INDEX($C$1:$CK$1,MATCH(LARGE($C50:$CK50,3),$C50:$CK50,0))</f>
        <v>Wax (lb)</v>
      </c>
      <c r="DA50" s="0" t="str">
        <f aca="false">INDEX($C$1:$CK$1,MATCH(LARGE($C50:$CK50,4),$C50:$CK50,0))</f>
        <v>Thread (Kyd)</v>
      </c>
      <c r="DB50" s="0" t="str">
        <f aca="false">INDEX($C$1:$CK$1,MATCH(LARGE($C50:$CK50,5),$C50:$CK50,0))</f>
        <v>Iron (lb)</v>
      </c>
      <c r="DD50" s="0" t="str">
        <f aca="false">IF(LARGE($CM50:$CV50,1)&gt;0,INDEX($CM$30:$CV$30,MATCH(LARGE($CM50:$CV50,1),$CM50:$CV50,0)),"N/A")</f>
        <v>Honey</v>
      </c>
      <c r="DE50" s="0" t="str">
        <f aca="false">IF(LARGE($CM50:$CV50,2)&gt;0,INDEX($CM$30:$CV$30,MATCH(LARGE($CM50:$CV50,2),$CM50:$CV50,0)),"N/A")</f>
        <v>N/A</v>
      </c>
      <c r="DF50" s="0" t="str">
        <f aca="false">IF(LARGE($CM50:$CV50,3)&gt;0,INDEX($CM$30:$CV$30,MATCH(LARGE($CM50:$CV50,3),$CM50:$CV50,0)),"N/A")</f>
        <v>N/A</v>
      </c>
      <c r="DG50" s="0" t="str">
        <f aca="false">IF(LARGE($CM50:$CV50,4)&gt;0,INDEX($CM$30:$CV$30,MATCH(LARGE($CM50:$CV50,4),$CM50:$CV50,0)),"N/A")</f>
        <v>N/A</v>
      </c>
      <c r="DH50" s="0" t="str">
        <f aca="false">IF(LARGE($CM50:$CV50,5)&gt;0,INDEX($CM$30:$CV$30,MATCH(LARGE($CM50:$CV50,5),$CM50:$CV50,0)),"N/A")</f>
        <v>N/A</v>
      </c>
    </row>
    <row r="51" customFormat="false" ht="12.8" hidden="false" customHeight="false" outlineLevel="0" collapsed="false">
      <c r="A51" s="7" t="s">
        <v>158</v>
      </c>
      <c r="B51" s="7" t="s">
        <v>39</v>
      </c>
      <c r="C51" s="10" t="n">
        <f aca="false">MAX(Flows!C81*C$4*C26/100,0)</f>
        <v>17933255.8629207</v>
      </c>
      <c r="D51" s="10" t="n">
        <f aca="false">MAX(Flows!D81*D$4*D26/100,0)</f>
        <v>16021125.3124097</v>
      </c>
      <c r="E51" s="10" t="n">
        <f aca="false">MAX(Flows!E81*E$4*E26/100,0)</f>
        <v>18586551.2520548</v>
      </c>
      <c r="F51" s="10" t="n">
        <f aca="false">MAX(Flows!F81*F$4*F26/100,0)</f>
        <v>0</v>
      </c>
      <c r="G51" s="10" t="n">
        <f aca="false">MAX(Flows!G81*G$4*G26/100,0)</f>
        <v>15614532.4427588</v>
      </c>
      <c r="H51" s="10" t="n">
        <f aca="false">MAX(Flows!H81*H$4*H26/100,0)</f>
        <v>0</v>
      </c>
      <c r="I51" s="10" t="n">
        <f aca="false">MAX(Flows!I81*I$4*I26/100,0)</f>
        <v>63426153.2633711</v>
      </c>
      <c r="J51" s="10" t="n">
        <f aca="false">MAX(Flows!J81*J$4*J26/100,0)</f>
        <v>0</v>
      </c>
      <c r="K51" s="10" t="n">
        <f aca="false">MAX(Flows!K81*K$4*K26/100,0)</f>
        <v>0</v>
      </c>
      <c r="L51" s="10" t="n">
        <f aca="false">MAX(Flows!L81*L$4*L26/100,0)</f>
        <v>0</v>
      </c>
      <c r="M51" s="10" t="n">
        <f aca="false">MAX(Flows!M81*M$4*M26/100,0)</f>
        <v>0</v>
      </c>
      <c r="N51" s="10" t="n">
        <f aca="false">MAX(Flows!N81*N$4*N26/100,0)</f>
        <v>12163499.6573913</v>
      </c>
      <c r="O51" s="10" t="n">
        <f aca="false">MAX(Flows!O81*O$4*O26/100,0)</f>
        <v>0</v>
      </c>
      <c r="P51" s="10" t="n">
        <f aca="false">MAX(Flows!P81*P$4*P26/100,0)</f>
        <v>0</v>
      </c>
      <c r="Q51" s="10" t="n">
        <f aca="false">MAX(Flows!Q81*Q$4*Q26/100,0)</f>
        <v>0</v>
      </c>
      <c r="R51" s="10" t="n">
        <f aca="false">MAX(Flows!R81*R$4*R26/100,0)</f>
        <v>17098652.0178844</v>
      </c>
      <c r="S51" s="10" t="n">
        <f aca="false">MAX(Flows!S81*S$4*S26/100,0)</f>
        <v>0</v>
      </c>
      <c r="T51" s="10" t="n">
        <f aca="false">MAX(Flows!T81*T$4*T26/100,0)</f>
        <v>0</v>
      </c>
      <c r="U51" s="10" t="n">
        <f aca="false">MAX(Flows!U81*U$4*U26/100,0)</f>
        <v>0</v>
      </c>
      <c r="V51" s="10" t="n">
        <f aca="false">MAX(Flows!V81*V$4*V26/100,0)</f>
        <v>15009390.126322</v>
      </c>
      <c r="W51" s="10" t="n">
        <f aca="false">MAX(Flows!W81*W$4*W26/100,0)</f>
        <v>0</v>
      </c>
      <c r="X51" s="10" t="n">
        <f aca="false">MAX(Flows!X81*X$4*X26/100,0)</f>
        <v>16668261.0565233</v>
      </c>
      <c r="Y51" s="10" t="n">
        <f aca="false">MAX(Flows!Y81*Y$4*Y26/100,0)</f>
        <v>0</v>
      </c>
      <c r="Z51" s="10" t="n">
        <f aca="false">MAX(Flows!Z81*Z$4*Z26/100,0)</f>
        <v>0</v>
      </c>
      <c r="AA51" s="10" t="n">
        <f aca="false">MAX(Flows!AA81*AA$4*AA26/100,0)</f>
        <v>87666.06293832</v>
      </c>
      <c r="AB51" s="10" t="n">
        <f aca="false">MAX(Flows!AB81*AB$4*AB26/100,0)</f>
        <v>0</v>
      </c>
      <c r="AC51" s="10" t="n">
        <f aca="false">MAX(Flows!AC81*AC$4*AC26/100,0)</f>
        <v>161496.925687083</v>
      </c>
      <c r="AD51" s="10" t="n">
        <f aca="false">MAX(Flows!AD81*AD$4*AD26/100,0)</f>
        <v>0</v>
      </c>
      <c r="AE51" s="10" t="n">
        <f aca="false">MAX(Flows!AE81*AE$4*AE26/100,0)</f>
        <v>0</v>
      </c>
      <c r="AF51" s="10" t="n">
        <f aca="false">MAX(Flows!AF81*AF$4*AF26/100,0)</f>
        <v>0</v>
      </c>
      <c r="AG51" s="10" t="n">
        <f aca="false">MAX(Flows!AG81*AG$4*AG26/100,0)</f>
        <v>0</v>
      </c>
      <c r="AH51" s="10" t="n">
        <f aca="false">MAX(Flows!AH81*AH$4*AH26/100,0)</f>
        <v>6555344.38419295</v>
      </c>
      <c r="AI51" s="10" t="n">
        <f aca="false">MAX(Flows!AI81*AI$4*AI26/100,0)</f>
        <v>0</v>
      </c>
      <c r="AJ51" s="10" t="n">
        <f aca="false">MAX(Flows!AJ81*AJ$4*AJ26/100,0)</f>
        <v>0</v>
      </c>
      <c r="AK51" s="10" t="n">
        <f aca="false">MAX(Flows!AK81*AK$4*AK26/100,0)</f>
        <v>7129854.56036882</v>
      </c>
      <c r="AL51" s="10" t="n">
        <f aca="false">MAX(Flows!AL81*AL$4*AL26/100,0)</f>
        <v>0</v>
      </c>
      <c r="AM51" s="10" t="n">
        <f aca="false">MAX(Flows!AM81*AM$4*AM26/100,0)</f>
        <v>0</v>
      </c>
      <c r="AN51" s="10" t="n">
        <f aca="false">MAX(Flows!AN81*AN$4*AN26/100,0)</f>
        <v>0</v>
      </c>
      <c r="AO51" s="10" t="n">
        <f aca="false">MAX(Flows!AO81*AO$4*AO26/100,0)</f>
        <v>0</v>
      </c>
      <c r="AP51" s="10" t="n">
        <f aca="false">MAX(Flows!AP81*AP$4*AP26/100,0)</f>
        <v>0</v>
      </c>
      <c r="AQ51" s="10" t="n">
        <f aca="false">MAX(Flows!AQ81*AQ$4*AQ26/100,0)</f>
        <v>0</v>
      </c>
      <c r="AR51" s="10" t="n">
        <f aca="false">MAX(Flows!AR81*AR$4*AR26/100,0)</f>
        <v>0</v>
      </c>
      <c r="AS51" s="10" t="n">
        <f aca="false">MAX(Flows!AS81*AS$4*AS26/100,0)</f>
        <v>12356834.9387217</v>
      </c>
      <c r="AT51" s="10" t="n">
        <f aca="false">MAX(Flows!AT81*AT$4*AT26/100,0)</f>
        <v>5704831.39284707</v>
      </c>
      <c r="AU51" s="10" t="n">
        <f aca="false">MAX(Flows!AU81*AU$4*AU26/100,0)</f>
        <v>8032748.90181282</v>
      </c>
      <c r="AV51" s="10" t="n">
        <f aca="false">MAX(Flows!AV81*AV$4*AV26/100,0)</f>
        <v>0</v>
      </c>
      <c r="AW51" s="10" t="n">
        <f aca="false">MAX(Flows!AW81*AW$4*AW26/100,0)</f>
        <v>2716783.040712</v>
      </c>
      <c r="AX51" s="10" t="n">
        <f aca="false">MAX(Flows!AX81*AX$4*AX26/100,0)</f>
        <v>0</v>
      </c>
      <c r="AY51" s="10" t="n">
        <f aca="false">MAX(Flows!AY81*AY$4*AY26/100,0)</f>
        <v>1960644.01950452</v>
      </c>
      <c r="AZ51" s="10" t="n">
        <f aca="false">MAX(Flows!AZ81*AZ$4*AZ26/100,0)</f>
        <v>0</v>
      </c>
      <c r="BA51" s="10" t="n">
        <f aca="false">MAX(Flows!BA81*BA$4*BA26/100,0)</f>
        <v>0</v>
      </c>
      <c r="BB51" s="10" t="n">
        <f aca="false">MAX(Flows!BB81*BB$4*BB26/100,0)</f>
        <v>7370517.06965259</v>
      </c>
      <c r="BC51" s="10" t="n">
        <f aca="false">MAX(Flows!BC81*BC$4*BC26/100,0)</f>
        <v>2380325.49313905</v>
      </c>
      <c r="BD51" s="10" t="n">
        <f aca="false">MAX(Flows!BD81*BD$4*BD26/100,0)</f>
        <v>98158.8549311614</v>
      </c>
      <c r="BE51" s="10" t="n">
        <f aca="false">MAX(Flows!BE81*BE$4*BE26/100,0)</f>
        <v>1328964.58912673</v>
      </c>
      <c r="BF51" s="10" t="n">
        <f aca="false">MAX(Flows!BF81*BF$4*BF26/100,0)</f>
        <v>56499720.9282243</v>
      </c>
      <c r="BG51" s="10" t="n">
        <f aca="false">MAX(Flows!BG81*BG$4*BG26/100,0)</f>
        <v>12772259.3216937</v>
      </c>
      <c r="BH51" s="10" t="n">
        <f aca="false">MAX(Flows!BH81*BH$4*BH26/100,0)</f>
        <v>15487454.925693</v>
      </c>
      <c r="BI51" s="10" t="n">
        <f aca="false">MAX(Flows!BI81*BI$4*BI26/100,0)</f>
        <v>10113311.5877005</v>
      </c>
      <c r="BJ51" s="10" t="n">
        <f aca="false">MAX(Flows!BJ81*BJ$4*BJ26/100,0)</f>
        <v>10113311.5877005</v>
      </c>
      <c r="BK51" s="10" t="n">
        <f aca="false">MAX(Flows!BK81*BK$4*BK26/100,0)</f>
        <v>10113311.5877005</v>
      </c>
      <c r="BL51" s="10" t="n">
        <f aca="false">MAX(Flows!BL81*BL$4*BL26/100,0)</f>
        <v>0</v>
      </c>
      <c r="BM51" s="10" t="n">
        <f aca="false">MAX(Flows!BM81*BM$4*BM26/100,0)</f>
        <v>0</v>
      </c>
      <c r="BN51" s="10" t="n">
        <f aca="false">MAX(Flows!BN81*BN$4*BN26/100,0)</f>
        <v>0</v>
      </c>
      <c r="BO51" s="10" t="n">
        <f aca="false">MAX(Flows!BO81*BO$4*BO26/100,0)</f>
        <v>0</v>
      </c>
      <c r="BP51" s="10" t="n">
        <f aca="false">MAX(Flows!BP81*BP$4*BP26/100,0)</f>
        <v>0</v>
      </c>
      <c r="BQ51" s="10" t="n">
        <f aca="false">MAX(Flows!BQ81*BQ$4*BQ26/100,0)</f>
        <v>0</v>
      </c>
      <c r="BR51" s="10" t="n">
        <f aca="false">MAX(Flows!BR81*BR$4*BR26/100,0)</f>
        <v>0</v>
      </c>
      <c r="BS51" s="10" t="n">
        <f aca="false">MAX(Flows!BS81*BS$4*BS26/100,0)</f>
        <v>0</v>
      </c>
      <c r="BT51" s="10" t="n">
        <f aca="false">MAX(Flows!BT81*BT$4*BT26/100,0)</f>
        <v>0</v>
      </c>
      <c r="BU51" s="10" t="n">
        <f aca="false">MAX(Flows!BU81*BU$4*BU26/100,0)</f>
        <v>0</v>
      </c>
      <c r="BV51" s="10" t="n">
        <f aca="false">MAX(Flows!BV81*BV$4*BV26/100,0)</f>
        <v>0</v>
      </c>
      <c r="BW51" s="10" t="n">
        <f aca="false">MAX(Flows!BW81*BW$4*BW26/100,0)</f>
        <v>0</v>
      </c>
      <c r="BX51" s="10" t="n">
        <f aca="false">MAX(Flows!BX81*BX$4*BX26/100,0)</f>
        <v>0</v>
      </c>
      <c r="BY51" s="10" t="n">
        <f aca="false">MAX(Flows!BY81*BY$4*BY26/100,0)</f>
        <v>0</v>
      </c>
      <c r="BZ51" s="10" t="n">
        <f aca="false">MAX(Flows!BZ81*BZ$4*BZ26/100,0)</f>
        <v>8190087.01941769</v>
      </c>
      <c r="CA51" s="10" t="n">
        <f aca="false">MAX(Flows!CA81*CA$4*CA26/100,0)</f>
        <v>8190087.01941768</v>
      </c>
      <c r="CB51" s="10" t="n">
        <f aca="false">MAX(Flows!CB81*CB$4*CB26/100,0)</f>
        <v>0</v>
      </c>
      <c r="CC51" s="10" t="n">
        <f aca="false">MAX(Flows!CC81*CC$4*CC26/100,0)</f>
        <v>505665.579385026</v>
      </c>
      <c r="CD51" s="10" t="n">
        <f aca="false">MAX(Flows!CD81*CD$4*CD26/100,0)</f>
        <v>0</v>
      </c>
      <c r="CE51" s="10" t="n">
        <f aca="false">MAX(Flows!CE81*CE$4*CE26/100,0)</f>
        <v>505665.579385024</v>
      </c>
      <c r="CF51" s="10" t="n">
        <f aca="false">MAX(Flows!CF81*CF$4*CF26/100,0)</f>
        <v>2402048.90864107</v>
      </c>
      <c r="CG51" s="10" t="n">
        <f aca="false">MAX(Flows!CG81*CG$4*CG26/100,0)</f>
        <v>0</v>
      </c>
      <c r="CH51" s="10" t="n">
        <f aca="false">MAX(Flows!CH81*CH$4*CH26/100,0)</f>
        <v>0</v>
      </c>
      <c r="CI51" s="10" t="n">
        <f aca="false">MAX(Flows!CI81*CI$4*CI26/100,0)</f>
        <v>0</v>
      </c>
      <c r="CJ51" s="10" t="n">
        <f aca="false">MAX(Flows!CJ81*CJ$4*CJ26/100,0)</f>
        <v>0</v>
      </c>
      <c r="CK51" s="10" t="n">
        <f aca="false">MAX(Flows!CK81*CK$4*CK26/100,0)</f>
        <v>0</v>
      </c>
      <c r="CL51" s="7" t="s">
        <v>322</v>
      </c>
      <c r="CM51" s="10" t="n">
        <f aca="false" t="array" ref="CM51:CM51">SUM(IF($C$150:$CK$150=CM$30,$C51:$CK51,0),IF($C$150:$CK$150=CM$30,-$C111:$CK111,0))</f>
        <v>79053969.7211379</v>
      </c>
      <c r="CN51" s="10" t="n">
        <f aca="false" t="array" ref="CN51:CN51">SUM(IF($C$150:$CK$150=CN$30,$C51:$CK51,0),IF($C$150:$CK$150=CN$30,-$C111:$CK111,0))</f>
        <v>63145112.1611781</v>
      </c>
      <c r="CO51" s="10" t="n">
        <f aca="false" t="array" ref="CO51:CO51">SUM(IF($C$150:$CK$150=CO$30,$C51:$CK51,0),IF($C$150:$CK$150=CO$30,-$C111:$CK111,0))</f>
        <v>26895943.2336578</v>
      </c>
      <c r="CP51" s="10" t="n">
        <f aca="false" t="array" ref="CP51:CP51">SUM(IF($C$150:$CK$150=CP$30,$C51:$CK51,0),IF($C$150:$CK$150=CP$30,-$C111:$CK111,0))</f>
        <v>12151886.4997195</v>
      </c>
      <c r="CQ51" s="10" t="n">
        <f aca="false" t="array" ref="CQ51:CQ51">SUM(IF($C$150:$CK$150=CQ$30,$C51:$CK51,0),IF($C$150:$CK$150=CQ$30,-$C111:$CK111,0))</f>
        <v>-48641578.0596397</v>
      </c>
      <c r="CR51" s="10" t="n">
        <f aca="false" t="array" ref="CR51:CR51">SUM(IF($C$150:$CK$150=CR$30,$C51:$CK51,0),IF($C$150:$CK$150=CR$30,-$C111:$CK111,0))</f>
        <v>-5000996132397540</v>
      </c>
      <c r="CS51" s="10" t="n">
        <f aca="false" t="array" ref="CS51:CS51">SUM(IF($C$150:$CK$150=CS$30,$C51:$CK51,0),IF($C$150:$CK$150=CS$30,-$C111:$CK111,0))</f>
        <v>11975347.6388303</v>
      </c>
      <c r="CT51" s="10" t="n">
        <f aca="false" t="array" ref="CT51:CT51">SUM(IF($C$150:$CK$150=CT$30,$C51:$CK51,0),IF($C$150:$CK$150=CT$30,-$C111:$CK111,0))</f>
        <v>1801691.67962795</v>
      </c>
      <c r="CU51" s="10" t="n">
        <f aca="false" t="array" ref="CU51:CU51">SUM(IF($C$150:$CK$150=CU$30,$C51:$CK51,0),IF($C$150:$CK$150=CU$30,-$C111:$CK111,0))</f>
        <v>55257501.483446</v>
      </c>
      <c r="CV51" s="10" t="n">
        <f aca="false" t="array" ref="CV51:CV51">SUM(IF($C$150:$CK$150=CV$30,$C51:$CK51,0),IF($C$150:$CK$150=CV$30,-$C111:$CK111,0))</f>
        <v>-77264.6095932006</v>
      </c>
      <c r="CX51" s="0" t="str">
        <f aca="false">INDEX($C$1:$CK$1,MATCH(LARGE($C51:$CK51,1),$C51:$CK51,0))</f>
        <v>Honey (lb)</v>
      </c>
      <c r="CY51" s="0" t="str">
        <f aca="false">INDEX($C$1:$CK$1,MATCH(LARGE($C51:$CK51,2),$C51:$CK51,0))</f>
        <v>Salt (lb)</v>
      </c>
      <c r="CZ51" s="0" t="str">
        <f aca="false">INDEX($C$1:$CK$1,MATCH(LARGE($C51:$CK51,3),$C51:$CK51,0))</f>
        <v>Nye (lb)</v>
      </c>
      <c r="DA51" s="0" t="str">
        <f aca="false">INDEX($C$1:$CK$1,MATCH(LARGE($C51:$CK51,4),$C51:$CK51,0))</f>
        <v>Sugar (oz)</v>
      </c>
      <c r="DB51" s="0" t="str">
        <f aca="false">INDEX($C$1:$CK$1,MATCH(LARGE($C51:$CK51,5),$C51:$CK51,0))</f>
        <v>Cheese (lb)</v>
      </c>
      <c r="DD51" s="0" t="str">
        <f aca="false">IF(LARGE($CM51:$CV51,1)&gt;0,INDEX($CM$30:$CV$30,MATCH(LARGE($CM51:$CV51,1),$CM51:$CV51,0)),"N/A")</f>
        <v>Produce</v>
      </c>
      <c r="DE51" s="0" t="str">
        <f aca="false">IF(LARGE($CM51:$CV51,2)&gt;0,INDEX($CM$30:$CV$30,MATCH(LARGE($CM51:$CV51,2),$CM51:$CV51,0)),"N/A")</f>
        <v>Animal</v>
      </c>
      <c r="DF51" s="0" t="str">
        <f aca="false">IF(LARGE($CM51:$CV51,3)&gt;0,INDEX($CM$30:$CV$30,MATCH(LARGE($CM51:$CV51,3),$CM51:$CV51,0)),"N/A")</f>
        <v>Honey</v>
      </c>
      <c r="DG51" s="0" t="str">
        <f aca="false">IF(LARGE($CM51:$CV51,4)&gt;0,INDEX($CM$30:$CV$30,MATCH(LARGE($CM51:$CV51,4),$CM51:$CV51,0)),"N/A")</f>
        <v>Food Prod</v>
      </c>
      <c r="DH51" s="0" t="str">
        <f aca="false">IF(LARGE($CM51:$CV51,5)&gt;0,INDEX($CM$30:$CV$30,MATCH(LARGE($CM51:$CV51,5),$CM51:$CV51,0)),"N/A")</f>
        <v>Textile</v>
      </c>
    </row>
    <row r="52" customFormat="false" ht="12.8" hidden="false" customHeight="false" outlineLevel="0" collapsed="false">
      <c r="A52" s="7" t="s">
        <v>159</v>
      </c>
      <c r="B52" s="7" t="s">
        <v>39</v>
      </c>
      <c r="C52" s="10" t="n">
        <f aca="false">MAX(Flows!C82*C$4*C27/100,0)</f>
        <v>0</v>
      </c>
      <c r="D52" s="10" t="n">
        <f aca="false">MAX(Flows!D82*D$4*D27/100,0)</f>
        <v>0</v>
      </c>
      <c r="E52" s="10" t="n">
        <f aca="false">MAX(Flows!E82*E$4*E27/100,0)</f>
        <v>0</v>
      </c>
      <c r="F52" s="10" t="n">
        <f aca="false">MAX(Flows!F82*F$4*F27/100,0)</f>
        <v>0</v>
      </c>
      <c r="G52" s="10" t="n">
        <f aca="false">MAX(Flows!G82*G$4*G27/100,0)</f>
        <v>0</v>
      </c>
      <c r="H52" s="10" t="n">
        <f aca="false">MAX(Flows!H82*H$4*H27/100,0)</f>
        <v>0</v>
      </c>
      <c r="I52" s="10" t="n">
        <f aca="false">MAX(Flows!I82*I$4*I27/100,0)</f>
        <v>31595055.4041957</v>
      </c>
      <c r="J52" s="10" t="n">
        <f aca="false">MAX(Flows!J82*J$4*J27/100,0)</f>
        <v>24029656.3403018</v>
      </c>
      <c r="K52" s="10" t="n">
        <f aca="false">MAX(Flows!K82*K$4*K27/100,0)</f>
        <v>0</v>
      </c>
      <c r="L52" s="10" t="n">
        <f aca="false">MAX(Flows!L82*L$4*L27/100,0)</f>
        <v>0</v>
      </c>
      <c r="M52" s="10" t="n">
        <f aca="false">MAX(Flows!M82*M$4*M27/100,0)</f>
        <v>0</v>
      </c>
      <c r="N52" s="10" t="n">
        <f aca="false">MAX(Flows!N82*N$4*N27/100,0)</f>
        <v>0</v>
      </c>
      <c r="O52" s="10" t="n">
        <f aca="false">MAX(Flows!O82*O$4*O27/100,0)</f>
        <v>0</v>
      </c>
      <c r="P52" s="10" t="n">
        <f aca="false">MAX(Flows!P82*P$4*P27/100,0)</f>
        <v>0</v>
      </c>
      <c r="Q52" s="10" t="n">
        <f aca="false">MAX(Flows!Q82*Q$4*Q27/100,0)</f>
        <v>0</v>
      </c>
      <c r="R52" s="10" t="n">
        <f aca="false">MAX(Flows!R82*R$4*R27/100,0)</f>
        <v>0</v>
      </c>
      <c r="S52" s="10" t="n">
        <f aca="false">MAX(Flows!S82*S$4*S27/100,0)</f>
        <v>0</v>
      </c>
      <c r="T52" s="10" t="n">
        <f aca="false">MAX(Flows!T82*T$4*T27/100,0)</f>
        <v>0</v>
      </c>
      <c r="U52" s="10" t="n">
        <f aca="false">MAX(Flows!U82*U$4*U27/100,0)</f>
        <v>0</v>
      </c>
      <c r="V52" s="10" t="n">
        <f aca="false">MAX(Flows!V82*V$4*V27/100,0)</f>
        <v>0</v>
      </c>
      <c r="W52" s="10" t="n">
        <f aca="false">MAX(Flows!W82*W$4*W27/100,0)</f>
        <v>0</v>
      </c>
      <c r="X52" s="10" t="n">
        <f aca="false">MAX(Flows!X82*X$4*X27/100,0)</f>
        <v>11893114.0794409</v>
      </c>
      <c r="Y52" s="10" t="n">
        <f aca="false">MAX(Flows!Y82*Y$4*Y27/100,0)</f>
        <v>0</v>
      </c>
      <c r="Z52" s="10" t="n">
        <f aca="false">MAX(Flows!Z82*Z$4*Z27/100,0)</f>
        <v>566645.029312008</v>
      </c>
      <c r="AA52" s="10" t="n">
        <f aca="false">MAX(Flows!AA82*AA$4*AA27/100,0)</f>
        <v>0</v>
      </c>
      <c r="AB52" s="10" t="n">
        <f aca="false">MAX(Flows!AB82*AB$4*AB27/100,0)</f>
        <v>0</v>
      </c>
      <c r="AC52" s="10" t="n">
        <f aca="false">MAX(Flows!AC82*AC$4*AC27/100,0)</f>
        <v>273561.368263292</v>
      </c>
      <c r="AD52" s="10" t="n">
        <f aca="false">MAX(Flows!AD82*AD$4*AD27/100,0)</f>
        <v>0</v>
      </c>
      <c r="AE52" s="10" t="n">
        <f aca="false">MAX(Flows!AE82*AE$4*AE27/100,0)</f>
        <v>883130.89350108</v>
      </c>
      <c r="AF52" s="10" t="n">
        <f aca="false">MAX(Flows!AF82*AF$4*AF27/100,0)</f>
        <v>0</v>
      </c>
      <c r="AG52" s="10" t="n">
        <f aca="false">MAX(Flows!AG82*AG$4*AG27/100,0)</f>
        <v>0</v>
      </c>
      <c r="AH52" s="10" t="n">
        <f aca="false">MAX(Flows!AH82*AH$4*AH27/100,0)</f>
        <v>0</v>
      </c>
      <c r="AI52" s="10" t="n">
        <f aca="false">MAX(Flows!AI82*AI$4*AI27/100,0)</f>
        <v>7232810.54506915</v>
      </c>
      <c r="AJ52" s="10" t="n">
        <f aca="false">MAX(Flows!AJ82*AJ$4*AJ27/100,0)</f>
        <v>0</v>
      </c>
      <c r="AK52" s="10" t="n">
        <f aca="false">MAX(Flows!AK82*AK$4*AK27/100,0)</f>
        <v>0</v>
      </c>
      <c r="AL52" s="10" t="n">
        <f aca="false">MAX(Flows!AL82*AL$4*AL27/100,0)</f>
        <v>0</v>
      </c>
      <c r="AM52" s="10" t="n">
        <f aca="false">MAX(Flows!AM82*AM$4*AM27/100,0)</f>
        <v>7927930.40180922</v>
      </c>
      <c r="AN52" s="10" t="n">
        <f aca="false">MAX(Flows!AN82*AN$4*AN27/100,0)</f>
        <v>0</v>
      </c>
      <c r="AO52" s="10" t="n">
        <f aca="false">MAX(Flows!AO82*AO$4*AO27/100,0)</f>
        <v>0</v>
      </c>
      <c r="AP52" s="10" t="n">
        <f aca="false">MAX(Flows!AP82*AP$4*AP27/100,0)</f>
        <v>0</v>
      </c>
      <c r="AQ52" s="10" t="n">
        <f aca="false">MAX(Flows!AQ82*AQ$4*AQ27/100,0)</f>
        <v>0</v>
      </c>
      <c r="AR52" s="10" t="n">
        <f aca="false">MAX(Flows!AR82*AR$4*AR27/100,0)</f>
        <v>0</v>
      </c>
      <c r="AS52" s="10" t="n">
        <f aca="false">MAX(Flows!AS82*AS$4*AS27/100,0)</f>
        <v>0</v>
      </c>
      <c r="AT52" s="10" t="n">
        <f aca="false">MAX(Flows!AT82*AT$4*AT27/100,0)</f>
        <v>0</v>
      </c>
      <c r="AU52" s="10" t="n">
        <f aca="false">MAX(Flows!AU82*AU$4*AU27/100,0)</f>
        <v>0</v>
      </c>
      <c r="AV52" s="10" t="n">
        <f aca="false">MAX(Flows!AV82*AV$4*AV27/100,0)</f>
        <v>0</v>
      </c>
      <c r="AW52" s="10" t="n">
        <f aca="false">MAX(Flows!AW82*AW$4*AW27/100,0)</f>
        <v>4719543.85975189</v>
      </c>
      <c r="AX52" s="10" t="n">
        <f aca="false">MAX(Flows!AX82*AX$4*AX27/100,0)</f>
        <v>0</v>
      </c>
      <c r="AY52" s="10" t="n">
        <f aca="false">MAX(Flows!AY82*AY$4*AY27/100,0)</f>
        <v>0</v>
      </c>
      <c r="AZ52" s="10" t="n">
        <f aca="false">MAX(Flows!AZ82*AZ$4*AZ27/100,0)</f>
        <v>0</v>
      </c>
      <c r="BA52" s="10" t="n">
        <f aca="false">MAX(Flows!BA82*BA$4*BA27/100,0)</f>
        <v>0</v>
      </c>
      <c r="BB52" s="10" t="n">
        <f aca="false">MAX(Flows!BB82*BB$4*BB27/100,0)</f>
        <v>0</v>
      </c>
      <c r="BC52" s="10" t="n">
        <f aca="false">MAX(Flows!BC82*BC$4*BC27/100,0)</f>
        <v>0</v>
      </c>
      <c r="BD52" s="10" t="n">
        <f aca="false">MAX(Flows!BD82*BD$4*BD27/100,0)</f>
        <v>0</v>
      </c>
      <c r="BE52" s="10" t="n">
        <f aca="false">MAX(Flows!BE82*BE$4*BE27/100,0)</f>
        <v>0</v>
      </c>
      <c r="BF52" s="10" t="n">
        <f aca="false">MAX(Flows!BF82*BF$4*BF27/100,0)</f>
        <v>7955091.52622787</v>
      </c>
      <c r="BG52" s="10" t="n">
        <f aca="false">MAX(Flows!BG82*BG$4*BG27/100,0)</f>
        <v>7912015.81164871</v>
      </c>
      <c r="BH52" s="10" t="n">
        <f aca="false">MAX(Flows!BH82*BH$4*BH27/100,0)</f>
        <v>6957883.87339112</v>
      </c>
      <c r="BI52" s="10" t="n">
        <f aca="false">MAX(Flows!BI82*BI$4*BI27/100,0)</f>
        <v>0</v>
      </c>
      <c r="BJ52" s="10" t="n">
        <f aca="false">MAX(Flows!BJ82*BJ$4*BJ27/100,0)</f>
        <v>0</v>
      </c>
      <c r="BK52" s="10" t="n">
        <f aca="false">MAX(Flows!BK82*BK$4*BK27/100,0)</f>
        <v>0</v>
      </c>
      <c r="BL52" s="10" t="n">
        <f aca="false">MAX(Flows!BL82*BL$4*BL27/100,0)</f>
        <v>0</v>
      </c>
      <c r="BM52" s="10" t="n">
        <f aca="false">MAX(Flows!BM82*BM$4*BM27/100,0)</f>
        <v>0</v>
      </c>
      <c r="BN52" s="10" t="n">
        <f aca="false">MAX(Flows!BN82*BN$4*BN27/100,0)</f>
        <v>0</v>
      </c>
      <c r="BO52" s="10" t="n">
        <f aca="false">MAX(Flows!BO82*BO$4*BO27/100,0)</f>
        <v>0</v>
      </c>
      <c r="BP52" s="10" t="n">
        <f aca="false">MAX(Flows!BP82*BP$4*BP27/100,0)</f>
        <v>0</v>
      </c>
      <c r="BQ52" s="10" t="n">
        <f aca="false">MAX(Flows!BQ82*BQ$4*BQ27/100,0)</f>
        <v>0</v>
      </c>
      <c r="BR52" s="10" t="n">
        <f aca="false">MAX(Flows!BR82*BR$4*BR27/100,0)</f>
        <v>0</v>
      </c>
      <c r="BS52" s="10" t="n">
        <f aca="false">MAX(Flows!BS82*BS$4*BS27/100,0)</f>
        <v>0</v>
      </c>
      <c r="BT52" s="10" t="n">
        <f aca="false">MAX(Flows!BT82*BT$4*BT27/100,0)</f>
        <v>0</v>
      </c>
      <c r="BU52" s="10" t="n">
        <f aca="false">MAX(Flows!BU82*BU$4*BU27/100,0)</f>
        <v>0</v>
      </c>
      <c r="BV52" s="10" t="n">
        <f aca="false">MAX(Flows!BV82*BV$4*BV27/100,0)</f>
        <v>0</v>
      </c>
      <c r="BW52" s="10" t="n">
        <f aca="false">MAX(Flows!BW82*BW$4*BW27/100,0)</f>
        <v>0</v>
      </c>
      <c r="BX52" s="10" t="n">
        <f aca="false">MAX(Flows!BX82*BX$4*BX27/100,0)</f>
        <v>0</v>
      </c>
      <c r="BY52" s="10" t="n">
        <f aca="false">MAX(Flows!BY82*BY$4*BY27/100,0)</f>
        <v>0</v>
      </c>
      <c r="BZ52" s="10" t="n">
        <f aca="false">MAX(Flows!BZ82*BZ$4*BZ27/100,0)</f>
        <v>0</v>
      </c>
      <c r="CA52" s="10" t="n">
        <f aca="false">MAX(Flows!CA82*CA$4*CA27/100,0)</f>
        <v>0</v>
      </c>
      <c r="CB52" s="10" t="n">
        <f aca="false">MAX(Flows!CB82*CB$4*CB27/100,0)</f>
        <v>0</v>
      </c>
      <c r="CC52" s="10" t="n">
        <f aca="false">MAX(Flows!CC82*CC$4*CC27/100,0)</f>
        <v>0</v>
      </c>
      <c r="CD52" s="10" t="n">
        <f aca="false">MAX(Flows!CD82*CD$4*CD27/100,0)</f>
        <v>0</v>
      </c>
      <c r="CE52" s="10" t="n">
        <f aca="false">MAX(Flows!CE82*CE$4*CE27/100,0)</f>
        <v>0</v>
      </c>
      <c r="CF52" s="10" t="n">
        <f aca="false">MAX(Flows!CF82*CF$4*CF27/100,0)</f>
        <v>0</v>
      </c>
      <c r="CG52" s="10" t="n">
        <f aca="false">MAX(Flows!CG82*CG$4*CG27/100,0)</f>
        <v>0</v>
      </c>
      <c r="CH52" s="10" t="n">
        <f aca="false">MAX(Flows!CH82*CH$4*CH27/100,0)</f>
        <v>0</v>
      </c>
      <c r="CI52" s="10" t="n">
        <f aca="false">MAX(Flows!CI82*CI$4*CI27/100,0)</f>
        <v>0</v>
      </c>
      <c r="CJ52" s="10" t="n">
        <f aca="false">MAX(Flows!CJ82*CJ$4*CJ27/100,0)</f>
        <v>0</v>
      </c>
      <c r="CK52" s="10" t="n">
        <f aca="false">MAX(Flows!CK82*CK$4*CK27/100,0)</f>
        <v>0</v>
      </c>
      <c r="CL52" s="7" t="s">
        <v>322</v>
      </c>
      <c r="CM52" s="10" t="n">
        <f aca="false" t="array" ref="CM52:CM52">SUM(IF($C$150:$CK$150=CM$30,$C52:$CK52,0),IF($C$150:$CK$150=CM$30,-$C112:$CK112,0))</f>
        <v>-130689116.12211</v>
      </c>
      <c r="CN52" s="10" t="n">
        <f aca="false" t="array" ref="CN52:CN52">SUM(IF($C$150:$CK$150=CN$30,$C52:$CK52,0),IF($C$150:$CK$150=CN$30,-$C112:$CK112,0))</f>
        <v>-777277683.365205</v>
      </c>
      <c r="CO52" s="10" t="n">
        <f aca="false" t="array" ref="CO52:CO52">SUM(IF($C$150:$CK$150=CO$30,$C52:$CK52,0),IF($C$150:$CK$150=CO$30,-$C112:$CK112,0))</f>
        <v>-1189249955.84995</v>
      </c>
      <c r="CP52" s="10" t="n">
        <f aca="false" t="array" ref="CP52:CP52">SUM(IF($C$150:$CK$150=CP$30,$C52:$CK52,0),IF($C$150:$CK$150=CP$30,-$C112:$CK112,0))</f>
        <v>-239109292.669162</v>
      </c>
      <c r="CQ52" s="10" t="n">
        <f aca="false" t="array" ref="CQ52:CQ52">SUM(IF($C$150:$CK$150=CQ$30,$C52:$CK52,0),IF($C$150:$CK$150=CQ$30,-$C112:$CK112,0))</f>
        <v>-649863746.577753</v>
      </c>
      <c r="CR52" s="10" t="n">
        <f aca="false" t="array" ref="CR52:CR52">SUM(IF($C$150:$CK$150=CR$30,$C52:$CK52,0),IF($C$150:$CK$150=CR$30,-$C112:$CK112,0))</f>
        <v>-2876364125712420</v>
      </c>
      <c r="CS52" s="10" t="n">
        <f aca="false" t="array" ref="CS52:CS52">SUM(IF($C$150:$CK$150=CS$30,$C52:$CK52,0),IF($C$150:$CK$150=CS$30,-$C112:$CK112,0))</f>
        <v>-220200688.759415</v>
      </c>
      <c r="CT52" s="10" t="n">
        <f aca="false" t="array" ref="CT52:CT52">SUM(IF($C$150:$CK$150=CT$30,$C52:$CK52,0),IF($C$150:$CK$150=CT$30,-$C112:$CK112,0))</f>
        <v>-50839376.2310013</v>
      </c>
      <c r="CU52" s="10" t="n">
        <f aca="false" t="array" ref="CU52:CU52">SUM(IF($C$150:$CK$150=CU$30,$C52:$CK52,0),IF($C$150:$CK$150=CU$30,-$C112:$CK112,0))</f>
        <v>55624711.7444975</v>
      </c>
      <c r="CV52" s="10" t="n">
        <f aca="false" t="array" ref="CV52:CV52">SUM(IF($C$150:$CK$150=CV$30,$C52:$CK52,0),IF($C$150:$CK$150=CV$30,-$C112:$CK112,0))</f>
        <v>-848432.333719916</v>
      </c>
      <c r="CX52" s="0" t="str">
        <f aca="false">INDEX($C$1:$CK$1,MATCH(LARGE($C52:$CK52,1),$C52:$CK52,0))</f>
        <v>Honey (lb)</v>
      </c>
      <c r="CY52" s="0" t="str">
        <f aca="false">INDEX($C$1:$CK$1,MATCH(LARGE($C52:$CK52,2),$C52:$CK52,0))</f>
        <v>Wax (lb)</v>
      </c>
      <c r="CZ52" s="0" t="str">
        <f aca="false">INDEX($C$1:$CK$1,MATCH(LARGE($C52:$CK52,3),$C52:$CK52,0))</f>
        <v>Chipak (lb)</v>
      </c>
      <c r="DA52" s="0" t="str">
        <f aca="false">INDEX($C$1:$CK$1,MATCH(LARGE($C52:$CK52,4),$C52:$CK52,0))</f>
        <v>Salt (lb)</v>
      </c>
      <c r="DB52" s="0" t="str">
        <f aca="false">INDEX($C$1:$CK$1,MATCH(LARGE($C52:$CK52,5),$C52:$CK52,0))</f>
        <v>Sickle (ea)</v>
      </c>
      <c r="DD52" s="0" t="str">
        <f aca="false">IF(LARGE($CM52:$CV52,1)&gt;0,INDEX($CM$30:$CV$30,MATCH(LARGE($CM52:$CV52,1),$CM52:$CV52,0)),"N/A")</f>
        <v>Honey</v>
      </c>
      <c r="DE52" s="0" t="str">
        <f aca="false">IF(LARGE($CM52:$CV52,2)&gt;0,INDEX($CM$30:$CV$30,MATCH(LARGE($CM52:$CV52,2),$CM52:$CV52,0)),"N/A")</f>
        <v>N/A</v>
      </c>
      <c r="DF52" s="0" t="str">
        <f aca="false">IF(LARGE($CM52:$CV52,3)&gt;0,INDEX($CM$30:$CV$30,MATCH(LARGE($CM52:$CV52,3),$CM52:$CV52,0)),"N/A")</f>
        <v>N/A</v>
      </c>
      <c r="DG52" s="0" t="str">
        <f aca="false">IF(LARGE($CM52:$CV52,4)&gt;0,INDEX($CM$30:$CV$30,MATCH(LARGE($CM52:$CV52,4),$CM52:$CV52,0)),"N/A")</f>
        <v>N/A</v>
      </c>
      <c r="DH52" s="0" t="str">
        <f aca="false">IF(LARGE($CM52:$CV52,5)&gt;0,INDEX($CM$30:$CV$30,MATCH(LARGE($CM52:$CV52,5),$CM52:$CV52,0)),"N/A")</f>
        <v>N/A</v>
      </c>
    </row>
    <row r="53" customFormat="false" ht="12.8" hidden="false" customHeight="false" outlineLevel="0" collapsed="false">
      <c r="A53" s="7" t="s">
        <v>160</v>
      </c>
      <c r="B53" s="7" t="s">
        <v>39</v>
      </c>
      <c r="C53" s="10" t="n">
        <f aca="false">MAX(Flows!C83*C$4*C28/100,0)</f>
        <v>0</v>
      </c>
      <c r="D53" s="10" t="n">
        <f aca="false">MAX(Flows!D83*D$4*D28/100,0)</f>
        <v>0</v>
      </c>
      <c r="E53" s="10" t="n">
        <f aca="false">MAX(Flows!E83*E$4*E28/100,0)</f>
        <v>0</v>
      </c>
      <c r="F53" s="10" t="n">
        <f aca="false">MAX(Flows!F83*F$4*F28/100,0)</f>
        <v>0</v>
      </c>
      <c r="G53" s="10" t="n">
        <f aca="false">MAX(Flows!G83*G$4*G28/100,0)</f>
        <v>0</v>
      </c>
      <c r="H53" s="10" t="n">
        <f aca="false">MAX(Flows!H83*H$4*H28/100,0)</f>
        <v>0</v>
      </c>
      <c r="I53" s="10" t="n">
        <f aca="false">MAX(Flows!I83*I$4*I28/100,0)</f>
        <v>70269201.2506846</v>
      </c>
      <c r="J53" s="10" t="n">
        <f aca="false">MAX(Flows!J83*J$4*J28/100,0)</f>
        <v>0</v>
      </c>
      <c r="K53" s="10" t="n">
        <f aca="false">MAX(Flows!K83*K$4*K28/100,0)</f>
        <v>0</v>
      </c>
      <c r="L53" s="10" t="n">
        <f aca="false">MAX(Flows!L83*L$4*L28/100,0)</f>
        <v>0</v>
      </c>
      <c r="M53" s="10" t="n">
        <f aca="false">MAX(Flows!M83*M$4*M28/100,0)</f>
        <v>0</v>
      </c>
      <c r="N53" s="10" t="n">
        <f aca="false">MAX(Flows!N83*N$4*N28/100,0)</f>
        <v>268661.878754867</v>
      </c>
      <c r="O53" s="10" t="n">
        <f aca="false">MAX(Flows!O83*O$4*O28/100,0)</f>
        <v>0</v>
      </c>
      <c r="P53" s="10" t="n">
        <f aca="false">MAX(Flows!P83*P$4*P28/100,0)</f>
        <v>0</v>
      </c>
      <c r="Q53" s="10" t="n">
        <f aca="false">MAX(Flows!Q83*Q$4*Q28/100,0)</f>
        <v>0</v>
      </c>
      <c r="R53" s="10" t="n">
        <f aca="false">MAX(Flows!R83*R$4*R28/100,0)</f>
        <v>0</v>
      </c>
      <c r="S53" s="10" t="n">
        <f aca="false">MAX(Flows!S83*S$4*S28/100,0)</f>
        <v>0</v>
      </c>
      <c r="T53" s="10" t="n">
        <f aca="false">MAX(Flows!T83*T$4*T28/100,0)</f>
        <v>0</v>
      </c>
      <c r="U53" s="10" t="n">
        <f aca="false">MAX(Flows!U83*U$4*U28/100,0)</f>
        <v>0</v>
      </c>
      <c r="V53" s="10" t="n">
        <f aca="false">MAX(Flows!V83*V$4*V28/100,0)</f>
        <v>0</v>
      </c>
      <c r="W53" s="10" t="n">
        <f aca="false">MAX(Flows!W83*W$4*W28/100,0)</f>
        <v>0</v>
      </c>
      <c r="X53" s="10" t="n">
        <f aca="false">MAX(Flows!X83*X$4*X28/100,0)</f>
        <v>52030469.8113262</v>
      </c>
      <c r="Y53" s="10" t="n">
        <f aca="false">MAX(Flows!Y83*Y$4*Y28/100,0)</f>
        <v>0</v>
      </c>
      <c r="Z53" s="10" t="n">
        <f aca="false">MAX(Flows!Z83*Z$4*Z28/100,0)</f>
        <v>329044.122406726</v>
      </c>
      <c r="AA53" s="10" t="n">
        <f aca="false">MAX(Flows!AA83*AA$4*AA28/100,0)</f>
        <v>0</v>
      </c>
      <c r="AB53" s="10" t="n">
        <f aca="false">MAX(Flows!AB83*AB$4*AB28/100,0)</f>
        <v>0</v>
      </c>
      <c r="AC53" s="10" t="n">
        <f aca="false">MAX(Flows!AC83*AC$4*AC28/100,0)</f>
        <v>160033.368061707</v>
      </c>
      <c r="AD53" s="10" t="n">
        <f aca="false">MAX(Flows!AD83*AD$4*AD28/100,0)</f>
        <v>0</v>
      </c>
      <c r="AE53" s="10" t="n">
        <f aca="false">MAX(Flows!AE83*AE$4*AE28/100,0)</f>
        <v>0</v>
      </c>
      <c r="AF53" s="10" t="n">
        <f aca="false">MAX(Flows!AF83*AF$4*AF28/100,0)</f>
        <v>0</v>
      </c>
      <c r="AG53" s="10" t="n">
        <f aca="false">MAX(Flows!AG83*AG$4*AG28/100,0)</f>
        <v>0</v>
      </c>
      <c r="AH53" s="10" t="n">
        <f aca="false">MAX(Flows!AH83*AH$4*AH28/100,0)</f>
        <v>0</v>
      </c>
      <c r="AI53" s="10" t="n">
        <f aca="false">MAX(Flows!AI83*AI$4*AI28/100,0)</f>
        <v>0</v>
      </c>
      <c r="AJ53" s="10" t="n">
        <f aca="false">MAX(Flows!AJ83*AJ$4*AJ28/100,0)</f>
        <v>0</v>
      </c>
      <c r="AK53" s="10" t="n">
        <f aca="false">MAX(Flows!AK83*AK$4*AK28/100,0)</f>
        <v>0</v>
      </c>
      <c r="AL53" s="10" t="n">
        <f aca="false">MAX(Flows!AL83*AL$4*AL28/100,0)</f>
        <v>0</v>
      </c>
      <c r="AM53" s="10" t="n">
        <f aca="false">MAX(Flows!AM83*AM$4*AM28/100,0)</f>
        <v>0</v>
      </c>
      <c r="AN53" s="10" t="n">
        <f aca="false">MAX(Flows!AN83*AN$4*AN28/100,0)</f>
        <v>0</v>
      </c>
      <c r="AO53" s="10" t="n">
        <f aca="false">MAX(Flows!AO83*AO$4*AO28/100,0)</f>
        <v>0</v>
      </c>
      <c r="AP53" s="10" t="n">
        <f aca="false">MAX(Flows!AP83*AP$4*AP28/100,0)</f>
        <v>0</v>
      </c>
      <c r="AQ53" s="10" t="n">
        <f aca="false">MAX(Flows!AQ83*AQ$4*AQ28/100,0)</f>
        <v>0</v>
      </c>
      <c r="AR53" s="10" t="n">
        <f aca="false">MAX(Flows!AR83*AR$4*AR28/100,0)</f>
        <v>7689005.15127715</v>
      </c>
      <c r="AS53" s="10" t="n">
        <f aca="false">MAX(Flows!AS83*AS$4*AS28/100,0)</f>
        <v>0</v>
      </c>
      <c r="AT53" s="10" t="n">
        <f aca="false">MAX(Flows!AT83*AT$4*AT28/100,0)</f>
        <v>0</v>
      </c>
      <c r="AU53" s="10" t="n">
        <f aca="false">MAX(Flows!AU83*AU$4*AU28/100,0)</f>
        <v>0</v>
      </c>
      <c r="AV53" s="10" t="n">
        <f aca="false">MAX(Flows!AV83*AV$4*AV28/100,0)</f>
        <v>0</v>
      </c>
      <c r="AW53" s="10" t="n">
        <f aca="false">MAX(Flows!AW83*AW$4*AW28/100,0)</f>
        <v>2662871.93826691</v>
      </c>
      <c r="AX53" s="10" t="n">
        <f aca="false">MAX(Flows!AX83*AX$4*AX28/100,0)</f>
        <v>0</v>
      </c>
      <c r="AY53" s="10" t="n">
        <f aca="false">MAX(Flows!AY83*AY$4*AY28/100,0)</f>
        <v>0</v>
      </c>
      <c r="AZ53" s="10" t="n">
        <f aca="false">MAX(Flows!AZ83*AZ$4*AZ28/100,0)</f>
        <v>0</v>
      </c>
      <c r="BA53" s="10" t="n">
        <f aca="false">MAX(Flows!BA83*BA$4*BA28/100,0)</f>
        <v>0</v>
      </c>
      <c r="BB53" s="10" t="n">
        <f aca="false">MAX(Flows!BB83*BB$4*BB28/100,0)</f>
        <v>0</v>
      </c>
      <c r="BC53" s="10" t="n">
        <f aca="false">MAX(Flows!BC83*BC$4*BC28/100,0)</f>
        <v>0</v>
      </c>
      <c r="BD53" s="10" t="n">
        <f aca="false">MAX(Flows!BD83*BD$4*BD28/100,0)</f>
        <v>0</v>
      </c>
      <c r="BE53" s="10" t="n">
        <f aca="false">MAX(Flows!BE83*BE$4*BE28/100,0)</f>
        <v>0</v>
      </c>
      <c r="BF53" s="10" t="n">
        <f aca="false">MAX(Flows!BF83*BF$4*BF28/100,0)</f>
        <v>74737431.7030646</v>
      </c>
      <c r="BG53" s="10" t="n">
        <f aca="false">MAX(Flows!BG83*BG$4*BG28/100,0)</f>
        <v>8427950.86548315</v>
      </c>
      <c r="BH53" s="10" t="n">
        <f aca="false">MAX(Flows!BH83*BH$4*BH28/100,0)</f>
        <v>7679097.53462293</v>
      </c>
      <c r="BI53" s="10" t="n">
        <f aca="false">MAX(Flows!BI83*BI$4*BI28/100,0)</f>
        <v>0</v>
      </c>
      <c r="BJ53" s="10" t="n">
        <f aca="false">MAX(Flows!BJ83*BJ$4*BJ28/100,0)</f>
        <v>0</v>
      </c>
      <c r="BK53" s="10" t="n">
        <f aca="false">MAX(Flows!BK83*BK$4*BK28/100,0)</f>
        <v>0</v>
      </c>
      <c r="BL53" s="10" t="n">
        <f aca="false">MAX(Flows!BL83*BL$4*BL28/100,0)</f>
        <v>0</v>
      </c>
      <c r="BM53" s="10" t="n">
        <f aca="false">MAX(Flows!BM83*BM$4*BM28/100,0)</f>
        <v>0</v>
      </c>
      <c r="BN53" s="10" t="n">
        <f aca="false">MAX(Flows!BN83*BN$4*BN28/100,0)</f>
        <v>0</v>
      </c>
      <c r="BO53" s="10" t="n">
        <f aca="false">MAX(Flows!BO83*BO$4*BO28/100,0)</f>
        <v>0</v>
      </c>
      <c r="BP53" s="10" t="n">
        <f aca="false">MAX(Flows!BP83*BP$4*BP28/100,0)</f>
        <v>0</v>
      </c>
      <c r="BQ53" s="10" t="n">
        <f aca="false">MAX(Flows!BQ83*BQ$4*BQ28/100,0)</f>
        <v>0</v>
      </c>
      <c r="BR53" s="10" t="n">
        <f aca="false">MAX(Flows!BR83*BR$4*BR28/100,0)</f>
        <v>0</v>
      </c>
      <c r="BS53" s="10" t="n">
        <f aca="false">MAX(Flows!BS83*BS$4*BS28/100,0)</f>
        <v>0</v>
      </c>
      <c r="BT53" s="10" t="n">
        <f aca="false">MAX(Flows!BT83*BT$4*BT28/100,0)</f>
        <v>0</v>
      </c>
      <c r="BU53" s="10" t="n">
        <f aca="false">MAX(Flows!BU83*BU$4*BU28/100,0)</f>
        <v>0</v>
      </c>
      <c r="BV53" s="10" t="n">
        <f aca="false">MAX(Flows!BV83*BV$4*BV28/100,0)</f>
        <v>0</v>
      </c>
      <c r="BW53" s="10" t="n">
        <f aca="false">MAX(Flows!BW83*BW$4*BW28/100,0)</f>
        <v>0</v>
      </c>
      <c r="BX53" s="10" t="n">
        <f aca="false">MAX(Flows!BX83*BX$4*BX28/100,0)</f>
        <v>0</v>
      </c>
      <c r="BY53" s="10" t="n">
        <f aca="false">MAX(Flows!BY83*BY$4*BY28/100,0)</f>
        <v>0</v>
      </c>
      <c r="BZ53" s="10" t="n">
        <f aca="false">MAX(Flows!BZ83*BZ$4*BZ28/100,0)</f>
        <v>0</v>
      </c>
      <c r="CA53" s="10" t="n">
        <f aca="false">MAX(Flows!CA83*CA$4*CA28/100,0)</f>
        <v>0</v>
      </c>
      <c r="CB53" s="10" t="n">
        <f aca="false">MAX(Flows!CB83*CB$4*CB28/100,0)</f>
        <v>0</v>
      </c>
      <c r="CC53" s="10" t="n">
        <f aca="false">MAX(Flows!CC83*CC$4*CC28/100,0)</f>
        <v>0</v>
      </c>
      <c r="CD53" s="10" t="n">
        <f aca="false">MAX(Flows!CD83*CD$4*CD28/100,0)</f>
        <v>0</v>
      </c>
      <c r="CE53" s="10" t="n">
        <f aca="false">MAX(Flows!CE83*CE$4*CE28/100,0)</f>
        <v>0</v>
      </c>
      <c r="CF53" s="10" t="n">
        <f aca="false">MAX(Flows!CF83*CF$4*CF28/100,0)</f>
        <v>0</v>
      </c>
      <c r="CG53" s="10" t="n">
        <f aca="false">MAX(Flows!CG83*CG$4*CG28/100,0)</f>
        <v>0</v>
      </c>
      <c r="CH53" s="10" t="n">
        <f aca="false">MAX(Flows!CH83*CH$4*CH28/100,0)</f>
        <v>0</v>
      </c>
      <c r="CI53" s="10" t="n">
        <f aca="false">MAX(Flows!CI83*CI$4*CI28/100,0)</f>
        <v>0</v>
      </c>
      <c r="CJ53" s="10" t="n">
        <f aca="false">MAX(Flows!CJ83*CJ$4*CJ28/100,0)</f>
        <v>0</v>
      </c>
      <c r="CK53" s="10" t="n">
        <f aca="false">MAX(Flows!CK83*CK$4*CK28/100,0)</f>
        <v>0</v>
      </c>
      <c r="CL53" s="7" t="s">
        <v>39</v>
      </c>
      <c r="CM53" s="10" t="n">
        <f aca="false" t="array" ref="CM53:CM53">SUM(IF($C$150:$CK$150=CM$30,$C53:$CK53,0),IF($C$150:$CK$150=CM$30,-$C113:$CK113,0))</f>
        <v>37267390.6837467</v>
      </c>
      <c r="CN53" s="10" t="n">
        <f aca="false" t="array" ref="CN53:CN53">SUM(IF($C$150:$CK$150=CN$30,$C53:$CK53,0),IF($C$150:$CK$150=CN$30,-$C113:$CK113,0))</f>
        <v>-484569143.086582</v>
      </c>
      <c r="CO53" s="10" t="n">
        <f aca="false" t="array" ref="CO53:CO53">SUM(IF($C$150:$CK$150=CO$30,$C53:$CK53,0),IF($C$150:$CK$150=CO$30,-$C113:$CK113,0))</f>
        <v>-739880576.125044</v>
      </c>
      <c r="CP53" s="10" t="n">
        <f aca="false" t="array" ref="CP53:CP53">SUM(IF($C$150:$CK$150=CP$30,$C53:$CK53,0),IF($C$150:$CK$150=CP$30,-$C113:$CK113,0))</f>
        <v>-169342758.523717</v>
      </c>
      <c r="CQ53" s="10" t="n">
        <f aca="false" t="array" ref="CQ53:CQ53">SUM(IF($C$150:$CK$150=CQ$30,$C53:$CK53,0),IF($C$150:$CK$150=CQ$30,-$C113:$CK113,0))</f>
        <v>-594188723.74577</v>
      </c>
      <c r="CR53" s="10" t="n">
        <f aca="false" t="array" ref="CR53:CR53">SUM(IF($C$150:$CK$150=CR$30,$C53:$CK53,0),IF($C$150:$CK$150=CR$30,-$C113:$CK113,0))</f>
        <v>-3059289705761530</v>
      </c>
      <c r="CS53" s="10" t="n">
        <f aca="false" t="array" ref="CS53:CS53">SUM(IF($C$150:$CK$150=CS$30,$C53:$CK53,0),IF($C$150:$CK$150=CS$30,-$C113:$CK113,0))</f>
        <v>-101808466.736829</v>
      </c>
      <c r="CT53" s="10" t="n">
        <f aca="false" t="array" ref="CT53:CT53">SUM(IF($C$150:$CK$150=CT$30,$C53:$CK53,0),IF($C$150:$CK$150=CT$30,-$C113:$CK113,0))</f>
        <v>-28957734.7695088</v>
      </c>
      <c r="CU53" s="10" t="n">
        <f aca="false" t="array" ref="CU53:CU53">SUM(IF($C$150:$CK$150=CU$30,$C53:$CK53,0),IF($C$150:$CK$150=CU$30,-$C113:$CK113,0))</f>
        <v>27483946.5203305</v>
      </c>
      <c r="CV53" s="10" t="n">
        <f aca="false" t="array" ref="CV53:CV53">SUM(IF($C$150:$CK$150=CV$30,$C53:$CK53,0),IF($C$150:$CK$150=CV$30,-$C113:$CK113,0))</f>
        <v>-493242.688908029</v>
      </c>
      <c r="CX53" s="0" t="str">
        <f aca="false">INDEX($C$1:$CK$1,MATCH(LARGE($C53:$CK53,1),$C53:$CK53,0))</f>
        <v>Salt (lb)</v>
      </c>
      <c r="CY53" s="0" t="str">
        <f aca="false">INDEX($C$1:$CK$1,MATCH(LARGE($C53:$CK53,2),$C53:$CK53,0))</f>
        <v>Honey (lb)</v>
      </c>
      <c r="CZ53" s="0" t="str">
        <f aca="false">INDEX($C$1:$CK$1,MATCH(LARGE($C53:$CK53,3),$C53:$CK53,0))</f>
        <v>Chipak (lb)</v>
      </c>
      <c r="DA53" s="0" t="str">
        <f aca="false">INDEX($C$1:$CK$1,MATCH(LARGE($C53:$CK53,4),$C53:$CK53,0))</f>
        <v>Cured Meat (lb)</v>
      </c>
      <c r="DB53" s="0" t="str">
        <f aca="false">INDEX($C$1:$CK$1,MATCH(LARGE($C53:$CK53,5),$C53:$CK53,0))</f>
        <v>Longsword (ea)</v>
      </c>
      <c r="DD53" s="0" t="str">
        <f aca="false">IF(LARGE($CM53:$CV53,1)&gt;0,INDEX($CM$30:$CV$30,MATCH(LARGE($CM53:$CV53,1),$CM53:$CV53,0)),"N/A")</f>
        <v>Produce</v>
      </c>
      <c r="DE53" s="0" t="str">
        <f aca="false">IF(LARGE($CM53:$CV53,2)&gt;0,INDEX($CM$30:$CV$30,MATCH(LARGE($CM53:$CV53,2),$CM53:$CV53,0)),"N/A")</f>
        <v>Honey</v>
      </c>
      <c r="DF53" s="0" t="str">
        <f aca="false">IF(LARGE($CM53:$CV53,3)&gt;0,INDEX($CM$30:$CV$30,MATCH(LARGE($CM53:$CV53,3),$CM53:$CV53,0)),"N/A")</f>
        <v>N/A</v>
      </c>
      <c r="DG53" s="0" t="str">
        <f aca="false">IF(LARGE($CM53:$CV53,4)&gt;0,INDEX($CM$30:$CV$30,MATCH(LARGE($CM53:$CV53,4),$CM53:$CV53,0)),"N/A")</f>
        <v>N/A</v>
      </c>
      <c r="DH53" s="0" t="str">
        <f aca="false">IF(LARGE($CM53:$CV53,5)&gt;0,INDEX($CM$30:$CV$30,MATCH(LARGE($CM53:$CV53,5),$CM53:$CV53,0)),"N/A")</f>
        <v>N/A</v>
      </c>
    </row>
    <row r="54" customFormat="false" ht="12.8" hidden="false" customHeight="false" outlineLevel="0" collapsed="false">
      <c r="B54" s="7" t="s">
        <v>39</v>
      </c>
      <c r="CL54" s="7" t="s">
        <v>39</v>
      </c>
    </row>
    <row r="55" customFormat="false" ht="12.8" hidden="false" customHeight="false" outlineLevel="0" collapsed="false">
      <c r="B55" s="7" t="s">
        <v>39</v>
      </c>
      <c r="CL55" s="7" t="s">
        <v>39</v>
      </c>
    </row>
    <row r="56" customFormat="false" ht="12.8" hidden="false" customHeight="false" outlineLevel="0" collapsed="false">
      <c r="B56" s="7" t="s">
        <v>39</v>
      </c>
      <c r="CL56" s="7" t="s">
        <v>39</v>
      </c>
    </row>
    <row r="57" customFormat="false" ht="12.8" hidden="false" customHeight="false" outlineLevel="0" collapsed="false">
      <c r="B57" s="7" t="s">
        <v>39</v>
      </c>
      <c r="CL57" s="7" t="s">
        <v>39</v>
      </c>
    </row>
    <row r="58" customFormat="false" ht="12.8" hidden="false" customHeight="false" outlineLevel="0" collapsed="false">
      <c r="B58" s="7" t="s">
        <v>39</v>
      </c>
      <c r="CL58" s="7" t="s">
        <v>39</v>
      </c>
    </row>
    <row r="59" customFormat="false" ht="12.8" hidden="false" customHeight="false" outlineLevel="0" collapsed="false">
      <c r="B59" s="7" t="s">
        <v>39</v>
      </c>
      <c r="CL59" s="7" t="s">
        <v>39</v>
      </c>
    </row>
    <row r="60" customFormat="false" ht="12.8" hidden="false" customHeight="false" outlineLevel="0" collapsed="false">
      <c r="A60" s="7" t="s">
        <v>427</v>
      </c>
      <c r="B60" s="7" t="s">
        <v>39</v>
      </c>
      <c r="C60" s="18" t="n">
        <v>1</v>
      </c>
      <c r="D60" s="18" t="n">
        <v>2</v>
      </c>
      <c r="E60" s="18" t="n">
        <v>3</v>
      </c>
      <c r="F60" s="18" t="n">
        <v>4</v>
      </c>
      <c r="G60" s="18" t="n">
        <v>5</v>
      </c>
      <c r="H60" s="18" t="n">
        <v>6</v>
      </c>
      <c r="I60" s="18" t="n">
        <v>7</v>
      </c>
      <c r="J60" s="18" t="n">
        <v>8</v>
      </c>
      <c r="K60" s="18" t="n">
        <v>9</v>
      </c>
      <c r="L60" s="18" t="n">
        <v>10</v>
      </c>
      <c r="M60" s="18" t="n">
        <v>11</v>
      </c>
      <c r="N60" s="18" t="n">
        <v>12</v>
      </c>
      <c r="O60" s="18" t="n">
        <v>13</v>
      </c>
      <c r="P60" s="18" t="n">
        <v>14</v>
      </c>
      <c r="Q60" s="18" t="n">
        <v>15</v>
      </c>
      <c r="R60" s="18" t="n">
        <v>16</v>
      </c>
      <c r="S60" s="18" t="n">
        <v>17</v>
      </c>
      <c r="T60" s="18" t="n">
        <v>18</v>
      </c>
      <c r="U60" s="18" t="n">
        <v>19</v>
      </c>
      <c r="V60" s="18" t="n">
        <v>20</v>
      </c>
      <c r="W60" s="18" t="n">
        <v>21</v>
      </c>
      <c r="X60" s="18" t="n">
        <v>22</v>
      </c>
      <c r="Y60" s="18" t="n">
        <v>23</v>
      </c>
      <c r="Z60" s="18" t="n">
        <v>24</v>
      </c>
      <c r="AA60" s="18" t="n">
        <v>25</v>
      </c>
      <c r="AB60" s="18" t="n">
        <v>26</v>
      </c>
      <c r="AC60" s="18" t="n">
        <v>27</v>
      </c>
      <c r="AD60" s="18" t="n">
        <v>28</v>
      </c>
      <c r="AE60" s="18" t="n">
        <v>29</v>
      </c>
      <c r="AF60" s="18" t="n">
        <v>30</v>
      </c>
      <c r="AG60" s="18" t="n">
        <v>31</v>
      </c>
      <c r="AH60" s="18" t="n">
        <v>32</v>
      </c>
      <c r="AI60" s="18" t="n">
        <v>33</v>
      </c>
      <c r="AJ60" s="18" t="n">
        <v>34</v>
      </c>
      <c r="AK60" s="18" t="n">
        <v>35</v>
      </c>
      <c r="AL60" s="18" t="n">
        <v>36</v>
      </c>
      <c r="AM60" s="18" t="n">
        <v>37</v>
      </c>
      <c r="AN60" s="18" t="n">
        <v>38</v>
      </c>
      <c r="AO60" s="18" t="n">
        <v>39</v>
      </c>
      <c r="AP60" s="18" t="n">
        <v>40</v>
      </c>
      <c r="AQ60" s="18" t="n">
        <v>41</v>
      </c>
      <c r="AR60" s="18" t="n">
        <v>42</v>
      </c>
      <c r="AS60" s="18" t="n">
        <v>43</v>
      </c>
      <c r="AT60" s="18" t="n">
        <v>44</v>
      </c>
      <c r="AU60" s="18" t="n">
        <v>45</v>
      </c>
      <c r="AV60" s="18" t="n">
        <v>46</v>
      </c>
      <c r="AW60" s="18" t="n">
        <v>47</v>
      </c>
      <c r="AX60" s="18" t="n">
        <v>48</v>
      </c>
      <c r="AY60" s="18" t="n">
        <v>49</v>
      </c>
      <c r="AZ60" s="18" t="n">
        <v>50</v>
      </c>
      <c r="BA60" s="18" t="n">
        <v>51</v>
      </c>
      <c r="BB60" s="18" t="n">
        <v>52</v>
      </c>
      <c r="BC60" s="18" t="n">
        <v>53</v>
      </c>
      <c r="BD60" s="18" t="n">
        <v>54</v>
      </c>
      <c r="BE60" s="18" t="n">
        <v>55</v>
      </c>
      <c r="BF60" s="18" t="n">
        <v>56</v>
      </c>
      <c r="BG60" s="18" t="n">
        <v>57</v>
      </c>
      <c r="BH60" s="18" t="n">
        <v>58</v>
      </c>
      <c r="BI60" s="18" t="n">
        <v>59</v>
      </c>
      <c r="BJ60" s="18" t="n">
        <v>60</v>
      </c>
      <c r="BK60" s="18" t="n">
        <v>61</v>
      </c>
      <c r="BL60" s="18" t="n">
        <v>62</v>
      </c>
      <c r="BM60" s="18" t="n">
        <v>63</v>
      </c>
      <c r="BN60" s="18" t="n">
        <v>64</v>
      </c>
      <c r="BO60" s="18" t="n">
        <v>65</v>
      </c>
      <c r="BP60" s="18" t="n">
        <v>66</v>
      </c>
      <c r="BQ60" s="18" t="n">
        <v>67</v>
      </c>
      <c r="BR60" s="18" t="n">
        <v>68</v>
      </c>
      <c r="BS60" s="18" t="n">
        <v>69</v>
      </c>
      <c r="BT60" s="18" t="n">
        <v>70</v>
      </c>
      <c r="BU60" s="18" t="n">
        <v>71</v>
      </c>
      <c r="BV60" s="18" t="n">
        <v>72</v>
      </c>
      <c r="BW60" s="18" t="n">
        <v>73</v>
      </c>
      <c r="BX60" s="18" t="n">
        <v>74</v>
      </c>
      <c r="BY60" s="18" t="n">
        <v>75</v>
      </c>
      <c r="BZ60" s="18" t="n">
        <v>76</v>
      </c>
      <c r="CA60" s="18" t="n">
        <v>77</v>
      </c>
      <c r="CB60" s="18" t="n">
        <v>78</v>
      </c>
      <c r="CC60" s="18" t="n">
        <v>79</v>
      </c>
      <c r="CD60" s="18" t="n">
        <v>80</v>
      </c>
      <c r="CE60" s="18" t="n">
        <v>81</v>
      </c>
      <c r="CF60" s="18" t="n">
        <v>82</v>
      </c>
      <c r="CG60" s="18" t="n">
        <v>83</v>
      </c>
      <c r="CH60" s="18" t="n">
        <v>84</v>
      </c>
      <c r="CI60" s="18" t="n">
        <v>85</v>
      </c>
      <c r="CJ60" s="18" t="n">
        <v>86</v>
      </c>
      <c r="CK60" s="18" t="n">
        <v>87</v>
      </c>
      <c r="CL60" s="7" t="s">
        <v>39</v>
      </c>
    </row>
    <row r="61" customFormat="false" ht="12.8" hidden="false" customHeight="false" outlineLevel="0" collapsed="false">
      <c r="A61" s="7" t="s">
        <v>131</v>
      </c>
      <c r="B61" s="7" t="s">
        <v>39</v>
      </c>
      <c r="C61" s="10" t="n">
        <f aca="false">IF(Flows!C31*C$3*C$4&lt;0.002,100,MAX($CM$2/(Flows!C31*C$3*C$4),1))</f>
        <v>16113.5934775115</v>
      </c>
      <c r="D61" s="10" t="n">
        <f aca="false">IF(Flows!D31*D$3*D$4&lt;0.002,100,MAX($CM$2/(Flows!D31*D$3*D$4),1))</f>
        <v>5.53109351589453</v>
      </c>
      <c r="E61" s="10" t="n">
        <f aca="false">IF(Flows!E31*E$3*E$4&lt;0.002,100,MAX($CM$2/(Flows!E31*E$3*E$4),1))</f>
        <v>53.6076002273248</v>
      </c>
      <c r="F61" s="10" t="n">
        <f aca="false">IF(Flows!F31*F$3*F$4&lt;0.002,100,MAX($CM$2/(Flows!F31*F$3*F$4),1))</f>
        <v>236.152227990427</v>
      </c>
      <c r="G61" s="10" t="n">
        <f aca="false">IF(Flows!G31*G$3*G$4&lt;0.002,100,MAX($CM$2/(Flows!G31*G$3*G$4),1))</f>
        <v>4788.66080504853</v>
      </c>
      <c r="H61" s="10" t="n">
        <f aca="false">IF(Flows!H31*H$3*H$4&lt;0.002,100,MAX($CM$2/(Flows!H31*H$3*H$4),1))</f>
        <v>100</v>
      </c>
      <c r="I61" s="10" t="n">
        <f aca="false">IF(Flows!I31*I$3*I$4&lt;0.002,100,MAX($CM$2/(Flows!I31*I$3*I$4),1))</f>
        <v>2984.94532348272</v>
      </c>
      <c r="J61" s="10" t="n">
        <f aca="false">IF(Flows!J31*J$3*J$4&lt;0.002,100,MAX($CM$2/(Flows!J31*J$3*J$4),1))</f>
        <v>1165.91474515582</v>
      </c>
      <c r="K61" s="10" t="n">
        <f aca="false">IF(Flows!K31*K$3*K$4&lt;0.002,100,MAX($CM$2/(Flows!K31*K$3*K$4),1))</f>
        <v>14530.1698450756</v>
      </c>
      <c r="L61" s="10" t="n">
        <f aca="false">IF(Flows!L31*L$3*L$4&lt;0.002,100,MAX($CM$2/(Flows!L31*L$3*L$4),1))</f>
        <v>79369.1717927925</v>
      </c>
      <c r="M61" s="10" t="n">
        <f aca="false">IF(Flows!M31*M$3*M$4&lt;0.002,100,MAX($CM$2/(Flows!M31*M$3*M$4),1))</f>
        <v>57903.3940863881</v>
      </c>
      <c r="N61" s="10" t="n">
        <f aca="false">IF(Flows!N31*N$3*N$4&lt;0.002,100,MAX($CM$2/(Flows!N31*N$3*N$4),1))</f>
        <v>53.8138961797868</v>
      </c>
      <c r="O61" s="10" t="n">
        <f aca="false">IF(Flows!O31*O$3*O$4&lt;0.002,100,MAX($CM$2/(Flows!O31*O$3*O$4),1))</f>
        <v>8.29664027384179</v>
      </c>
      <c r="P61" s="10" t="n">
        <f aca="false">IF(Flows!P31*P$3*P$4&lt;0.002,100,MAX($CM$2/(Flows!P31*P$3*P$4),1))</f>
        <v>15.5562005134533</v>
      </c>
      <c r="Q61" s="10" t="n">
        <f aca="false">IF(Flows!Q31*Q$3*Q$4&lt;0.002,100,MAX($CM$2/(Flows!Q31*Q$3*Q$4),1))</f>
        <v>46694.4187146946</v>
      </c>
      <c r="R61" s="10" t="n">
        <f aca="false">IF(Flows!R31*R$3*R$4&lt;0.002,100,MAX($CM$2/(Flows!R31*R$3*R$4),1))</f>
        <v>28.4427662067164</v>
      </c>
      <c r="S61" s="10" t="n">
        <f aca="false">IF(Flows!S31*S$3*S$4&lt;0.002,100,MAX($CM$2/(Flows!S31*S$3*S$4),1))</f>
        <v>680.307186795363</v>
      </c>
      <c r="T61" s="10" t="n">
        <f aca="false">IF(Flows!T31*T$3*T$4&lt;0.002,100,MAX($CM$2/(Flows!T31*T$3*T$4),1))</f>
        <v>1217.21629009955</v>
      </c>
      <c r="U61" s="10" t="n">
        <f aca="false">IF(Flows!U31*U$3*U$4&lt;0.002,100,MAX($CM$2/(Flows!U31*U$3*U$4),1))</f>
        <v>241.264142026617</v>
      </c>
      <c r="V61" s="10" t="n">
        <f aca="false">IF(Flows!V31*V$3*V$4&lt;0.002,100,MAX($CM$2/(Flows!V31*V$3*V$4),1))</f>
        <v>1273.75826908538</v>
      </c>
      <c r="W61" s="10" t="n">
        <f aca="false">IF(Flows!W31*W$3*W$4&lt;0.002,100,MAX($CM$2/(Flows!W31*W$3*W$4),1))</f>
        <v>53.8970544618781</v>
      </c>
      <c r="X61" s="10" t="n">
        <f aca="false">IF(Flows!X31*X$3*X$4&lt;0.002,100,MAX($CM$2/(Flows!X31*X$3*X$4),1))</f>
        <v>1.33269846907582</v>
      </c>
      <c r="Y61" s="10" t="n">
        <f aca="false">IF(Flows!Y31*Y$3*Y$4&lt;0.002,100,MAX($CM$2/(Flows!Y31*Y$3*Y$4),1))</f>
        <v>396.845858963963</v>
      </c>
      <c r="Z61" s="10" t="n">
        <f aca="false">IF(Flows!Z31*Z$3*Z$4&lt;0.002,100,MAX($CM$2/(Flows!Z31*Z$3*Z$4),1))</f>
        <v>91630.1004045166</v>
      </c>
      <c r="AA61" s="10" t="n">
        <f aca="false">IF(Flows!AA31*AA$3*AA$4&lt;0.002,100,MAX($CM$2/(Flows!AA31*AA$3*AA$4),1))</f>
        <v>85817.7607168999</v>
      </c>
      <c r="AB61" s="10" t="n">
        <f aca="false">IF(Flows!AB31*AB$3*AB$4&lt;0.002,100,MAX($CM$2/(Flows!AB31*AB$3*AB$4),1))</f>
        <v>57449.5418225646</v>
      </c>
      <c r="AC61" s="10" t="n">
        <f aca="false">IF(Flows!AC31*AC$3*AC$4&lt;0.002,100,MAX($CM$2/(Flows!AC31*AC$3*AC$4),1))</f>
        <v>537946.075607339</v>
      </c>
      <c r="AD61" s="10" t="n">
        <f aca="false">IF(Flows!AD31*AD$3*AD$4&lt;0.002,100,MAX($CM$2/(Flows!AD31*AD$3*AD$4),1))</f>
        <v>361887.486664595</v>
      </c>
      <c r="AE61" s="10" t="n">
        <f aca="false">IF(Flows!AE31*AE$3*AE$4&lt;0.002,100,MAX($CM$2/(Flows!AE31*AE$3*AE$4),1))</f>
        <v>716309.104131596</v>
      </c>
      <c r="AF61" s="10" t="n">
        <f aca="false">IF(Flows!AF31*AF$3*AF$4&lt;0.002,100,MAX($CM$2/(Flows!AF31*AF$3*AF$4),1))</f>
        <v>935.330177562627</v>
      </c>
      <c r="AG61" s="10" t="n">
        <f aca="false">IF(Flows!AG31*AG$3*AG$4&lt;0.002,100,MAX($CM$2/(Flows!AG31*AG$3*AG$4),1))</f>
        <v>2970.13249074566</v>
      </c>
      <c r="AH61" s="10" t="n">
        <f aca="false">IF(Flows!AH31*AH$3*AH$4&lt;0.002,100,MAX($CM$2/(Flows!AH31*AH$3*AH$4),1))</f>
        <v>538.657007677174</v>
      </c>
      <c r="AI61" s="10" t="n">
        <f aca="false">IF(Flows!AI31*AI$3*AI$4&lt;0.002,100,MAX($CM$2/(Flows!AI31*AI$3*AI$4),1))</f>
        <v>2729.13200763442</v>
      </c>
      <c r="AJ61" s="10" t="n">
        <f aca="false">IF(Flows!AJ31*AJ$3*AJ$4&lt;0.002,100,MAX($CM$2/(Flows!AJ31*AJ$3*AJ$4),1))</f>
        <v>1581.02341374163</v>
      </c>
      <c r="AK61" s="10" t="n">
        <f aca="false">IF(Flows!AK31*AK$3*AK$4&lt;0.002,100,MAX($CM$2/(Flows!AK31*AK$3*AK$4),1))</f>
        <v>900.453631667069</v>
      </c>
      <c r="AL61" s="10" t="n">
        <f aca="false">IF(Flows!AL31*AL$3*AL$4&lt;0.002,100,MAX($CM$2/(Flows!AL31*AL$3*AL$4),1))</f>
        <v>1348.11644994153</v>
      </c>
      <c r="AM61" s="10" t="n">
        <f aca="false">IF(Flows!AM31*AM$3*AM$4&lt;0.002,100,MAX($CM$2/(Flows!AM31*AM$3*AM$4),1))</f>
        <v>12380.1651772409</v>
      </c>
      <c r="AN61" s="10" t="n">
        <f aca="false">IF(Flows!AN31*AN$3*AN$4&lt;0.002,100,MAX($CM$2/(Flows!AN31*AN$3*AN$4),1))</f>
        <v>25901.2048834355</v>
      </c>
      <c r="AO61" s="10" t="n">
        <f aca="false">IF(Flows!AO31*AO$3*AO$4&lt;0.002,100,MAX($CM$2/(Flows!AO31*AO$3*AO$4),1))</f>
        <v>249595.768797201</v>
      </c>
      <c r="AP61" s="10" t="n">
        <f aca="false">IF(Flows!AP31*AP$3*AP$4&lt;0.002,100,MAX($CM$2/(Flows!AP31*AP$3*AP$4),1))</f>
        <v>68729.8147461273</v>
      </c>
      <c r="AQ61" s="10" t="n">
        <f aca="false">IF(Flows!AQ31*AQ$3*AQ$4&lt;0.002,100,MAX($CM$2/(Flows!AQ31*AQ$3*AQ$4),1))</f>
        <v>77481.7623747151</v>
      </c>
      <c r="AR61" s="10" t="n">
        <f aca="false">IF(Flows!AR31*AR$3*AR$4&lt;0.002,100,MAX($CM$2/(Flows!AR31*AR$3*AR$4),1))</f>
        <v>50801.339041751</v>
      </c>
      <c r="AS61" s="10" t="n">
        <f aca="false">IF(Flows!AS31*AS$3*AS$4&lt;0.002,100,MAX($CM$2/(Flows!AS31*AS$3*AS$4),1))</f>
        <v>32356.1026212482</v>
      </c>
      <c r="AT61" s="10" t="n">
        <f aca="false">IF(Flows!AT31*AT$3*AT$4&lt;0.002,100,MAX($CM$2/(Flows!AT31*AT$3*AT$4),1))</f>
        <v>3760.15307201475</v>
      </c>
      <c r="AU61" s="10" t="n">
        <f aca="false">IF(Flows!AU31*AU$3*AU$4&lt;0.002,100,MAX($CM$2/(Flows!AU31*AU$3*AU$4),1))</f>
        <v>1017.16236353763</v>
      </c>
      <c r="AV61" s="10" t="n">
        <f aca="false">IF(Flows!AV31*AV$3*AV$4&lt;0.002,100,MAX($CM$2/(Flows!AV31*AV$3*AV$4),1))</f>
        <v>12878.8742534756</v>
      </c>
      <c r="AW61" s="10" t="n">
        <f aca="false">IF(Flows!AW31*AW$3*AW$4&lt;0.002,100,MAX($CM$2/(Flows!AW31*AW$3*AW$4),1))</f>
        <v>153.571285636133</v>
      </c>
      <c r="AX61" s="10" t="n">
        <f aca="false">IF(Flows!AX31*AX$3*AX$4&lt;0.002,100,MAX($CM$2/(Flows!AX31*AX$3*AX$4),1))</f>
        <v>3003.65040639714</v>
      </c>
      <c r="AY61" s="10" t="n">
        <f aca="false">IF(Flows!AY31*AY$3*AY$4&lt;0.002,100,MAX($CM$2/(Flows!AY31*AY$3*AY$4),1))</f>
        <v>4068.03793980743</v>
      </c>
      <c r="AZ61" s="10" t="n">
        <f aca="false">IF(Flows!AZ31*AZ$3*AZ$4&lt;0.002,100,MAX($CM$2/(Flows!AZ31*AZ$3*AZ$4),1))</f>
        <v>941.878975314561</v>
      </c>
      <c r="BA61" s="10" t="n">
        <f aca="false">IF(Flows!BA31*BA$3*BA$4&lt;0.002,100,MAX($CM$2/(Flows!BA31*BA$3*BA$4),1))</f>
        <v>4047.82776143242</v>
      </c>
      <c r="BB61" s="10" t="n">
        <f aca="false">IF(Flows!BB31*BB$3*BB$4&lt;0.002,100,MAX($CM$2/(Flows!BB31*BB$3*BB$4),1))</f>
        <v>5925.70194510089</v>
      </c>
      <c r="BC61" s="10" t="n">
        <f aca="false">IF(Flows!BC31*BC$3*BC$4&lt;0.002,100,MAX($CM$2/(Flows!BC31*BC$3*BC$4),1))</f>
        <v>1963.26807028542</v>
      </c>
      <c r="BD61" s="10" t="n">
        <f aca="false">IF(Flows!BD31*BD$3*BD$4&lt;0.002,100,MAX($CM$2/(Flows!BD31*BD$3*BD$4),1))</f>
        <v>8040.98859773017</v>
      </c>
      <c r="BE61" s="10" t="n">
        <f aca="false">IF(Flows!BE31*BE$3*BE$4&lt;0.002,100,MAX($CM$2/(Flows!BE31*BE$3*BE$4),1))</f>
        <v>51151.5066597759</v>
      </c>
      <c r="BF61" s="10" t="n">
        <f aca="false">IF(Flows!BF31*BF$3*BF$4&lt;0.002,100,MAX($CM$2/(Flows!BF31*BF$3*BF$4),1))</f>
        <v>2416.9395791643</v>
      </c>
      <c r="BG61" s="10" t="n">
        <f aca="false">IF(Flows!BG31*BG$3*BG$4&lt;0.002,100,MAX($CM$2/(Flows!BG31*BG$3*BG$4),1))</f>
        <v>1028.19377236009</v>
      </c>
      <c r="BH61" s="10" t="n">
        <f aca="false">IF(Flows!BH31*BH$3*BH$4&lt;0.002,100,MAX($CM$2/(Flows!BH31*BH$3*BH$4),1))</f>
        <v>514.096886180045</v>
      </c>
      <c r="BI61" s="10" t="n">
        <f aca="false">IF(Flows!BI31*BI$3*BI$4&lt;0.002,100,MAX($CM$2/(Flows!BI31*BI$3*BI$4),1))</f>
        <v>385.572664635034</v>
      </c>
      <c r="BJ61" s="10" t="n">
        <f aca="false">IF(Flows!BJ31*BJ$3*BJ$4&lt;0.002,100,MAX($CM$2/(Flows!BJ31*BJ$3*BJ$4),1))</f>
        <v>5.95756042021276</v>
      </c>
      <c r="BK61" s="10" t="n">
        <f aca="false">IF(Flows!BK31*BK$3*BK$4&lt;0.002,100,MAX($CM$2/(Flows!BK31*BK$3*BK$4),1))</f>
        <v>771.145329270068</v>
      </c>
      <c r="BL61" s="10" t="n">
        <f aca="false">IF(Flows!BL31*BL$3*BL$4&lt;0.002,100,MAX($CM$2/(Flows!BL31*BL$3*BL$4),1))</f>
        <v>163.488463393986</v>
      </c>
      <c r="BM61" s="10" t="n">
        <f aca="false">IF(Flows!BM31*BM$3*BM$4&lt;0.002,100,MAX($CM$2/(Flows!BM31*BM$3*BM$4),1))</f>
        <v>261.647127146006</v>
      </c>
      <c r="BN61" s="10" t="n">
        <f aca="false">IF(Flows!BN31*BN$3*BN$4&lt;0.002,100,MAX($CM$2/(Flows!BN31*BN$3*BN$4),1))</f>
        <v>2144018.09896671</v>
      </c>
      <c r="BO61" s="10" t="n">
        <f aca="false">IF(Flows!BO31*BO$3*BO$4&lt;0.002,100,MAX($CM$2/(Flows!BO31*BO$3*BO$4),1))</f>
        <v>264.591798515092</v>
      </c>
      <c r="BP61" s="10" t="n">
        <f aca="false">IF(Flows!BP31*BP$3*BP$4&lt;0.002,100,MAX($CM$2/(Flows!BP31*BP$3*BP$4),1))</f>
        <v>438.464591867707</v>
      </c>
      <c r="BQ61" s="10" t="n">
        <f aca="false">IF(Flows!BQ31*BQ$3*BQ$4&lt;0.002,100,MAX($CM$2/(Flows!BQ31*BQ$3*BQ$4),1))</f>
        <v>100</v>
      </c>
      <c r="BR61" s="10" t="n">
        <f aca="false">IF(Flows!BR31*BR$3*BR$4&lt;0.002,100,MAX($CM$2/(Flows!BR31*BR$3*BR$4),1))</f>
        <v>7937.74618159024</v>
      </c>
      <c r="BS61" s="10" t="n">
        <f aca="false">IF(Flows!BS31*BS$3*BS$4&lt;0.002,100,MAX($CM$2/(Flows!BS31*BS$3*BS$4),1))</f>
        <v>79377.4618159024</v>
      </c>
      <c r="BT61" s="10" t="n">
        <f aca="false">IF(Flows!BT31*BT$3*BT$4&lt;0.002,100,MAX($CM$2/(Flows!BT31*BT$3*BT$4),1))</f>
        <v>31.9067544793344</v>
      </c>
      <c r="BU61" s="10" t="n">
        <f aca="false">IF(Flows!BU31*BU$3*BU$4&lt;0.002,100,MAX($CM$2/(Flows!BU31*BU$3*BU$4),1))</f>
        <v>319.067544793344</v>
      </c>
      <c r="BV61" s="10" t="n">
        <f aca="false">IF(Flows!BV31*BV$3*BV$4&lt;0.002,100,MAX($CM$2/(Flows!BV31*BV$3*BV$4),1))</f>
        <v>3190.67544793344</v>
      </c>
      <c r="BW61" s="10" t="n">
        <f aca="false">IF(Flows!BW31*BW$3*BW$4&lt;0.002,100,MAX($CM$2/(Flows!BW31*BW$3*BW$4),1))</f>
        <v>103.278392312956</v>
      </c>
      <c r="BX61" s="10" t="n">
        <f aca="false">IF(Flows!BX31*BX$3*BX$4&lt;0.002,100,MAX($CM$2/(Flows!BX31*BX$3*BX$4),1))</f>
        <v>61.4694924422578</v>
      </c>
      <c r="BY61" s="10" t="n">
        <f aca="false">IF(Flows!BY31*BY$3*BY$4&lt;0.002,100,MAX($CM$2/(Flows!BY31*BY$3*BY$4),1))</f>
        <v>22.6238466554939</v>
      </c>
      <c r="BZ61" s="10" t="n">
        <f aca="false">IF(Flows!BZ31*BZ$3*BZ$4&lt;0.002,100,MAX($CM$2/(Flows!BZ31*BZ$3*BZ$4),1))</f>
        <v>42949.2304241409</v>
      </c>
      <c r="CA61" s="10" t="n">
        <f aca="false">IF(Flows!CA31*CA$3*CA$4&lt;0.002,100,MAX($CM$2/(Flows!CA31*CA$3*CA$4),1))</f>
        <v>16654.247535714</v>
      </c>
      <c r="CB61" s="10" t="n">
        <f aca="false">IF(Flows!CB31*CB$3*CB$4&lt;0.002,100,MAX($CM$2/(Flows!CB31*CB$3*CB$4),1))</f>
        <v>126.73345815613</v>
      </c>
      <c r="CC61" s="10" t="n">
        <f aca="false">IF(Flows!CC31*CC$3*CC$4&lt;0.002,100,MAX($CM$2/(Flows!CC31*CC$3*CC$4),1))</f>
        <v>13.6669855100275</v>
      </c>
      <c r="CD61" s="10" t="n">
        <f aca="false">IF(Flows!CD31*CD$3*CD$4&lt;0.002,100,MAX($CM$2/(Flows!CD31*CD$3*CD$4),1))</f>
        <v>388.889320441392</v>
      </c>
      <c r="CE61" s="10" t="n">
        <f aca="false">IF(Flows!CE31*CE$3*CE$4&lt;0.002,100,MAX($CM$2/(Flows!CE31*CE$3*CE$4),1))</f>
        <v>97.3757604768084</v>
      </c>
      <c r="CF61" s="10" t="n">
        <f aca="false">IF(Flows!CF31*CF$3*CF$4&lt;0.002,100,MAX($CM$2/(Flows!CF31*CF$3*CF$4),1))</f>
        <v>2.57149648482949</v>
      </c>
      <c r="CG61" s="10" t="n">
        <f aca="false">IF(Flows!CG31*CG$3*CG$4&lt;0.002,100,MAX($CM$2/(Flows!CG31*CG$3*CG$4),1))</f>
        <v>1651.27662629693</v>
      </c>
      <c r="CH61" s="10" t="n">
        <f aca="false">IF(Flows!CH31*CH$3*CH$4&lt;0.002,100,MAX($CM$2/(Flows!CH31*CH$3*CH$4),1))</f>
        <v>303.017599562904</v>
      </c>
      <c r="CI61" s="10" t="n">
        <f aca="false">IF(Flows!CI31*CI$3*CI$4&lt;0.002,100,MAX($CM$2/(Flows!CI31*CI$3*CI$4),1))</f>
        <v>291.245425602263</v>
      </c>
      <c r="CJ61" s="10" t="n">
        <f aca="false">IF(Flows!CJ31*CJ$3*CJ$4&lt;0.002,100,MAX($CM$2/(Flows!CJ31*CJ$3*CJ$4),1))</f>
        <v>2947.90150525669</v>
      </c>
      <c r="CK61" s="10" t="n">
        <f aca="false">IF(Flows!CK31*CK$3*CK$4&lt;0.002,100,MAX($CM$2/(Flows!CK31*CK$3*CK$4),1))</f>
        <v>1173.83835694589</v>
      </c>
      <c r="CL61" s="7" t="s">
        <v>39</v>
      </c>
    </row>
    <row r="62" customFormat="false" ht="12.8" hidden="false" customHeight="false" outlineLevel="0" collapsed="false">
      <c r="A62" s="7" t="s">
        <v>133</v>
      </c>
      <c r="B62" s="7" t="s">
        <v>39</v>
      </c>
      <c r="C62" s="10" t="n">
        <f aca="false">IF(Flows!C32*C$3*C$4&lt;0.002,100,MAX($CM$2/(Flows!C32*C$3*C$4),1))</f>
        <v>10625.993789728</v>
      </c>
      <c r="D62" s="10" t="n">
        <f aca="false">IF(Flows!D32*D$3*D$4&lt;0.002,100,MAX($CM$2/(Flows!D32*D$3*D$4),1))</f>
        <v>2.73040145997688</v>
      </c>
      <c r="E62" s="10" t="n">
        <f aca="false">IF(Flows!E32*E$3*E$4&lt;0.002,100,MAX($CM$2/(Flows!E32*E$3*E$4),1))</f>
        <v>25.2039298239833</v>
      </c>
      <c r="F62" s="10" t="n">
        <f aca="false">IF(Flows!F32*F$3*F$4&lt;0.002,100,MAX($CM$2/(Flows!F32*F$3*F$4),1))</f>
        <v>45.262277324468</v>
      </c>
      <c r="G62" s="10" t="n">
        <f aca="false">IF(Flows!G32*G$3*G$4&lt;0.002,100,MAX($CM$2/(Flows!G32*G$3*G$4),1))</f>
        <v>49.4715548276144</v>
      </c>
      <c r="H62" s="10" t="n">
        <f aca="false">IF(Flows!H32*H$3*H$4&lt;0.002,100,MAX($CM$2/(Flows!H32*H$3*H$4),1))</f>
        <v>100</v>
      </c>
      <c r="I62" s="10" t="n">
        <f aca="false">IF(Flows!I32*I$3*I$4&lt;0.002,100,MAX($CM$2/(Flows!I32*I$3*I$4),1))</f>
        <v>515.72303581846</v>
      </c>
      <c r="J62" s="10" t="n">
        <f aca="false">IF(Flows!J32*J$3*J$4&lt;0.002,100,MAX($CM$2/(Flows!J32*J$3*J$4),1))</f>
        <v>562.24077285121</v>
      </c>
      <c r="K62" s="10" t="n">
        <f aca="false">IF(Flows!K32*K$3*K$4&lt;0.002,100,MAX($CM$2/(Flows!K32*K$3*K$4),1))</f>
        <v>8364.71524904818</v>
      </c>
      <c r="L62" s="10" t="n">
        <f aca="false">IF(Flows!L32*L$3*L$4&lt;0.002,100,MAX($CM$2/(Flows!L32*L$3*L$4),1))</f>
        <v>30207.9109104842</v>
      </c>
      <c r="M62" s="10" t="n">
        <f aca="false">IF(Flows!M32*M$3*M$4&lt;0.002,100,MAX($CM$2/(Flows!M32*M$3*M$4),1))</f>
        <v>20644.1390601721</v>
      </c>
      <c r="N62" s="10" t="n">
        <f aca="false">IF(Flows!N32*N$3*N$4&lt;0.002,100,MAX($CM$2/(Flows!N32*N$3*N$4),1))</f>
        <v>29.3551028268822</v>
      </c>
      <c r="O62" s="10" t="n">
        <f aca="false">IF(Flows!O32*O$3*O$4&lt;0.002,100,MAX($CM$2/(Flows!O32*O$3*O$4),1))</f>
        <v>4.09560218996532</v>
      </c>
      <c r="P62" s="10" t="n">
        <f aca="false">IF(Flows!P32*P$3*P$4&lt;0.002,100,MAX($CM$2/(Flows!P32*P$3*P$4),1))</f>
        <v>7.67925410618497</v>
      </c>
      <c r="Q62" s="10" t="n">
        <f aca="false">IF(Flows!Q32*Q$3*Q$4&lt;0.002,100,MAX($CM$2/(Flows!Q32*Q$3*Q$4),1))</f>
        <v>862.867786204507</v>
      </c>
      <c r="R62" s="10" t="n">
        <f aca="false">IF(Flows!R32*R$3*R$4&lt;0.002,100,MAX($CM$2/(Flows!R32*R$3*R$4),1))</f>
        <v>20.5022652195679</v>
      </c>
      <c r="S62" s="10" t="n">
        <f aca="false">IF(Flows!S32*S$3*S$4&lt;0.002,100,MAX($CM$2/(Flows!S32*S$3*S$4),1))</f>
        <v>258.924950661293</v>
      </c>
      <c r="T62" s="10" t="n">
        <f aca="false">IF(Flows!T32*T$3*T$4&lt;0.002,100,MAX($CM$2/(Flows!T32*T$3*T$4),1))</f>
        <v>463.272583291038</v>
      </c>
      <c r="U62" s="10" t="n">
        <f aca="false">IF(Flows!U32*U$3*U$4&lt;0.002,100,MAX($CM$2/(Flows!U32*U$3*U$4),1))</f>
        <v>86.0172460840506</v>
      </c>
      <c r="V62" s="10" t="n">
        <f aca="false">IF(Flows!V32*V$3*V$4&lt;0.002,100,MAX($CM$2/(Flows!V32*V$3*V$4),1))</f>
        <v>253.669914506792</v>
      </c>
      <c r="W62" s="10" t="n">
        <f aca="false">IF(Flows!W32*W$3*W$4&lt;0.002,100,MAX($CM$2/(Flows!W32*W$3*W$4),1))</f>
        <v>10.5230431198664</v>
      </c>
      <c r="X62" s="10" t="n">
        <f aca="false">IF(Flows!X32*X$3*X$4&lt;0.002,100,MAX($CM$2/(Flows!X32*X$3*X$4),1))</f>
        <v>2.62157780477009</v>
      </c>
      <c r="Y62" s="10" t="n">
        <f aca="false">IF(Flows!Y32*Y$3*Y$4&lt;0.002,100,MAX($CM$2/(Flows!Y32*Y$3*Y$4),1))</f>
        <v>151.039554552421</v>
      </c>
      <c r="Z62" s="10" t="n">
        <f aca="false">IF(Flows!Z32*Z$3*Z$4&lt;0.002,100,MAX($CM$2/(Flows!Z32*Z$3*Z$4),1))</f>
        <v>95028.9242520482</v>
      </c>
      <c r="AA62" s="10" t="n">
        <f aca="false">IF(Flows!AA32*AA$3*AA$4&lt;0.002,100,MAX($CM$2/(Flows!AA32*AA$3*AA$4),1))</f>
        <v>53409.1400784733</v>
      </c>
      <c r="AB62" s="10" t="n">
        <f aca="false">IF(Flows!AB32*AB$3*AB$4&lt;0.002,100,MAX($CM$2/(Flows!AB32*AB$3*AB$4),1))</f>
        <v>27010.2413533867</v>
      </c>
      <c r="AC62" s="10" t="n">
        <f aca="false">IF(Flows!AC32*AC$3*AC$4&lt;0.002,100,MAX($CM$2/(Flows!AC32*AC$3*AC$4),1))</f>
        <v>501349.040634591</v>
      </c>
      <c r="AD62" s="10" t="n">
        <f aca="false">IF(Flows!AD32*AD$3*AD$4&lt;0.002,100,MAX($CM$2/(Flows!AD32*AD$3*AD$4),1))</f>
        <v>170143.538964518</v>
      </c>
      <c r="AE62" s="10" t="n">
        <f aca="false">IF(Flows!AE32*AE$3*AE$4&lt;0.002,100,MAX($CM$2/(Flows!AE32*AE$3*AE$4),1))</f>
        <v>212281.892864832</v>
      </c>
      <c r="AF62" s="10" t="n">
        <f aca="false">IF(Flows!AF32*AF$3*AF$4&lt;0.002,100,MAX($CM$2/(Flows!AF32*AF$3*AF$4),1))</f>
        <v>1963.66472361338</v>
      </c>
      <c r="AG62" s="10" t="n">
        <f aca="false">IF(Flows!AG32*AG$3*AG$4&lt;0.002,100,MAX($CM$2/(Flows!AG32*AG$3*AG$4),1))</f>
        <v>1096.29664123376</v>
      </c>
      <c r="AH62" s="10" t="n">
        <f aca="false">IF(Flows!AH32*AH$3*AH$4&lt;0.002,100,MAX($CM$2/(Flows!AH32*AH$3*AH$4),1))</f>
        <v>1223.08162599298</v>
      </c>
      <c r="AI62" s="10" t="n">
        <f aca="false">IF(Flows!AI32*AI$3*AI$4&lt;0.002,100,MAX($CM$2/(Flows!AI32*AI$3*AI$4),1))</f>
        <v>2672.70073850621</v>
      </c>
      <c r="AJ62" s="10" t="n">
        <f aca="false">IF(Flows!AJ32*AJ$3*AJ$4&lt;0.002,100,MAX($CM$2/(Flows!AJ32*AJ$3*AJ$4),1))</f>
        <v>7823.36926271413</v>
      </c>
      <c r="AK62" s="10" t="n">
        <f aca="false">IF(Flows!AK32*AK$3*AK$4&lt;0.002,100,MAX($CM$2/(Flows!AK32*AK$3*AK$4),1))</f>
        <v>1285.55712071499</v>
      </c>
      <c r="AL62" s="10" t="n">
        <f aca="false">IF(Flows!AL32*AL$3*AL$4&lt;0.002,100,MAX($CM$2/(Flows!AL32*AL$3*AL$4),1))</f>
        <v>25131.0495720959</v>
      </c>
      <c r="AM62" s="10" t="n">
        <f aca="false">IF(Flows!AM32*AM$3*AM$4&lt;0.002,100,MAX($CM$2/(Flows!AM32*AM$3*AM$4),1))</f>
        <v>2695.74251333592</v>
      </c>
      <c r="AN62" s="10" t="n">
        <f aca="false">IF(Flows!AN32*AN$3*AN$4&lt;0.002,100,MAX($CM$2/(Flows!AN32*AN$3*AN$4),1))</f>
        <v>2462.08147872665</v>
      </c>
      <c r="AO62" s="10" t="n">
        <f aca="false">IF(Flows!AO32*AO$3*AO$4&lt;0.002,100,MAX($CM$2/(Flows!AO32*AO$3*AO$4),1))</f>
        <v>231748.563139064</v>
      </c>
      <c r="AP62" s="10" t="n">
        <f aca="false">IF(Flows!AP32*AP$3*AP$4&lt;0.002,100,MAX($CM$2/(Flows!AP32*AP$3*AP$4),1))</f>
        <v>60508.9121691613</v>
      </c>
      <c r="AQ62" s="10" t="n">
        <f aca="false">IF(Flows!AQ32*AQ$3*AQ$4&lt;0.002,100,MAX($CM$2/(Flows!AQ32*AQ$3*AQ$4),1))</f>
        <v>17492.0896430435</v>
      </c>
      <c r="AR62" s="10" t="n">
        <f aca="false">IF(Flows!AR32*AR$3*AR$4&lt;0.002,100,MAX($CM$2/(Flows!AR32*AR$3*AR$4),1))</f>
        <v>45168.3419992627</v>
      </c>
      <c r="AS62" s="10" t="n">
        <f aca="false">IF(Flows!AS32*AS$3*AS$4&lt;0.002,100,MAX($CM$2/(Flows!AS32*AS$3*AS$4),1))</f>
        <v>4994.10073504393</v>
      </c>
      <c r="AT62" s="10" t="n">
        <f aca="false">IF(Flows!AT32*AT$3*AT$4&lt;0.002,100,MAX($CM$2/(Flows!AT32*AT$3*AT$4),1))</f>
        <v>1060.8045126756</v>
      </c>
      <c r="AU62" s="10" t="n">
        <f aca="false">IF(Flows!AU32*AU$3*AU$4&lt;0.002,100,MAX($CM$2/(Flows!AU32*AU$3*AU$4),1))</f>
        <v>462959.669973412</v>
      </c>
      <c r="AV62" s="10" t="n">
        <f aca="false">IF(Flows!AV32*AV$3*AV$4&lt;0.002,100,MAX($CM$2/(Flows!AV32*AV$3*AV$4),1))</f>
        <v>10613.0066607079</v>
      </c>
      <c r="AW62" s="10" t="n">
        <f aca="false">IF(Flows!AW32*AW$3*AW$4&lt;0.002,100,MAX($CM$2/(Flows!AW32*AW$3*AW$4),1))</f>
        <v>142.066005222285</v>
      </c>
      <c r="AX62" s="10" t="n">
        <f aca="false">IF(Flows!AX32*AX$3*AX$4&lt;0.002,100,MAX($CM$2/(Flows!AX32*AX$3*AX$4),1))</f>
        <v>5442.63129933847</v>
      </c>
      <c r="AY62" s="10" t="n">
        <f aca="false">IF(Flows!AY32*AY$3*AY$4&lt;0.002,100,MAX($CM$2/(Flows!AY32*AY$3*AY$4),1))</f>
        <v>4538.89490833955</v>
      </c>
      <c r="AZ62" s="10" t="n">
        <f aca="false">IF(Flows!AZ32*AZ$3*AZ$4&lt;0.002,100,MAX($CM$2/(Flows!AZ32*AZ$3*AZ$4),1))</f>
        <v>691.093246239758</v>
      </c>
      <c r="BA62" s="10" t="n">
        <f aca="false">IF(Flows!BA32*BA$3*BA$4&lt;0.002,100,MAX($CM$2/(Flows!BA32*BA$3*BA$4),1))</f>
        <v>1540.6034564347</v>
      </c>
      <c r="BB62" s="10" t="n">
        <f aca="false">IF(Flows!BB32*BB$3*BB$4&lt;0.002,100,MAX($CM$2/(Flows!BB32*BB$3*BB$4),1))</f>
        <v>18502.2436829614</v>
      </c>
      <c r="BC62" s="10" t="n">
        <f aca="false">IF(Flows!BC32*BC$3*BC$4&lt;0.002,100,MAX($CM$2/(Flows!BC32*BC$3*BC$4),1))</f>
        <v>5348.04941210823</v>
      </c>
      <c r="BD62" s="10" t="n">
        <f aca="false">IF(Flows!BD32*BD$3*BD$4&lt;0.002,100,MAX($CM$2/(Flows!BD32*BD$3*BD$4),1))</f>
        <v>55847.1799440699</v>
      </c>
      <c r="BE62" s="10" t="n">
        <f aca="false">IF(Flows!BE32*BE$3*BE$4&lt;0.002,100,MAX($CM$2/(Flows!BE32*BE$3*BE$4),1))</f>
        <v>20546.9374557599</v>
      </c>
      <c r="BF62" s="10" t="n">
        <f aca="false">IF(Flows!BF32*BF$3*BF$4&lt;0.002,100,MAX($CM$2/(Flows!BF32*BF$3*BF$4),1))</f>
        <v>827.214649605229</v>
      </c>
      <c r="BG62" s="10" t="n">
        <f aca="false">IF(Flows!BG32*BG$3*BG$4&lt;0.002,100,MAX($CM$2/(Flows!BG32*BG$3*BG$4),1))</f>
        <v>345.332001918466</v>
      </c>
      <c r="BH62" s="10" t="n">
        <f aca="false">IF(Flows!BH32*BH$3*BH$4&lt;0.002,100,MAX($CM$2/(Flows!BH32*BH$3*BH$4),1))</f>
        <v>624898.366369768</v>
      </c>
      <c r="BI62" s="10" t="n">
        <f aca="false">IF(Flows!BI32*BI$3*BI$4&lt;0.002,100,MAX($CM$2/(Flows!BI32*BI$3*BI$4),1))</f>
        <v>129.499500719425</v>
      </c>
      <c r="BJ62" s="10" t="n">
        <f aca="false">IF(Flows!BJ32*BJ$3*BJ$4&lt;0.002,100,MAX($CM$2/(Flows!BJ32*BJ$3*BJ$4),1))</f>
        <v>6.74216689531228</v>
      </c>
      <c r="BK62" s="10" t="n">
        <f aca="false">IF(Flows!BK32*BK$3*BK$4&lt;0.002,100,MAX($CM$2/(Flows!BK32*BK$3*BK$4),1))</f>
        <v>258.999001438849</v>
      </c>
      <c r="BL62" s="10" t="n">
        <f aca="false">IF(Flows!BL32*BL$3*BL$4&lt;0.002,100,MAX($CM$2/(Flows!BL32*BL$3*BL$4),1))</f>
        <v>256.785683550531</v>
      </c>
      <c r="BM62" s="10" t="n">
        <f aca="false">IF(Flows!BM32*BM$3*BM$4&lt;0.002,100,MAX($CM$2/(Flows!BM32*BM$3*BM$4),1))</f>
        <v>188.542518600099</v>
      </c>
      <c r="BN62" s="10" t="n">
        <f aca="false">IF(Flows!BN32*BN$3*BN$4&lt;0.002,100,MAX($CM$2/(Flows!BN32*BN$3*BN$4),1))</f>
        <v>1</v>
      </c>
      <c r="BO62" s="10" t="n">
        <f aca="false">IF(Flows!BO32*BO$3*BO$4&lt;0.002,100,MAX($CM$2/(Flows!BO32*BO$3*BO$4),1))</f>
        <v>109.349506081278</v>
      </c>
      <c r="BP62" s="10" t="n">
        <f aca="false">IF(Flows!BP32*BP$3*BP$4&lt;0.002,100,MAX($CM$2/(Flows!BP32*BP$3*BP$4),1))</f>
        <v>398.155382164381</v>
      </c>
      <c r="BQ62" s="10" t="n">
        <f aca="false">IF(Flows!BQ32*BQ$3*BQ$4&lt;0.002,100,MAX($CM$2/(Flows!BQ32*BQ$3*BQ$4),1))</f>
        <v>100</v>
      </c>
      <c r="BR62" s="10" t="n">
        <f aca="false">IF(Flows!BR32*BR$3*BR$4&lt;0.002,100,MAX($CM$2/(Flows!BR32*BR$3*BR$4),1))</f>
        <v>3280.48421928936</v>
      </c>
      <c r="BS62" s="10" t="n">
        <f aca="false">IF(Flows!BS32*BS$3*BS$4&lt;0.002,100,MAX($CM$2/(Flows!BS32*BS$3*BS$4),1))</f>
        <v>32804.8421928936</v>
      </c>
      <c r="BT62" s="10" t="n">
        <f aca="false">IF(Flows!BT32*BT$3*BT$4&lt;0.002,100,MAX($CM$2/(Flows!BT32*BT$3*BT$4),1))</f>
        <v>8.80562808400574</v>
      </c>
      <c r="BU62" s="10" t="n">
        <f aca="false">IF(Flows!BU32*BU$3*BU$4&lt;0.002,100,MAX($CM$2/(Flows!BU32*BU$3*BU$4),1))</f>
        <v>88.0562808400575</v>
      </c>
      <c r="BV62" s="10" t="n">
        <f aca="false">IF(Flows!BV32*BV$3*BV$4&lt;0.002,100,MAX($CM$2/(Flows!BV32*BV$3*BV$4),1))</f>
        <v>880.562808400574</v>
      </c>
      <c r="BW62" s="10" t="n">
        <f aca="false">IF(Flows!BW32*BW$3*BW$4&lt;0.002,100,MAX($CM$2/(Flows!BW32*BW$3*BW$4),1))</f>
        <v>48.556946051518</v>
      </c>
      <c r="BX62" s="10" t="n">
        <f aca="false">IF(Flows!BX32*BX$3*BX$4&lt;0.002,100,MAX($CM$2/(Flows!BX32*BX$3*BX$4),1))</f>
        <v>29.2059329385872</v>
      </c>
      <c r="BY62" s="10" t="n">
        <f aca="false">IF(Flows!BY32*BY$3*BY$4&lt;0.002,100,MAX($CM$2/(Flows!BY32*BY$3*BY$4),1))</f>
        <v>65.1486605100601</v>
      </c>
      <c r="BZ62" s="10" t="n">
        <f aca="false">IF(Flows!BZ32*BZ$3*BZ$4&lt;0.002,100,MAX($CM$2/(Flows!BZ32*BZ$3*BZ$4),1))</f>
        <v>43150.1394248712</v>
      </c>
      <c r="CA62" s="10" t="n">
        <f aca="false">IF(Flows!CA32*CA$3*CA$4&lt;0.002,100,MAX($CM$2/(Flows!CA32*CA$3*CA$4),1))</f>
        <v>26694.0145639736</v>
      </c>
      <c r="CB62" s="10" t="n">
        <f aca="false">IF(Flows!CB32*CB$3*CB$4&lt;0.002,100,MAX($CM$2/(Flows!CB32*CB$3*CB$4),1))</f>
        <v>390.469602531761</v>
      </c>
      <c r="CC62" s="10" t="n">
        <f aca="false">IF(Flows!CC32*CC$3*CC$4&lt;0.002,100,MAX($CM$2/(Flows!CC32*CC$3*CC$4),1))</f>
        <v>4967.20427129667</v>
      </c>
      <c r="CD62" s="10" t="n">
        <f aca="false">IF(Flows!CD32*CD$3*CD$4&lt;0.002,100,MAX($CM$2/(Flows!CD32*CD$3*CD$4),1))</f>
        <v>118.229290395352</v>
      </c>
      <c r="CE62" s="10" t="n">
        <f aca="false">IF(Flows!CE32*CE$3*CE$4&lt;0.002,100,MAX($CM$2/(Flows!CE32*CE$3*CE$4),1))</f>
        <v>64.2014370699757</v>
      </c>
      <c r="CF62" s="10" t="n">
        <f aca="false">IF(Flows!CF32*CF$3*CF$4&lt;0.002,100,MAX($CM$2/(Flows!CF32*CF$3*CF$4),1))</f>
        <v>1</v>
      </c>
      <c r="CG62" s="10" t="n">
        <f aca="false">IF(Flows!CG32*CG$3*CG$4&lt;0.002,100,MAX($CM$2/(Flows!CG32*CG$3*CG$4),1))</f>
        <v>32.5887750151313</v>
      </c>
      <c r="CH62" s="10" t="n">
        <f aca="false">IF(Flows!CH32*CH$3*CH$4&lt;0.002,100,MAX($CM$2/(Flows!CH32*CH$3*CH$4),1))</f>
        <v>76.2089104366551</v>
      </c>
      <c r="CI62" s="10" t="n">
        <f aca="false">IF(Flows!CI32*CI$3*CI$4&lt;0.002,100,MAX($CM$2/(Flows!CI32*CI$3*CI$4),1))</f>
        <v>571.450553241862</v>
      </c>
      <c r="CJ62" s="10" t="n">
        <f aca="false">IF(Flows!CJ32*CJ$3*CJ$4&lt;0.002,100,MAX($CM$2/(Flows!CJ32*CJ$3*CJ$4),1))</f>
        <v>5638.97004827767</v>
      </c>
      <c r="CK62" s="10" t="n">
        <f aca="false">IF(Flows!CK32*CK$3*CK$4&lt;0.002,100,MAX($CM$2/(Flows!CK32*CK$3*CK$4),1))</f>
        <v>916.721146637719</v>
      </c>
      <c r="CL62" s="7" t="s">
        <v>39</v>
      </c>
    </row>
    <row r="63" customFormat="false" ht="12.8" hidden="false" customHeight="false" outlineLevel="0" collapsed="false">
      <c r="A63" s="7" t="s">
        <v>135</v>
      </c>
      <c r="B63" s="7" t="s">
        <v>39</v>
      </c>
      <c r="C63" s="10" t="n">
        <f aca="false">IF(Flows!C33*C$3*C$4&lt;0.002,100,MAX($CM$2/(Flows!C33*C$3*C$4),1))</f>
        <v>6179.04992415652</v>
      </c>
      <c r="D63" s="10" t="n">
        <f aca="false">IF(Flows!D33*D$3*D$4&lt;0.002,100,MAX($CM$2/(Flows!D33*D$3*D$4),1))</f>
        <v>1.4613317284469</v>
      </c>
      <c r="E63" s="10" t="n">
        <f aca="false">IF(Flows!E33*E$3*E$4&lt;0.002,100,MAX($CM$2/(Flows!E33*E$3*E$4),1))</f>
        <v>9.23887238448638</v>
      </c>
      <c r="F63" s="10" t="n">
        <f aca="false">IF(Flows!F33*F$3*F$4&lt;0.002,100,MAX($CM$2/(Flows!F33*F$3*F$4),1))</f>
        <v>30.5149496621293</v>
      </c>
      <c r="G63" s="10" t="n">
        <f aca="false">IF(Flows!G33*G$3*G$4&lt;0.002,100,MAX($CM$2/(Flows!G33*G$3*G$4),1))</f>
        <v>7.3612297303144</v>
      </c>
      <c r="H63" s="10" t="n">
        <f aca="false">IF(Flows!H33*H$3*H$4&lt;0.002,100,MAX($CM$2/(Flows!H33*H$3*H$4),1))</f>
        <v>100</v>
      </c>
      <c r="I63" s="10" t="n">
        <f aca="false">IF(Flows!I33*I$3*I$4&lt;0.002,100,MAX($CM$2/(Flows!I33*I$3*I$4),1))</f>
        <v>2536.90178035496</v>
      </c>
      <c r="J63" s="10" t="n">
        <f aca="false">IF(Flows!J33*J$3*J$4&lt;0.002,100,MAX($CM$2/(Flows!J33*J$3*J$4),1))</f>
        <v>4544.60418074317</v>
      </c>
      <c r="K63" s="10" t="n">
        <f aca="false">IF(Flows!K33*K$3*K$4&lt;0.002,100,MAX($CM$2/(Flows!K33*K$3*K$4),1))</f>
        <v>6473.53377660761</v>
      </c>
      <c r="L63" s="10" t="n">
        <f aca="false">IF(Flows!L33*L$3*L$4&lt;0.002,100,MAX($CM$2/(Flows!L33*L$3*L$4),1))</f>
        <v>22311.0491223187</v>
      </c>
      <c r="M63" s="10" t="n">
        <f aca="false">IF(Flows!M33*M$3*M$4&lt;0.002,100,MAX($CM$2/(Flows!M33*M$3*M$4),1))</f>
        <v>15162.0046944655</v>
      </c>
      <c r="N63" s="10" t="n">
        <f aca="false">IF(Flows!N33*N$3*N$4&lt;0.002,100,MAX($CM$2/(Flows!N33*N$3*N$4),1))</f>
        <v>6.44823081668208</v>
      </c>
      <c r="O63" s="10" t="n">
        <f aca="false">IF(Flows!O33*O$3*O$4&lt;0.002,100,MAX($CM$2/(Flows!O33*O$3*O$4),1))</f>
        <v>2.19199759267036</v>
      </c>
      <c r="P63" s="10" t="n">
        <f aca="false">IF(Flows!P33*P$3*P$4&lt;0.002,100,MAX($CM$2/(Flows!P33*P$3*P$4),1))</f>
        <v>4.10999548625691</v>
      </c>
      <c r="Q63" s="10" t="n">
        <f aca="false">IF(Flows!Q33*Q$3*Q$4&lt;0.002,100,MAX($CM$2/(Flows!Q33*Q$3*Q$4),1))</f>
        <v>255.710961900332</v>
      </c>
      <c r="R63" s="10" t="n">
        <f aca="false">IF(Flows!R33*R$3*R$4&lt;0.002,100,MAX($CM$2/(Flows!R33*R$3*R$4),1))</f>
        <v>16.5099437580742</v>
      </c>
      <c r="S63" s="10" t="n">
        <f aca="false">IF(Flows!S33*S$3*S$4&lt;0.002,100,MAX($CM$2/(Flows!S33*S$3*S$4),1))</f>
        <v>191.237563905588</v>
      </c>
      <c r="T63" s="10" t="n">
        <f aca="false">IF(Flows!T33*T$3*T$4&lt;0.002,100,MAX($CM$2/(Flows!T33*T$3*T$4),1))</f>
        <v>342.165249144803</v>
      </c>
      <c r="U63" s="10" t="n">
        <f aca="false">IF(Flows!U33*U$3*U$4&lt;0.002,100,MAX($CM$2/(Flows!U33*U$3*U$4),1))</f>
        <v>63.1750195602728</v>
      </c>
      <c r="V63" s="10" t="n">
        <f aca="false">IF(Flows!V33*V$3*V$4&lt;0.002,100,MAX($CM$2/(Flows!V33*V$3*V$4),1))</f>
        <v>1241.52159155764</v>
      </c>
      <c r="W63" s="10" t="n">
        <f aca="false">IF(Flows!W33*W$3*W$4&lt;0.002,100,MAX($CM$2/(Flows!W33*W$3*W$4),1))</f>
        <v>5.21518953113676</v>
      </c>
      <c r="X63" s="10" t="n">
        <f aca="false">IF(Flows!X33*X$3*X$4&lt;0.002,100,MAX($CM$2/(Flows!X33*X$3*X$4),1))</f>
        <v>1.52746498559956</v>
      </c>
      <c r="Y63" s="10" t="n">
        <f aca="false">IF(Flows!Y33*Y$3*Y$4&lt;0.002,100,MAX($CM$2/(Flows!Y33*Y$3*Y$4),1))</f>
        <v>111.555245611593</v>
      </c>
      <c r="Z63" s="10" t="n">
        <f aca="false">IF(Flows!Z33*Z$3*Z$4&lt;0.002,100,MAX($CM$2/(Flows!Z33*Z$3*Z$4),1))</f>
        <v>9240.50277515263</v>
      </c>
      <c r="AA63" s="10" t="n">
        <f aca="false">IF(Flows!AA33*AA$3*AA$4&lt;0.002,100,MAX($CM$2/(Flows!AA33*AA$3*AA$4),1))</f>
        <v>9823.53299323435</v>
      </c>
      <c r="AB63" s="10" t="n">
        <f aca="false">IF(Flows!AB33*AB$3*AB$4&lt;0.002,100,MAX($CM$2/(Flows!AB33*AB$3*AB$4),1))</f>
        <v>9901.00252940149</v>
      </c>
      <c r="AC63" s="10" t="n">
        <f aca="false">IF(Flows!AC33*AC$3*AC$4&lt;0.002,100,MAX($CM$2/(Flows!AC33*AC$3*AC$4),1))</f>
        <v>55842.6488131459</v>
      </c>
      <c r="AD63" s="10" t="n">
        <f aca="false">IF(Flows!AD33*AD$3*AD$4&lt;0.002,100,MAX($CM$2/(Flows!AD33*AD$3*AD$4),1))</f>
        <v>62368.6248341425</v>
      </c>
      <c r="AE63" s="10" t="n">
        <f aca="false">IF(Flows!AE33*AE$3*AE$4&lt;0.002,100,MAX($CM$2/(Flows!AE33*AE$3*AE$4),1))</f>
        <v>188776.459278031</v>
      </c>
      <c r="AF63" s="10" t="n">
        <f aca="false">IF(Flows!AF33*AF$3*AF$4&lt;0.002,100,MAX($CM$2/(Flows!AF33*AF$3*AF$4),1))</f>
        <v>2321.47018716219</v>
      </c>
      <c r="AG63" s="10" t="n">
        <f aca="false">IF(Flows!AG33*AG$3*AG$4&lt;0.002,100,MAX($CM$2/(Flows!AG33*AG$3*AG$4),1))</f>
        <v>491.837966166903</v>
      </c>
      <c r="AH63" s="10" t="n">
        <f aca="false">IF(Flows!AH33*AH$3*AH$4&lt;0.002,100,MAX($CM$2/(Flows!AH33*AH$3*AH$4),1))</f>
        <v>271.008656352546</v>
      </c>
      <c r="AI63" s="10" t="n">
        <f aca="false">IF(Flows!AI33*AI$3*AI$4&lt;0.002,100,MAX($CM$2/(Flows!AI33*AI$3*AI$4),1))</f>
        <v>3105.66941933146</v>
      </c>
      <c r="AJ63" s="10" t="n">
        <f aca="false">IF(Flows!AJ33*AJ$3*AJ$4&lt;0.002,100,MAX($CM$2/(Flows!AJ33*AJ$3*AJ$4),1))</f>
        <v>1039.17235417194</v>
      </c>
      <c r="AK63" s="10" t="n">
        <f aca="false">IF(Flows!AK33*AK$3*AK$4&lt;0.002,100,MAX($CM$2/(Flows!AK33*AK$3*AK$4),1))</f>
        <v>1042.08834099822</v>
      </c>
      <c r="AL63" s="10" t="n">
        <f aca="false">IF(Flows!AL33*AL$3*AL$4&lt;0.002,100,MAX($CM$2/(Flows!AL33*AL$3*AL$4),1))</f>
        <v>3314.60935951978</v>
      </c>
      <c r="AM63" s="10" t="n">
        <f aca="false">IF(Flows!AM33*AM$3*AM$4&lt;0.002,100,MAX($CM$2/(Flows!AM33*AM$3*AM$4),1))</f>
        <v>109588.366952687</v>
      </c>
      <c r="AN63" s="10" t="n">
        <f aca="false">IF(Flows!AN33*AN$3*AN$4&lt;0.002,100,MAX($CM$2/(Flows!AN33*AN$3*AN$4),1))</f>
        <v>1604.82169617778</v>
      </c>
      <c r="AO63" s="10" t="n">
        <f aca="false">IF(Flows!AO33*AO$3*AO$4&lt;0.002,100,MAX($CM$2/(Flows!AO33*AO$3*AO$4),1))</f>
        <v>117870.545311658</v>
      </c>
      <c r="AP63" s="10" t="n">
        <f aca="false">IF(Flows!AP33*AP$3*AP$4&lt;0.002,100,MAX($CM$2/(Flows!AP33*AP$3*AP$4),1))</f>
        <v>24881.2333531614</v>
      </c>
      <c r="AQ63" s="10" t="n">
        <f aca="false">IF(Flows!AQ33*AQ$3*AQ$4&lt;0.002,100,MAX($CM$2/(Flows!AQ33*AQ$3*AQ$4),1))</f>
        <v>13264.5153901242</v>
      </c>
      <c r="AR63" s="10" t="n">
        <f aca="false">IF(Flows!AR33*AR$3*AR$4&lt;0.002,100,MAX($CM$2/(Flows!AR33*AR$3*AR$4),1))</f>
        <v>34404.4425829928</v>
      </c>
      <c r="AS63" s="10" t="n">
        <f aca="false">IF(Flows!AS33*AS$3*AS$4&lt;0.002,100,MAX($CM$2/(Flows!AS33*AS$3*AS$4),1))</f>
        <v>978.418880480934</v>
      </c>
      <c r="AT63" s="10" t="n">
        <f aca="false">IF(Flows!AT33*AT$3*AT$4&lt;0.002,100,MAX($CM$2/(Flows!AT33*AT$3*AT$4),1))</f>
        <v>1687.20260527974</v>
      </c>
      <c r="AU63" s="10" t="n">
        <f aca="false">IF(Flows!AU33*AU$3*AU$4&lt;0.002,100,MAX($CM$2/(Flows!AU33*AU$3*AU$4),1))</f>
        <v>1427.27092448834</v>
      </c>
      <c r="AV63" s="10" t="n">
        <f aca="false">IF(Flows!AV33*AV$3*AV$4&lt;0.002,100,MAX($CM$2/(Flows!AV33*AV$3*AV$4),1))</f>
        <v>219420.558212244</v>
      </c>
      <c r="AW63" s="10" t="n">
        <f aca="false">IF(Flows!AW33*AW$3*AW$4&lt;0.002,100,MAX($CM$2/(Flows!AW33*AW$3*AW$4),1))</f>
        <v>17.4065976055523</v>
      </c>
      <c r="AX63" s="10" t="n">
        <f aca="false">IF(Flows!AX33*AX$3*AX$4&lt;0.002,100,MAX($CM$2/(Flows!AX33*AX$3*AX$4),1))</f>
        <v>2019.36609749693</v>
      </c>
      <c r="AY63" s="10" t="n">
        <f aca="false">IF(Flows!AY33*AY$3*AY$4&lt;0.002,100,MAX($CM$2/(Flows!AY33*AY$3*AY$4),1))</f>
        <v>523.893812944644</v>
      </c>
      <c r="AZ63" s="10" t="n">
        <f aca="false">IF(Flows!AZ33*AZ$3*AZ$4&lt;0.002,100,MAX($CM$2/(Flows!AZ33*AZ$3*AZ$4),1))</f>
        <v>147.185841652375</v>
      </c>
      <c r="BA63" s="10" t="n">
        <f aca="false">IF(Flows!BA33*BA$3*BA$4&lt;0.002,100,MAX($CM$2/(Flows!BA33*BA$3*BA$4),1))</f>
        <v>1137.86350523825</v>
      </c>
      <c r="BB63" s="10" t="n">
        <f aca="false">IF(Flows!BB33*BB$3*BB$4&lt;0.002,100,MAX($CM$2/(Flows!BB33*BB$3*BB$4),1))</f>
        <v>2363.5651139074</v>
      </c>
      <c r="BC63" s="10" t="n">
        <f aca="false">IF(Flows!BC33*BC$3*BC$4&lt;0.002,100,MAX($CM$2/(Flows!BC33*BC$3*BC$4),1))</f>
        <v>1231.94952806737</v>
      </c>
      <c r="BD63" s="10" t="n">
        <f aca="false">IF(Flows!BD33*BD$3*BD$4&lt;0.002,100,MAX($CM$2/(Flows!BD33*BD$3*BD$4),1))</f>
        <v>5962.71406337842</v>
      </c>
      <c r="BE63" s="10" t="n">
        <f aca="false">IF(Flows!BE33*BE$3*BE$4&lt;0.002,100,MAX($CM$2/(Flows!BE33*BE$3*BE$4),1))</f>
        <v>9120.64632747166</v>
      </c>
      <c r="BF63" s="10" t="n">
        <f aca="false">IF(Flows!BF33*BF$3*BF$4&lt;0.002,100,MAX($CM$2/(Flows!BF33*BF$3*BF$4),1))</f>
        <v>163.541421457532</v>
      </c>
      <c r="BG63" s="10" t="n">
        <f aca="false">IF(Flows!BG33*BG$3*BG$4&lt;0.002,100,MAX($CM$2/(Flows!BG33*BG$3*BG$4),1))</f>
        <v>177.201572334449</v>
      </c>
      <c r="BH63" s="10" t="n">
        <f aca="false">IF(Flows!BH33*BH$3*BH$4&lt;0.002,100,MAX($CM$2/(Flows!BH33*BH$3*BH$4),1))</f>
        <v>88.6007861672244</v>
      </c>
      <c r="BI63" s="10" t="n">
        <f aca="false">IF(Flows!BI33*BI$3*BI$4&lt;0.002,100,MAX($CM$2/(Flows!BI33*BI$3*BI$4),1))</f>
        <v>66.4505896254184</v>
      </c>
      <c r="BJ63" s="10" t="n">
        <f aca="false">IF(Flows!BJ33*BJ$3*BJ$4&lt;0.002,100,MAX($CM$2/(Flows!BJ33*BJ$3*BJ$4),1))</f>
        <v>3.21511823320388</v>
      </c>
      <c r="BK63" s="10" t="n">
        <f aca="false">IF(Flows!BK33*BK$3*BK$4&lt;0.002,100,MAX($CM$2/(Flows!BK33*BK$3*BK$4),1))</f>
        <v>132.901179250837</v>
      </c>
      <c r="BL63" s="10" t="n">
        <f aca="false">IF(Flows!BL33*BL$3*BL$4&lt;0.002,100,MAX($CM$2/(Flows!BL33*BL$3*BL$4),1))</f>
        <v>255.774146847191</v>
      </c>
      <c r="BM63" s="10" t="n">
        <f aca="false">IF(Flows!BM33*BM$3*BM$4&lt;0.002,100,MAX($CM$2/(Flows!BM33*BM$3*BM$4),1))</f>
        <v>26.6540523101347</v>
      </c>
      <c r="BN63" s="10" t="n">
        <f aca="false">IF(Flows!BN33*BN$3*BN$4&lt;0.002,100,MAX($CM$2/(Flows!BN33*BN$3*BN$4),1))</f>
        <v>167141.357218797</v>
      </c>
      <c r="BO63" s="10" t="n">
        <f aca="false">IF(Flows!BO33*BO$3*BO$4&lt;0.002,100,MAX($CM$2/(Flows!BO33*BO$3*BO$4),1))</f>
        <v>17.7952020262237</v>
      </c>
      <c r="BP63" s="10" t="n">
        <f aca="false">IF(Flows!BP33*BP$3*BP$4&lt;0.002,100,MAX($CM$2/(Flows!BP33*BP$3*BP$4),1))</f>
        <v>56.6772405521879</v>
      </c>
      <c r="BQ63" s="10" t="n">
        <f aca="false">IF(Flows!BQ33*BQ$3*BQ$4&lt;0.002,100,MAX($CM$2/(Flows!BQ33*BQ$3*BQ$4),1))</f>
        <v>100</v>
      </c>
      <c r="BR63" s="10" t="n">
        <f aca="false">IF(Flows!BR33*BR$3*BR$4&lt;0.002,100,MAX($CM$2/(Flows!BR33*BR$3*BR$4),1))</f>
        <v>533.855449149579</v>
      </c>
      <c r="BS63" s="10" t="n">
        <f aca="false">IF(Flows!BS33*BS$3*BS$4&lt;0.002,100,MAX($CM$2/(Flows!BS33*BS$3*BS$4),1))</f>
        <v>5338.55449149578</v>
      </c>
      <c r="BT63" s="10" t="n">
        <f aca="false">IF(Flows!BT33*BT$3*BT$4&lt;0.002,100,MAX($CM$2/(Flows!BT33*BT$3*BT$4),1))</f>
        <v>2.36631396167401</v>
      </c>
      <c r="BU63" s="10" t="n">
        <f aca="false">IF(Flows!BU33*BU$3*BU$4&lt;0.002,100,MAX($CM$2/(Flows!BU33*BU$3*BU$4),1))</f>
        <v>23.6631396167401</v>
      </c>
      <c r="BV63" s="10" t="n">
        <f aca="false">IF(Flows!BV33*BV$3*BV$4&lt;0.002,100,MAX($CM$2/(Flows!BV33*BV$3*BV$4),1))</f>
        <v>236.631396167401</v>
      </c>
      <c r="BW63" s="10" t="n">
        <f aca="false">IF(Flows!BW33*BW$3*BW$4&lt;0.002,100,MAX($CM$2/(Flows!BW33*BW$3*BW$4),1))</f>
        <v>17.7992650782371</v>
      </c>
      <c r="BX63" s="10" t="n">
        <f aca="false">IF(Flows!BX33*BX$3*BX$4&lt;0.002,100,MAX($CM$2/(Flows!BX33*BX$3*BX$4),1))</f>
        <v>13.6989822181359</v>
      </c>
      <c r="BY63" s="10" t="n">
        <f aca="false">IF(Flows!BY33*BY$3*BY$4&lt;0.002,100,MAX($CM$2/(Flows!BY33*BY$3*BY$4),1))</f>
        <v>18.0240499002783</v>
      </c>
      <c r="BZ63" s="10" t="n">
        <f aca="false">IF(Flows!BZ33*BZ$3*BZ$4&lt;0.002,100,MAX($CM$2/(Flows!BZ33*BZ$3*BZ$4),1))</f>
        <v>258029.280723047</v>
      </c>
      <c r="CA63" s="10" t="n">
        <f aca="false">IF(Flows!CA33*CA$3*CA$4&lt;0.002,100,MAX($CM$2/(Flows!CA33*CA$3*CA$4),1))</f>
        <v>27008.8456108822</v>
      </c>
      <c r="CB63" s="10" t="n">
        <f aca="false">IF(Flows!CB33*CB$3*CB$4&lt;0.002,100,MAX($CM$2/(Flows!CB33*CB$3*CB$4),1))</f>
        <v>162.490172380869</v>
      </c>
      <c r="CC63" s="10" t="n">
        <f aca="false">IF(Flows!CC33*CC$3*CC$4&lt;0.002,100,MAX($CM$2/(Flows!CC33*CC$3*CC$4),1))</f>
        <v>51.1564027981237</v>
      </c>
      <c r="CD63" s="10" t="n">
        <f aca="false">IF(Flows!CD33*CD$3*CD$4&lt;0.002,100,MAX($CM$2/(Flows!CD33*CD$3*CD$4),1))</f>
        <v>49.8385449077928</v>
      </c>
      <c r="CE63" s="10" t="n">
        <f aca="false">IF(Flows!CE33*CE$3*CE$4&lt;0.002,100,MAX($CM$2/(Flows!CE33*CE$3*CE$4),1))</f>
        <v>14.8508399170195</v>
      </c>
      <c r="CF63" s="10" t="n">
        <f aca="false">IF(Flows!CF33*CF$3*CF$4&lt;0.002,100,MAX($CM$2/(Flows!CF33*CF$3*CF$4),1))</f>
        <v>1</v>
      </c>
      <c r="CG63" s="10" t="n">
        <f aca="false">IF(Flows!CG33*CG$3*CG$4&lt;0.002,100,MAX($CM$2/(Flows!CG33*CG$3*CG$4),1))</f>
        <v>54.6556875545083</v>
      </c>
      <c r="CH63" s="10" t="n">
        <f aca="false">IF(Flows!CH33*CH$3*CH$4&lt;0.002,100,MAX($CM$2/(Flows!CH33*CH$3*CH$4),1))</f>
        <v>363.71272050846</v>
      </c>
      <c r="CI63" s="10" t="n">
        <f aca="false">IF(Flows!CI33*CI$3*CI$4&lt;0.002,100,MAX($CM$2/(Flows!CI33*CI$3*CI$4),1))</f>
        <v>219.616911119669</v>
      </c>
      <c r="CJ63" s="10" t="n">
        <f aca="false">IF(Flows!CJ33*CJ$3*CJ$4&lt;0.002,100,MAX($CM$2/(Flows!CJ33*CJ$3*CJ$4),1))</f>
        <v>11069.3541915947</v>
      </c>
      <c r="CK63" s="10" t="n">
        <f aca="false">IF(Flows!CK33*CK$3*CK$4&lt;0.002,100,MAX($CM$2/(Flows!CK33*CK$3*CK$4),1))</f>
        <v>705.28668427556</v>
      </c>
      <c r="CL63" s="7" t="s">
        <v>322</v>
      </c>
    </row>
    <row r="64" customFormat="false" ht="12.8" hidden="false" customHeight="false" outlineLevel="0" collapsed="false">
      <c r="A64" s="7" t="s">
        <v>137</v>
      </c>
      <c r="B64" s="7" t="s">
        <v>39</v>
      </c>
      <c r="C64" s="10" t="n">
        <f aca="false">IF(Flows!C34*C$3*C$4&lt;0.002,100,MAX($CM$2/(Flows!C34*C$3*C$4),1))</f>
        <v>1798.83364808742</v>
      </c>
      <c r="D64" s="10" t="n">
        <f aca="false">IF(Flows!D34*D$3*D$4&lt;0.002,100,MAX($CM$2/(Flows!D34*D$3*D$4),1))</f>
        <v>1</v>
      </c>
      <c r="E64" s="10" t="n">
        <f aca="false">IF(Flows!E34*E$3*E$4&lt;0.002,100,MAX($CM$2/(Flows!E34*E$3*E$4),1))</f>
        <v>3.84104911224034</v>
      </c>
      <c r="F64" s="10" t="n">
        <f aca="false">IF(Flows!F34*F$3*F$4&lt;0.002,100,MAX($CM$2/(Flows!F34*F$3*F$4),1))</f>
        <v>3.69568087122037</v>
      </c>
      <c r="G64" s="10" t="n">
        <f aca="false">IF(Flows!G34*G$3*G$4&lt;0.002,100,MAX($CM$2/(Flows!G34*G$3*G$4),1))</f>
        <v>2.73026732110482</v>
      </c>
      <c r="H64" s="10" t="n">
        <f aca="false">IF(Flows!H34*H$3*H$4&lt;0.002,100,MAX($CM$2/(Flows!H34*H$3*H$4),1))</f>
        <v>100</v>
      </c>
      <c r="I64" s="10" t="n">
        <f aca="false">IF(Flows!I34*I$3*I$4&lt;0.002,100,MAX($CM$2/(Flows!I34*I$3*I$4),1))</f>
        <v>124.259182733423</v>
      </c>
      <c r="J64" s="10" t="n">
        <f aca="false">IF(Flows!J34*J$3*J$4&lt;0.002,100,MAX($CM$2/(Flows!J34*J$3*J$4),1))</f>
        <v>242.329424160383</v>
      </c>
      <c r="K64" s="10" t="n">
        <f aca="false">IF(Flows!K34*K$3*K$4&lt;0.002,100,MAX($CM$2/(Flows!K34*K$3*K$4),1))</f>
        <v>2200.53834497448</v>
      </c>
      <c r="L64" s="10" t="n">
        <f aca="false">IF(Flows!L34*L$3*L$4&lt;0.002,100,MAX($CM$2/(Flows!L34*L$3*L$4),1))</f>
        <v>6656.02957899286</v>
      </c>
      <c r="M64" s="10" t="n">
        <f aca="false">IF(Flows!M34*M$3*M$4&lt;0.002,100,MAX($CM$2/(Flows!M34*M$3*M$4),1))</f>
        <v>4459.3548411311</v>
      </c>
      <c r="N64" s="10" t="n">
        <f aca="false">IF(Flows!N34*N$3*N$4&lt;0.002,100,MAX($CM$2/(Flows!N34*N$3*N$4),1))</f>
        <v>2.68760357658439</v>
      </c>
      <c r="O64" s="10" t="n">
        <f aca="false">IF(Flows!O34*O$3*O$4&lt;0.002,100,MAX($CM$2/(Flows!O34*O$3*O$4),1))</f>
        <v>1</v>
      </c>
      <c r="P64" s="10" t="n">
        <f aca="false">IF(Flows!P34*P$3*P$4&lt;0.002,100,MAX($CM$2/(Flows!P34*P$3*P$4),1))</f>
        <v>1.66108710850332</v>
      </c>
      <c r="Q64" s="10" t="n">
        <f aca="false">IF(Flows!Q34*Q$3*Q$4&lt;0.002,100,MAX($CM$2/(Flows!Q34*Q$3*Q$4),1))</f>
        <v>201.214511468952</v>
      </c>
      <c r="R64" s="10" t="n">
        <f aca="false">IF(Flows!R34*R$3*R$4&lt;0.002,100,MAX($CM$2/(Flows!R34*R$3*R$4),1))</f>
        <v>16.6663300654615</v>
      </c>
      <c r="S64" s="10" t="n">
        <f aca="false">IF(Flows!S34*S$3*S$4&lt;0.002,100,MAX($CM$2/(Flows!S34*S$3*S$4),1))</f>
        <v>57.051682105653</v>
      </c>
      <c r="T64" s="10" t="n">
        <f aca="false">IF(Flows!T34*T$3*T$4&lt;0.002,100,MAX($CM$2/(Flows!T34*T$3*T$4),1))</f>
        <v>102.077764551781</v>
      </c>
      <c r="U64" s="10" t="n">
        <f aca="false">IF(Flows!U34*U$3*U$4&lt;0.002,100,MAX($CM$2/(Flows!U34*U$3*U$4),1))</f>
        <v>18.5806451713796</v>
      </c>
      <c r="V64" s="10" t="n">
        <f aca="false">IF(Flows!V34*V$3*V$4&lt;0.002,100,MAX($CM$2/(Flows!V34*V$3*V$4),1))</f>
        <v>939.29704924869</v>
      </c>
      <c r="W64" s="10" t="n">
        <f aca="false">IF(Flows!W34*W$3*W$4&lt;0.002,100,MAX($CM$2/(Flows!W34*W$3*W$4),1))</f>
        <v>7.59233073178306</v>
      </c>
      <c r="X64" s="10" t="n">
        <f aca="false">IF(Flows!X34*X$3*X$4&lt;0.002,100,MAX($CM$2/(Flows!X34*X$3*X$4),1))</f>
        <v>14.7405369971344</v>
      </c>
      <c r="Y64" s="10" t="n">
        <f aca="false">IF(Flows!Y34*Y$3*Y$4&lt;0.002,100,MAX($CM$2/(Flows!Y34*Y$3*Y$4),1))</f>
        <v>33.2801478949643</v>
      </c>
      <c r="Z64" s="10" t="n">
        <f aca="false">IF(Flows!Z34*Z$3*Z$4&lt;0.002,100,MAX($CM$2/(Flows!Z34*Z$3*Z$4),1))</f>
        <v>3991.66149852589</v>
      </c>
      <c r="AA64" s="10" t="n">
        <f aca="false">IF(Flows!AA34*AA$3*AA$4&lt;0.002,100,MAX($CM$2/(Flows!AA34*AA$3*AA$4),1))</f>
        <v>4405.68343394057</v>
      </c>
      <c r="AB64" s="10" t="n">
        <f aca="false">IF(Flows!AB34*AB$3*AB$4&lt;0.002,100,MAX($CM$2/(Flows!AB34*AB$3*AB$4),1))</f>
        <v>4116.32885412576</v>
      </c>
      <c r="AC64" s="10" t="n">
        <f aca="false">IF(Flows!AC34*AC$3*AC$4&lt;0.002,100,MAX($CM$2/(Flows!AC34*AC$3*AC$4),1))</f>
        <v>24686.0460643532</v>
      </c>
      <c r="AD64" s="10" t="n">
        <f aca="false">IF(Flows!AD34*AD$3*AD$4&lt;0.002,100,MAX($CM$2/(Flows!AD34*AD$3*AD$4),1))</f>
        <v>25929.674215773</v>
      </c>
      <c r="AE64" s="10" t="n">
        <f aca="false">IF(Flows!AE34*AE$3*AE$4&lt;0.002,100,MAX($CM$2/(Flows!AE34*AE$3*AE$4),1))</f>
        <v>293930.125270689</v>
      </c>
      <c r="AF64" s="10" t="n">
        <f aca="false">IF(Flows!AF34*AF$3*AF$4&lt;0.002,100,MAX($CM$2/(Flows!AF34*AF$3*AF$4),1))</f>
        <v>707.173306098298</v>
      </c>
      <c r="AG64" s="10" t="n">
        <f aca="false">IF(Flows!AG34*AG$3*AG$4&lt;0.002,100,MAX($CM$2/(Flows!AG34*AG$3*AG$4),1))</f>
        <v>4905.27330454487</v>
      </c>
      <c r="AH64" s="10" t="n">
        <f aca="false">IF(Flows!AH34*AH$3*AH$4&lt;0.002,100,MAX($CM$2/(Flows!AH34*AH$3*AH$4),1))</f>
        <v>552.953055864704</v>
      </c>
      <c r="AI64" s="10" t="n">
        <f aca="false">IF(Flows!AI34*AI$3*AI$4&lt;0.002,100,MAX($CM$2/(Flows!AI34*AI$3*AI$4),1))</f>
        <v>1460.56530265242</v>
      </c>
      <c r="AJ64" s="10" t="n">
        <f aca="false">IF(Flows!AJ34*AJ$3*AJ$4&lt;0.002,100,MAX($CM$2/(Flows!AJ34*AJ$3*AJ$4),1))</f>
        <v>526.591155934017</v>
      </c>
      <c r="AK64" s="10" t="n">
        <f aca="false">IF(Flows!AK34*AK$3*AK$4&lt;0.002,100,MAX($CM$2/(Flows!AK34*AK$3*AK$4),1))</f>
        <v>219.254361666465</v>
      </c>
      <c r="AL64" s="10" t="n">
        <f aca="false">IF(Flows!AL34*AL$3*AL$4&lt;0.002,100,MAX($CM$2/(Flows!AL34*AL$3*AL$4),1))</f>
        <v>576.29827594485</v>
      </c>
      <c r="AM64" s="10" t="n">
        <f aca="false">IF(Flows!AM34*AM$3*AM$4&lt;0.002,100,MAX($CM$2/(Flows!AM34*AM$3*AM$4),1))</f>
        <v>812.416418745333</v>
      </c>
      <c r="AN64" s="10" t="n">
        <f aca="false">IF(Flows!AN34*AN$3*AN$4&lt;0.002,100,MAX($CM$2/(Flows!AN34*AN$3*AN$4),1))</f>
        <v>1141.28479095874</v>
      </c>
      <c r="AO64" s="10" t="n">
        <f aca="false">IF(Flows!AO34*AO$3*AO$4&lt;0.002,100,MAX($CM$2/(Flows!AO34*AO$3*AO$4),1))</f>
        <v>16521.3642781002</v>
      </c>
      <c r="AP64" s="10" t="n">
        <f aca="false">IF(Flows!AP34*AP$3*AP$4&lt;0.002,100,MAX($CM$2/(Flows!AP34*AP$3*AP$4),1))</f>
        <v>28906.0145676458</v>
      </c>
      <c r="AQ64" s="10" t="n">
        <f aca="false">IF(Flows!AQ34*AQ$3*AQ$4&lt;0.002,100,MAX($CM$2/(Flows!AQ34*AQ$3*AQ$4),1))</f>
        <v>21590.7954325871</v>
      </c>
      <c r="AR64" s="10" t="n">
        <f aca="false">IF(Flows!AR34*AR$3*AR$4&lt;0.002,100,MAX($CM$2/(Flows!AR34*AR$3*AR$4),1))</f>
        <v>471256.288180526</v>
      </c>
      <c r="AS64" s="10" t="n">
        <f aca="false">IF(Flows!AS34*AS$3*AS$4&lt;0.002,100,MAX($CM$2/(Flows!AS34*AS$3*AS$4),1))</f>
        <v>953.70692851197</v>
      </c>
      <c r="AT64" s="10" t="n">
        <f aca="false">IF(Flows!AT34*AT$3*AT$4&lt;0.002,100,MAX($CM$2/(Flows!AT34*AT$3*AT$4),1))</f>
        <v>444.934822294538</v>
      </c>
      <c r="AU64" s="10" t="n">
        <f aca="false">IF(Flows!AU34*AU$3*AU$4&lt;0.002,100,MAX($CM$2/(Flows!AU34*AU$3*AU$4),1))</f>
        <v>720.464684955041</v>
      </c>
      <c r="AV64" s="10" t="n">
        <f aca="false">IF(Flows!AV34*AV$3*AV$4&lt;0.002,100,MAX($CM$2/(Flows!AV34*AV$3*AV$4),1))</f>
        <v>3284.00109860734</v>
      </c>
      <c r="AW64" s="10" t="n">
        <f aca="false">IF(Flows!AW34*AW$3*AW$4&lt;0.002,100,MAX($CM$2/(Flows!AW34*AW$3*AW$4),1))</f>
        <v>7.52378694900786</v>
      </c>
      <c r="AX64" s="10" t="n">
        <f aca="false">IF(Flows!AX34*AX$3*AX$4&lt;0.002,100,MAX($CM$2/(Flows!AX34*AX$3*AX$4),1))</f>
        <v>3099.46575656155</v>
      </c>
      <c r="AY64" s="10" t="n">
        <f aca="false">IF(Flows!AY34*AY$3*AY$4&lt;0.002,100,MAX($CM$2/(Flows!AY34*AY$3*AY$4),1))</f>
        <v>223.131423554628</v>
      </c>
      <c r="AZ64" s="10" t="n">
        <f aca="false">IF(Flows!AZ34*AZ$3*AZ$4&lt;0.002,100,MAX($CM$2/(Flows!AZ34*AZ$3*AZ$4),1))</f>
        <v>59.5024505971407</v>
      </c>
      <c r="BA64" s="10" t="n">
        <f aca="false">IF(Flows!BA34*BA$3*BA$4&lt;0.002,100,MAX($CM$2/(Flows!BA34*BA$3*BA$4),1))</f>
        <v>339.457508528636</v>
      </c>
      <c r="BB64" s="10" t="n">
        <f aca="false">IF(Flows!BB34*BB$3*BB$4&lt;0.002,100,MAX($CM$2/(Flows!BB34*BB$3*BB$4),1))</f>
        <v>1897.4461041827</v>
      </c>
      <c r="BC64" s="10" t="n">
        <f aca="false">IF(Flows!BC34*BC$3*BC$4&lt;0.002,100,MAX($CM$2/(Flows!BC34*BC$3*BC$4),1))</f>
        <v>972.683184794982</v>
      </c>
      <c r="BD64" s="10" t="n">
        <f aca="false">IF(Flows!BD34*BD$3*BD$4&lt;0.002,100,MAX($CM$2/(Flows!BD34*BD$3*BD$4),1))</f>
        <v>3181.40011945313</v>
      </c>
      <c r="BE64" s="10" t="n">
        <f aca="false">IF(Flows!BE34*BE$3*BE$4&lt;0.002,100,MAX($CM$2/(Flows!BE34*BE$3*BE$4),1))</f>
        <v>7884.64017114899</v>
      </c>
      <c r="BF64" s="10" t="n">
        <f aca="false">IF(Flows!BF34*BF$3*BF$4&lt;0.002,100,MAX($CM$2/(Flows!BF34*BF$3*BF$4),1))</f>
        <v>868.554434823439</v>
      </c>
      <c r="BG64" s="10" t="n">
        <f aca="false">IF(Flows!BG34*BG$3*BG$4&lt;0.002,100,MAX($CM$2/(Flows!BG34*BG$3*BG$4),1))</f>
        <v>54.7272677512003</v>
      </c>
      <c r="BH64" s="10" t="n">
        <f aca="false">IF(Flows!BH34*BH$3*BH$4&lt;0.002,100,MAX($CM$2/(Flows!BH34*BH$3*BH$4),1))</f>
        <v>273.636338756002</v>
      </c>
      <c r="BI64" s="10" t="n">
        <f aca="false">IF(Flows!BI34*BI$3*BI$4&lt;0.002,100,MAX($CM$2/(Flows!BI34*BI$3*BI$4),1))</f>
        <v>20.5227254067001</v>
      </c>
      <c r="BJ64" s="10" t="n">
        <f aca="false">IF(Flows!BJ34*BJ$3*BJ$4&lt;0.002,100,MAX($CM$2/(Flows!BJ34*BJ$3*BJ$4),1))</f>
        <v>4.26523967194834</v>
      </c>
      <c r="BK64" s="10" t="n">
        <f aca="false">IF(Flows!BK34*BK$3*BK$4&lt;0.002,100,MAX($CM$2/(Flows!BK34*BK$3*BK$4),1))</f>
        <v>41.0454508134003</v>
      </c>
      <c r="BL64" s="10" t="n">
        <f aca="false">IF(Flows!BL34*BL$3*BL$4&lt;0.002,100,MAX($CM$2/(Flows!BL34*BL$3*BL$4),1))</f>
        <v>1995.58106255322</v>
      </c>
      <c r="BM64" s="10" t="n">
        <f aca="false">IF(Flows!BM34*BM$3*BM$4&lt;0.002,100,MAX($CM$2/(Flows!BM34*BM$3*BM$4),1))</f>
        <v>62.2900008751588</v>
      </c>
      <c r="BN64" s="10" t="n">
        <f aca="false">IF(Flows!BN34*BN$3*BN$4&lt;0.002,100,MAX($CM$2/(Flows!BN34*BN$3*BN$4),1))</f>
        <v>49881.1862978724</v>
      </c>
      <c r="BO64" s="10" t="n">
        <f aca="false">IF(Flows!BO34*BO$3*BO$4&lt;0.002,100,MAX($CM$2/(Flows!BO34*BO$3*BO$4),1))</f>
        <v>3.34147808595572</v>
      </c>
      <c r="BP64" s="10" t="n">
        <f aca="false">IF(Flows!BP34*BP$3*BP$4&lt;0.002,100,MAX($CM$2/(Flows!BP34*BP$3*BP$4),1))</f>
        <v>23.5941070204501</v>
      </c>
      <c r="BQ64" s="10" t="n">
        <f aca="false">IF(Flows!BQ34*BQ$3*BQ$4&lt;0.002,100,MAX($CM$2/(Flows!BQ34*BQ$3*BQ$4),1))</f>
        <v>100</v>
      </c>
      <c r="BR64" s="10" t="n">
        <f aca="false">IF(Flows!BR34*BR$3*BR$4&lt;0.002,100,MAX($CM$2/(Flows!BR34*BR$3*BR$4),1))</f>
        <v>100.24426467235</v>
      </c>
      <c r="BS64" s="10" t="n">
        <f aca="false">IF(Flows!BS34*BS$3*BS$4&lt;0.002,100,MAX($CM$2/(Flows!BS34*BS$3*BS$4),1))</f>
        <v>1002.4426467235</v>
      </c>
      <c r="BT64" s="10" t="n">
        <f aca="false">IF(Flows!BT34*BT$3*BT$4&lt;0.002,100,MAX($CM$2/(Flows!BT34*BT$3*BT$4),1))</f>
        <v>1</v>
      </c>
      <c r="BU64" s="10" t="n">
        <f aca="false">IF(Flows!BU34*BU$3*BU$4&lt;0.002,100,MAX($CM$2/(Flows!BU34*BU$3*BU$4),1))</f>
        <v>4.5078377466378</v>
      </c>
      <c r="BV64" s="10" t="n">
        <f aca="false">IF(Flows!BV34*BV$3*BV$4&lt;0.002,100,MAX($CM$2/(Flows!BV34*BV$3*BV$4),1))</f>
        <v>45.078377466378</v>
      </c>
      <c r="BW64" s="10" t="n">
        <f aca="false">IF(Flows!BW34*BW$3*BW$4&lt;0.002,100,MAX($CM$2/(Flows!BW34*BW$3*BW$4),1))</f>
        <v>7.40002118030053</v>
      </c>
      <c r="BX64" s="10" t="n">
        <f aca="false">IF(Flows!BX34*BX$3*BX$4&lt;0.002,100,MAX($CM$2/(Flows!BX34*BX$3*BX$4),1))</f>
        <v>22.5380703628492</v>
      </c>
      <c r="BY64" s="10" t="n">
        <f aca="false">IF(Flows!BY34*BY$3*BY$4&lt;0.002,100,MAX($CM$2/(Flows!BY34*BY$3*BY$4),1))</f>
        <v>178.987242586832</v>
      </c>
      <c r="BZ64" s="10" t="n">
        <f aca="false">IF(Flows!BZ34*BZ$3*BZ$4&lt;0.002,100,MAX($CM$2/(Flows!BZ34*BZ$3*BZ$4),1))</f>
        <v>116115.794619385</v>
      </c>
      <c r="CA64" s="10" t="n">
        <f aca="false">IF(Flows!CA34*CA$3*CA$4&lt;0.002,100,MAX($CM$2/(Flows!CA34*CA$3*CA$4),1))</f>
        <v>100161.946353246</v>
      </c>
      <c r="CB64" s="10" t="n">
        <f aca="false">IF(Flows!CB34*CB$3*CB$4&lt;0.002,100,MAX($CM$2/(Flows!CB34*CB$3*CB$4),1))</f>
        <v>44.9989081063115</v>
      </c>
      <c r="CC64" s="10" t="n">
        <f aca="false">IF(Flows!CC34*CC$3*CC$4&lt;0.002,100,MAX($CM$2/(Flows!CC34*CC$3*CC$4),1))</f>
        <v>42.5491993946288</v>
      </c>
      <c r="CD64" s="10" t="n">
        <f aca="false">IF(Flows!CD34*CD$3*CD$4&lt;0.002,100,MAX($CM$2/(Flows!CD34*CD$3*CD$4),1))</f>
        <v>15.6157977085344</v>
      </c>
      <c r="CE64" s="10" t="n">
        <f aca="false">IF(Flows!CE34*CE$3*CE$4&lt;0.002,100,MAX($CM$2/(Flows!CE34*CE$3*CE$4),1))</f>
        <v>5.93437910602717</v>
      </c>
      <c r="CF64" s="10" t="n">
        <f aca="false">IF(Flows!CF34*CF$3*CF$4&lt;0.002,100,MAX($CM$2/(Flows!CF34*CF$3*CF$4),1))</f>
        <v>1.21678479463679</v>
      </c>
      <c r="CG64" s="10" t="n">
        <f aca="false">IF(Flows!CG34*CG$3*CG$4&lt;0.002,100,MAX($CM$2/(Flows!CG34*CG$3*CG$4),1))</f>
        <v>2884.85767486619</v>
      </c>
      <c r="CH64" s="10" t="n">
        <f aca="false">IF(Flows!CH34*CH$3*CH$4&lt;0.002,100,MAX($CM$2/(Flows!CH34*CH$3*CH$4),1))</f>
        <v>1746.25009374481</v>
      </c>
      <c r="CI64" s="10" t="n">
        <f aca="false">IF(Flows!CI34*CI$3*CI$4&lt;0.002,100,MAX($CM$2/(Flows!CI34*CI$3*CI$4),1))</f>
        <v>221.835856314398</v>
      </c>
      <c r="CJ64" s="10" t="n">
        <f aca="false">IF(Flows!CJ34*CJ$3*CJ$4&lt;0.002,100,MAX($CM$2/(Flows!CJ34*CJ$3*CJ$4),1))</f>
        <v>1564.58745495864</v>
      </c>
      <c r="CK64" s="10" t="n">
        <f aca="false">IF(Flows!CK34*CK$3*CK$4&lt;0.002,100,MAX($CM$2/(Flows!CK34*CK$3*CK$4),1))</f>
        <v>607.427893793123</v>
      </c>
      <c r="CL64" s="7" t="s">
        <v>322</v>
      </c>
    </row>
    <row r="65" customFormat="false" ht="12.8" hidden="false" customHeight="false" outlineLevel="0" collapsed="false">
      <c r="A65" s="7" t="s">
        <v>139</v>
      </c>
      <c r="B65" s="7" t="s">
        <v>39</v>
      </c>
      <c r="C65" s="10" t="n">
        <f aca="false">IF(Flows!C35*C$3*C$4&lt;0.002,100,MAX($CM$2/(Flows!C35*C$3*C$4),1))</f>
        <v>22479.9996472902</v>
      </c>
      <c r="D65" s="10" t="n">
        <f aca="false">IF(Flows!D35*D$3*D$4&lt;0.002,100,MAX($CM$2/(Flows!D35*D$3*D$4),1))</f>
        <v>5.16393872303322</v>
      </c>
      <c r="E65" s="10" t="n">
        <f aca="false">IF(Flows!E35*E$3*E$4&lt;0.002,100,MAX($CM$2/(Flows!E35*E$3*E$4),1))</f>
        <v>50.9022905610367</v>
      </c>
      <c r="F65" s="10" t="n">
        <f aca="false">IF(Flows!F35*F$3*F$4&lt;0.002,100,MAX($CM$2/(Flows!F35*F$3*F$4),1))</f>
        <v>163.283085391049</v>
      </c>
      <c r="G65" s="10" t="n">
        <f aca="false">IF(Flows!G35*G$3*G$4&lt;0.002,100,MAX($CM$2/(Flows!G35*G$3*G$4),1))</f>
        <v>87.841593866368</v>
      </c>
      <c r="H65" s="10" t="n">
        <f aca="false">IF(Flows!H35*H$3*H$4&lt;0.002,100,MAX($CM$2/(Flows!H35*H$3*H$4),1))</f>
        <v>100</v>
      </c>
      <c r="I65" s="10" t="n">
        <f aca="false">IF(Flows!I35*I$3*I$4&lt;0.002,100,MAX($CM$2/(Flows!I35*I$3*I$4),1))</f>
        <v>1758.04002002559</v>
      </c>
      <c r="J65" s="10" t="n">
        <f aca="false">IF(Flows!J35*J$3*J$4&lt;0.002,100,MAX($CM$2/(Flows!J35*J$3*J$4),1))</f>
        <v>3051.07242522505</v>
      </c>
      <c r="K65" s="10" t="n">
        <f aca="false">IF(Flows!K35*K$3*K$4&lt;0.002,100,MAX($CM$2/(Flows!K35*K$3*K$4),1))</f>
        <v>15122.6242440034</v>
      </c>
      <c r="L65" s="10" t="n">
        <f aca="false">IF(Flows!L35*L$3*L$4&lt;0.002,100,MAX($CM$2/(Flows!L35*L$3*L$4),1))</f>
        <v>60720.0751099874</v>
      </c>
      <c r="M65" s="10" t="n">
        <f aca="false">IF(Flows!M35*M$3*M$4&lt;0.002,100,MAX($CM$2/(Flows!M35*M$3*M$4),1))</f>
        <v>42076.8216609651</v>
      </c>
      <c r="N65" s="10" t="n">
        <f aca="false">IF(Flows!N35*N$3*N$4&lt;0.002,100,MAX($CM$2/(Flows!N35*N$3*N$4),1))</f>
        <v>57.0977605776683</v>
      </c>
      <c r="O65" s="10" t="n">
        <f aca="false">IF(Flows!O35*O$3*O$4&lt;0.002,100,MAX($CM$2/(Flows!O35*O$3*O$4),1))</f>
        <v>7.74590808454983</v>
      </c>
      <c r="P65" s="10" t="n">
        <f aca="false">IF(Flows!P35*P$3*P$4&lt;0.002,100,MAX($CM$2/(Flows!P35*P$3*P$4),1))</f>
        <v>14.5235776585309</v>
      </c>
      <c r="Q65" s="10" t="n">
        <f aca="false">IF(Flows!Q35*Q$3*Q$4&lt;0.002,100,MAX($CM$2/(Flows!Q35*Q$3*Q$4),1))</f>
        <v>1004.0722401176</v>
      </c>
      <c r="R65" s="10" t="n">
        <f aca="false">IF(Flows!R35*R$3*R$4&lt;0.002,100,MAX($CM$2/(Flows!R35*R$3*R$4),1))</f>
        <v>20.6022191411231</v>
      </c>
      <c r="S65" s="10" t="n">
        <f aca="false">IF(Flows!S35*S$3*S$4&lt;0.002,100,MAX($CM$2/(Flows!S35*S$3*S$4),1))</f>
        <v>520.457786657033</v>
      </c>
      <c r="T65" s="10" t="n">
        <f aca="false">IF(Flows!T35*T$3*T$4&lt;0.002,100,MAX($CM$2/(Flows!T35*T$3*T$4),1))</f>
        <v>931.211235930476</v>
      </c>
      <c r="U65" s="10" t="n">
        <f aca="false">IF(Flows!U35*U$3*U$4&lt;0.002,100,MAX($CM$2/(Flows!U35*U$3*U$4),1))</f>
        <v>175.320090254021</v>
      </c>
      <c r="V65" s="10" t="n">
        <f aca="false">IF(Flows!V35*V$3*V$4&lt;0.002,100,MAX($CM$2/(Flows!V35*V$3*V$4),1))</f>
        <v>3406.26858813141</v>
      </c>
      <c r="W65" s="10" t="n">
        <f aca="false">IF(Flows!W35*W$3*W$4&lt;0.002,100,MAX($CM$2/(Flows!W35*W$3*W$4),1))</f>
        <v>15.898903236746</v>
      </c>
      <c r="X65" s="10" t="n">
        <f aca="false">IF(Flows!X35*X$3*X$4&lt;0.002,100,MAX($CM$2/(Flows!X35*X$3*X$4),1))</f>
        <v>6.87656174631174</v>
      </c>
      <c r="Y65" s="10" t="n">
        <f aca="false">IF(Flows!Y35*Y$3*Y$4&lt;0.002,100,MAX($CM$2/(Flows!Y35*Y$3*Y$4),1))</f>
        <v>303.600375549937</v>
      </c>
      <c r="Z65" s="10" t="n">
        <f aca="false">IF(Flows!Z35*Z$3*Z$4&lt;0.002,100,MAX($CM$2/(Flows!Z35*Z$3*Z$4),1))</f>
        <v>175217.718472207</v>
      </c>
      <c r="AA65" s="10" t="n">
        <f aca="false">IF(Flows!AA35*AA$3*AA$4&lt;0.002,100,MAX($CM$2/(Flows!AA35*AA$3*AA$4),1))</f>
        <v>97715.7530449233</v>
      </c>
      <c r="AB65" s="10" t="n">
        <f aca="false">IF(Flows!AB35*AB$3*AB$4&lt;0.002,100,MAX($CM$2/(Flows!AB35*AB$3*AB$4),1))</f>
        <v>54550.3484216784</v>
      </c>
      <c r="AC65" s="10" t="n">
        <f aca="false">IF(Flows!AC35*AC$3*AC$4&lt;0.002,100,MAX($CM$2/(Flows!AC35*AC$3*AC$4),1))</f>
        <v>938200.927211681</v>
      </c>
      <c r="AD65" s="10" t="n">
        <f aca="false">IF(Flows!AD35*AD$3*AD$4&lt;0.002,100,MAX($CM$2/(Flows!AD35*AD$3*AD$4),1))</f>
        <v>343624.820333126</v>
      </c>
      <c r="AE65" s="10" t="n">
        <f aca="false">IF(Flows!AE35*AE$3*AE$4&lt;0.002,100,MAX($CM$2/(Flows!AE35*AE$3*AE$4),1))</f>
        <v>551731.080300055</v>
      </c>
      <c r="AF65" s="10" t="n">
        <f aca="false">IF(Flows!AF35*AF$3*AF$4&lt;0.002,100,MAX($CM$2/(Flows!AF35*AF$3*AF$4),1))</f>
        <v>5046.37984360955</v>
      </c>
      <c r="AG65" s="10" t="n">
        <f aca="false">IF(Flows!AG35*AG$3*AG$4&lt;0.002,100,MAX($CM$2/(Flows!AG35*AG$3*AG$4),1))</f>
        <v>1590.2662131044</v>
      </c>
      <c r="AH65" s="10" t="n">
        <f aca="false">IF(Flows!AH35*AH$3*AH$4&lt;0.002,100,MAX($CM$2/(Flows!AH35*AH$3*AH$4),1))</f>
        <v>1595.84049738726</v>
      </c>
      <c r="AI65" s="10" t="n">
        <f aca="false">IF(Flows!AI35*AI$3*AI$4&lt;0.002,100,MAX($CM$2/(Flows!AI35*AI$3*AI$4),1))</f>
        <v>3307.77367046038</v>
      </c>
      <c r="AJ65" s="10" t="n">
        <f aca="false">IF(Flows!AJ35*AJ$3*AJ$4&lt;0.002,100,MAX($CM$2/(Flows!AJ35*AJ$3*AJ$4),1))</f>
        <v>2060.78606416655</v>
      </c>
      <c r="AK65" s="10" t="n">
        <f aca="false">IF(Flows!AK35*AK$3*AK$4&lt;0.002,100,MAX($CM$2/(Flows!AK35*AK$3*AK$4),1))</f>
        <v>15177.0314544318</v>
      </c>
      <c r="AL65" s="10" t="n">
        <f aca="false">IF(Flows!AL35*AL$3*AL$4&lt;0.002,100,MAX($CM$2/(Flows!AL35*AL$3*AL$4),1))</f>
        <v>1717.3546783062</v>
      </c>
      <c r="AM65" s="10" t="n">
        <f aca="false">IF(Flows!AM35*AM$3*AM$4&lt;0.002,100,MAX($CM$2/(Flows!AM35*AM$3*AM$4),1))</f>
        <v>1850.76373117319</v>
      </c>
      <c r="AN65" s="10" t="n">
        <f aca="false">IF(Flows!AN35*AN$3*AN$4&lt;0.002,100,MAX($CM$2/(Flows!AN35*AN$3*AN$4),1))</f>
        <v>12540.8929860716</v>
      </c>
      <c r="AO65" s="10" t="n">
        <f aca="false">IF(Flows!AO35*AO$3*AO$4&lt;0.002,100,MAX($CM$2/(Flows!AO35*AO$3*AO$4),1))</f>
        <v>55112.7447691106</v>
      </c>
      <c r="AP65" s="10" t="n">
        <f aca="false">IF(Flows!AP35*AP$3*AP$4&lt;0.002,100,MAX($CM$2/(Flows!AP35*AP$3*AP$4),1))</f>
        <v>67543.1523023825</v>
      </c>
      <c r="AQ65" s="10" t="n">
        <f aca="false">IF(Flows!AQ35*AQ$3*AQ$4&lt;0.002,100,MAX($CM$2/(Flows!AQ35*AQ$3*AQ$4),1))</f>
        <v>87360.4168976366</v>
      </c>
      <c r="AR65" s="10" t="n">
        <f aca="false">IF(Flows!AR35*AR$3*AR$4&lt;0.002,100,MAX($CM$2/(Flows!AR35*AR$3*AR$4),1))</f>
        <v>57578.1548157318</v>
      </c>
      <c r="AS65" s="10" t="n">
        <f aca="false">IF(Flows!AS35*AS$3*AS$4&lt;0.002,100,MAX($CM$2/(Flows!AS35*AS$3*AS$4),1))</f>
        <v>2511.14596240439</v>
      </c>
      <c r="AT65" s="10" t="n">
        <f aca="false">IF(Flows!AT35*AT$3*AT$4&lt;0.002,100,MAX($CM$2/(Flows!AT35*AT$3*AT$4),1))</f>
        <v>5565.68999747465</v>
      </c>
      <c r="AU65" s="10" t="n">
        <f aca="false">IF(Flows!AU35*AU$3*AU$4&lt;0.002,100,MAX($CM$2/(Flows!AU35*AU$3*AU$4),1))</f>
        <v>1021.26720056724</v>
      </c>
      <c r="AV65" s="10" t="n">
        <f aca="false">IF(Flows!AV35*AV$3*AV$4&lt;0.002,100,MAX($CM$2/(Flows!AV35*AV$3*AV$4),1))</f>
        <v>10218.0501903058</v>
      </c>
      <c r="AW65" s="10" t="n">
        <f aca="false">IF(Flows!AW35*AW$3*AW$4&lt;0.002,100,MAX($CM$2/(Flows!AW35*AW$3*AW$4),1))</f>
        <v>276.149700100351</v>
      </c>
      <c r="AX65" s="10" t="n">
        <f aca="false">IF(Flows!AX35*AX$3*AX$4&lt;0.002,100,MAX($CM$2/(Flows!AX35*AX$3*AX$4),1))</f>
        <v>36206.1864959031</v>
      </c>
      <c r="AY65" s="10" t="n">
        <f aca="false">IF(Flows!AY35*AY$3*AY$4&lt;0.002,100,MAX($CM$2/(Flows!AY35*AY$3*AY$4),1))</f>
        <v>7299.88640537734</v>
      </c>
      <c r="AZ65" s="10" t="n">
        <f aca="false">IF(Flows!AZ35*AZ$3*AZ$4&lt;0.002,100,MAX($CM$2/(Flows!AZ35*AZ$3*AZ$4),1))</f>
        <v>1397.71853132801</v>
      </c>
      <c r="BA65" s="10" t="n">
        <f aca="false">IF(Flows!BA35*BA$3*BA$4&lt;0.002,100,MAX($CM$2/(Flows!BA35*BA$3*BA$4),1))</f>
        <v>3096.72383060936</v>
      </c>
      <c r="BB65" s="10" t="n">
        <f aca="false">IF(Flows!BB35*BB$3*BB$4&lt;0.002,100,MAX($CM$2/(Flows!BB35*BB$3*BB$4),1))</f>
        <v>7585.10536260378</v>
      </c>
      <c r="BC65" s="10" t="n">
        <f aca="false">IF(Flows!BC35*BC$3*BC$4&lt;0.002,100,MAX($CM$2/(Flows!BC35*BC$3*BC$4),1))</f>
        <v>1832.08314686218</v>
      </c>
      <c r="BD65" s="10" t="n">
        <f aca="false">IF(Flows!BD35*BD$3*BD$4&lt;0.002,100,MAX($CM$2/(Flows!BD35*BD$3*BD$4),1))</f>
        <v>14300.2158363269</v>
      </c>
      <c r="BE65" s="10" t="n">
        <f aca="false">IF(Flows!BE35*BE$3*BE$4&lt;0.002,100,MAX($CM$2/(Flows!BE35*BE$3*BE$4),1))</f>
        <v>26801.5511500318</v>
      </c>
      <c r="BF65" s="10" t="n">
        <f aca="false">IF(Flows!BF35*BF$3*BF$4&lt;0.002,100,MAX($CM$2/(Flows!BF35*BF$3*BF$4),1))</f>
        <v>2028.44611814718</v>
      </c>
      <c r="BG65" s="10" t="n">
        <f aca="false">IF(Flows!BG35*BG$3*BG$4&lt;0.002,100,MAX($CM$2/(Flows!BG35*BG$3*BG$4),1))</f>
        <v>697.520592892869</v>
      </c>
      <c r="BH65" s="10" t="n">
        <f aca="false">IF(Flows!BH35*BH$3*BH$4&lt;0.002,100,MAX($CM$2/(Flows!BH35*BH$3*BH$4),1))</f>
        <v>611038.479906607</v>
      </c>
      <c r="BI65" s="10" t="n">
        <f aca="false">IF(Flows!BI35*BI$3*BI$4&lt;0.002,100,MAX($CM$2/(Flows!BI35*BI$3*BI$4),1))</f>
        <v>261.570222334826</v>
      </c>
      <c r="BJ65" s="10" t="n">
        <f aca="false">IF(Flows!BJ35*BJ$3*BJ$4&lt;0.002,100,MAX($CM$2/(Flows!BJ35*BJ$3*BJ$4),1))</f>
        <v>13.1035827677296</v>
      </c>
      <c r="BK65" s="10" t="n">
        <f aca="false">IF(Flows!BK35*BK$3*BK$4&lt;0.002,100,MAX($CM$2/(Flows!BK35*BK$3*BK$4),1))</f>
        <v>523.140444669651</v>
      </c>
      <c r="BL65" s="10" t="n">
        <f aca="false">IF(Flows!BL35*BL$3*BL$4&lt;0.002,100,MAX($CM$2/(Flows!BL35*BL$3*BL$4),1))</f>
        <v>248.728611255321</v>
      </c>
      <c r="BM65" s="10" t="n">
        <f aca="false">IF(Flows!BM35*BM$3*BM$4&lt;0.002,100,MAX($CM$2/(Flows!BM35*BM$3*BM$4),1))</f>
        <v>83.5040565678709</v>
      </c>
      <c r="BN65" s="10" t="n">
        <f aca="false">IF(Flows!BN35*BN$3*BN$4&lt;0.002,100,MAX($CM$2/(Flows!BN35*BN$3*BN$4),1))</f>
        <v>1.04794361962035</v>
      </c>
      <c r="BO65" s="10" t="n">
        <f aca="false">IF(Flows!BO35*BO$3*BO$4&lt;0.002,100,MAX($CM$2/(Flows!BO35*BO$3*BO$4),1))</f>
        <v>322.776591714208</v>
      </c>
      <c r="BP65" s="10" t="n">
        <f aca="false">IF(Flows!BP35*BP$3*BP$4&lt;0.002,100,MAX($CM$2/(Flows!BP35*BP$3*BP$4),1))</f>
        <v>716.656955264582</v>
      </c>
      <c r="BQ65" s="10" t="n">
        <f aca="false">IF(Flows!BQ35*BQ$3*BQ$4&lt;0.002,100,MAX($CM$2/(Flows!BQ35*BQ$3*BQ$4),1))</f>
        <v>100</v>
      </c>
      <c r="BR65" s="10" t="n">
        <f aca="false">IF(Flows!BR35*BR$3*BR$4&lt;0.002,100,MAX($CM$2/(Flows!BR35*BR$3*BR$4),1))</f>
        <v>9683.29450145442</v>
      </c>
      <c r="BS65" s="10" t="n">
        <f aca="false">IF(Flows!BS35*BS$3*BS$4&lt;0.002,100,MAX($CM$2/(Flows!BS35*BS$3*BS$4),1))</f>
        <v>96832.9450145443</v>
      </c>
      <c r="BT65" s="10" t="n">
        <f aca="false">IF(Flows!BT35*BT$3*BT$4&lt;0.002,100,MAX($CM$2/(Flows!BT35*BT$3*BT$4),1))</f>
        <v>25.412000435704</v>
      </c>
      <c r="BU65" s="10" t="n">
        <f aca="false">IF(Flows!BU35*BU$3*BU$4&lt;0.002,100,MAX($CM$2/(Flows!BU35*BU$3*BU$4),1))</f>
        <v>254.12000435704</v>
      </c>
      <c r="BV65" s="10" t="n">
        <f aca="false">IF(Flows!BV35*BV$3*BV$4&lt;0.002,100,MAX($CM$2/(Flows!BV35*BV$3*BV$4),1))</f>
        <v>2541.2000435704</v>
      </c>
      <c r="BW65" s="10" t="n">
        <f aca="false">IF(Flows!BW35*BW$3*BW$4&lt;0.002,100,MAX($CM$2/(Flows!BW35*BW$3*BW$4),1))</f>
        <v>98.0664441589974</v>
      </c>
      <c r="BX65" s="10" t="n">
        <f aca="false">IF(Flows!BX35*BX$3*BX$4&lt;0.002,100,MAX($CM$2/(Flows!BX35*BX$3*BX$4),1))</f>
        <v>40.1098387362764</v>
      </c>
      <c r="BY65" s="10" t="n">
        <f aca="false">IF(Flows!BY35*BY$3*BY$4&lt;0.002,100,MAX($CM$2/(Flows!BY35*BY$3*BY$4),1))</f>
        <v>52.4539457628537</v>
      </c>
      <c r="BZ65" s="10" t="n">
        <f aca="false">IF(Flows!BZ35*BZ$3*BZ$4&lt;0.002,100,MAX($CM$2/(Flows!BZ35*BZ$3*BZ$4),1))</f>
        <v>73119.7836757571</v>
      </c>
      <c r="CA65" s="10" t="n">
        <f aca="false">IF(Flows!CA35*CA$3*CA$4&lt;0.002,100,MAX($CM$2/(Flows!CA35*CA$3*CA$4),1))</f>
        <v>26519.953545799</v>
      </c>
      <c r="CB65" s="10" t="n">
        <f aca="false">IF(Flows!CB35*CB$3*CB$4&lt;0.002,100,MAX($CM$2/(Flows!CB35*CB$3*CB$4),1))</f>
        <v>360.870784815623</v>
      </c>
      <c r="CC65" s="10" t="n">
        <f aca="false">IF(Flows!CC35*CC$3*CC$4&lt;0.002,100,MAX($CM$2/(Flows!CC35*CC$3*CC$4),1))</f>
        <v>16.8569158825301</v>
      </c>
      <c r="CD65" s="10" t="n">
        <f aca="false">IF(Flows!CD35*CD$3*CD$4&lt;0.002,100,MAX($CM$2/(Flows!CD35*CD$3*CD$4),1))</f>
        <v>239.636240122352</v>
      </c>
      <c r="CE65" s="10" t="n">
        <f aca="false">IF(Flows!CE35*CE$3*CE$4&lt;0.002,100,MAX($CM$2/(Flows!CE35*CE$3*CE$4),1))</f>
        <v>695.841405043711</v>
      </c>
      <c r="CF65" s="10" t="n">
        <f aca="false">IF(Flows!CF35*CF$3*CF$4&lt;0.002,100,MAX($CM$2/(Flows!CF35*CF$3*CF$4),1))</f>
        <v>1</v>
      </c>
      <c r="CG65" s="10" t="n">
        <f aca="false">IF(Flows!CG35*CG$3*CG$4&lt;0.002,100,MAX($CM$2/(Flows!CG35*CG$3*CG$4),1))</f>
        <v>78.3052021634316</v>
      </c>
      <c r="CH65" s="10" t="n">
        <f aca="false">IF(Flows!CH35*CH$3*CH$4&lt;0.002,100,MAX($CM$2/(Flows!CH35*CH$3*CH$4),1))</f>
        <v>47.5598394622867</v>
      </c>
      <c r="CI65" s="10" t="n">
        <f aca="false">IF(Flows!CI35*CI$3*CI$4&lt;0.002,100,MAX($CM$2/(Flows!CI35*CI$3*CI$4),1))</f>
        <v>644.902289893828</v>
      </c>
      <c r="CJ65" s="10" t="n">
        <f aca="false">IF(Flows!CJ35*CJ$3*CJ$4&lt;0.002,100,MAX($CM$2/(Flows!CJ35*CJ$3*CJ$4),1))</f>
        <v>31595.3908178851</v>
      </c>
      <c r="CK65" s="10" t="n">
        <f aca="false">IF(Flows!CK35*CK$3*CK$4&lt;0.002,100,MAX($CM$2/(Flows!CK35*CK$3*CK$4),1))</f>
        <v>5705.36011967056</v>
      </c>
      <c r="CL65" s="7" t="s">
        <v>322</v>
      </c>
    </row>
    <row r="66" customFormat="false" ht="12.8" hidden="false" customHeight="false" outlineLevel="0" collapsed="false">
      <c r="A66" s="7" t="s">
        <v>140</v>
      </c>
      <c r="B66" s="7" t="s">
        <v>39</v>
      </c>
      <c r="C66" s="10" t="n">
        <f aca="false">IF(Flows!C36*C$3*C$4&lt;0.002,100,MAX($CM$2/(Flows!C36*C$3*C$4),1))</f>
        <v>13219.8218851209</v>
      </c>
      <c r="D66" s="10" t="n">
        <f aca="false">IF(Flows!D36*D$3*D$4&lt;0.002,100,MAX($CM$2/(Flows!D36*D$3*D$4),1))</f>
        <v>2.44375767502133</v>
      </c>
      <c r="E66" s="10" t="n">
        <f aca="false">IF(Flows!E36*E$3*E$4&lt;0.002,100,MAX($CM$2/(Flows!E36*E$3*E$4),1))</f>
        <v>15.0605783968007</v>
      </c>
      <c r="F66" s="10" t="n">
        <f aca="false">IF(Flows!F36*F$3*F$4&lt;0.002,100,MAX($CM$2/(Flows!F36*F$3*F$4),1))</f>
        <v>44.4000987262241</v>
      </c>
      <c r="G66" s="10" t="n">
        <f aca="false">IF(Flows!G36*G$3*G$4&lt;0.002,100,MAX($CM$2/(Flows!G36*G$3*G$4),1))</f>
        <v>18.221112261392</v>
      </c>
      <c r="H66" s="10" t="n">
        <f aca="false">IF(Flows!H36*H$3*H$4&lt;0.002,100,MAX($CM$2/(Flows!H36*H$3*H$4),1))</f>
        <v>100</v>
      </c>
      <c r="I66" s="10" t="n">
        <f aca="false">IF(Flows!I36*I$3*I$4&lt;0.002,100,MAX($CM$2/(Flows!I36*I$3*I$4),1))</f>
        <v>4910.84564442796</v>
      </c>
      <c r="J66" s="10" t="n">
        <f aca="false">IF(Flows!J36*J$3*J$4&lt;0.002,100,MAX($CM$2/(Flows!J36*J$3*J$4),1))</f>
        <v>5828.47285503781</v>
      </c>
      <c r="K66" s="10" t="n">
        <f aca="false">IF(Flows!K36*K$3*K$4&lt;0.002,100,MAX($CM$2/(Flows!K36*K$3*K$4),1))</f>
        <v>11493.4594714975</v>
      </c>
      <c r="L66" s="10" t="n">
        <f aca="false">IF(Flows!L36*L$3*L$4&lt;0.002,100,MAX($CM$2/(Flows!L36*L$3*L$4),1))</f>
        <v>36404.0801649862</v>
      </c>
      <c r="M66" s="10" t="n">
        <f aca="false">IF(Flows!M36*M$3*M$4&lt;0.002,100,MAX($CM$2/(Flows!M36*M$3*M$4),1))</f>
        <v>24506.8262905347</v>
      </c>
      <c r="N66" s="10" t="n">
        <f aca="false">IF(Flows!N36*N$3*N$4&lt;0.002,100,MAX($CM$2/(Flows!N36*N$3*N$4),1))</f>
        <v>11.977224195594</v>
      </c>
      <c r="O66" s="10" t="n">
        <f aca="false">IF(Flows!O36*O$3*O$4&lt;0.002,100,MAX($CM$2/(Flows!O36*O$3*O$4),1))</f>
        <v>3.66563651253199</v>
      </c>
      <c r="P66" s="10" t="n">
        <f aca="false">IF(Flows!P36*P$3*P$4&lt;0.002,100,MAX($CM$2/(Flows!P36*P$3*P$4),1))</f>
        <v>6.87306846099747</v>
      </c>
      <c r="Q66" s="10" t="n">
        <f aca="false">IF(Flows!Q36*Q$3*Q$4&lt;0.002,100,MAX($CM$2/(Flows!Q36*Q$3*Q$4),1))</f>
        <v>658.643203153754</v>
      </c>
      <c r="R66" s="10" t="n">
        <f aca="false">IF(Flows!R36*R$3*R$4&lt;0.002,100,MAX($CM$2/(Flows!R36*R$3*R$4),1))</f>
        <v>34.515516927688</v>
      </c>
      <c r="S66" s="10" t="n">
        <f aca="false">IF(Flows!S36*S$3*S$4&lt;0.002,100,MAX($CM$2/(Flows!S36*S$3*S$4),1))</f>
        <v>312.034972842738</v>
      </c>
      <c r="T66" s="10" t="n">
        <f aca="false">IF(Flows!T36*T$3*T$4&lt;0.002,100,MAX($CM$2/(Flows!T36*T$3*T$4),1))</f>
        <v>558.297868076468</v>
      </c>
      <c r="U66" s="10" t="n">
        <f aca="false">IF(Flows!U36*U$3*U$4&lt;0.002,100,MAX($CM$2/(Flows!U36*U$3*U$4),1))</f>
        <v>102.111776210561</v>
      </c>
      <c r="V66" s="10" t="n">
        <f aca="false">IF(Flows!V36*V$3*V$4&lt;0.002,100,MAX($CM$2/(Flows!V36*V$3*V$4),1))</f>
        <v>495.526335454072</v>
      </c>
      <c r="W66" s="10" t="n">
        <f aca="false">IF(Flows!W36*W$3*W$4&lt;0.002,100,MAX($CM$2/(Flows!W36*W$3*W$4),1))</f>
        <v>21.976818138977</v>
      </c>
      <c r="X66" s="10" t="n">
        <f aca="false">IF(Flows!X36*X$3*X$4&lt;0.002,100,MAX($CM$2/(Flows!X36*X$3*X$4),1))</f>
        <v>2.72840236654045</v>
      </c>
      <c r="Y66" s="10" t="n">
        <f aca="false">IF(Flows!Y36*Y$3*Y$4&lt;0.002,100,MAX($CM$2/(Flows!Y36*Y$3*Y$4),1))</f>
        <v>182.020400824931</v>
      </c>
      <c r="Z66" s="10" t="n">
        <f aca="false">IF(Flows!Z36*Z$3*Z$4&lt;0.002,100,MAX($CM$2/(Flows!Z36*Z$3*Z$4),1))</f>
        <v>18233.8951337319</v>
      </c>
      <c r="AA66" s="10" t="n">
        <f aca="false">IF(Flows!AA36*AA$3*AA$4&lt;0.002,100,MAX($CM$2/(Flows!AA36*AA$3*AA$4),1))</f>
        <v>20592.3295414846</v>
      </c>
      <c r="AB66" s="10" t="n">
        <f aca="false">IF(Flows!AB36*AB$3*AB$4&lt;0.002,100,MAX($CM$2/(Flows!AB36*AB$3*AB$4),1))</f>
        <v>16139.9377105114</v>
      </c>
      <c r="AC66" s="10" t="n">
        <f aca="false">IF(Flows!AC36*AC$3*AC$4&lt;0.002,100,MAX($CM$2/(Flows!AC36*AC$3*AC$4),1))</f>
        <v>95930.479277043</v>
      </c>
      <c r="AD66" s="10" t="n">
        <f aca="false">IF(Flows!AD36*AD$3*AD$4&lt;0.002,100,MAX($CM$2/(Flows!AD36*AD$3*AD$4),1))</f>
        <v>101669.070068823</v>
      </c>
      <c r="AE66" s="10" t="n">
        <f aca="false">IF(Flows!AE36*AE$3*AE$4&lt;0.002,100,MAX($CM$2/(Flows!AE36*AE$3*AE$4),1))</f>
        <v>3048790.71609251</v>
      </c>
      <c r="AF66" s="10" t="n">
        <f aca="false">IF(Flows!AF36*AF$3*AF$4&lt;0.002,100,MAX($CM$2/(Flows!AF36*AF$3*AF$4),1))</f>
        <v>788.318393071036</v>
      </c>
      <c r="AG66" s="10" t="n">
        <f aca="false">IF(Flows!AG36*AG$3*AG$4&lt;0.002,100,MAX($CM$2/(Flows!AG36*AG$3*AG$4),1))</f>
        <v>2703.09842258557</v>
      </c>
      <c r="AH66" s="10" t="n">
        <f aca="false">IF(Flows!AH36*AH$3*AH$4&lt;0.002,100,MAX($CM$2/(Flows!AH36*AH$3*AH$4),1))</f>
        <v>642.060716550731</v>
      </c>
      <c r="AI66" s="10" t="n">
        <f aca="false">IF(Flows!AI36*AI$3*AI$4&lt;0.002,100,MAX($CM$2/(Flows!AI36*AI$3*AI$4),1))</f>
        <v>3774.68457092469</v>
      </c>
      <c r="AJ66" s="10" t="n">
        <f aca="false">IF(Flows!AJ36*AJ$3*AJ$4&lt;0.002,100,MAX($CM$2/(Flows!AJ36*AJ$3*AJ$4),1))</f>
        <v>1559.57439252124</v>
      </c>
      <c r="AK66" s="10" t="n">
        <f aca="false">IF(Flows!AK36*AK$3*AK$4&lt;0.002,100,MAX($CM$2/(Flows!AK36*AK$3*AK$4),1))</f>
        <v>2795.42853626241</v>
      </c>
      <c r="AL66" s="10" t="n">
        <f aca="false">IF(Flows!AL36*AL$3*AL$4&lt;0.002,100,MAX($CM$2/(Flows!AL36*AL$3*AL$4),1))</f>
        <v>699.099455458799</v>
      </c>
      <c r="AM66" s="10" t="n">
        <f aca="false">IF(Flows!AM36*AM$3*AM$4&lt;0.002,100,MAX($CM$2/(Flows!AM36*AM$3*AM$4),1))</f>
        <v>3801.58972876201</v>
      </c>
      <c r="AN66" s="10" t="n">
        <f aca="false">IF(Flows!AN36*AN$3*AN$4&lt;0.002,100,MAX($CM$2/(Flows!AN36*AN$3*AN$4),1))</f>
        <v>14069.2592410157</v>
      </c>
      <c r="AO66" s="10" t="n">
        <f aca="false">IF(Flows!AO36*AO$3*AO$4&lt;0.002,100,MAX($CM$2/(Flows!AO36*AO$3*AO$4),1))</f>
        <v>19584.2830385537</v>
      </c>
      <c r="AP66" s="10" t="n">
        <f aca="false">IF(Flows!AP36*AP$3*AP$4&lt;0.002,100,MAX($CM$2/(Flows!AP36*AP$3*AP$4),1))</f>
        <v>82065.5308037161</v>
      </c>
      <c r="AQ66" s="10" t="n">
        <f aca="false">IF(Flows!AQ36*AQ$3*AQ$4&lt;0.002,100,MAX($CM$2/(Flows!AQ36*AQ$3*AQ$4),1))</f>
        <v>161484.826316539</v>
      </c>
      <c r="AR66" s="10" t="n">
        <f aca="false">IF(Flows!AR36*AR$3*AR$4&lt;0.002,100,MAX($CM$2/(Flows!AR36*AR$3*AR$4),1))</f>
        <v>14606.6619955834</v>
      </c>
      <c r="AS66" s="10" t="n">
        <f aca="false">IF(Flows!AS36*AS$3*AS$4&lt;0.002,100,MAX($CM$2/(Flows!AS36*AS$3*AS$4),1))</f>
        <v>3511.45511387426</v>
      </c>
      <c r="AT66" s="10" t="n">
        <f aca="false">IF(Flows!AT36*AT$3*AT$4&lt;0.002,100,MAX($CM$2/(Flows!AT36*AT$3*AT$4),1))</f>
        <v>832.340160784777</v>
      </c>
      <c r="AU66" s="10" t="n">
        <f aca="false">IF(Flows!AU36*AU$3*AU$4&lt;0.002,100,MAX($CM$2/(Flows!AU36*AU$3*AU$4),1))</f>
        <v>5988.58933971353</v>
      </c>
      <c r="AV66" s="10" t="n">
        <f aca="false">IF(Flows!AV36*AV$3*AV$4&lt;0.002,100,MAX($CM$2/(Flows!AV36*AV$3*AV$4),1))</f>
        <v>407136.479089236</v>
      </c>
      <c r="AW66" s="10" t="n">
        <f aca="false">IF(Flows!AW36*AW$3*AW$4&lt;0.002,100,MAX($CM$2/(Flows!AW36*AW$3*AW$4),1))</f>
        <v>29.7036607283582</v>
      </c>
      <c r="AX66" s="10" t="n">
        <f aca="false">IF(Flows!AX36*AX$3*AX$4&lt;0.002,100,MAX($CM$2/(Flows!AX36*AX$3*AX$4),1))</f>
        <v>4001.3626382249</v>
      </c>
      <c r="AY66" s="10" t="n">
        <f aca="false">IF(Flows!AY36*AY$3*AY$4&lt;0.002,100,MAX($CM$2/(Flows!AY36*AY$3*AY$4),1))</f>
        <v>863.414039438287</v>
      </c>
      <c r="AZ66" s="10" t="n">
        <f aca="false">IF(Flows!AZ36*AZ$3*AZ$4&lt;0.002,100,MAX($CM$2/(Flows!AZ36*AZ$3*AZ$4),1))</f>
        <v>204.820542328995</v>
      </c>
      <c r="BA66" s="10" t="n">
        <f aca="false">IF(Flows!BA36*BA$3*BA$4&lt;0.002,100,MAX($CM$2/(Flows!BA36*BA$3*BA$4),1))</f>
        <v>1856.6080884143</v>
      </c>
      <c r="BB66" s="10" t="n">
        <f aca="false">IF(Flows!BB36*BB$3*BB$4&lt;0.002,100,MAX($CM$2/(Flows!BB36*BB$3*BB$4),1))</f>
        <v>11552.4778442868</v>
      </c>
      <c r="BC66" s="10" t="n">
        <f aca="false">IF(Flows!BC36*BC$3*BC$4&lt;0.002,100,MAX($CM$2/(Flows!BC36*BC$3*BC$4),1))</f>
        <v>5734.90104794056</v>
      </c>
      <c r="BD66" s="10" t="n">
        <f aca="false">IF(Flows!BD36*BD$3*BD$4&lt;0.002,100,MAX($CM$2/(Flows!BD36*BD$3*BD$4),1))</f>
        <v>7312.02999916568</v>
      </c>
      <c r="BE66" s="10" t="n">
        <f aca="false">IF(Flows!BE36*BE$3*BE$4&lt;0.002,100,MAX($CM$2/(Flows!BE36*BE$3*BE$4),1))</f>
        <v>217503.309730805</v>
      </c>
      <c r="BF66" s="10" t="n">
        <f aca="false">IF(Flows!BF36*BF$3*BF$4&lt;0.002,100,MAX($CM$2/(Flows!BF36*BF$3*BF$4),1))</f>
        <v>540.169916402467</v>
      </c>
      <c r="BG66" s="10" t="n">
        <f aca="false">IF(Flows!BG36*BG$3*BG$4&lt;0.002,100,MAX($CM$2/(Flows!BG36*BG$3*BG$4),1))</f>
        <v>288.861893650638</v>
      </c>
      <c r="BH66" s="10" t="n">
        <f aca="false">IF(Flows!BH36*BH$3*BH$4&lt;0.002,100,MAX($CM$2/(Flows!BH36*BH$3*BH$4),1))</f>
        <v>144.430946825319</v>
      </c>
      <c r="BI66" s="10" t="n">
        <f aca="false">IF(Flows!BI36*BI$3*BI$4&lt;0.002,100,MAX($CM$2/(Flows!BI36*BI$3*BI$4),1))</f>
        <v>108.323210118989</v>
      </c>
      <c r="BJ66" s="10" t="n">
        <f aca="false">IF(Flows!BJ36*BJ$3*BJ$4&lt;0.002,100,MAX($CM$2/(Flows!BJ36*BJ$3*BJ$4),1))</f>
        <v>9.03408602746005</v>
      </c>
      <c r="BK66" s="10" t="n">
        <f aca="false">IF(Flows!BK36*BK$3*BK$4&lt;0.002,100,MAX($CM$2/(Flows!BK36*BK$3*BK$4),1))</f>
        <v>216.646420237979</v>
      </c>
      <c r="BL66" s="10" t="n">
        <f aca="false">IF(Flows!BL36*BL$3*BL$4&lt;0.002,100,MAX($CM$2/(Flows!BL36*BL$3*BL$4),1))</f>
        <v>206.336320923788</v>
      </c>
      <c r="BM66" s="10" t="n">
        <f aca="false">IF(Flows!BM36*BM$3*BM$4&lt;0.002,100,MAX($CM$2/(Flows!BM36*BM$3*BM$4),1))</f>
        <v>133.921780661968</v>
      </c>
      <c r="BN66" s="10" t="n">
        <f aca="false">IF(Flows!BN36*BN$3*BN$4&lt;0.002,100,MAX($CM$2/(Flows!BN36*BN$3*BN$4),1))</f>
        <v>469386.117970097</v>
      </c>
      <c r="BO66" s="10" t="n">
        <f aca="false">IF(Flows!BO36*BO$3*BO$4&lt;0.002,100,MAX($CM$2/(Flows!BO36*BO$3*BO$4),1))</f>
        <v>23.4362647490566</v>
      </c>
      <c r="BP66" s="10" t="n">
        <f aca="false">IF(Flows!BP36*BP$3*BP$4&lt;0.002,100,MAX($CM$2/(Flows!BP36*BP$3*BP$4),1))</f>
        <v>77.9608209872296</v>
      </c>
      <c r="BQ66" s="10" t="n">
        <f aca="false">IF(Flows!BQ36*BQ$3*BQ$4&lt;0.002,100,MAX($CM$2/(Flows!BQ36*BQ$3*BQ$4),1))</f>
        <v>100</v>
      </c>
      <c r="BR66" s="10" t="n">
        <f aca="false">IF(Flows!BR36*BR$3*BR$4&lt;0.002,100,MAX($CM$2/(Flows!BR36*BR$3*BR$4),1))</f>
        <v>703.087668933626</v>
      </c>
      <c r="BS66" s="10" t="n">
        <f aca="false">IF(Flows!BS36*BS$3*BS$4&lt;0.002,100,MAX($CM$2/(Flows!BS36*BS$3*BS$4),1))</f>
        <v>7030.87668933626</v>
      </c>
      <c r="BT66" s="10" t="n">
        <f aca="false">IF(Flows!BT36*BT$3*BT$4&lt;0.002,100,MAX($CM$2/(Flows!BT36*BT$3*BT$4),1))</f>
        <v>3.80281619573118</v>
      </c>
      <c r="BU66" s="10" t="n">
        <f aca="false">IF(Flows!BU36*BU$3*BU$4&lt;0.002,100,MAX($CM$2/(Flows!BU36*BU$3*BU$4),1))</f>
        <v>38.0281619573118</v>
      </c>
      <c r="BV66" s="10" t="n">
        <f aca="false">IF(Flows!BV36*BV$3*BV$4&lt;0.002,100,MAX($CM$2/(Flows!BV36*BV$3*BV$4),1))</f>
        <v>380.281619573118</v>
      </c>
      <c r="BW66" s="10" t="n">
        <f aca="false">IF(Flows!BW36*BW$3*BW$4&lt;0.002,100,MAX($CM$2/(Flows!BW36*BW$3*BW$4),1))</f>
        <v>29.0151455675865</v>
      </c>
      <c r="BX66" s="10" t="n">
        <f aca="false">IF(Flows!BX36*BX$3*BX$4&lt;0.002,100,MAX($CM$2/(Flows!BX36*BX$3*BX$4),1))</f>
        <v>20.928100036785</v>
      </c>
      <c r="BY66" s="10" t="n">
        <f aca="false">IF(Flows!BY36*BY$3*BY$4&lt;0.002,100,MAX($CM$2/(Flows!BY36*BY$3*BY$4),1))</f>
        <v>47.750655976926</v>
      </c>
      <c r="BZ66" s="10" t="n">
        <f aca="false">IF(Flows!BZ36*BZ$3*BZ$4&lt;0.002,100,MAX($CM$2/(Flows!BZ36*BZ$3*BZ$4),1))</f>
        <v>47088.3107699657</v>
      </c>
      <c r="CA66" s="10" t="n">
        <f aca="false">IF(Flows!CA36*CA$3*CA$4&lt;0.002,100,MAX($CM$2/(Flows!CA36*CA$3*CA$4),1))</f>
        <v>153060.993929344</v>
      </c>
      <c r="CB66" s="10" t="n">
        <f aca="false">IF(Flows!CB36*CB$3*CB$4&lt;0.002,100,MAX($CM$2/(Flows!CB36*CB$3*CB$4),1))</f>
        <v>97.8469911718512</v>
      </c>
      <c r="CC66" s="10" t="n">
        <f aca="false">IF(Flows!CC36*CC$3*CC$4&lt;0.002,100,MAX($CM$2/(Flows!CC36*CC$3*CC$4),1))</f>
        <v>47.7190462804872</v>
      </c>
      <c r="CD66" s="10" t="n">
        <f aca="false">IF(Flows!CD36*CD$3*CD$4&lt;0.002,100,MAX($CM$2/(Flows!CD36*CD$3*CD$4),1))</f>
        <v>81.2124548337986</v>
      </c>
      <c r="CE66" s="10" t="n">
        <f aca="false">IF(Flows!CE36*CE$3*CE$4&lt;0.002,100,MAX($CM$2/(Flows!CE36*CE$3*CE$4),1))</f>
        <v>14.5890622805781</v>
      </c>
      <c r="CF66" s="10" t="n">
        <f aca="false">IF(Flows!CF36*CF$3*CF$4&lt;0.002,100,MAX($CM$2/(Flows!CF36*CF$3*CF$4),1))</f>
        <v>1</v>
      </c>
      <c r="CG66" s="10" t="n">
        <f aca="false">IF(Flows!CG36*CG$3*CG$4&lt;0.002,100,MAX($CM$2/(Flows!CG36*CG$3*CG$4),1))</f>
        <v>67.6608649708958</v>
      </c>
      <c r="CH66" s="10" t="n">
        <f aca="false">IF(Flows!CH36*CH$3*CH$4&lt;0.002,100,MAX($CM$2/(Flows!CH36*CH$3*CH$4),1))</f>
        <v>874.949483843602</v>
      </c>
      <c r="CI66" s="10" t="n">
        <f aca="false">IF(Flows!CI36*CI$3*CI$4&lt;0.002,100,MAX($CM$2/(Flows!CI36*CI$3*CI$4),1))</f>
        <v>246.981806007446</v>
      </c>
      <c r="CJ66" s="10" t="n">
        <f aca="false">IF(Flows!CJ36*CJ$3*CJ$4&lt;0.002,100,MAX($CM$2/(Flows!CJ36*CJ$3*CJ$4),1))</f>
        <v>11243.4309646392</v>
      </c>
      <c r="CK66" s="10" t="n">
        <f aca="false">IF(Flows!CK36*CK$3*CK$4&lt;0.002,100,MAX($CM$2/(Flows!CK36*CK$3*CK$4),1))</f>
        <v>883.365207256868</v>
      </c>
      <c r="CL66" s="7" t="s">
        <v>322</v>
      </c>
    </row>
    <row r="67" customFormat="false" ht="12.8" hidden="false" customHeight="false" outlineLevel="0" collapsed="false">
      <c r="A67" s="7" t="s">
        <v>141</v>
      </c>
      <c r="B67" s="7" t="s">
        <v>39</v>
      </c>
      <c r="C67" s="10" t="n">
        <f aca="false">IF(Flows!C37*C$3*C$4&lt;0.002,100,MAX($CM$2/(Flows!C37*C$3*C$4),1))</f>
        <v>9807.26339670212</v>
      </c>
      <c r="D67" s="10" t="n">
        <f aca="false">IF(Flows!D37*D$3*D$4&lt;0.002,100,MAX($CM$2/(Flows!D37*D$3*D$4),1))</f>
        <v>2.04401726784377</v>
      </c>
      <c r="E67" s="10" t="n">
        <f aca="false">IF(Flows!E37*E$3*E$4&lt;0.002,100,MAX($CM$2/(Flows!E37*E$3*E$4),1))</f>
        <v>12.6245699626398</v>
      </c>
      <c r="F67" s="10" t="n">
        <f aca="false">IF(Flows!F37*F$3*F$4&lt;0.002,100,MAX($CM$2/(Flows!F37*F$3*F$4),1))</f>
        <v>43.1200929645503</v>
      </c>
      <c r="G67" s="10" t="n">
        <f aca="false">IF(Flows!G37*G$3*G$4&lt;0.002,100,MAX($CM$2/(Flows!G37*G$3*G$4),1))</f>
        <v>26.0191939398998</v>
      </c>
      <c r="H67" s="10" t="n">
        <f aca="false">IF(Flows!H37*H$3*H$4&lt;0.002,100,MAX($CM$2/(Flows!H37*H$3*H$4),1))</f>
        <v>100</v>
      </c>
      <c r="I67" s="10" t="n">
        <f aca="false">IF(Flows!I37*I$3*I$4&lt;0.002,100,MAX($CM$2/(Flows!I37*I$3*I$4),1))</f>
        <v>3146.437855716</v>
      </c>
      <c r="J67" s="10" t="n">
        <f aca="false">IF(Flows!J37*J$3*J$4&lt;0.002,100,MAX($CM$2/(Flows!J37*J$3*J$4),1))</f>
        <v>7625.34807442618</v>
      </c>
      <c r="K67" s="10" t="n">
        <f aca="false">IF(Flows!K37*K$3*K$4&lt;0.002,100,MAX($CM$2/(Flows!K37*K$3*K$4),1))</f>
        <v>9805.65151248811</v>
      </c>
      <c r="L67" s="10" t="n">
        <f aca="false">IF(Flows!L37*L$3*L$4&lt;0.002,100,MAX($CM$2/(Flows!L37*L$3*L$4),1))</f>
        <v>30704.3915917471</v>
      </c>
      <c r="M67" s="10" t="n">
        <f aca="false">IF(Flows!M37*M$3*M$4&lt;0.002,100,MAX($CM$2/(Flows!M37*M$3*M$4),1))</f>
        <v>20644.7881887555</v>
      </c>
      <c r="N67" s="10" t="n">
        <f aca="false">IF(Flows!N37*N$3*N$4&lt;0.002,100,MAX($CM$2/(Flows!N37*N$3*N$4),1))</f>
        <v>9.10611236479425</v>
      </c>
      <c r="O67" s="10" t="n">
        <f aca="false">IF(Flows!O37*O$3*O$4&lt;0.002,100,MAX($CM$2/(Flows!O37*O$3*O$4),1))</f>
        <v>3.06602590176566</v>
      </c>
      <c r="P67" s="10" t="n">
        <f aca="false">IF(Flows!P37*P$3*P$4&lt;0.002,100,MAX($CM$2/(Flows!P37*P$3*P$4),1))</f>
        <v>5.7487985658106</v>
      </c>
      <c r="Q67" s="10" t="n">
        <f aca="false">IF(Flows!Q37*Q$3*Q$4&lt;0.002,100,MAX($CM$2/(Flows!Q37*Q$3*Q$4),1))</f>
        <v>777.41719649021</v>
      </c>
      <c r="R67" s="10" t="n">
        <f aca="false">IF(Flows!R37*R$3*R$4&lt;0.002,100,MAX($CM$2/(Flows!R37*R$3*R$4),1))</f>
        <v>23.7231775977961</v>
      </c>
      <c r="S67" s="10" t="n">
        <f aca="false">IF(Flows!S37*S$3*S$4&lt;0.002,100,MAX($CM$2/(Flows!S37*S$3*S$4),1))</f>
        <v>263.180499357832</v>
      </c>
      <c r="T67" s="10" t="n">
        <f aca="false">IF(Flows!T37*T$3*T$4&lt;0.002,100,MAX($CM$2/(Flows!T37*T$3*T$4),1))</f>
        <v>470.886677772591</v>
      </c>
      <c r="U67" s="10" t="n">
        <f aca="false">IF(Flows!U37*U$3*U$4&lt;0.002,100,MAX($CM$2/(Flows!U37*U$3*U$4),1))</f>
        <v>86.0199507864813</v>
      </c>
      <c r="V67" s="10" t="n">
        <f aca="false">IF(Flows!V37*V$3*V$4&lt;0.002,100,MAX($CM$2/(Flows!V37*V$3*V$4),1))</f>
        <v>232.316456887114</v>
      </c>
      <c r="W67" s="10" t="n">
        <f aca="false">IF(Flows!W37*W$3*W$4&lt;0.002,100,MAX($CM$2/(Flows!W37*W$3*W$4),1))</f>
        <v>5.9761657292702</v>
      </c>
      <c r="X67" s="10" t="n">
        <f aca="false">IF(Flows!X37*X$3*X$4&lt;0.002,100,MAX($CM$2/(Flows!X37*X$3*X$4),1))</f>
        <v>5.32106200989675</v>
      </c>
      <c r="Y67" s="10" t="n">
        <f aca="false">IF(Flows!Y37*Y$3*Y$4&lt;0.002,100,MAX($CM$2/(Flows!Y37*Y$3*Y$4),1))</f>
        <v>153.521957958736</v>
      </c>
      <c r="Z67" s="10" t="n">
        <f aca="false">IF(Flows!Z37*Z$3*Z$4&lt;0.002,100,MAX($CM$2/(Flows!Z37*Z$3*Z$4),1))</f>
        <v>16435.929552001</v>
      </c>
      <c r="AA67" s="10" t="n">
        <f aca="false">IF(Flows!AA37*AA$3*AA$4&lt;0.002,100,MAX($CM$2/(Flows!AA37*AA$3*AA$4),1))</f>
        <v>16367.0083255887</v>
      </c>
      <c r="AB67" s="10" t="n">
        <f aca="false">IF(Flows!AB37*AB$3*AB$4&lt;0.002,100,MAX($CM$2/(Flows!AB37*AB$3*AB$4),1))</f>
        <v>13529.345782781</v>
      </c>
      <c r="AC67" s="10" t="n">
        <f aca="false">IF(Flows!AC37*AC$3*AC$4&lt;0.002,100,MAX($CM$2/(Flows!AC37*AC$3*AC$4),1))</f>
        <v>94702.0613246847</v>
      </c>
      <c r="AD67" s="10" t="n">
        <f aca="false">IF(Flows!AD37*AD$3*AD$4&lt;0.002,100,MAX($CM$2/(Flows!AD37*AD$3*AD$4),1))</f>
        <v>85224.3688325433</v>
      </c>
      <c r="AE67" s="10" t="n">
        <f aca="false">IF(Flows!AE37*AE$3*AE$4&lt;0.002,100,MAX($CM$2/(Flows!AE37*AE$3*AE$4),1))</f>
        <v>196821.337899416</v>
      </c>
      <c r="AF67" s="10" t="n">
        <f aca="false">IF(Flows!AF37*AF$3*AF$4&lt;0.002,100,MAX($CM$2/(Flows!AF37*AF$3*AF$4),1))</f>
        <v>1693.50370342177</v>
      </c>
      <c r="AG67" s="10" t="n">
        <f aca="false">IF(Flows!AG37*AG$3*AG$4&lt;0.002,100,MAX($CM$2/(Flows!AG37*AG$3*AG$4),1))</f>
        <v>876.259101648793</v>
      </c>
      <c r="AH67" s="10" t="n">
        <f aca="false">IF(Flows!AH37*AH$3*AH$4&lt;0.002,100,MAX($CM$2/(Flows!AH37*AH$3*AH$4),1))</f>
        <v>354.815537776628</v>
      </c>
      <c r="AI67" s="10" t="n">
        <f aca="false">IF(Flows!AI37*AI$3*AI$4&lt;0.002,100,MAX($CM$2/(Flows!AI37*AI$3*AI$4),1))</f>
        <v>5939.802103788</v>
      </c>
      <c r="AJ67" s="10" t="n">
        <f aca="false">IF(Flows!AJ37*AJ$3*AJ$4&lt;0.002,100,MAX($CM$2/(Flows!AJ37*AJ$3*AJ$4),1))</f>
        <v>2311.13576303441</v>
      </c>
      <c r="AK67" s="10" t="n">
        <f aca="false">IF(Flows!AK37*AK$3*AK$4&lt;0.002,100,MAX($CM$2/(Flows!AK37*AK$3*AK$4),1))</f>
        <v>972.754590079964</v>
      </c>
      <c r="AL67" s="10" t="n">
        <f aca="false">IF(Flows!AL37*AL$3*AL$4&lt;0.002,100,MAX($CM$2/(Flows!AL37*AL$3*AL$4),1))</f>
        <v>2326.34156437118</v>
      </c>
      <c r="AM67" s="10" t="n">
        <f aca="false">IF(Flows!AM37*AM$3*AM$4&lt;0.002,100,MAX($CM$2/(Flows!AM37*AM$3*AM$4),1))</f>
        <v>964.95323453437</v>
      </c>
      <c r="AN67" s="10" t="n">
        <f aca="false">IF(Flows!AN37*AN$3*AN$4&lt;0.002,100,MAX($CM$2/(Flows!AN37*AN$3*AN$4),1))</f>
        <v>3608.03524373461</v>
      </c>
      <c r="AO67" s="10" t="n">
        <f aca="false">IF(Flows!AO37*AO$3*AO$4&lt;0.002,100,MAX($CM$2/(Flows!AO37*AO$3*AO$4),1))</f>
        <v>163767.816061272</v>
      </c>
      <c r="AP67" s="10" t="n">
        <f aca="false">IF(Flows!AP37*AP$3*AP$4&lt;0.002,100,MAX($CM$2/(Flows!AP37*AP$3*AP$4),1))</f>
        <v>32815.4158633553</v>
      </c>
      <c r="AQ67" s="10" t="n">
        <f aca="false">IF(Flows!AQ37*AQ$3*AQ$4&lt;0.002,100,MAX($CM$2/(Flows!AQ37*AQ$3*AQ$4),1))</f>
        <v>13530.4393555747</v>
      </c>
      <c r="AR67" s="10" t="n">
        <f aca="false">IF(Flows!AR37*AR$3*AR$4&lt;0.002,100,MAX($CM$2/(Flows!AR37*AR$3*AR$4),1))</f>
        <v>21194.7380572423</v>
      </c>
      <c r="AS67" s="10" t="n">
        <f aca="false">IF(Flows!AS37*AS$3*AS$4&lt;0.002,100,MAX($CM$2/(Flows!AS37*AS$3*AS$4),1))</f>
        <v>6589.42454200738</v>
      </c>
      <c r="AT67" s="10" t="n">
        <f aca="false">IF(Flows!AT37*AT$3*AT$4&lt;0.002,100,MAX($CM$2/(Flows!AT37*AT$3*AT$4),1))</f>
        <v>1613.34089869975</v>
      </c>
      <c r="AU67" s="10" t="n">
        <f aca="false">IF(Flows!AU37*AU$3*AU$4&lt;0.002,100,MAX($CM$2/(Flows!AU37*AU$3*AU$4),1))</f>
        <v>822.417005304157</v>
      </c>
      <c r="AV67" s="10" t="n">
        <f aca="false">IF(Flows!AV37*AV$3*AV$4&lt;0.002,100,MAX($CM$2/(Flows!AV37*AV$3*AV$4),1))</f>
        <v>11725.8167292558</v>
      </c>
      <c r="AW67" s="10" t="n">
        <f aca="false">IF(Flows!AW37*AW$3*AW$4&lt;0.002,100,MAX($CM$2/(Flows!AW37*AW$3*AW$4),1))</f>
        <v>28.7073296029275</v>
      </c>
      <c r="AX67" s="10" t="n">
        <f aca="false">IF(Flows!AX37*AX$3*AX$4&lt;0.002,100,MAX($CM$2/(Flows!AX37*AX$3*AX$4),1))</f>
        <v>1726.21954421811</v>
      </c>
      <c r="AY67" s="10" t="n">
        <f aca="false">IF(Flows!AY37*AY$3*AY$4&lt;0.002,100,MAX($CM$2/(Flows!AY37*AY$3*AY$4),1))</f>
        <v>922.242225538249</v>
      </c>
      <c r="AZ67" s="10" t="n">
        <f aca="false">IF(Flows!AZ37*AZ$3*AZ$4&lt;0.002,100,MAX($CM$2/(Flows!AZ37*AZ$3*AZ$4),1))</f>
        <v>211.926151366484</v>
      </c>
      <c r="BA67" s="10" t="n">
        <f aca="false">IF(Flows!BA37*BA$3*BA$4&lt;0.002,100,MAX($CM$2/(Flows!BA37*BA$3*BA$4),1))</f>
        <v>1565.9239711791</v>
      </c>
      <c r="BB67" s="10" t="n">
        <f aca="false">IF(Flows!BB37*BB$3*BB$4&lt;0.002,100,MAX($CM$2/(Flows!BB37*BB$3*BB$4),1))</f>
        <v>5296.4772172398</v>
      </c>
      <c r="BC67" s="10" t="n">
        <f aca="false">IF(Flows!BC37*BC$3*BC$4&lt;0.002,100,MAX($CM$2/(Flows!BC37*BC$3*BC$4),1))</f>
        <v>10009.8484399031</v>
      </c>
      <c r="BD67" s="10" t="n">
        <f aca="false">IF(Flows!BD37*BD$3*BD$4&lt;0.002,100,MAX($CM$2/(Flows!BD37*BD$3*BD$4),1))</f>
        <v>12447.8054579263</v>
      </c>
      <c r="BE67" s="10" t="n">
        <f aca="false">IF(Flows!BE37*BE$3*BE$4&lt;0.002,100,MAX($CM$2/(Flows!BE37*BE$3*BE$4),1))</f>
        <v>99278.6454554694</v>
      </c>
      <c r="BF67" s="10" t="n">
        <f aca="false">IF(Flows!BF37*BF$3*BF$4&lt;0.002,100,MAX($CM$2/(Flows!BF37*BF$3*BF$4),1))</f>
        <v>1661.91178685935</v>
      </c>
      <c r="BG67" s="10" t="n">
        <f aca="false">IF(Flows!BG37*BG$3*BG$4&lt;0.002,100,MAX($CM$2/(Flows!BG37*BG$3*BG$4),1))</f>
        <v>242.139251883431</v>
      </c>
      <c r="BH67" s="10" t="n">
        <f aca="false">IF(Flows!BH37*BH$3*BH$4&lt;0.002,100,MAX($CM$2/(Flows!BH37*BH$3*BH$4),1))</f>
        <v>121.069625941716</v>
      </c>
      <c r="BI67" s="10" t="n">
        <f aca="false">IF(Flows!BI37*BI$3*BI$4&lt;0.002,100,MAX($CM$2/(Flows!BI37*BI$3*BI$4),1))</f>
        <v>90.8022194562869</v>
      </c>
      <c r="BJ67" s="10" t="n">
        <f aca="false">IF(Flows!BJ37*BJ$3*BJ$4&lt;0.002,100,MAX($CM$2/(Flows!BJ37*BJ$3*BJ$4),1))</f>
        <v>3.9953603060976</v>
      </c>
      <c r="BK67" s="10" t="n">
        <f aca="false">IF(Flows!BK37*BK$3*BK$4&lt;0.002,100,MAX($CM$2/(Flows!BK37*BK$3*BK$4),1))</f>
        <v>181.604438912574</v>
      </c>
      <c r="BL67" s="10" t="n">
        <f aca="false">IF(Flows!BL37*BL$3*BL$4&lt;0.002,100,MAX($CM$2/(Flows!BL37*BL$3*BL$4),1))</f>
        <v>171.333753308957</v>
      </c>
      <c r="BM67" s="10" t="n">
        <f aca="false">IF(Flows!BM37*BM$3*BM$4&lt;0.002,100,MAX($CM$2/(Flows!BM37*BM$3*BM$4),1))</f>
        <v>172.601338617489</v>
      </c>
      <c r="BN67" s="10" t="n">
        <f aca="false">IF(Flows!BN37*BN$3*BN$4&lt;0.002,100,MAX($CM$2/(Flows!BN37*BN$3*BN$4),1))</f>
        <v>218712.974952739</v>
      </c>
      <c r="BO67" s="10" t="n">
        <f aca="false">IF(Flows!BO37*BO$3*BO$4&lt;0.002,100,MAX($CM$2/(Flows!BO37*BO$3*BO$4),1))</f>
        <v>29.4556957152375</v>
      </c>
      <c r="BP67" s="10" t="n">
        <f aca="false">IF(Flows!BP37*BP$3*BP$4&lt;0.002,100,MAX($CM$2/(Flows!BP37*BP$3*BP$4),1))</f>
        <v>85.7692748727365</v>
      </c>
      <c r="BQ67" s="10" t="n">
        <f aca="false">IF(Flows!BQ37*BQ$3*BQ$4&lt;0.002,100,MAX($CM$2/(Flows!BQ37*BQ$3*BQ$4),1))</f>
        <v>100</v>
      </c>
      <c r="BR67" s="10" t="n">
        <f aca="false">IF(Flows!BR37*BR$3*BR$4&lt;0.002,100,MAX($CM$2/(Flows!BR37*BR$3*BR$4),1))</f>
        <v>883.66961688057</v>
      </c>
      <c r="BS67" s="10" t="n">
        <f aca="false">IF(Flows!BS37*BS$3*BS$4&lt;0.002,100,MAX($CM$2/(Flows!BS37*BS$3*BS$4),1))</f>
        <v>8836.6961688057</v>
      </c>
      <c r="BT67" s="10" t="n">
        <f aca="false">IF(Flows!BT37*BT$3*BT$4&lt;0.002,100,MAX($CM$2/(Flows!BT37*BT$3*BT$4),1))</f>
        <v>3.84810383615247</v>
      </c>
      <c r="BU67" s="10" t="n">
        <f aca="false">IF(Flows!BU37*BU$3*BU$4&lt;0.002,100,MAX($CM$2/(Flows!BU37*BU$3*BU$4),1))</f>
        <v>38.4810383615247</v>
      </c>
      <c r="BV67" s="10" t="n">
        <f aca="false">IF(Flows!BV37*BV$3*BV$4&lt;0.002,100,MAX($CM$2/(Flows!BV37*BV$3*BV$4),1))</f>
        <v>384.810383615247</v>
      </c>
      <c r="BW67" s="10" t="n">
        <f aca="false">IF(Flows!BW37*BW$3*BW$4&lt;0.002,100,MAX($CM$2/(Flows!BW37*BW$3*BW$4),1))</f>
        <v>24.3220230686483</v>
      </c>
      <c r="BX67" s="10" t="n">
        <f aca="false">IF(Flows!BX37*BX$3*BX$4&lt;0.002,100,MAX($CM$2/(Flows!BX37*BX$3*BX$4),1))</f>
        <v>14.2539701898708</v>
      </c>
      <c r="BY67" s="10" t="n">
        <f aca="false">IF(Flows!BY37*BY$3*BY$4&lt;0.002,100,MAX($CM$2/(Flows!BY37*BY$3*BY$4),1))</f>
        <v>31.1291455304619</v>
      </c>
      <c r="BZ67" s="10" t="n">
        <f aca="false">IF(Flows!BZ37*BZ$3*BZ$4&lt;0.002,100,MAX($CM$2/(Flows!BZ37*BZ$3*BZ$4),1))</f>
        <v>26132.131768315</v>
      </c>
      <c r="CA67" s="10" t="n">
        <f aca="false">IF(Flows!CA37*CA$3*CA$4&lt;0.002,100,MAX($CM$2/(Flows!CA37*CA$3*CA$4),1))</f>
        <v>43109.5419397207</v>
      </c>
      <c r="CB67" s="10" t="n">
        <f aca="false">IF(Flows!CB37*CB$3*CB$4&lt;0.002,100,MAX($CM$2/(Flows!CB37*CB$3*CB$4),1))</f>
        <v>129.842661746841</v>
      </c>
      <c r="CC67" s="10" t="n">
        <f aca="false">IF(Flows!CC37*CC$3*CC$4&lt;0.002,100,MAX($CM$2/(Flows!CC37*CC$3*CC$4),1))</f>
        <v>7.50779997364259</v>
      </c>
      <c r="CD67" s="10" t="n">
        <f aca="false">IF(Flows!CD37*CD$3*CD$4&lt;0.002,100,MAX($CM$2/(Flows!CD37*CD$3*CD$4),1))</f>
        <v>67.9073420402617</v>
      </c>
      <c r="CE67" s="10" t="n">
        <f aca="false">IF(Flows!CE37*CE$3*CE$4&lt;0.002,100,MAX($CM$2/(Flows!CE37*CE$3*CE$4),1))</f>
        <v>13.1736868123681</v>
      </c>
      <c r="CF67" s="10" t="n">
        <f aca="false">IF(Flows!CF37*CF$3*CF$4&lt;0.002,100,MAX($CM$2/(Flows!CF37*CF$3*CF$4),1))</f>
        <v>1</v>
      </c>
      <c r="CG67" s="10" t="n">
        <f aca="false">IF(Flows!CG37*CG$3*CG$4&lt;0.002,100,MAX($CM$2/(Flows!CG37*CG$3*CG$4),1))</f>
        <v>8157.96866316185</v>
      </c>
      <c r="CH67" s="10" t="n">
        <f aca="false">IF(Flows!CH37*CH$3*CH$4&lt;0.002,100,MAX($CM$2/(Flows!CH37*CH$3*CH$4),1))</f>
        <v>164.639772018489</v>
      </c>
      <c r="CI67" s="10" t="n">
        <f aca="false">IF(Flows!CI37*CI$3*CI$4&lt;0.002,100,MAX($CM$2/(Flows!CI37*CI$3*CI$4),1))</f>
        <v>1026.71267998479</v>
      </c>
      <c r="CJ67" s="10" t="n">
        <f aca="false">IF(Flows!CJ37*CJ$3*CJ$4&lt;0.002,100,MAX($CM$2/(Flows!CJ37*CJ$3*CJ$4),1))</f>
        <v>11650.2576367792</v>
      </c>
      <c r="CK67" s="10" t="n">
        <f aca="false">IF(Flows!CK37*CK$3*CK$4&lt;0.002,100,MAX($CM$2/(Flows!CK37*CK$3*CK$4),1))</f>
        <v>531.264700123648</v>
      </c>
      <c r="CL67" s="7" t="s">
        <v>322</v>
      </c>
    </row>
    <row r="68" customFormat="false" ht="12.8" hidden="false" customHeight="false" outlineLevel="0" collapsed="false">
      <c r="A68" s="7" t="s">
        <v>142</v>
      </c>
      <c r="B68" s="7" t="s">
        <v>39</v>
      </c>
      <c r="C68" s="10" t="n">
        <f aca="false">IF(Flows!C38*C$3*C$4&lt;0.002,100,MAX($CM$2/(Flows!C38*C$3*C$4),1))</f>
        <v>14346.3069361478</v>
      </c>
      <c r="D68" s="10" t="n">
        <f aca="false">IF(Flows!D38*D$3*D$4&lt;0.002,100,MAX($CM$2/(Flows!D38*D$3*D$4),1))</f>
        <v>3.79329814284536</v>
      </c>
      <c r="E68" s="10" t="n">
        <f aca="false">IF(Flows!E38*E$3*E$4&lt;0.002,100,MAX($CM$2/(Flows!E38*E$3*E$4),1))</f>
        <v>35.3461036328021</v>
      </c>
      <c r="F68" s="10" t="n">
        <f aca="false">IF(Flows!F38*F$3*F$4&lt;0.002,100,MAX($CM$2/(Flows!F38*F$3*F$4),1))</f>
        <v>98.1601766953004</v>
      </c>
      <c r="G68" s="10" t="n">
        <f aca="false">IF(Flows!G38*G$3*G$4&lt;0.002,100,MAX($CM$2/(Flows!G38*G$3*G$4),1))</f>
        <v>984.34194645867</v>
      </c>
      <c r="H68" s="10" t="n">
        <f aca="false">IF(Flows!H38*H$3*H$4&lt;0.002,100,MAX($CM$2/(Flows!H38*H$3*H$4),1))</f>
        <v>100</v>
      </c>
      <c r="I68" s="10" t="n">
        <f aca="false">IF(Flows!I38*I$3*I$4&lt;0.002,100,MAX($CM$2/(Flows!I38*I$3*I$4),1))</f>
        <v>671.031261798088</v>
      </c>
      <c r="J68" s="10" t="n">
        <f aca="false">IF(Flows!J38*J$3*J$4&lt;0.002,100,MAX($CM$2/(Flows!J38*J$3*J$4),1))</f>
        <v>8758.18466036274</v>
      </c>
      <c r="K68" s="10" t="n">
        <f aca="false">IF(Flows!K38*K$3*K$4&lt;0.002,100,MAX($CM$2/(Flows!K38*K$3*K$4),1))</f>
        <v>12343.6530702335</v>
      </c>
      <c r="L68" s="10" t="n">
        <f aca="false">IF(Flows!L38*L$3*L$4&lt;0.002,100,MAX($CM$2/(Flows!L38*L$3*L$4),1))</f>
        <v>41723.6772677688</v>
      </c>
      <c r="M68" s="10" t="n">
        <f aca="false">IF(Flows!M38*M$3*M$4&lt;0.002,100,MAX($CM$2/(Flows!M38*M$3*M$4),1))</f>
        <v>28290.5571839351</v>
      </c>
      <c r="N68" s="10" t="n">
        <f aca="false">IF(Flows!N38*N$3*N$4&lt;0.002,100,MAX($CM$2/(Flows!N38*N$3*N$4),1))</f>
        <v>25.5876210278182</v>
      </c>
      <c r="O68" s="10" t="n">
        <f aca="false">IF(Flows!O38*O$3*O$4&lt;0.002,100,MAX($CM$2/(Flows!O38*O$3*O$4),1))</f>
        <v>5.68994721426803</v>
      </c>
      <c r="P68" s="10" t="n">
        <f aca="false">IF(Flows!P38*P$3*P$4&lt;0.002,100,MAX($CM$2/(Flows!P38*P$3*P$4),1))</f>
        <v>10.6686510267526</v>
      </c>
      <c r="Q68" s="10" t="n">
        <f aca="false">IF(Flows!Q38*Q$3*Q$4&lt;0.002,100,MAX($CM$2/(Flows!Q38*Q$3*Q$4),1))</f>
        <v>13066.6451339751</v>
      </c>
      <c r="R68" s="10" t="n">
        <f aca="false">IF(Flows!R38*R$3*R$4&lt;0.002,100,MAX($CM$2/(Flows!R38*R$3*R$4),1))</f>
        <v>18.7183089175777</v>
      </c>
      <c r="S68" s="10" t="n">
        <f aca="false">IF(Flows!S38*S$3*S$4&lt;0.002,100,MAX($CM$2/(Flows!S38*S$3*S$4),1))</f>
        <v>357.631519438017</v>
      </c>
      <c r="T68" s="10" t="n">
        <f aca="false">IF(Flows!T38*T$3*T$4&lt;0.002,100,MAX($CM$2/(Flows!T38*T$3*T$4),1))</f>
        <v>639.879924484687</v>
      </c>
      <c r="U68" s="10" t="n">
        <f aca="false">IF(Flows!U38*U$3*U$4&lt;0.002,100,MAX($CM$2/(Flows!U38*U$3*U$4),1))</f>
        <v>117.877321599729</v>
      </c>
      <c r="V68" s="10" t="n">
        <f aca="false">IF(Flows!V38*V$3*V$4&lt;0.002,100,MAX($CM$2/(Flows!V38*V$3*V$4),1))</f>
        <v>420.786978136478</v>
      </c>
      <c r="W68" s="10" t="n">
        <f aca="false">IF(Flows!W38*W$3*W$4&lt;0.002,100,MAX($CM$2/(Flows!W38*W$3*W$4),1))</f>
        <v>4.70646307770833</v>
      </c>
      <c r="X68" s="10" t="n">
        <f aca="false">IF(Flows!X38*X$3*X$4&lt;0.002,100,MAX($CM$2/(Flows!X38*X$3*X$4),1))</f>
        <v>3.68376446300799</v>
      </c>
      <c r="Y68" s="10" t="n">
        <f aca="false">IF(Flows!Y38*Y$3*Y$4&lt;0.002,100,MAX($CM$2/(Flows!Y38*Y$3*Y$4),1))</f>
        <v>208.618386338844</v>
      </c>
      <c r="Z68" s="10" t="n">
        <f aca="false">IF(Flows!Z38*Z$3*Z$4&lt;0.002,100,MAX($CM$2/(Flows!Z38*Z$3*Z$4),1))</f>
        <v>78689.0688783933</v>
      </c>
      <c r="AA68" s="10" t="n">
        <f aca="false">IF(Flows!AA38*AA$3*AA$4&lt;0.002,100,MAX($CM$2/(Flows!AA38*AA$3*AA$4),1))</f>
        <v>50210.4013399725</v>
      </c>
      <c r="AB68" s="10" t="n">
        <f aca="false">IF(Flows!AB38*AB$3*AB$4&lt;0.002,100,MAX($CM$2/(Flows!AB38*AB$3*AB$4),1))</f>
        <v>37879.2829805189</v>
      </c>
      <c r="AC68" s="10" t="n">
        <f aca="false">IF(Flows!AC38*AC$3*AC$4&lt;0.002,100,MAX($CM$2/(Flows!AC38*AC$3*AC$4),1))</f>
        <v>485979.007986491</v>
      </c>
      <c r="AD68" s="10" t="n">
        <f aca="false">IF(Flows!AD38*AD$3*AD$4&lt;0.002,100,MAX($CM$2/(Flows!AD38*AD$3*AD$4),1))</f>
        <v>238610.058141366</v>
      </c>
      <c r="AE68" s="10" t="n">
        <f aca="false">IF(Flows!AE38*AE$3*AE$4&lt;0.002,100,MAX($CM$2/(Flows!AE38*AE$3*AE$4),1))</f>
        <v>742667.220720492</v>
      </c>
      <c r="AF68" s="10" t="n">
        <f aca="false">IF(Flows!AF38*AF$3*AF$4&lt;0.002,100,MAX($CM$2/(Flows!AF38*AF$3*AF$4),1))</f>
        <v>1100.72562553339</v>
      </c>
      <c r="AG68" s="10" t="n">
        <f aca="false">IF(Flows!AG38*AG$3*AG$4&lt;0.002,100,MAX($CM$2/(Flows!AG38*AG$3*AG$4),1))</f>
        <v>3369.67789851247</v>
      </c>
      <c r="AH68" s="10" t="n">
        <f aca="false">IF(Flows!AH38*AH$3*AH$4&lt;0.002,100,MAX($CM$2/(Flows!AH38*AH$3*AH$4),1))</f>
        <v>948.962388700162</v>
      </c>
      <c r="AI68" s="10" t="n">
        <f aca="false">IF(Flows!AI38*AI$3*AI$4&lt;0.002,100,MAX($CM$2/(Flows!AI38*AI$3*AI$4),1))</f>
        <v>18969.502649268</v>
      </c>
      <c r="AJ68" s="10" t="n">
        <f aca="false">IF(Flows!AJ38*AJ$3*AJ$4&lt;0.002,100,MAX($CM$2/(Flows!AJ38*AJ$3*AJ$4),1))</f>
        <v>1256.96691381289</v>
      </c>
      <c r="AK68" s="10" t="n">
        <f aca="false">IF(Flows!AK38*AK$3*AK$4&lt;0.002,100,MAX($CM$2/(Flows!AK38*AK$3*AK$4),1))</f>
        <v>524.952379704854</v>
      </c>
      <c r="AL68" s="10" t="n">
        <f aca="false">IF(Flows!AL38*AL$3*AL$4&lt;0.002,100,MAX($CM$2/(Flows!AL38*AL$3*AL$4),1))</f>
        <v>1194.24903751573</v>
      </c>
      <c r="AM68" s="10" t="n">
        <f aca="false">IF(Flows!AM38*AM$3*AM$4&lt;0.002,100,MAX($CM$2/(Flows!AM38*AM$3*AM$4),1))</f>
        <v>4546.66635807397</v>
      </c>
      <c r="AN68" s="10" t="n">
        <f aca="false">IF(Flows!AN38*AN$3*AN$4&lt;0.002,100,MAX($CM$2/(Flows!AN38*AN$3*AN$4),1))</f>
        <v>7690.0468821553</v>
      </c>
      <c r="AO68" s="10" t="n">
        <f aca="false">IF(Flows!AO38*AO$3*AO$4&lt;0.002,100,MAX($CM$2/(Flows!AO38*AO$3*AO$4),1))</f>
        <v>27358.6565755436</v>
      </c>
      <c r="AP68" s="10" t="n">
        <f aca="false">IF(Flows!AP38*AP$3*AP$4&lt;0.002,100,MAX($CM$2/(Flows!AP38*AP$3*AP$4),1))</f>
        <v>47939.9813896824</v>
      </c>
      <c r="AQ68" s="10" t="n">
        <f aca="false">IF(Flows!AQ38*AQ$3*AQ$4&lt;0.002,100,MAX($CM$2/(Flows!AQ38*AQ$3*AQ$4),1))</f>
        <v>10605.4607532276</v>
      </c>
      <c r="AR68" s="10" t="n">
        <f aca="false">IF(Flows!AR38*AR$3*AR$4&lt;0.002,100,MAX($CM$2/(Flows!AR38*AR$3*AR$4),1))</f>
        <v>20552.4192451784</v>
      </c>
      <c r="AS68" s="10" t="n">
        <f aca="false">IF(Flows!AS38*AS$3*AS$4&lt;0.002,100,MAX($CM$2/(Flows!AS38*AS$3*AS$4),1))</f>
        <v>7186.32105625226</v>
      </c>
      <c r="AT68" s="10" t="n">
        <f aca="false">IF(Flows!AT38*AT$3*AT$4&lt;0.002,100,MAX($CM$2/(Flows!AT38*AT$3*AT$4),1))</f>
        <v>1697.66842940709</v>
      </c>
      <c r="AU68" s="10" t="n">
        <f aca="false">IF(Flows!AU38*AU$3*AU$4&lt;0.002,100,MAX($CM$2/(Flows!AU38*AU$3*AU$4),1))</f>
        <v>1187.83703459322</v>
      </c>
      <c r="AV68" s="10" t="n">
        <f aca="false">IF(Flows!AV38*AV$3*AV$4&lt;0.002,100,MAX($CM$2/(Flows!AV38*AV$3*AV$4),1))</f>
        <v>6136.05264174818</v>
      </c>
      <c r="AW68" s="10" t="n">
        <f aca="false">IF(Flows!AW38*AW$3*AW$4&lt;0.002,100,MAX($CM$2/(Flows!AW38*AW$3*AW$4),1))</f>
        <v>152.942033532745</v>
      </c>
      <c r="AX68" s="10" t="n">
        <f aca="false">IF(Flows!AX38*AX$3*AX$4&lt;0.002,100,MAX($CM$2/(Flows!AX38*AX$3*AX$4),1))</f>
        <v>6181.14328689232</v>
      </c>
      <c r="AY68" s="10" t="n">
        <f aca="false">IF(Flows!AY38*AY$3*AY$4&lt;0.002,100,MAX($CM$2/(Flows!AY38*AY$3*AY$4),1))</f>
        <v>3877.77941553336</v>
      </c>
      <c r="AZ68" s="10" t="n">
        <f aca="false">IF(Flows!AZ38*AZ$3*AZ$4&lt;0.002,100,MAX($CM$2/(Flows!AZ38*AZ$3*AZ$4),1))</f>
        <v>956.686232955253</v>
      </c>
      <c r="BA68" s="10" t="n">
        <f aca="false">IF(Flows!BA38*BA$3*BA$4&lt;0.002,100,MAX($CM$2/(Flows!BA38*BA$3*BA$4),1))</f>
        <v>2127.90754065621</v>
      </c>
      <c r="BB68" s="10" t="n">
        <f aca="false">IF(Flows!BB38*BB$3*BB$4&lt;0.002,100,MAX($CM$2/(Flows!BB38*BB$3*BB$4),1))</f>
        <v>3211.21436111152</v>
      </c>
      <c r="BC68" s="10" t="n">
        <f aca="false">IF(Flows!BC38*BC$3*BC$4&lt;0.002,100,MAX($CM$2/(Flows!BC38*BC$3*BC$4),1))</f>
        <v>3078.74634319397</v>
      </c>
      <c r="BD68" s="10" t="n">
        <f aca="false">IF(Flows!BD38*BD$3*BD$4&lt;0.002,100,MAX($CM$2/(Flows!BD38*BD$3*BD$4),1))</f>
        <v>25602.4060859581</v>
      </c>
      <c r="BE68" s="10" t="n">
        <f aca="false">IF(Flows!BE38*BE$3*BE$4&lt;0.002,100,MAX($CM$2/(Flows!BE38*BE$3*BE$4),1))</f>
        <v>13573.2828672569</v>
      </c>
      <c r="BF68" s="10" t="n">
        <f aca="false">IF(Flows!BF38*BF$3*BF$4&lt;0.002,100,MAX($CM$2/(Flows!BF38*BF$3*BF$4),1))</f>
        <v>915.980219790427</v>
      </c>
      <c r="BG68" s="10" t="n">
        <f aca="false">IF(Flows!BG38*BG$3*BG$4&lt;0.002,100,MAX($CM$2/(Flows!BG38*BG$3*BG$4),1))</f>
        <v>484.32213184342</v>
      </c>
      <c r="BH68" s="10" t="n">
        <f aca="false">IF(Flows!BH38*BH$3*BH$4&lt;0.002,100,MAX($CM$2/(Flows!BH38*BH$3*BH$4),1))</f>
        <v>582593.198439841</v>
      </c>
      <c r="BI68" s="10" t="n">
        <f aca="false">IF(Flows!BI38*BI$3*BI$4&lt;0.002,100,MAX($CM$2/(Flows!BI38*BI$3*BI$4),1))</f>
        <v>181.620799441283</v>
      </c>
      <c r="BJ68" s="10" t="n">
        <f aca="false">IF(Flows!BJ38*BJ$3*BJ$4&lt;0.002,100,MAX($CM$2/(Flows!BJ38*BJ$3*BJ$4),1))</f>
        <v>4.49592969247229</v>
      </c>
      <c r="BK68" s="10" t="n">
        <f aca="false">IF(Flows!BK38*BK$3*BK$4&lt;0.002,100,MAX($CM$2/(Flows!BK38*BK$3*BK$4),1))</f>
        <v>363.241598882565</v>
      </c>
      <c r="BL68" s="10" t="n">
        <f aca="false">IF(Flows!BL38*BL$3*BL$4&lt;0.002,100,MAX($CM$2/(Flows!BL38*BL$3*BL$4),1))</f>
        <v>181.758882750591</v>
      </c>
      <c r="BM68" s="10" t="n">
        <f aca="false">IF(Flows!BM38*BM$3*BM$4&lt;0.002,100,MAX($CM$2/(Flows!BM38*BM$3*BM$4),1))</f>
        <v>55.7425933544818</v>
      </c>
      <c r="BN68" s="10" t="n">
        <f aca="false">IF(Flows!BN38*BN$3*BN$4&lt;0.002,100,MAX($CM$2/(Flows!BN38*BN$3*BN$4),1))</f>
        <v>1</v>
      </c>
      <c r="BO68" s="10" t="n">
        <f aca="false">IF(Flows!BO38*BO$3*BO$4&lt;0.002,100,MAX($CM$2/(Flows!BO38*BO$3*BO$4),1))</f>
        <v>205.815038034112</v>
      </c>
      <c r="BP68" s="10" t="n">
        <f aca="false">IF(Flows!BP38*BP$3*BP$4&lt;0.002,100,MAX($CM$2/(Flows!BP38*BP$3*BP$4),1))</f>
        <v>397.929614264045</v>
      </c>
      <c r="BQ68" s="10" t="n">
        <f aca="false">IF(Flows!BQ38*BQ$3*BQ$4&lt;0.002,100,MAX($CM$2/(Flows!BQ38*BQ$3*BQ$4),1))</f>
        <v>100</v>
      </c>
      <c r="BR68" s="10" t="n">
        <f aca="false">IF(Flows!BR38*BR$3*BR$4&lt;0.002,100,MAX($CM$2/(Flows!BR38*BR$3*BR$4),1))</f>
        <v>6174.44931748759</v>
      </c>
      <c r="BS68" s="10" t="n">
        <f aca="false">IF(Flows!BS38*BS$3*BS$4&lt;0.002,100,MAX($CM$2/(Flows!BS38*BS$3*BS$4),1))</f>
        <v>61744.4931748759</v>
      </c>
      <c r="BT68" s="10" t="n">
        <f aca="false">IF(Flows!BT38*BT$3*BT$4&lt;0.002,100,MAX($CM$2/(Flows!BT38*BT$3*BT$4),1))</f>
        <v>16.0739051379857</v>
      </c>
      <c r="BU68" s="10" t="n">
        <f aca="false">IF(Flows!BU38*BU$3*BU$4&lt;0.002,100,MAX($CM$2/(Flows!BU38*BU$3*BU$4),1))</f>
        <v>160.739051379857</v>
      </c>
      <c r="BV68" s="10" t="n">
        <f aca="false">IF(Flows!BV38*BV$3*BV$4&lt;0.002,100,MAX($CM$2/(Flows!BV38*BV$3*BV$4),1))</f>
        <v>1607.39051379857</v>
      </c>
      <c r="BW68" s="10" t="n">
        <f aca="false">IF(Flows!BW38*BW$3*BW$4&lt;0.002,100,MAX($CM$2/(Flows!BW38*BW$3*BW$4),1))</f>
        <v>68.0964777800704</v>
      </c>
      <c r="BX68" s="10" t="n">
        <f aca="false">IF(Flows!BX38*BX$3*BX$4&lt;0.002,100,MAX($CM$2/(Flows!BX38*BX$3*BX$4),1))</f>
        <v>356.229285076223</v>
      </c>
      <c r="BY68" s="10" t="n">
        <f aca="false">IF(Flows!BY38*BY$3*BY$4&lt;0.002,100,MAX($CM$2/(Flows!BY38*BY$3*BY$4),1))</f>
        <v>43.6313181495959</v>
      </c>
      <c r="BZ68" s="10" t="n">
        <f aca="false">IF(Flows!BZ38*BZ$3*BZ$4&lt;0.002,100,MAX($CM$2/(Flows!BZ38*BZ$3*BZ$4),1))</f>
        <v>342732.849543423</v>
      </c>
      <c r="CA68" s="10" t="n">
        <f aca="false">IF(Flows!CA38*CA$3*CA$4&lt;0.002,100,MAX($CM$2/(Flows!CA38*CA$3*CA$4),1))</f>
        <v>31040.48661267</v>
      </c>
      <c r="CB68" s="10" t="n">
        <f aca="false">IF(Flows!CB38*CB$3*CB$4&lt;0.002,100,MAX($CM$2/(Flows!CB38*CB$3*CB$4),1))</f>
        <v>103.122195747106</v>
      </c>
      <c r="CC68" s="10" t="n">
        <f aca="false">IF(Flows!CC38*CC$3*CC$4&lt;0.002,100,MAX($CM$2/(Flows!CC38*CC$3*CC$4),1))</f>
        <v>89.3849837341531</v>
      </c>
      <c r="CD68" s="10" t="n">
        <f aca="false">IF(Flows!CD38*CD$3*CD$4&lt;0.002,100,MAX($CM$2/(Flows!CD38*CD$3*CD$4),1))</f>
        <v>167.651897687538</v>
      </c>
      <c r="CE68" s="10" t="n">
        <f aca="false">IF(Flows!CE38*CE$3*CE$4&lt;0.002,100,MAX($CM$2/(Flows!CE38*CE$3*CE$4),1))</f>
        <v>152.778834793236</v>
      </c>
      <c r="CF68" s="10" t="n">
        <f aca="false">IF(Flows!CF38*CF$3*CF$4&lt;0.002,100,MAX($CM$2/(Flows!CF38*CF$3*CF$4),1))</f>
        <v>1</v>
      </c>
      <c r="CG68" s="10" t="n">
        <f aca="false">IF(Flows!CG38*CG$3*CG$4&lt;0.002,100,MAX($CM$2/(Flows!CG38*CG$3*CG$4),1))</f>
        <v>28.9185503149522</v>
      </c>
      <c r="CH68" s="10" t="n">
        <f aca="false">IF(Flows!CH38*CH$3*CH$4&lt;0.002,100,MAX($CM$2/(Flows!CH38*CH$3*CH$4),1))</f>
        <v>23.0773378261707</v>
      </c>
      <c r="CI68" s="10" t="n">
        <f aca="false">IF(Flows!CI38*CI$3*CI$4&lt;0.002,100,MAX($CM$2/(Flows!CI38*CI$3*CI$4),1))</f>
        <v>192.683176566577</v>
      </c>
      <c r="CJ68" s="10" t="n">
        <f aca="false">IF(Flows!CJ38*CJ$3*CJ$4&lt;0.002,100,MAX($CM$2/(Flows!CJ38*CJ$3*CJ$4),1))</f>
        <v>2460.19159666504</v>
      </c>
      <c r="CK68" s="10" t="n">
        <f aca="false">IF(Flows!CK38*CK$3*CK$4&lt;0.002,100,MAX($CM$2/(Flows!CK38*CK$3*CK$4),1))</f>
        <v>1596.69433119093</v>
      </c>
      <c r="CL68" s="7" t="s">
        <v>322</v>
      </c>
    </row>
    <row r="69" customFormat="false" ht="12.8" hidden="false" customHeight="false" outlineLevel="0" collapsed="false">
      <c r="A69" s="7" t="s">
        <v>143</v>
      </c>
      <c r="B69" s="7" t="s">
        <v>39</v>
      </c>
      <c r="C69" s="10" t="n">
        <f aca="false">IF(Flows!C39*C$3*C$4&lt;0.002,100,MAX($CM$2/(Flows!C39*C$3*C$4),1))</f>
        <v>5105.1000163504</v>
      </c>
      <c r="D69" s="10" t="n">
        <f aca="false">IF(Flows!D39*D$3*D$4&lt;0.002,100,MAX($CM$2/(Flows!D39*D$3*D$4),1))</f>
        <v>1.11868673441893</v>
      </c>
      <c r="E69" s="10" t="n">
        <f aca="false">IF(Flows!E39*E$3*E$4&lt;0.002,100,MAX($CM$2/(Flows!E39*E$3*E$4),1))</f>
        <v>6.69499601098696</v>
      </c>
      <c r="F69" s="10" t="n">
        <f aca="false">IF(Flows!F39*F$3*F$4&lt;0.002,100,MAX($CM$2/(Flows!F39*F$3*F$4),1))</f>
        <v>13.904315112756</v>
      </c>
      <c r="G69" s="10" t="n">
        <f aca="false">IF(Flows!G39*G$3*G$4&lt;0.002,100,MAX($CM$2/(Flows!G39*G$3*G$4),1))</f>
        <v>6.656344881424</v>
      </c>
      <c r="H69" s="10" t="n">
        <f aca="false">IF(Flows!H39*H$3*H$4&lt;0.002,100,MAX($CM$2/(Flows!H39*H$3*H$4),1))</f>
        <v>100</v>
      </c>
      <c r="I69" s="10" t="n">
        <f aca="false">IF(Flows!I39*I$3*I$4&lt;0.002,100,MAX($CM$2/(Flows!I39*I$3*I$4),1))</f>
        <v>1834.88650579932</v>
      </c>
      <c r="J69" s="10" t="n">
        <f aca="false">IF(Flows!J39*J$3*J$4&lt;0.002,100,MAX($CM$2/(Flows!J39*J$3*J$4),1))</f>
        <v>1224.61977667623</v>
      </c>
      <c r="K69" s="10" t="n">
        <f aca="false">IF(Flows!K39*K$3*K$4&lt;0.002,100,MAX($CM$2/(Flows!K39*K$3*K$4),1))</f>
        <v>5404.20793846093</v>
      </c>
      <c r="L69" s="10" t="n">
        <f aca="false">IF(Flows!L39*L$3*L$4&lt;0.002,100,MAX($CM$2/(Flows!L39*L$3*L$4),1))</f>
        <v>15775.1002407826</v>
      </c>
      <c r="M69" s="10" t="n">
        <f aca="false">IF(Flows!M39*M$3*M$4&lt;0.002,100,MAX($CM$2/(Flows!M39*M$3*M$4),1))</f>
        <v>10531.5928252721</v>
      </c>
      <c r="N69" s="10" t="n">
        <f aca="false">IF(Flows!N39*N$3*N$4&lt;0.002,100,MAX($CM$2/(Flows!N39*N$3*N$4),1))</f>
        <v>3.63515108247368</v>
      </c>
      <c r="O69" s="10" t="n">
        <f aca="false">IF(Flows!O39*O$3*O$4&lt;0.002,100,MAX($CM$2/(Flows!O39*O$3*O$4),1))</f>
        <v>1.6780301016284</v>
      </c>
      <c r="P69" s="10" t="n">
        <f aca="false">IF(Flows!P39*P$3*P$4&lt;0.002,100,MAX($CM$2/(Flows!P39*P$3*P$4),1))</f>
        <v>3.14630644055325</v>
      </c>
      <c r="Q69" s="10" t="n">
        <f aca="false">IF(Flows!Q39*Q$3*Q$4&lt;0.002,100,MAX($CM$2/(Flows!Q39*Q$3*Q$4),1))</f>
        <v>367.152104658428</v>
      </c>
      <c r="R69" s="10" t="n">
        <f aca="false">IF(Flows!R39*R$3*R$4&lt;0.002,100,MAX($CM$2/(Flows!R39*R$3*R$4),1))</f>
        <v>21.6792155492129</v>
      </c>
      <c r="S69" s="10" t="n">
        <f aca="false">IF(Flows!S39*S$3*S$4&lt;0.002,100,MAX($CM$2/(Flows!S39*S$3*S$4),1))</f>
        <v>135.215144920993</v>
      </c>
      <c r="T69" s="10" t="n">
        <f aca="false">IF(Flows!T39*T$3*T$4&lt;0.002,100,MAX($CM$2/(Flows!T39*T$3*T$4),1))</f>
        <v>241.929058314522</v>
      </c>
      <c r="U69" s="10" t="n">
        <f aca="false">IF(Flows!U39*U$3*U$4&lt;0.002,100,MAX($CM$2/(Flows!U39*U$3*U$4),1))</f>
        <v>43.8816367719669</v>
      </c>
      <c r="V69" s="10" t="n">
        <f aca="false">IF(Flows!V39*V$3*V$4&lt;0.002,100,MAX($CM$2/(Flows!V39*V$3*V$4),1))</f>
        <v>274.916097755269</v>
      </c>
      <c r="W69" s="10" t="n">
        <f aca="false">IF(Flows!W39*W$3*W$4&lt;0.002,100,MAX($CM$2/(Flows!W39*W$3*W$4),1))</f>
        <v>5.67669925250384</v>
      </c>
      <c r="X69" s="10" t="n">
        <f aca="false">IF(Flows!X39*X$3*X$4&lt;0.002,100,MAX($CM$2/(Flows!X39*X$3*X$4),1))</f>
        <v>1.60651523889315</v>
      </c>
      <c r="Y69" s="10" t="n">
        <f aca="false">IF(Flows!Y39*Y$3*Y$4&lt;0.002,100,MAX($CM$2/(Flows!Y39*Y$3*Y$4),1))</f>
        <v>78.875501203913</v>
      </c>
      <c r="Z69" s="10" t="n">
        <f aca="false">IF(Flows!Z39*Z$3*Z$4&lt;0.002,100,MAX($CM$2/(Flows!Z39*Z$3*Z$4),1))</f>
        <v>5029.6256456435</v>
      </c>
      <c r="AA69" s="10" t="n">
        <f aca="false">IF(Flows!AA39*AA$3*AA$4&lt;0.002,100,MAX($CM$2/(Flows!AA39*AA$3*AA$4),1))</f>
        <v>6216.87055397659</v>
      </c>
      <c r="AB69" s="10" t="n">
        <f aca="false">IF(Flows!AB39*AB$3*AB$4&lt;0.002,100,MAX($CM$2/(Flows!AB39*AB$3*AB$4),1))</f>
        <v>7174.81199874805</v>
      </c>
      <c r="AC69" s="10" t="n">
        <f aca="false">IF(Flows!AC39*AC$3*AC$4&lt;0.002,100,MAX($CM$2/(Flows!AC39*AC$3*AC$4),1))</f>
        <v>32218.154219273</v>
      </c>
      <c r="AD69" s="10" t="n">
        <f aca="false">IF(Flows!AD39*AD$3*AD$4&lt;0.002,100,MAX($CM$2/(Flows!AD39*AD$3*AD$4),1))</f>
        <v>45195.7421964694</v>
      </c>
      <c r="AE69" s="10" t="n">
        <f aca="false">IF(Flows!AE39*AE$3*AE$4&lt;0.002,100,MAX($CM$2/(Flows!AE39*AE$3*AE$4),1))</f>
        <v>134013.988561689</v>
      </c>
      <c r="AF69" s="10" t="n">
        <f aca="false">IF(Flows!AF39*AF$3*AF$4&lt;0.002,100,MAX($CM$2/(Flows!AF39*AF$3*AF$4),1))</f>
        <v>861.633776794899</v>
      </c>
      <c r="AG69" s="10" t="n">
        <f aca="false">IF(Flows!AG39*AG$3*AG$4&lt;0.002,100,MAX($CM$2/(Flows!AG39*AG$3*AG$4),1))</f>
        <v>1385.79922479912</v>
      </c>
      <c r="AH69" s="10" t="n">
        <f aca="false">IF(Flows!AH39*AH$3*AH$4&lt;0.002,100,MAX($CM$2/(Flows!AH39*AH$3*AH$4),1))</f>
        <v>338.433662351228</v>
      </c>
      <c r="AI69" s="10" t="n">
        <f aca="false">IF(Flows!AI39*AI$3*AI$4&lt;0.002,100,MAX($CM$2/(Flows!AI39*AI$3*AI$4),1))</f>
        <v>2828.41163099679</v>
      </c>
      <c r="AJ69" s="10" t="n">
        <f aca="false">IF(Flows!AJ39*AJ$3*AJ$4&lt;0.002,100,MAX($CM$2/(Flows!AJ39*AJ$3*AJ$4),1))</f>
        <v>1473.04146407888</v>
      </c>
      <c r="AK69" s="10" t="n">
        <f aca="false">IF(Flows!AK39*AK$3*AK$4&lt;0.002,100,MAX($CM$2/(Flows!AK39*AK$3*AK$4),1))</f>
        <v>279.016210793965</v>
      </c>
      <c r="AL69" s="10" t="n">
        <f aca="false">IF(Flows!AL39*AL$3*AL$4&lt;0.002,100,MAX($CM$2/(Flows!AL39*AL$3*AL$4),1))</f>
        <v>653.945491809896</v>
      </c>
      <c r="AM69" s="10" t="n">
        <f aca="false">IF(Flows!AM39*AM$3*AM$4&lt;0.002,100,MAX($CM$2/(Flows!AM39*AM$3*AM$4),1))</f>
        <v>18873.1501163356</v>
      </c>
      <c r="AN69" s="10" t="n">
        <f aca="false">IF(Flows!AN39*AN$3*AN$4&lt;0.002,100,MAX($CM$2/(Flows!AN39*AN$3*AN$4),1))</f>
        <v>898.21667560292</v>
      </c>
      <c r="AO69" s="10" t="n">
        <f aca="false">IF(Flows!AO39*AO$3*AO$4&lt;0.002,100,MAX($CM$2/(Flows!AO39*AO$3*AO$4),1))</f>
        <v>10521.2042369385</v>
      </c>
      <c r="AP69" s="10" t="n">
        <f aca="false">IF(Flows!AP39*AP$3*AP$4&lt;0.002,100,MAX($CM$2/(Flows!AP39*AP$3*AP$4),1))</f>
        <v>212578.419052834</v>
      </c>
      <c r="AQ69" s="10" t="n">
        <f aca="false">IF(Flows!AQ39*AQ$3*AQ$4&lt;0.002,100,MAX($CM$2/(Flows!AQ39*AQ$3*AQ$4),1))</f>
        <v>9136.03552385453</v>
      </c>
      <c r="AR69" s="10" t="n">
        <f aca="false">IF(Flows!AR39*AR$3*AR$4&lt;0.002,100,MAX($CM$2/(Flows!AR39*AR$3*AR$4),1))</f>
        <v>10526.2970544256</v>
      </c>
      <c r="AS69" s="10" t="n">
        <f aca="false">IF(Flows!AS39*AS$3*AS$4&lt;0.002,100,MAX($CM$2/(Flows!AS39*AS$3*AS$4),1))</f>
        <v>2568.59992908727</v>
      </c>
      <c r="AT69" s="10" t="n">
        <f aca="false">IF(Flows!AT39*AT$3*AT$4&lt;0.002,100,MAX($CM$2/(Flows!AT39*AT$3*AT$4),1))</f>
        <v>448.043260936737</v>
      </c>
      <c r="AU69" s="10" t="n">
        <f aca="false">IF(Flows!AU39*AU$3*AU$4&lt;0.002,100,MAX($CM$2/(Flows!AU39*AU$3*AU$4),1))</f>
        <v>4007.14063156534</v>
      </c>
      <c r="AV69" s="10" t="n">
        <f aca="false">IF(Flows!AV39*AV$3*AV$4&lt;0.002,100,MAX($CM$2/(Flows!AV39*AV$3*AV$4),1))</f>
        <v>76872.1989219917</v>
      </c>
      <c r="AW69" s="10" t="n">
        <f aca="false">IF(Flows!AW39*AW$3*AW$4&lt;0.002,100,MAX($CM$2/(Flows!AW39*AW$3*AW$4),1))</f>
        <v>10.4057998538029</v>
      </c>
      <c r="AX69" s="10" t="n">
        <f aca="false">IF(Flows!AX39*AX$3*AX$4&lt;0.002,100,MAX($CM$2/(Flows!AX39*AX$3*AX$4),1))</f>
        <v>5446.44262669493</v>
      </c>
      <c r="AY69" s="10" t="n">
        <f aca="false">IF(Flows!AY39*AY$3*AY$4&lt;0.002,100,MAX($CM$2/(Flows!AY39*AY$3*AY$4),1))</f>
        <v>290.477534575205</v>
      </c>
      <c r="AZ69" s="10" t="n">
        <f aca="false">IF(Flows!AZ39*AZ$3*AZ$4&lt;0.002,100,MAX($CM$2/(Flows!AZ39*AZ$3*AZ$4),1))</f>
        <v>96.8924252825933</v>
      </c>
      <c r="BA69" s="10" t="n">
        <f aca="false">IF(Flows!BA39*BA$3*BA$4&lt;0.002,100,MAX($CM$2/(Flows!BA39*BA$3*BA$4),1))</f>
        <v>804.530112279912</v>
      </c>
      <c r="BB69" s="10" t="n">
        <f aca="false">IF(Flows!BB39*BB$3*BB$4&lt;0.002,100,MAX($CM$2/(Flows!BB39*BB$3*BB$4),1))</f>
        <v>2249.41097944008</v>
      </c>
      <c r="BC69" s="10" t="n">
        <f aca="false">IF(Flows!BC39*BC$3*BC$4&lt;0.002,100,MAX($CM$2/(Flows!BC39*BC$3*BC$4),1))</f>
        <v>2805.85487281878</v>
      </c>
      <c r="BD69" s="10" t="n">
        <f aca="false">IF(Flows!BD39*BD$3*BD$4&lt;0.002,100,MAX($CM$2/(Flows!BD39*BD$3*BD$4),1))</f>
        <v>5178.77085743453</v>
      </c>
      <c r="BE69" s="10" t="n">
        <f aca="false">IF(Flows!BE39*BE$3*BE$4&lt;0.002,100,MAX($CM$2/(Flows!BE39*BE$3*BE$4),1))</f>
        <v>9930.36606450331</v>
      </c>
      <c r="BF69" s="10" t="n">
        <f aca="false">IF(Flows!BF39*BF$3*BF$4&lt;0.002,100,MAX($CM$2/(Flows!BF39*BF$3*BF$4),1))</f>
        <v>986.932069502186</v>
      </c>
      <c r="BG69" s="10" t="n">
        <f aca="false">IF(Flows!BG39*BG$3*BG$4&lt;0.002,100,MAX($CM$2/(Flows!BG39*BG$3*BG$4),1))</f>
        <v>128.41002349073</v>
      </c>
      <c r="BH69" s="10" t="n">
        <f aca="false">IF(Flows!BH39*BH$3*BH$4&lt;0.002,100,MAX($CM$2/(Flows!BH39*BH$3*BH$4),1))</f>
        <v>64.205011745365</v>
      </c>
      <c r="BI69" s="10" t="n">
        <f aca="false">IF(Flows!BI39*BI$3*BI$4&lt;0.002,100,MAX($CM$2/(Flows!BI39*BI$3*BI$4),1))</f>
        <v>48.1537588090238</v>
      </c>
      <c r="BJ69" s="10" t="n">
        <f aca="false">IF(Flows!BJ39*BJ$3*BJ$4&lt;0.002,100,MAX($CM$2/(Flows!BJ39*BJ$3*BJ$4),1))</f>
        <v>66.0928317008505</v>
      </c>
      <c r="BK69" s="10" t="n">
        <f aca="false">IF(Flows!BK39*BK$3*BK$4&lt;0.002,100,MAX($CM$2/(Flows!BK39*BK$3*BK$4),1))</f>
        <v>96.3075176180475</v>
      </c>
      <c r="BL69" s="10" t="n">
        <f aca="false">IF(Flows!BL39*BL$3*BL$4&lt;0.002,100,MAX($CM$2/(Flows!BL39*BL$3*BL$4),1))</f>
        <v>242.435104286081</v>
      </c>
      <c r="BM69" s="10" t="n">
        <f aca="false">IF(Flows!BM39*BM$3*BM$4&lt;0.002,100,MAX($CM$2/(Flows!BM39*BM$3*BM$4),1))</f>
        <v>50.7519613276043</v>
      </c>
      <c r="BN69" s="10" t="n">
        <f aca="false">IF(Flows!BN39*BN$3*BN$4&lt;0.002,100,MAX($CM$2/(Flows!BN39*BN$3*BN$4),1))</f>
        <v>166804.570617838</v>
      </c>
      <c r="BO69" s="10" t="n">
        <f aca="false">IF(Flows!BO39*BO$3*BO$4&lt;0.002,100,MAX($CM$2/(Flows!BO39*BO$3*BO$4),1))</f>
        <v>7.82134790418273</v>
      </c>
      <c r="BP69" s="10" t="n">
        <f aca="false">IF(Flows!BP39*BP$3*BP$4&lt;0.002,100,MAX($CM$2/(Flows!BP39*BP$3*BP$4),1))</f>
        <v>29.371784058393</v>
      </c>
      <c r="BQ69" s="10" t="n">
        <f aca="false">IF(Flows!BQ39*BQ$3*BQ$4&lt;0.002,100,MAX($CM$2/(Flows!BQ39*BQ$3*BQ$4),1))</f>
        <v>100</v>
      </c>
      <c r="BR69" s="10" t="n">
        <f aca="false">IF(Flows!BR39*BR$3*BR$4&lt;0.002,100,MAX($CM$2/(Flows!BR39*BR$3*BR$4),1))</f>
        <v>234.640325071283</v>
      </c>
      <c r="BS69" s="10" t="n">
        <f aca="false">IF(Flows!BS39*BS$3*BS$4&lt;0.002,100,MAX($CM$2/(Flows!BS39*BS$3*BS$4),1))</f>
        <v>2346.40325071283</v>
      </c>
      <c r="BT69" s="10" t="n">
        <f aca="false">IF(Flows!BT39*BT$3*BT$4&lt;0.002,100,MAX($CM$2/(Flows!BT39*BT$3*BT$4),1))</f>
        <v>1.1408296727838</v>
      </c>
      <c r="BU69" s="10" t="n">
        <f aca="false">IF(Flows!BU39*BU$3*BU$4&lt;0.002,100,MAX($CM$2/(Flows!BU39*BU$3*BU$4),1))</f>
        <v>11.4082967278381</v>
      </c>
      <c r="BV69" s="10" t="n">
        <f aca="false">IF(Flows!BV39*BV$3*BV$4&lt;0.002,100,MAX($CM$2/(Flows!BV39*BV$3*BV$4),1))</f>
        <v>114.082967278381</v>
      </c>
      <c r="BW69" s="10" t="n">
        <f aca="false">IF(Flows!BW39*BW$3*BW$4&lt;0.002,100,MAX($CM$2/(Flows!BW39*BW$3*BW$4),1))</f>
        <v>12.8983282524171</v>
      </c>
      <c r="BX69" s="10" t="n">
        <f aca="false">IF(Flows!BX39*BX$3*BX$4&lt;0.002,100,MAX($CM$2/(Flows!BX39*BX$3*BX$4),1))</f>
        <v>11.0269172226492</v>
      </c>
      <c r="BY69" s="10" t="n">
        <f aca="false">IF(Flows!BY39*BY$3*BY$4&lt;0.002,100,MAX($CM$2/(Flows!BY39*BY$3*BY$4),1))</f>
        <v>14.1277085814349</v>
      </c>
      <c r="BZ69" s="10" t="n">
        <f aca="false">IF(Flows!BZ39*BZ$3*BZ$4&lt;0.002,100,MAX($CM$2/(Flows!BZ39*BZ$3*BZ$4),1))</f>
        <v>102603.824350006</v>
      </c>
      <c r="CA69" s="10" t="n">
        <f aca="false">IF(Flows!CA39*CA$3*CA$4&lt;0.002,100,MAX($CM$2/(Flows!CA39*CA$3*CA$4),1))</f>
        <v>58047.5064798195</v>
      </c>
      <c r="CB69" s="10" t="n">
        <f aca="false">IF(Flows!CB39*CB$3*CB$4&lt;0.002,100,MAX($CM$2/(Flows!CB39*CB$3*CB$4),1))</f>
        <v>43.2235259202658</v>
      </c>
      <c r="CC69" s="10" t="n">
        <f aca="false">IF(Flows!CC39*CC$3*CC$4&lt;0.002,100,MAX($CM$2/(Flows!CC39*CC$3*CC$4),1))</f>
        <v>32.8759316490536</v>
      </c>
      <c r="CD69" s="10" t="n">
        <f aca="false">IF(Flows!CD39*CD$3*CD$4&lt;0.002,100,MAX($CM$2/(Flows!CD39*CD$3*CD$4),1))</f>
        <v>36.484757880953</v>
      </c>
      <c r="CE69" s="10" t="n">
        <f aca="false">IF(Flows!CE39*CE$3*CE$4&lt;0.002,100,MAX($CM$2/(Flows!CE39*CE$3*CE$4),1))</f>
        <v>46.4600632277287</v>
      </c>
      <c r="CF69" s="10" t="n">
        <f aca="false">IF(Flows!CF39*CF$3*CF$4&lt;0.002,100,MAX($CM$2/(Flows!CF39*CF$3*CF$4),1))</f>
        <v>1</v>
      </c>
      <c r="CG69" s="10" t="n">
        <f aca="false">IF(Flows!CG39*CG$3*CG$4&lt;0.002,100,MAX($CM$2/(Flows!CG39*CG$3*CG$4),1))</f>
        <v>40.4616576771857</v>
      </c>
      <c r="CH69" s="10" t="n">
        <f aca="false">IF(Flows!CH39*CH$3*CH$4&lt;0.002,100,MAX($CM$2/(Flows!CH39*CH$3*CH$4),1))</f>
        <v>281.078766070353</v>
      </c>
      <c r="CI69" s="10" t="n">
        <f aca="false">IF(Flows!CI39*CI$3*CI$4&lt;0.002,100,MAX($CM$2/(Flows!CI39*CI$3*CI$4),1))</f>
        <v>341.89448284585</v>
      </c>
      <c r="CJ69" s="10" t="n">
        <f aca="false">IF(Flows!CJ39*CJ$3*CJ$4&lt;0.002,100,MAX($CM$2/(Flows!CJ39*CJ$3*CJ$4),1))</f>
        <v>1629.02463927785</v>
      </c>
      <c r="CK69" s="10" t="n">
        <f aca="false">IF(Flows!CK39*CK$3*CK$4&lt;0.002,100,MAX($CM$2/(Flows!CK39*CK$3*CK$4),1))</f>
        <v>3808.39259748923</v>
      </c>
      <c r="CL69" s="7" t="s">
        <v>322</v>
      </c>
    </row>
    <row r="70" customFormat="false" ht="12.8" hidden="false" customHeight="false" outlineLevel="0" collapsed="false">
      <c r="A70" s="7" t="s">
        <v>144</v>
      </c>
      <c r="B70" s="7" t="s">
        <v>39</v>
      </c>
      <c r="C70" s="10" t="n">
        <f aca="false">IF(Flows!C40*C$3*C$4&lt;0.002,100,MAX($CM$2/(Flows!C40*C$3*C$4),1))</f>
        <v>13446.9349563972</v>
      </c>
      <c r="D70" s="10" t="n">
        <f aca="false">IF(Flows!D40*D$3*D$4&lt;0.002,100,MAX($CM$2/(Flows!D40*D$3*D$4),1))</f>
        <v>3.48087914991633</v>
      </c>
      <c r="E70" s="10" t="n">
        <f aca="false">IF(Flows!E40*E$3*E$4&lt;0.002,100,MAX($CM$2/(Flows!E40*E$3*E$4),1))</f>
        <v>32.2531812819607</v>
      </c>
      <c r="F70" s="10" t="n">
        <f aca="false">IF(Flows!F40*F$3*F$4&lt;0.002,100,MAX($CM$2/(Flows!F40*F$3*F$4),1))</f>
        <v>83.8370666924967</v>
      </c>
      <c r="G70" s="10" t="n">
        <f aca="false">IF(Flows!G40*G$3*G$4&lt;0.002,100,MAX($CM$2/(Flows!G40*G$3*G$4),1))</f>
        <v>26.9285771447941</v>
      </c>
      <c r="H70" s="10" t="n">
        <f aca="false">IF(Flows!H40*H$3*H$4&lt;0.002,100,MAX($CM$2/(Flows!H40*H$3*H$4),1))</f>
        <v>100</v>
      </c>
      <c r="I70" s="10" t="n">
        <f aca="false">IF(Flows!I40*I$3*I$4&lt;0.002,100,MAX($CM$2/(Flows!I40*I$3*I$4),1))</f>
        <v>1203.09734600927</v>
      </c>
      <c r="J70" s="10" t="n">
        <f aca="false">IF(Flows!J40*J$3*J$4&lt;0.002,100,MAX($CM$2/(Flows!J40*J$3*J$4),1))</f>
        <v>958.963563033956</v>
      </c>
      <c r="K70" s="10" t="n">
        <f aca="false">IF(Flows!K40*K$3*K$4&lt;0.002,100,MAX($CM$2/(Flows!K40*K$3*K$4),1))</f>
        <v>11446.4110685561</v>
      </c>
      <c r="L70" s="10" t="n">
        <f aca="false">IF(Flows!L40*L$3*L$4&lt;0.002,100,MAX($CM$2/(Flows!L40*L$3*L$4),1))</f>
        <v>37824.7356331624</v>
      </c>
      <c r="M70" s="10" t="n">
        <f aca="false">IF(Flows!M40*M$3*M$4&lt;0.002,100,MAX($CM$2/(Flows!M40*M$3*M$4),1))</f>
        <v>25581.27411195</v>
      </c>
      <c r="N70" s="10" t="n">
        <f aca="false">IF(Flows!N40*N$3*N$4&lt;0.002,100,MAX($CM$2/(Flows!N40*N$3*N$4),1))</f>
        <v>20.3619266519613</v>
      </c>
      <c r="O70" s="10" t="n">
        <f aca="false">IF(Flows!O40*O$3*O$4&lt;0.002,100,MAX($CM$2/(Flows!O40*O$3*O$4),1))</f>
        <v>5.2213187248745</v>
      </c>
      <c r="P70" s="10" t="n">
        <f aca="false">IF(Flows!P40*P$3*P$4&lt;0.002,100,MAX($CM$2/(Flows!P40*P$3*P$4),1))</f>
        <v>9.78997260913967</v>
      </c>
      <c r="Q70" s="10" t="n">
        <f aca="false">IF(Flows!Q40*Q$3*Q$4&lt;0.002,100,MAX($CM$2/(Flows!Q40*Q$3*Q$4),1))</f>
        <v>426.88236407696</v>
      </c>
      <c r="R70" s="10" t="n">
        <f aca="false">IF(Flows!R40*R$3*R$4&lt;0.002,100,MAX($CM$2/(Flows!R40*R$3*R$4),1))</f>
        <v>18.4781197185625</v>
      </c>
      <c r="S70" s="10" t="n">
        <f aca="false">IF(Flows!S40*S$3*S$4&lt;0.002,100,MAX($CM$2/(Flows!S40*S$3*S$4),1))</f>
        <v>324.21201971282</v>
      </c>
      <c r="T70" s="10" t="n">
        <f aca="false">IF(Flows!T40*T$3*T$4&lt;0.002,100,MAX($CM$2/(Flows!T40*T$3*T$4),1))</f>
        <v>580.085231348918</v>
      </c>
      <c r="U70" s="10" t="n">
        <f aca="false">IF(Flows!U40*U$3*U$4&lt;0.002,100,MAX($CM$2/(Flows!U40*U$3*U$4),1))</f>
        <v>106.588642133125</v>
      </c>
      <c r="V70" s="10" t="n">
        <f aca="false">IF(Flows!V40*V$3*V$4&lt;0.002,100,MAX($CM$2/(Flows!V40*V$3*V$4),1))</f>
        <v>165.819698281663</v>
      </c>
      <c r="W70" s="10" t="n">
        <f aca="false">IF(Flows!W40*W$3*W$4&lt;0.002,100,MAX($CM$2/(Flows!W40*W$3*W$4),1))</f>
        <v>4.67651985229696</v>
      </c>
      <c r="X70" s="10" t="n">
        <f aca="false">IF(Flows!X40*X$3*X$4&lt;0.002,100,MAX($CM$2/(Flows!X40*X$3*X$4),1))</f>
        <v>2.49498177192561</v>
      </c>
      <c r="Y70" s="10" t="n">
        <f aca="false">IF(Flows!Y40*Y$3*Y$4&lt;0.002,100,MAX($CM$2/(Flows!Y40*Y$3*Y$4),1))</f>
        <v>189.123678165812</v>
      </c>
      <c r="Z70" s="10" t="n">
        <f aca="false">IF(Flows!Z40*Z$3*Z$4&lt;0.002,100,MAX($CM$2/(Flows!Z40*Z$3*Z$4),1))</f>
        <v>64208.9312018867</v>
      </c>
      <c r="AA70" s="10" t="n">
        <f aca="false">IF(Flows!AA40*AA$3*AA$4&lt;0.002,100,MAX($CM$2/(Flows!AA40*AA$3*AA$4),1))</f>
        <v>40696.5561082078</v>
      </c>
      <c r="AB70" s="10" t="n">
        <f aca="false">IF(Flows!AB40*AB$3*AB$4&lt;0.002,100,MAX($CM$2/(Flows!AB40*AB$3*AB$4),1))</f>
        <v>34564.6975263087</v>
      </c>
      <c r="AC70" s="10" t="n">
        <f aca="false">IF(Flows!AC40*AC$3*AC$4&lt;0.002,100,MAX($CM$2/(Flows!AC40*AC$3*AC$4),1))</f>
        <v>393518.738079381</v>
      </c>
      <c r="AD70" s="10" t="n">
        <f aca="false">IF(Flows!AD40*AD$3*AD$4&lt;0.002,100,MAX($CM$2/(Flows!AD40*AD$3*AD$4),1))</f>
        <v>217730.7445506</v>
      </c>
      <c r="AE70" s="10" t="n">
        <f aca="false">IF(Flows!AE40*AE$3*AE$4&lt;0.002,100,MAX($CM$2/(Flows!AE40*AE$3*AE$4),1))</f>
        <v>591858.852637705</v>
      </c>
      <c r="AF70" s="10" t="n">
        <f aca="false">IF(Flows!AF40*AF$3*AF$4&lt;0.002,100,MAX($CM$2/(Flows!AF40*AF$3*AF$4),1))</f>
        <v>630.271761912474</v>
      </c>
      <c r="AG70" s="10" t="n">
        <f aca="false">IF(Flows!AG40*AG$3*AG$4&lt;0.002,100,MAX($CM$2/(Flows!AG40*AG$3*AG$4),1))</f>
        <v>2576.52359040824</v>
      </c>
      <c r="AH70" s="10" t="n">
        <f aca="false">IF(Flows!AH40*AH$3*AH$4&lt;0.002,100,MAX($CM$2/(Flows!AH40*AH$3*AH$4),1))</f>
        <v>2470.08934888359</v>
      </c>
      <c r="AI70" s="10" t="n">
        <f aca="false">IF(Flows!AI40*AI$3*AI$4&lt;0.002,100,MAX($CM$2/(Flows!AI40*AI$3*AI$4),1))</f>
        <v>2878.57246671624</v>
      </c>
      <c r="AJ70" s="10" t="n">
        <f aca="false">IF(Flows!AJ40*AJ$3*AJ$4&lt;0.002,100,MAX($CM$2/(Flows!AJ40*AJ$3*AJ$4),1))</f>
        <v>2598.06633872823</v>
      </c>
      <c r="AK70" s="10" t="n">
        <f aca="false">IF(Flows!AK40*AK$3*AK$4&lt;0.002,100,MAX($CM$2/(Flows!AK40*AK$3*AK$4),1))</f>
        <v>479.984737006953</v>
      </c>
      <c r="AL70" s="10" t="n">
        <f aca="false">IF(Flows!AL40*AL$3*AL$4&lt;0.002,100,MAX($CM$2/(Flows!AL40*AL$3*AL$4),1))</f>
        <v>636.202878440385</v>
      </c>
      <c r="AM70" s="10" t="n">
        <f aca="false">IF(Flows!AM40*AM$3*AM$4&lt;0.002,100,MAX($CM$2/(Flows!AM40*AM$3*AM$4),1))</f>
        <v>1589.5679941577</v>
      </c>
      <c r="AN70" s="10" t="n">
        <f aca="false">IF(Flows!AN40*AN$3*AN$4&lt;0.002,100,MAX($CM$2/(Flows!AN40*AN$3*AN$4),1))</f>
        <v>1726.60443405418</v>
      </c>
      <c r="AO70" s="10" t="n">
        <f aca="false">IF(Flows!AO40*AO$3*AO$4&lt;0.002,100,MAX($CM$2/(Flows!AO40*AO$3*AO$4),1))</f>
        <v>13758.0089272054</v>
      </c>
      <c r="AP70" s="10" t="n">
        <f aca="false">IF(Flows!AP40*AP$3*AP$4&lt;0.002,100,MAX($CM$2/(Flows!AP40*AP$3*AP$4),1))</f>
        <v>45728.5776943037</v>
      </c>
      <c r="AQ70" s="10" t="n">
        <f aca="false">IF(Flows!AQ40*AQ$3*AQ$4&lt;0.002,100,MAX($CM$2/(Flows!AQ40*AQ$3*AQ$4),1))</f>
        <v>355431.481298199</v>
      </c>
      <c r="AR70" s="10" t="n">
        <f aca="false">IF(Flows!AR40*AR$3*AR$4&lt;0.002,100,MAX($CM$2/(Flows!AR40*AR$3*AR$4),1))</f>
        <v>70116.2382023318</v>
      </c>
      <c r="AS70" s="10" t="n">
        <f aca="false">IF(Flows!AS40*AS$3*AS$4&lt;0.002,100,MAX($CM$2/(Flows!AS40*AS$3*AS$4),1))</f>
        <v>4417.35639690399</v>
      </c>
      <c r="AT70" s="10" t="n">
        <f aca="false">IF(Flows!AT40*AT$3*AT$4&lt;0.002,100,MAX($CM$2/(Flows!AT40*AT$3*AT$4),1))</f>
        <v>1185.30304982879</v>
      </c>
      <c r="AU70" s="10" t="n">
        <f aca="false">IF(Flows!AU40*AU$3*AU$4&lt;0.002,100,MAX($CM$2/(Flows!AU40*AU$3*AU$4),1))</f>
        <v>1652.9422824613</v>
      </c>
      <c r="AV70" s="10" t="n">
        <f aca="false">IF(Flows!AV40*AV$3*AV$4&lt;0.002,100,MAX($CM$2/(Flows!AV40*AV$3*AV$4),1))</f>
        <v>62233.873769634</v>
      </c>
      <c r="AW70" s="10" t="n">
        <f aca="false">IF(Flows!AW40*AW$3*AW$4&lt;0.002,100,MAX($CM$2/(Flows!AW40*AW$3*AW$4),1))</f>
        <v>120.113051812509</v>
      </c>
      <c r="AX70" s="10" t="n">
        <f aca="false">IF(Flows!AX40*AX$3*AX$4&lt;0.002,100,MAX($CM$2/(Flows!AX40*AX$3*AX$4),1))</f>
        <v>5801.78964132435</v>
      </c>
      <c r="AY70" s="10" t="n">
        <f aca="false">IF(Flows!AY40*AY$3*AY$4&lt;0.002,100,MAX($CM$2/(Flows!AY40*AY$3*AY$4),1))</f>
        <v>3398.02151821753</v>
      </c>
      <c r="AZ70" s="10" t="n">
        <f aca="false">IF(Flows!AZ40*AZ$3*AZ$4&lt;0.002,100,MAX($CM$2/(Flows!AZ40*AZ$3*AZ$4),1))</f>
        <v>877.926832218945</v>
      </c>
      <c r="BA70" s="10" t="n">
        <f aca="false">IF(Flows!BA40*BA$3*BA$4&lt;0.002,100,MAX($CM$2/(Flows!BA40*BA$3*BA$4),1))</f>
        <v>1929.06151729128</v>
      </c>
      <c r="BB70" s="10" t="n">
        <f aca="false">IF(Flows!BB40*BB$3*BB$4&lt;0.002,100,MAX($CM$2/(Flows!BB40*BB$3*BB$4),1))</f>
        <v>23428.570389971</v>
      </c>
      <c r="BC70" s="10" t="n">
        <f aca="false">IF(Flows!BC40*BC$3*BC$4&lt;0.002,100,MAX($CM$2/(Flows!BC40*BC$3*BC$4),1))</f>
        <v>1837.17309916567</v>
      </c>
      <c r="BD70" s="10" t="n">
        <f aca="false">IF(Flows!BD40*BD$3*BD$4&lt;0.002,100,MAX($CM$2/(Flows!BD40*BD$3*BD$4),1))</f>
        <v>9965.98399143246</v>
      </c>
      <c r="BE70" s="10" t="n">
        <f aca="false">IF(Flows!BE40*BE$3*BE$4&lt;0.002,100,MAX($CM$2/(Flows!BE40*BE$3*BE$4),1))</f>
        <v>25853.5927365752</v>
      </c>
      <c r="BF70" s="10" t="n">
        <f aca="false">IF(Flows!BF40*BF$3*BF$4&lt;0.002,100,MAX($CM$2/(Flows!BF40*BF$3*BF$4),1))</f>
        <v>1817.82108513375</v>
      </c>
      <c r="BG70" s="10" t="n">
        <f aca="false">IF(Flows!BG40*BG$3*BG$4&lt;0.002,100,MAX($CM$2/(Flows!BG40*BG$3*BG$4),1))</f>
        <v>441.937613656802</v>
      </c>
      <c r="BH70" s="10" t="n">
        <f aca="false">IF(Flows!BH40*BH$3*BH$4&lt;0.002,100,MAX($CM$2/(Flows!BH40*BH$3*BH$4),1))</f>
        <v>565777.434810635</v>
      </c>
      <c r="BI70" s="10" t="n">
        <f aca="false">IF(Flows!BI40*BI$3*BI$4&lt;0.002,100,MAX($CM$2/(Flows!BI40*BI$3*BI$4),1))</f>
        <v>165.726605121301</v>
      </c>
      <c r="BJ70" s="10" t="n">
        <f aca="false">IF(Flows!BJ40*BJ$3*BJ$4&lt;0.002,100,MAX($CM$2/(Flows!BJ40*BJ$3*BJ$4),1))</f>
        <v>9.99100539403496</v>
      </c>
      <c r="BK70" s="10" t="n">
        <f aca="false">IF(Flows!BK40*BK$3*BK$4&lt;0.002,100,MAX($CM$2/(Flows!BK40*BK$3*BK$4),1))</f>
        <v>331.453210242601</v>
      </c>
      <c r="BL70" s="10" t="n">
        <f aca="false">IF(Flows!BL40*BL$3*BL$4&lt;0.002,100,MAX($CM$2/(Flows!BL40*BL$3*BL$4),1))</f>
        <v>239.399390524416</v>
      </c>
      <c r="BM70" s="10" t="n">
        <f aca="false">IF(Flows!BM40*BM$3*BM$4&lt;0.002,100,MAX($CM$2/(Flows!BM40*BM$3*BM$4),1))</f>
        <v>84.3440687547318</v>
      </c>
      <c r="BN70" s="10" t="n">
        <f aca="false">IF(Flows!BN40*BN$3*BN$4&lt;0.002,100,MAX($CM$2/(Flows!BN40*BN$3*BN$4),1))</f>
        <v>1</v>
      </c>
      <c r="BO70" s="10" t="n">
        <f aca="false">IF(Flows!BO40*BO$3*BO$4&lt;0.002,100,MAX($CM$2/(Flows!BO40*BO$3*BO$4),1))</f>
        <v>157.999733940058</v>
      </c>
      <c r="BP70" s="10" t="n">
        <f aca="false">IF(Flows!BP40*BP$3*BP$4&lt;0.002,100,MAX($CM$2/(Flows!BP40*BP$3*BP$4),1))</f>
        <v>316.657150754118</v>
      </c>
      <c r="BQ70" s="10" t="n">
        <f aca="false">IF(Flows!BQ40*BQ$3*BQ$4&lt;0.002,100,MAX($CM$2/(Flows!BQ40*BQ$3*BQ$4),1))</f>
        <v>100</v>
      </c>
      <c r="BR70" s="10" t="n">
        <f aca="false">IF(Flows!BR40*BR$3*BR$4&lt;0.002,100,MAX($CM$2/(Flows!BR40*BR$3*BR$4),1))</f>
        <v>4739.99010962529</v>
      </c>
      <c r="BS70" s="10" t="n">
        <f aca="false">IF(Flows!BS40*BS$3*BS$4&lt;0.002,100,MAX($CM$2/(Flows!BS40*BS$3*BS$4),1))</f>
        <v>47399.9010962529</v>
      </c>
      <c r="BT70" s="10" t="n">
        <f aca="false">IF(Flows!BT40*BT$3*BT$4&lt;0.002,100,MAX($CM$2/(Flows!BT40*BT$3*BT$4),1))</f>
        <v>12.3514136369012</v>
      </c>
      <c r="BU70" s="10" t="n">
        <f aca="false">IF(Flows!BU40*BU$3*BU$4&lt;0.002,100,MAX($CM$2/(Flows!BU40*BU$3*BU$4),1))</f>
        <v>123.514136369012</v>
      </c>
      <c r="BV70" s="10" t="n">
        <f aca="false">IF(Flows!BV40*BV$3*BV$4&lt;0.002,100,MAX($CM$2/(Flows!BV40*BV$3*BV$4),1))</f>
        <v>1235.14136369012</v>
      </c>
      <c r="BW70" s="10" t="n">
        <f aca="false">IF(Flows!BW40*BW$3*BW$4&lt;0.002,100,MAX($CM$2/(Flows!BW40*BW$3*BW$4),1))</f>
        <v>62.1377695635275</v>
      </c>
      <c r="BX70" s="10" t="n">
        <f aca="false">IF(Flows!BX40*BX$3*BX$4&lt;0.002,100,MAX($CM$2/(Flows!BX40*BX$3*BX$4),1))</f>
        <v>26.1588863683681</v>
      </c>
      <c r="BY70" s="10" t="n">
        <f aca="false">IF(Flows!BY40*BY$3*BY$4&lt;0.002,100,MAX($CM$2/(Flows!BY40*BY$3*BY$4),1))</f>
        <v>28.6990118089786</v>
      </c>
      <c r="BZ70" s="10" t="n">
        <f aca="false">IF(Flows!BZ40*BZ$3*BZ$4&lt;0.002,100,MAX($CM$2/(Flows!BZ40*BZ$3*BZ$4),1))</f>
        <v>45728.7056157371</v>
      </c>
      <c r="CA70" s="10" t="n">
        <f aca="false">IF(Flows!CA40*CA$3*CA$4&lt;0.002,100,MAX($CM$2/(Flows!CA40*CA$3*CA$4),1))</f>
        <v>125506.887802577</v>
      </c>
      <c r="CB70" s="10" t="n">
        <f aca="false">IF(Flows!CB40*CB$3*CB$4&lt;0.002,100,MAX($CM$2/(Flows!CB40*CB$3*CB$4),1))</f>
        <v>70.9601948297925</v>
      </c>
      <c r="CC70" s="10" t="n">
        <f aca="false">IF(Flows!CC40*CC$3*CC$4&lt;0.002,100,MAX($CM$2/(Flows!CC40*CC$3*CC$4),1))</f>
        <v>61.2421097276385</v>
      </c>
      <c r="CD70" s="10" t="n">
        <f aca="false">IF(Flows!CD40*CD$3*CD$4&lt;0.002,100,MAX($CM$2/(Flows!CD40*CD$3*CD$4),1))</f>
        <v>153.715422253788</v>
      </c>
      <c r="CE70" s="10" t="n">
        <f aca="false">IF(Flows!CE40*CE$3*CE$4&lt;0.002,100,MAX($CM$2/(Flows!CE40*CE$3*CE$4),1))</f>
        <v>44.818090677196</v>
      </c>
      <c r="CF70" s="10" t="n">
        <f aca="false">IF(Flows!CF40*CF$3*CF$4&lt;0.002,100,MAX($CM$2/(Flows!CF40*CF$3*CF$4),1))</f>
        <v>1</v>
      </c>
      <c r="CG70" s="10" t="n">
        <f aca="false">IF(Flows!CG40*CG$3*CG$4&lt;0.002,100,MAX($CM$2/(Flows!CG40*CG$3*CG$4),1))</f>
        <v>47.3672508467955</v>
      </c>
      <c r="CH70" s="10" t="n">
        <f aca="false">IF(Flows!CH40*CH$3*CH$4&lt;0.002,100,MAX($CM$2/(Flows!CH40*CH$3*CH$4),1))</f>
        <v>36.3084539995164</v>
      </c>
      <c r="CI70" s="10" t="n">
        <f aca="false">IF(Flows!CI40*CI$3*CI$4&lt;0.002,100,MAX($CM$2/(Flows!CI40*CI$3*CI$4),1))</f>
        <v>252.883783105733</v>
      </c>
      <c r="CJ70" s="10" t="n">
        <f aca="false">IF(Flows!CJ40*CJ$3*CJ$4&lt;0.002,100,MAX($CM$2/(Flows!CJ40*CJ$3*CJ$4),1))</f>
        <v>1860.82781508666</v>
      </c>
      <c r="CK70" s="10" t="n">
        <f aca="false">IF(Flows!CK40*CK$3*CK$4&lt;0.002,100,MAX($CM$2/(Flows!CK40*CK$3*CK$4),1))</f>
        <v>573.43206370897</v>
      </c>
      <c r="CL70" s="7" t="s">
        <v>322</v>
      </c>
    </row>
    <row r="71" customFormat="false" ht="12.8" hidden="false" customHeight="false" outlineLevel="0" collapsed="false">
      <c r="A71" s="7" t="s">
        <v>145</v>
      </c>
      <c r="B71" s="7" t="s">
        <v>39</v>
      </c>
      <c r="C71" s="10" t="n">
        <f aca="false">IF(Flows!C41*C$3*C$4&lt;0.002,100,MAX($CM$2/(Flows!C41*C$3*C$4),1))</f>
        <v>14744.0960988051</v>
      </c>
      <c r="D71" s="10" t="n">
        <f aca="false">IF(Flows!D41*D$3*D$4&lt;0.002,100,MAX($CM$2/(Flows!D41*D$3*D$4),1))</f>
        <v>2.14108542587067</v>
      </c>
      <c r="E71" s="10" t="n">
        <f aca="false">IF(Flows!E41*E$3*E$4&lt;0.002,100,MAX($CM$2/(Flows!E41*E$3*E$4),1))</f>
        <v>11.6077368885741</v>
      </c>
      <c r="F71" s="10" t="n">
        <f aca="false">IF(Flows!F41*F$3*F$4&lt;0.002,100,MAX($CM$2/(Flows!F41*F$3*F$4),1))</f>
        <v>38.7218837399135</v>
      </c>
      <c r="G71" s="10" t="n">
        <f aca="false">IF(Flows!G41*G$3*G$4&lt;0.002,100,MAX($CM$2/(Flows!G41*G$3*G$4),1))</f>
        <v>9.24859836384273</v>
      </c>
      <c r="H71" s="10" t="n">
        <f aca="false">IF(Flows!H41*H$3*H$4&lt;0.002,100,MAX($CM$2/(Flows!H41*H$3*H$4),1))</f>
        <v>100</v>
      </c>
      <c r="I71" s="10" t="n">
        <f aca="false">IF(Flows!I41*I$3*I$4&lt;0.002,100,MAX($CM$2/(Flows!I41*I$3*I$4),1))</f>
        <v>2152.93147173082</v>
      </c>
      <c r="J71" s="10" t="n">
        <f aca="false">IF(Flows!J41*J$3*J$4&lt;0.002,100,MAX($CM$2/(Flows!J41*J$3*J$4),1))</f>
        <v>1170.3737997279</v>
      </c>
      <c r="K71" s="10" t="n">
        <f aca="false">IF(Flows!K41*K$3*K$4&lt;0.002,100,MAX($CM$2/(Flows!K41*K$3*K$4),1))</f>
        <v>14441.2352313885</v>
      </c>
      <c r="L71" s="10" t="n">
        <f aca="false">IF(Flows!L41*L$3*L$4&lt;0.002,100,MAX($CM$2/(Flows!L41*L$3*L$4),1))</f>
        <v>33824.8267774197</v>
      </c>
      <c r="M71" s="10" t="n">
        <f aca="false">IF(Flows!M41*M$3*M$4&lt;0.002,100,MAX($CM$2/(Flows!M41*M$3*M$4),1))</f>
        <v>22155.1730060076</v>
      </c>
      <c r="N71" s="10" t="n">
        <f aca="false">IF(Flows!N41*N$3*N$4&lt;0.002,100,MAX($CM$2/(Flows!N41*N$3*N$4),1))</f>
        <v>10.2162256978492</v>
      </c>
      <c r="O71" s="10" t="n">
        <f aca="false">IF(Flows!O41*O$3*O$4&lt;0.002,100,MAX($CM$2/(Flows!O41*O$3*O$4),1))</f>
        <v>3.211628138806</v>
      </c>
      <c r="P71" s="10" t="n">
        <f aca="false">IF(Flows!P41*P$3*P$4&lt;0.002,100,MAX($CM$2/(Flows!P41*P$3*P$4),1))</f>
        <v>6.02180276026124</v>
      </c>
      <c r="Q71" s="10" t="n">
        <f aca="false">IF(Flows!Q41*Q$3*Q$4&lt;0.002,100,MAX($CM$2/(Flows!Q41*Q$3*Q$4),1))</f>
        <v>312.224133287301</v>
      </c>
      <c r="R71" s="10" t="n">
        <f aca="false">IF(Flows!R41*R$3*R$4&lt;0.002,100,MAX($CM$2/(Flows!R41*R$3*R$4),1))</f>
        <v>32.9455077168409</v>
      </c>
      <c r="S71" s="10" t="n">
        <f aca="false">IF(Flows!S41*S$3*S$4&lt;0.002,100,MAX($CM$2/(Flows!S41*S$3*S$4),1))</f>
        <v>289.927086663597</v>
      </c>
      <c r="T71" s="10" t="n">
        <f aca="false">IF(Flows!T41*T$3*T$4&lt;0.002,100,MAX($CM$2/(Flows!T41*T$3*T$4),1))</f>
        <v>518.742091334377</v>
      </c>
      <c r="U71" s="10" t="n">
        <f aca="false">IF(Flows!U41*U$3*U$4&lt;0.002,100,MAX($CM$2/(Flows!U41*U$3*U$4),1))</f>
        <v>92.313220858365</v>
      </c>
      <c r="V71" s="10" t="n">
        <f aca="false">IF(Flows!V41*V$3*V$4&lt;0.002,100,MAX($CM$2/(Flows!V41*V$3*V$4),1))</f>
        <v>381.736969834728</v>
      </c>
      <c r="W71" s="10" t="n">
        <f aca="false">IF(Flows!W41*W$3*W$4&lt;0.002,100,MAX($CM$2/(Flows!W41*W$3*W$4),1))</f>
        <v>10.8791082490159</v>
      </c>
      <c r="X71" s="10" t="n">
        <f aca="false">IF(Flows!X41*X$3*X$4&lt;0.002,100,MAX($CM$2/(Flows!X41*X$3*X$4),1))</f>
        <v>5.59397746146494</v>
      </c>
      <c r="Y71" s="10" t="n">
        <f aca="false">IF(Flows!Y41*Y$3*Y$4&lt;0.002,100,MAX($CM$2/(Flows!Y41*Y$3*Y$4),1))</f>
        <v>169.124133887099</v>
      </c>
      <c r="Z71" s="10" t="n">
        <f aca="false">IF(Flows!Z41*Z$3*Z$4&lt;0.002,100,MAX($CM$2/(Flows!Z41*Z$3*Z$4),1))</f>
        <v>15889.6703610012</v>
      </c>
      <c r="AA71" s="10" t="n">
        <f aca="false">IF(Flows!AA41*AA$3*AA$4&lt;0.002,100,MAX($CM$2/(Flows!AA41*AA$3*AA$4),1))</f>
        <v>18831.4173936039</v>
      </c>
      <c r="AB71" s="10" t="n">
        <f aca="false">IF(Flows!AB41*AB$3*AB$4&lt;0.002,100,MAX($CM$2/(Flows!AB41*AB$3*AB$4),1))</f>
        <v>12439.6384657703</v>
      </c>
      <c r="AC71" s="10" t="n">
        <f aca="false">IF(Flows!AC41*AC$3*AC$4&lt;0.002,100,MAX($CM$2/(Flows!AC41*AC$3*AC$4),1))</f>
        <v>88306.4631688998</v>
      </c>
      <c r="AD71" s="10" t="n">
        <f aca="false">IF(Flows!AD41*AD$3*AD$4&lt;0.002,100,MAX($CM$2/(Flows!AD41*AD$3*AD$4),1))</f>
        <v>78360.0592202751</v>
      </c>
      <c r="AE71" s="10" t="n">
        <f aca="false">IF(Flows!AE41*AE$3*AE$4&lt;0.002,100,MAX($CM$2/(Flows!AE41*AE$3*AE$4),1))</f>
        <v>260372.077903348</v>
      </c>
      <c r="AF71" s="10" t="n">
        <f aca="false">IF(Flows!AF41*AF$3*AF$4&lt;0.002,100,MAX($CM$2/(Flows!AF41*AF$3*AF$4),1))</f>
        <v>983.259309666969</v>
      </c>
      <c r="AG71" s="10" t="n">
        <f aca="false">IF(Flows!AG41*AG$3*AG$4&lt;0.002,100,MAX($CM$2/(Flows!AG41*AG$3*AG$4),1))</f>
        <v>3984.32898861714</v>
      </c>
      <c r="AH71" s="10" t="n">
        <f aca="false">IF(Flows!AH41*AH$3*AH$4&lt;0.002,100,MAX($CM$2/(Flows!AH41*AH$3*AH$4),1))</f>
        <v>775.081857736657</v>
      </c>
      <c r="AI71" s="10" t="n">
        <f aca="false">IF(Flows!AI41*AI$3*AI$4&lt;0.002,100,MAX($CM$2/(Flows!AI41*AI$3*AI$4),1))</f>
        <v>2470667.96417545</v>
      </c>
      <c r="AJ71" s="10" t="n">
        <f aca="false">IF(Flows!AJ41*AJ$3*AJ$4&lt;0.002,100,MAX($CM$2/(Flows!AJ41*AJ$3*AJ$4),1))</f>
        <v>1088.07116367234</v>
      </c>
      <c r="AK71" s="10" t="n">
        <f aca="false">IF(Flows!AK41*AK$3*AK$4&lt;0.002,100,MAX($CM$2/(Flows!AK41*AK$3*AK$4),1))</f>
        <v>378.742051816072</v>
      </c>
      <c r="AL71" s="10" t="n">
        <f aca="false">IF(Flows!AL41*AL$3*AL$4&lt;0.002,100,MAX($CM$2/(Flows!AL41*AL$3*AL$4),1))</f>
        <v>1147.83955351585</v>
      </c>
      <c r="AM71" s="10" t="n">
        <f aca="false">IF(Flows!AM41*AM$3*AM$4&lt;0.002,100,MAX($CM$2/(Flows!AM41*AM$3*AM$4),1))</f>
        <v>1190.4502205608</v>
      </c>
      <c r="AN71" s="10" t="n">
        <f aca="false">IF(Flows!AN41*AN$3*AN$4&lt;0.002,100,MAX($CM$2/(Flows!AN41*AN$3*AN$4),1))</f>
        <v>1673.76796981031</v>
      </c>
      <c r="AO71" s="10" t="n">
        <f aca="false">IF(Flows!AO41*AO$3*AO$4&lt;0.002,100,MAX($CM$2/(Flows!AO41*AO$3*AO$4),1))</f>
        <v>18085.1309811615</v>
      </c>
      <c r="AP71" s="10" t="n">
        <f aca="false">IF(Flows!AP41*AP$3*AP$4&lt;0.002,100,MAX($CM$2/(Flows!AP41*AP$3*AP$4),1))</f>
        <v>42233.3267657736</v>
      </c>
      <c r="AQ71" s="10" t="n">
        <f aca="false">IF(Flows!AQ41*AQ$3*AQ$4&lt;0.002,100,MAX($CM$2/(Flows!AQ41*AQ$3*AQ$4),1))</f>
        <v>44820.7602406495</v>
      </c>
      <c r="AR71" s="10" t="n">
        <f aca="false">IF(Flows!AR41*AR$3*AR$4&lt;0.002,100,MAX($CM$2/(Flows!AR41*AR$3*AR$4),1))</f>
        <v>31499.8183162299</v>
      </c>
      <c r="AS71" s="10" t="n">
        <f aca="false">IF(Flows!AS41*AS$3*AS$4&lt;0.002,100,MAX($CM$2/(Flows!AS41*AS$3*AS$4),1))</f>
        <v>2291.20428281298</v>
      </c>
      <c r="AT71" s="10" t="n">
        <f aca="false">IF(Flows!AT41*AT$3*AT$4&lt;0.002,100,MAX($CM$2/(Flows!AT41*AT$3*AT$4),1))</f>
        <v>1082.06316492798</v>
      </c>
      <c r="AU71" s="10" t="n">
        <f aca="false">IF(Flows!AU41*AU$3*AU$4&lt;0.002,100,MAX($CM$2/(Flows!AU41*AU$3*AU$4),1))</f>
        <v>9911.65968406139</v>
      </c>
      <c r="AV71" s="10" t="n">
        <f aca="false">IF(Flows!AV41*AV$3*AV$4&lt;0.002,100,MAX($CM$2/(Flows!AV41*AV$3*AV$4),1))</f>
        <v>13385.4991223129</v>
      </c>
      <c r="AW71" s="10" t="n">
        <f aca="false">IF(Flows!AW41*AW$3*AW$4&lt;0.002,100,MAX($CM$2/(Flows!AW41*AW$3*AW$4),1))</f>
        <v>27.4328821862783</v>
      </c>
      <c r="AX71" s="10" t="n">
        <f aca="false">IF(Flows!AX41*AX$3*AX$4&lt;0.002,100,MAX($CM$2/(Flows!AX41*AX$3*AX$4),1))</f>
        <v>5390.91172745259</v>
      </c>
      <c r="AY71" s="10" t="n">
        <f aca="false">IF(Flows!AY41*AY$3*AY$4&lt;0.002,100,MAX($CM$2/(Flows!AY41*AY$3*AY$4),1))</f>
        <v>726.720073104135</v>
      </c>
      <c r="AZ71" s="10" t="n">
        <f aca="false">IF(Flows!AZ41*AZ$3*AZ$4&lt;0.002,100,MAX($CM$2/(Flows!AZ41*AZ$3*AZ$4),1))</f>
        <v>162.689901704157</v>
      </c>
      <c r="BA71" s="10" t="n">
        <f aca="false">IF(Flows!BA41*BA$3*BA$4&lt;0.002,100,MAX($CM$2/(Flows!BA41*BA$3*BA$4),1))</f>
        <v>1725.06616564841</v>
      </c>
      <c r="BB71" s="10" t="n">
        <f aca="false">IF(Flows!BB41*BB$3*BB$4&lt;0.002,100,MAX($CM$2/(Flows!BB41*BB$3*BB$4),1))</f>
        <v>3777.97581437134</v>
      </c>
      <c r="BC71" s="10" t="n">
        <f aca="false">IF(Flows!BC41*BC$3*BC$4&lt;0.002,100,MAX($CM$2/(Flows!BC41*BC$3*BC$4),1))</f>
        <v>4817.18702823119</v>
      </c>
      <c r="BD71" s="10" t="n">
        <f aca="false">IF(Flows!BD41*BD$3*BD$4&lt;0.002,100,MAX($CM$2/(Flows!BD41*BD$3*BD$4),1))</f>
        <v>5517.01596539614</v>
      </c>
      <c r="BE71" s="10" t="n">
        <f aca="false">IF(Flows!BE41*BE$3*BE$4&lt;0.002,100,MAX($CM$2/(Flows!BE41*BE$3*BE$4),1))</f>
        <v>20928.9388926494</v>
      </c>
      <c r="BF71" s="10" t="n">
        <f aca="false">IF(Flows!BF41*BF$3*BF$4&lt;0.002,100,MAX($CM$2/(Flows!BF41*BF$3*BF$4),1))</f>
        <v>709.432113330125</v>
      </c>
      <c r="BG71" s="10" t="n">
        <f aca="false">IF(Flows!BG41*BG$3*BG$4&lt;0.002,100,MAX($CM$2/(Flows!BG41*BG$3*BG$4),1))</f>
        <v>222.636393522852</v>
      </c>
      <c r="BH71" s="10" t="n">
        <f aca="false">IF(Flows!BH41*BH$3*BH$4&lt;0.002,100,MAX($CM$2/(Flows!BH41*BH$3*BH$4),1))</f>
        <v>111.318196761426</v>
      </c>
      <c r="BI71" s="10" t="n">
        <f aca="false">IF(Flows!BI41*BI$3*BI$4&lt;0.002,100,MAX($CM$2/(Flows!BI41*BI$3*BI$4),1))</f>
        <v>83.4886475710696</v>
      </c>
      <c r="BJ71" s="10" t="n">
        <f aca="false">IF(Flows!BJ41*BJ$3*BJ$4&lt;0.002,100,MAX($CM$2/(Flows!BJ41*BJ$3*BJ$4),1))</f>
        <v>10.9369357120064</v>
      </c>
      <c r="BK71" s="10" t="n">
        <f aca="false">IF(Flows!BK41*BK$3*BK$4&lt;0.002,100,MAX($CM$2/(Flows!BK41*BK$3*BK$4),1))</f>
        <v>166.977295142139</v>
      </c>
      <c r="BL71" s="10" t="n">
        <f aca="false">IF(Flows!BL41*BL$3*BL$4&lt;0.002,100,MAX($CM$2/(Flows!BL41*BL$3*BL$4),1))</f>
        <v>197.192777284933</v>
      </c>
      <c r="BM71" s="10" t="n">
        <f aca="false">IF(Flows!BM41*BM$3*BM$4&lt;0.002,100,MAX($CM$2/(Flows!BM41*BM$3*BM$4),1))</f>
        <v>63.8762130125775</v>
      </c>
      <c r="BN71" s="10" t="n">
        <f aca="false">IF(Flows!BN41*BN$3*BN$4&lt;0.002,100,MAX($CM$2/(Flows!BN41*BN$3*BN$4),1))</f>
        <v>406118.321286063</v>
      </c>
      <c r="BO71" s="10" t="n">
        <f aca="false">IF(Flows!BO41*BO$3*BO$4&lt;0.002,100,MAX($CM$2/(Flows!BO41*BO$3*BO$4),1))</f>
        <v>22.13132449252</v>
      </c>
      <c r="BP71" s="10" t="n">
        <f aca="false">IF(Flows!BP41*BP$3*BP$4&lt;0.002,100,MAX($CM$2/(Flows!BP41*BP$3*BP$4),1))</f>
        <v>71.8251655550554</v>
      </c>
      <c r="BQ71" s="10" t="n">
        <f aca="false">IF(Flows!BQ41*BQ$3*BQ$4&lt;0.002,100,MAX($CM$2/(Flows!BQ41*BQ$3*BQ$4),1))</f>
        <v>100</v>
      </c>
      <c r="BR71" s="10" t="n">
        <f aca="false">IF(Flows!BR41*BR$3*BR$4&lt;0.002,100,MAX($CM$2/(Flows!BR41*BR$3*BR$4),1))</f>
        <v>663.939437722491</v>
      </c>
      <c r="BS71" s="10" t="n">
        <f aca="false">IF(Flows!BS41*BS$3*BS$4&lt;0.002,100,MAX($CM$2/(Flows!BS41*BS$3*BS$4),1))</f>
        <v>6639.39437722492</v>
      </c>
      <c r="BT71" s="10" t="n">
        <f aca="false">IF(Flows!BT41*BT$3*BT$4&lt;0.002,100,MAX($CM$2/(Flows!BT41*BT$3*BT$4),1))</f>
        <v>3.56751635881319</v>
      </c>
      <c r="BU71" s="10" t="n">
        <f aca="false">IF(Flows!BU41*BU$3*BU$4&lt;0.002,100,MAX($CM$2/(Flows!BU41*BU$3*BU$4),1))</f>
        <v>35.675163588132</v>
      </c>
      <c r="BV71" s="10" t="n">
        <f aca="false">IF(Flows!BV41*BV$3*BV$4&lt;0.002,100,MAX($CM$2/(Flows!BV41*BV$3*BV$4),1))</f>
        <v>356.75163588132</v>
      </c>
      <c r="BW71" s="10" t="n">
        <f aca="false">IF(Flows!BW41*BW$3*BW$4&lt;0.002,100,MAX($CM$2/(Flows!BW41*BW$3*BW$4),1))</f>
        <v>22.3630305993936</v>
      </c>
      <c r="BX71" s="10" t="n">
        <f aca="false">IF(Flows!BX41*BX$3*BX$4&lt;0.002,100,MAX($CM$2/(Flows!BX41*BX$3*BX$4),1))</f>
        <v>122.531815249202</v>
      </c>
      <c r="BY71" s="10" t="n">
        <f aca="false">IF(Flows!BY41*BY$3*BY$4&lt;0.002,100,MAX($CM$2/(Flows!BY41*BY$3*BY$4),1))</f>
        <v>64.6142385463978</v>
      </c>
      <c r="BZ71" s="10" t="n">
        <f aca="false">IF(Flows!BZ41*BZ$3*BZ$4&lt;0.002,100,MAX($CM$2/(Flows!BZ41*BZ$3*BZ$4),1))</f>
        <v>126973.762007381</v>
      </c>
      <c r="CA71" s="10" t="n">
        <f aca="false">IF(Flows!CA41*CA$3*CA$4&lt;0.002,100,MAX($CM$2/(Flows!CA41*CA$3*CA$4),1))</f>
        <v>45090.8274390102</v>
      </c>
      <c r="CB71" s="10" t="n">
        <f aca="false">IF(Flows!CB41*CB$3*CB$4&lt;0.002,100,MAX($CM$2/(Flows!CB41*CB$3*CB$4),1))</f>
        <v>66.1560500277667</v>
      </c>
      <c r="CC71" s="10" t="n">
        <f aca="false">IF(Flows!CC41*CC$3*CC$4&lt;0.002,100,MAX($CM$2/(Flows!CC41*CC$3*CC$4),1))</f>
        <v>15.4423956565279</v>
      </c>
      <c r="CD71" s="10" t="n">
        <f aca="false">IF(Flows!CD41*CD$3*CD$4&lt;0.002,100,MAX($CM$2/(Flows!CD41*CD$3*CD$4),1))</f>
        <v>58.5436910146969</v>
      </c>
      <c r="CE71" s="10" t="n">
        <f aca="false">IF(Flows!CE41*CE$3*CE$4&lt;0.002,100,MAX($CM$2/(Flows!CE41*CE$3*CE$4),1))</f>
        <v>18.1906148221937</v>
      </c>
      <c r="CF71" s="10" t="n">
        <f aca="false">IF(Flows!CF41*CF$3*CF$4&lt;0.002,100,MAX($CM$2/(Flows!CF41*CF$3*CF$4),1))</f>
        <v>1</v>
      </c>
      <c r="CG71" s="10" t="n">
        <f aca="false">IF(Flows!CG41*CG$3*CG$4&lt;0.002,100,MAX($CM$2/(Flows!CG41*CG$3*CG$4),1))</f>
        <v>102.736296210309</v>
      </c>
      <c r="CH71" s="10" t="n">
        <f aca="false">IF(Flows!CH41*CH$3*CH$4&lt;0.002,100,MAX($CM$2/(Flows!CH41*CH$3*CH$4),1))</f>
        <v>94.9727920194992</v>
      </c>
      <c r="CI71" s="10" t="n">
        <f aca="false">IF(Flows!CI41*CI$3*CI$4&lt;0.002,100,MAX($CM$2/(Flows!CI41*CI$3*CI$4),1))</f>
        <v>220.644099936021</v>
      </c>
      <c r="CJ71" s="10" t="n">
        <f aca="false">IF(Flows!CJ41*CJ$3*CJ$4&lt;0.002,100,MAX($CM$2/(Flows!CJ41*CJ$3*CJ$4),1))</f>
        <v>1365.08561380449</v>
      </c>
      <c r="CK71" s="10" t="n">
        <f aca="false">IF(Flows!CK41*CK$3*CK$4&lt;0.002,100,MAX($CM$2/(Flows!CK41*CK$3*CK$4),1))</f>
        <v>1032.13137356807</v>
      </c>
      <c r="CL71" s="7" t="s">
        <v>322</v>
      </c>
    </row>
    <row r="72" customFormat="false" ht="12.8" hidden="false" customHeight="false" outlineLevel="0" collapsed="false">
      <c r="A72" s="7" t="s">
        <v>147</v>
      </c>
      <c r="B72" s="7" t="s">
        <v>39</v>
      </c>
      <c r="C72" s="10" t="n">
        <f aca="false">IF(Flows!C42*C$3*C$4&lt;0.002,100,MAX($CM$2/(Flows!C42*C$3*C$4),1))</f>
        <v>17958.1532890592</v>
      </c>
      <c r="D72" s="10" t="n">
        <f aca="false">IF(Flows!D42*D$3*D$4&lt;0.002,100,MAX($CM$2/(Flows!D42*D$3*D$4),1))</f>
        <v>2.76828776850549</v>
      </c>
      <c r="E72" s="10" t="n">
        <f aca="false">IF(Flows!E42*E$3*E$4&lt;0.002,100,MAX($CM$2/(Flows!E42*E$3*E$4),1))</f>
        <v>15.3183763366683</v>
      </c>
      <c r="F72" s="10" t="n">
        <f aca="false">IF(Flows!F42*F$3*F$4&lt;0.002,100,MAX($CM$2/(Flows!F42*F$3*F$4),1))</f>
        <v>73.860917044898</v>
      </c>
      <c r="G72" s="10" t="n">
        <f aca="false">IF(Flows!G42*G$3*G$4&lt;0.002,100,MAX($CM$2/(Flows!G42*G$3*G$4),1))</f>
        <v>16.670006482051</v>
      </c>
      <c r="H72" s="10" t="n">
        <f aca="false">IF(Flows!H42*H$3*H$4&lt;0.002,100,MAX($CM$2/(Flows!H42*H$3*H$4),1))</f>
        <v>100</v>
      </c>
      <c r="I72" s="10" t="n">
        <f aca="false">IF(Flows!I42*I$3*I$4&lt;0.002,100,MAX($CM$2/(Flows!I42*I$3*I$4),1))</f>
        <v>1934.64151765051</v>
      </c>
      <c r="J72" s="10" t="n">
        <f aca="false">IF(Flows!J42*J$3*J$4&lt;0.002,100,MAX($CM$2/(Flows!J42*J$3*J$4),1))</f>
        <v>4252.38636657809</v>
      </c>
      <c r="K72" s="10" t="n">
        <f aca="false">IF(Flows!K42*K$3*K$4&lt;0.002,100,MAX($CM$2/(Flows!K42*K$3*K$4),1))</f>
        <v>18250.0114283349</v>
      </c>
      <c r="L72" s="10" t="n">
        <f aca="false">IF(Flows!L42*L$3*L$4&lt;0.002,100,MAX($CM$2/(Flows!L42*L$3*L$4),1))</f>
        <v>45271.0397934975</v>
      </c>
      <c r="M72" s="10" t="n">
        <f aca="false">IF(Flows!M42*M$3*M$4&lt;0.002,100,MAX($CM$2/(Flows!M42*M$3*M$4),1))</f>
        <v>29787.3914389248</v>
      </c>
      <c r="N72" s="10" t="n">
        <f aca="false">IF(Flows!N42*N$3*N$4&lt;0.002,100,MAX($CM$2/(Flows!N42*N$3*N$4),1))</f>
        <v>17.7316822037611</v>
      </c>
      <c r="O72" s="10" t="n">
        <f aca="false">IF(Flows!O42*O$3*O$4&lt;0.002,100,MAX($CM$2/(Flows!O42*O$3*O$4),1))</f>
        <v>4.15243165275823</v>
      </c>
      <c r="P72" s="10" t="n">
        <f aca="false">IF(Flows!P42*P$3*P$4&lt;0.002,100,MAX($CM$2/(Flows!P42*P$3*P$4),1))</f>
        <v>7.78580934892168</v>
      </c>
      <c r="Q72" s="10" t="n">
        <f aca="false">IF(Flows!Q42*Q$3*Q$4&lt;0.002,100,MAX($CM$2/(Flows!Q42*Q$3*Q$4),1))</f>
        <v>356.809804336261</v>
      </c>
      <c r="R72" s="10" t="n">
        <f aca="false">IF(Flows!R42*R$3*R$4&lt;0.002,100,MAX($CM$2/(Flows!R42*R$3*R$4),1))</f>
        <v>27.3960352882875</v>
      </c>
      <c r="S72" s="10" t="n">
        <f aca="false">IF(Flows!S42*S$3*S$4&lt;0.002,100,MAX($CM$2/(Flows!S42*S$3*S$4),1))</f>
        <v>388.037483944263</v>
      </c>
      <c r="T72" s="10" t="n">
        <f aca="false">IF(Flows!T42*T$3*T$4&lt;0.002,100,MAX($CM$2/(Flows!T42*T$3*T$4),1))</f>
        <v>694.282753135568</v>
      </c>
      <c r="U72" s="10" t="n">
        <f aca="false">IF(Flows!U42*U$3*U$4&lt;0.002,100,MAX($CM$2/(Flows!U42*U$3*U$4),1))</f>
        <v>124.11413099552</v>
      </c>
      <c r="V72" s="10" t="n">
        <f aca="false">IF(Flows!V42*V$3*V$4&lt;0.002,100,MAX($CM$2/(Flows!V42*V$3*V$4),1))</f>
        <v>298.744688852999</v>
      </c>
      <c r="W72" s="10" t="n">
        <f aca="false">IF(Flows!W42*W$3*W$4&lt;0.002,100,MAX($CM$2/(Flows!W42*W$3*W$4),1))</f>
        <v>72.8180902132473</v>
      </c>
      <c r="X72" s="10" t="n">
        <f aca="false">IF(Flows!X42*X$3*X$4&lt;0.002,100,MAX($CM$2/(Flows!X42*X$3*X$4),1))</f>
        <v>2.4514208376962</v>
      </c>
      <c r="Y72" s="10" t="n">
        <f aca="false">IF(Flows!Y42*Y$3*Y$4&lt;0.002,100,MAX($CM$2/(Flows!Y42*Y$3*Y$4),1))</f>
        <v>226.355198967487</v>
      </c>
      <c r="Z72" s="10" t="n">
        <f aca="false">IF(Flows!Z42*Z$3*Z$4&lt;0.002,100,MAX($CM$2/(Flows!Z42*Z$3*Z$4),1))</f>
        <v>26337.1856709167</v>
      </c>
      <c r="AA72" s="10" t="n">
        <f aca="false">IF(Flows!AA42*AA$3*AA$4&lt;0.002,100,MAX($CM$2/(Flows!AA42*AA$3*AA$4),1))</f>
        <v>26650.0861129867</v>
      </c>
      <c r="AB72" s="10" t="n">
        <f aca="false">IF(Flows!AB42*AB$3*AB$4&lt;0.002,100,MAX($CM$2/(Flows!AB42*AB$3*AB$4),1))</f>
        <v>16416.2114751527</v>
      </c>
      <c r="AC72" s="10" t="n">
        <f aca="false">IF(Flows!AC42*AC$3*AC$4&lt;0.002,100,MAX($CM$2/(Flows!AC42*AC$3*AC$4),1))</f>
        <v>148028.811096818</v>
      </c>
      <c r="AD72" s="10" t="n">
        <f aca="false">IF(Flows!AD42*AD$3*AD$4&lt;0.002,100,MAX($CM$2/(Flows!AD42*AD$3*AD$4),1))</f>
        <v>103409.380176538</v>
      </c>
      <c r="AE72" s="10" t="n">
        <f aca="false">IF(Flows!AE42*AE$3*AE$4&lt;0.002,100,MAX($CM$2/(Flows!AE42*AE$3*AE$4),1))</f>
        <v>156429.451309332</v>
      </c>
      <c r="AF72" s="10" t="n">
        <f aca="false">IF(Flows!AF42*AF$3*AF$4&lt;0.002,100,MAX($CM$2/(Flows!AF42*AF$3*AF$4),1))</f>
        <v>1020.61757421209</v>
      </c>
      <c r="AG72" s="10" t="n">
        <f aca="false">IF(Flows!AG42*AG$3*AG$4&lt;0.002,100,MAX($CM$2/(Flows!AG42*AG$3*AG$4),1))</f>
        <v>758.909241592171</v>
      </c>
      <c r="AH72" s="10" t="n">
        <f aca="false">IF(Flows!AH42*AH$3*AH$4&lt;0.002,100,MAX($CM$2/(Flows!AH42*AH$3*AH$4),1))</f>
        <v>743.299168616466</v>
      </c>
      <c r="AI72" s="10" t="n">
        <f aca="false">IF(Flows!AI42*AI$3*AI$4&lt;0.002,100,MAX($CM$2/(Flows!AI42*AI$3*AI$4),1))</f>
        <v>7214.11870464142</v>
      </c>
      <c r="AJ72" s="10" t="n">
        <f aca="false">IF(Flows!AJ42*AJ$3*AJ$4&lt;0.002,100,MAX($CM$2/(Flows!AJ42*AJ$3*AJ$4),1))</f>
        <v>3176.41264894978</v>
      </c>
      <c r="AK72" s="10" t="n">
        <f aca="false">IF(Flows!AK42*AK$3*AK$4&lt;0.002,100,MAX($CM$2/(Flows!AK42*AK$3*AK$4),1))</f>
        <v>425.174539552522</v>
      </c>
      <c r="AL72" s="10" t="n">
        <f aca="false">IF(Flows!AL42*AL$3*AL$4&lt;0.002,100,MAX($CM$2/(Flows!AL42*AL$3*AL$4),1))</f>
        <v>1164.9452027754</v>
      </c>
      <c r="AM72" s="10" t="n">
        <f aca="false">IF(Flows!AM42*AM$3*AM$4&lt;0.002,100,MAX($CM$2/(Flows!AM42*AM$3*AM$4),1))</f>
        <v>3411.58730734079</v>
      </c>
      <c r="AN72" s="10" t="n">
        <f aca="false">IF(Flows!AN42*AN$3*AN$4&lt;0.002,100,MAX($CM$2/(Flows!AN42*AN$3*AN$4),1))</f>
        <v>1506.80573240372</v>
      </c>
      <c r="AO72" s="10" t="n">
        <f aca="false">IF(Flows!AO42*AO$3*AO$4&lt;0.002,100,MAX($CM$2/(Flows!AO42*AO$3*AO$4),1))</f>
        <v>37270.2770317403</v>
      </c>
      <c r="AP72" s="10" t="n">
        <f aca="false">IF(Flows!AP42*AP$3*AP$4&lt;0.002,100,MAX($CM$2/(Flows!AP42*AP$3*AP$4),1))</f>
        <v>130929.983142312</v>
      </c>
      <c r="AQ72" s="10" t="n">
        <f aca="false">IF(Flows!AQ42*AQ$3*AQ$4&lt;0.002,100,MAX($CM$2/(Flows!AQ42*AQ$3*AQ$4),1))</f>
        <v>25358.8503040772</v>
      </c>
      <c r="AR72" s="10" t="n">
        <f aca="false">IF(Flows!AR42*AR$3*AR$4&lt;0.002,100,MAX($CM$2/(Flows!AR42*AR$3*AR$4),1))</f>
        <v>23464.5466277499</v>
      </c>
      <c r="AS72" s="10" t="n">
        <f aca="false">IF(Flows!AS42*AS$3*AS$4&lt;0.002,100,MAX($CM$2/(Flows!AS42*AS$3*AS$4),1))</f>
        <v>1281.61531483969</v>
      </c>
      <c r="AT72" s="10" t="n">
        <f aca="false">IF(Flows!AT42*AT$3*AT$4&lt;0.002,100,MAX($CM$2/(Flows!AT42*AT$3*AT$4),1))</f>
        <v>2111.80589219028</v>
      </c>
      <c r="AU72" s="10" t="n">
        <f aca="false">IF(Flows!AU42*AU$3*AU$4&lt;0.002,100,MAX($CM$2/(Flows!AU42*AU$3*AU$4),1))</f>
        <v>732.272267929361</v>
      </c>
      <c r="AV72" s="10" t="n">
        <f aca="false">IF(Flows!AV42*AV$3*AV$4&lt;0.002,100,MAX($CM$2/(Flows!AV42*AV$3*AV$4),1))</f>
        <v>52799.2859789387</v>
      </c>
      <c r="AW72" s="10" t="n">
        <f aca="false">IF(Flows!AW42*AW$3*AW$4&lt;0.002,100,MAX($CM$2/(Flows!AW42*AW$3*AW$4),1))</f>
        <v>45.4954580103943</v>
      </c>
      <c r="AX72" s="10" t="n">
        <f aca="false">IF(Flows!AX42*AX$3*AX$4&lt;0.002,100,MAX($CM$2/(Flows!AX42*AX$3*AX$4),1))</f>
        <v>5149.15201971532</v>
      </c>
      <c r="AY72" s="10" t="n">
        <f aca="false">IF(Flows!AY42*AY$3*AY$4&lt;0.002,100,MAX($CM$2/(Flows!AY42*AY$3*AY$4),1))</f>
        <v>1380.34989566016</v>
      </c>
      <c r="AZ72" s="10" t="n">
        <f aca="false">IF(Flows!AZ42*AZ$3*AZ$4&lt;0.002,100,MAX($CM$2/(Flows!AZ42*AZ$3*AZ$4),1))</f>
        <v>256.171979613596</v>
      </c>
      <c r="BA72" s="10" t="n">
        <f aca="false">IF(Flows!BA42*BA$3*BA$4&lt;0.002,100,MAX($CM$2/(Flows!BA42*BA$3*BA$4),1))</f>
        <v>2308.82302946837</v>
      </c>
      <c r="BB72" s="10" t="n">
        <f aca="false">IF(Flows!BB42*BB$3*BB$4&lt;0.002,100,MAX($CM$2/(Flows!BB42*BB$3*BB$4),1))</f>
        <v>4250.90042226641</v>
      </c>
      <c r="BC72" s="10" t="n">
        <f aca="false">IF(Flows!BC42*BC$3*BC$4&lt;0.002,100,MAX($CM$2/(Flows!BC42*BC$3*BC$4),1))</f>
        <v>3275.54806814205</v>
      </c>
      <c r="BD72" s="10" t="n">
        <f aca="false">IF(Flows!BD42*BD$3*BD$4&lt;0.002,100,MAX($CM$2/(Flows!BD42*BD$3*BD$4),1))</f>
        <v>7500.11980507</v>
      </c>
      <c r="BE72" s="10" t="n">
        <f aca="false">IF(Flows!BE42*BE$3*BE$4&lt;0.002,100,MAX($CM$2/(Flows!BE42*BE$3*BE$4),1))</f>
        <v>21436.2225637915</v>
      </c>
      <c r="BF72" s="10" t="n">
        <f aca="false">IF(Flows!BF42*BF$3*BF$4&lt;0.002,100,MAX($CM$2/(Flows!BF42*BF$3*BF$4),1))</f>
        <v>595.482459807298</v>
      </c>
      <c r="BG72" s="10" t="n">
        <f aca="false">IF(Flows!BG42*BG$3*BG$4&lt;0.002,100,MAX($CM$2/(Flows!BG42*BG$3*BG$4),1))</f>
        <v>293.806458137298</v>
      </c>
      <c r="BH72" s="10" t="n">
        <f aca="false">IF(Flows!BH42*BH$3*BH$4&lt;0.002,100,MAX($CM$2/(Flows!BH42*BH$3*BH$4),1))</f>
        <v>146.903229068649</v>
      </c>
      <c r="BI72" s="10" t="n">
        <f aca="false">IF(Flows!BI42*BI$3*BI$4&lt;0.002,100,MAX($CM$2/(Flows!BI42*BI$3*BI$4),1))</f>
        <v>110.177421801487</v>
      </c>
      <c r="BJ72" s="10" t="n">
        <f aca="false">IF(Flows!BJ42*BJ$3*BJ$4&lt;0.002,100,MAX($CM$2/(Flows!BJ42*BJ$3*BJ$4),1))</f>
        <v>5.10158009037067</v>
      </c>
      <c r="BK72" s="10" t="n">
        <f aca="false">IF(Flows!BK42*BK$3*BK$4&lt;0.002,100,MAX($CM$2/(Flows!BK42*BK$3*BK$4),1))</f>
        <v>220.354843602974</v>
      </c>
      <c r="BL72" s="10" t="n">
        <f aca="false">IF(Flows!BL42*BL$3*BL$4&lt;0.002,100,MAX($CM$2/(Flows!BL42*BL$3*BL$4),1))</f>
        <v>2873.39711746929</v>
      </c>
      <c r="BM72" s="10" t="n">
        <f aca="false">IF(Flows!BM42*BM$3*BM$4&lt;0.002,100,MAX($CM$2/(Flows!BM42*BM$3*BM$4),1))</f>
        <v>32.0687031026237</v>
      </c>
      <c r="BN72" s="10" t="n">
        <f aca="false">IF(Flows!BN42*BN$3*BN$4&lt;0.002,100,MAX($CM$2/(Flows!BN42*BN$3*BN$4),1))</f>
        <v>457438.088466581</v>
      </c>
      <c r="BO72" s="10" t="n">
        <f aca="false">IF(Flows!BO42*BO$3*BO$4&lt;0.002,100,MAX($CM$2/(Flows!BO42*BO$3*BO$4),1))</f>
        <v>53.4579905464741</v>
      </c>
      <c r="BP72" s="10" t="n">
        <f aca="false">IF(Flows!BP42*BP$3*BP$4&lt;0.002,100,MAX($CM$2/(Flows!BP42*BP$3*BP$4),1))</f>
        <v>130.675229179868</v>
      </c>
      <c r="BQ72" s="10" t="n">
        <f aca="false">IF(Flows!BQ42*BQ$3*BQ$4&lt;0.002,100,MAX($CM$2/(Flows!BQ42*BQ$3*BQ$4),1))</f>
        <v>100</v>
      </c>
      <c r="BR72" s="10" t="n">
        <f aca="false">IF(Flows!BR42*BR$3*BR$4&lt;0.002,100,MAX($CM$2/(Flows!BR42*BR$3*BR$4),1))</f>
        <v>1603.73791273471</v>
      </c>
      <c r="BS72" s="10" t="n">
        <f aca="false">IF(Flows!BS42*BS$3*BS$4&lt;0.002,100,MAX($CM$2/(Flows!BS42*BS$3*BS$4),1))</f>
        <v>16037.3791273471</v>
      </c>
      <c r="BT72" s="10" t="n">
        <f aca="false">IF(Flows!BT42*BT$3*BT$4&lt;0.002,100,MAX($CM$2/(Flows!BT42*BT$3*BT$4),1))</f>
        <v>7.27499585141573</v>
      </c>
      <c r="BU72" s="10" t="n">
        <f aca="false">IF(Flows!BU42*BU$3*BU$4&lt;0.002,100,MAX($CM$2/(Flows!BU42*BU$3*BU$4),1))</f>
        <v>72.7499585141572</v>
      </c>
      <c r="BV72" s="10" t="n">
        <f aca="false">IF(Flows!BV42*BV$3*BV$4&lt;0.002,100,MAX($CM$2/(Flows!BV42*BV$3*BV$4),1))</f>
        <v>727.499585141572</v>
      </c>
      <c r="BW72" s="10" t="n">
        <f aca="false">IF(Flows!BW42*BW$3*BW$4&lt;0.002,100,MAX($CM$2/(Flows!BW42*BW$3*BW$4),1))</f>
        <v>29.5118094111126</v>
      </c>
      <c r="BX72" s="10" t="n">
        <f aca="false">IF(Flows!BX42*BX$3*BX$4&lt;0.002,100,MAX($CM$2/(Flows!BX42*BX$3*BX$4),1))</f>
        <v>277.338514250109</v>
      </c>
      <c r="BY72" s="10" t="n">
        <f aca="false">IF(Flows!BY42*BY$3*BY$4&lt;0.002,100,MAX($CM$2/(Flows!BY42*BY$3*BY$4),1))</f>
        <v>19.0086526091794</v>
      </c>
      <c r="BZ72" s="10" t="n">
        <f aca="false">IF(Flows!BZ42*BZ$3*BZ$4&lt;0.002,100,MAX($CM$2/(Flows!BZ42*BZ$3*BZ$4),1))</f>
        <v>30568.6611247926</v>
      </c>
      <c r="CA72" s="10" t="n">
        <f aca="false">IF(Flows!CA42*CA$3*CA$4&lt;0.002,100,MAX($CM$2/(Flows!CA42*CA$3*CA$4),1))</f>
        <v>1165393.02955333</v>
      </c>
      <c r="CB72" s="10" t="n">
        <f aca="false">IF(Flows!CB42*CB$3*CB$4&lt;0.002,100,MAX($CM$2/(Flows!CB42*CB$3*CB$4),1))</f>
        <v>124.431003645634</v>
      </c>
      <c r="CC72" s="10" t="n">
        <f aca="false">IF(Flows!CC42*CC$3*CC$4&lt;0.002,100,MAX($CM$2/(Flows!CC42*CC$3*CC$4),1))</f>
        <v>9.79117337043624</v>
      </c>
      <c r="CD72" s="10" t="n">
        <f aca="false">IF(Flows!CD42*CD$3*CD$4&lt;0.002,100,MAX($CM$2/(Flows!CD42*CD$3*CD$4),1))</f>
        <v>76.9195280476017</v>
      </c>
      <c r="CE72" s="10" t="n">
        <f aca="false">IF(Flows!CE42*CE$3*CE$4&lt;0.002,100,MAX($CM$2/(Flows!CE42*CE$3*CE$4),1))</f>
        <v>169.001290773524</v>
      </c>
      <c r="CF72" s="10" t="n">
        <f aca="false">IF(Flows!CF42*CF$3*CF$4&lt;0.002,100,MAX($CM$2/(Flows!CF42*CF$3*CF$4),1))</f>
        <v>1</v>
      </c>
      <c r="CG72" s="10" t="n">
        <f aca="false">IF(Flows!CG42*CG$3*CG$4&lt;0.002,100,MAX($CM$2/(Flows!CG42*CG$3*CG$4),1))</f>
        <v>1012.57959125506</v>
      </c>
      <c r="CH72" s="10" t="n">
        <f aca="false">IF(Flows!CH42*CH$3*CH$4&lt;0.002,100,MAX($CM$2/(Flows!CH42*CH$3*CH$4),1))</f>
        <v>86.9144237368378</v>
      </c>
      <c r="CI72" s="10" t="n">
        <f aca="false">IF(Flows!CI42*CI$3*CI$4&lt;0.002,100,MAX($CM$2/(Flows!CI42*CI$3*CI$4),1))</f>
        <v>1620.12204592864</v>
      </c>
      <c r="CJ72" s="10" t="n">
        <f aca="false">IF(Flows!CJ42*CJ$3*CJ$4&lt;0.002,100,MAX($CM$2/(Flows!CJ42*CJ$3*CJ$4),1))</f>
        <v>1809.93336676434</v>
      </c>
      <c r="CK72" s="10" t="n">
        <f aca="false">IF(Flows!CK42*CK$3*CK$4&lt;0.002,100,MAX($CM$2/(Flows!CK42*CK$3*CK$4),1))</f>
        <v>4996.27084121605</v>
      </c>
      <c r="CL72" s="7" t="s">
        <v>322</v>
      </c>
    </row>
    <row r="73" customFormat="false" ht="12.8" hidden="false" customHeight="false" outlineLevel="0" collapsed="false">
      <c r="A73" s="7" t="s">
        <v>148</v>
      </c>
      <c r="B73" s="7" t="s">
        <v>39</v>
      </c>
      <c r="C73" s="10" t="n">
        <f aca="false">IF(Flows!C43*C$3*C$4&lt;0.002,100,MAX($CM$2/(Flows!C43*C$3*C$4),1))</f>
        <v>8257.97261140899</v>
      </c>
      <c r="D73" s="10" t="n">
        <f aca="false">IF(Flows!D43*D$3*D$4&lt;0.002,100,MAX($CM$2/(Flows!D43*D$3*D$4),1))</f>
        <v>1.74749868048151</v>
      </c>
      <c r="E73" s="10" t="n">
        <f aca="false">IF(Flows!E43*E$3*E$4&lt;0.002,100,MAX($CM$2/(Flows!E43*E$3*E$4),1))</f>
        <v>11.7462288098401</v>
      </c>
      <c r="F73" s="10" t="n">
        <f aca="false">IF(Flows!F43*F$3*F$4&lt;0.002,100,MAX($CM$2/(Flows!F43*F$3*F$4),1))</f>
        <v>28.9811067201241</v>
      </c>
      <c r="G73" s="10" t="n">
        <f aca="false">IF(Flows!G43*G$3*G$4&lt;0.002,100,MAX($CM$2/(Flows!G43*G$3*G$4),1))</f>
        <v>9.77474461122753</v>
      </c>
      <c r="H73" s="10" t="n">
        <f aca="false">IF(Flows!H43*H$3*H$4&lt;0.002,100,MAX($CM$2/(Flows!H43*H$3*H$4),1))</f>
        <v>100</v>
      </c>
      <c r="I73" s="10" t="n">
        <f aca="false">IF(Flows!I43*I$3*I$4&lt;0.002,100,MAX($CM$2/(Flows!I43*I$3*I$4),1))</f>
        <v>2262.02209095102</v>
      </c>
      <c r="J73" s="10" t="n">
        <f aca="false">IF(Flows!J43*J$3*J$4&lt;0.002,100,MAX($CM$2/(Flows!J43*J$3*J$4),1))</f>
        <v>8028.07780338708</v>
      </c>
      <c r="K73" s="10" t="n">
        <f aca="false">IF(Flows!K43*K$3*K$4&lt;0.002,100,MAX($CM$2/(Flows!K43*K$3*K$4),1))</f>
        <v>7991.10060121932</v>
      </c>
      <c r="L73" s="10" t="n">
        <f aca="false">IF(Flows!L43*L$3*L$4&lt;0.002,100,MAX($CM$2/(Flows!L43*L$3*L$4),1))</f>
        <v>21703.9119026504</v>
      </c>
      <c r="M73" s="10" t="n">
        <f aca="false">IF(Flows!M43*M$3*M$4&lt;0.002,100,MAX($CM$2/(Flows!M43*M$3*M$4),1))</f>
        <v>14392.179541772</v>
      </c>
      <c r="N73" s="10" t="n">
        <f aca="false">IF(Flows!N43*N$3*N$4&lt;0.002,100,MAX($CM$2/(Flows!N43*N$3*N$4),1))</f>
        <v>11.8496305661979</v>
      </c>
      <c r="O73" s="10" t="n">
        <f aca="false">IF(Flows!O43*O$3*O$4&lt;0.002,100,MAX($CM$2/(Flows!O43*O$3*O$4),1))</f>
        <v>2.62124802072227</v>
      </c>
      <c r="P73" s="10" t="n">
        <f aca="false">IF(Flows!P43*P$3*P$4&lt;0.002,100,MAX($CM$2/(Flows!P43*P$3*P$4),1))</f>
        <v>4.91484003885425</v>
      </c>
      <c r="Q73" s="10" t="n">
        <f aca="false">IF(Flows!Q43*Q$3*Q$4&lt;0.002,100,MAX($CM$2/(Flows!Q43*Q$3*Q$4),1))</f>
        <v>310.907103375763</v>
      </c>
      <c r="R73" s="10" t="n">
        <f aca="false">IF(Flows!R43*R$3*R$4&lt;0.002,100,MAX($CM$2/(Flows!R43*R$3*R$4),1))</f>
        <v>23.2147241226342</v>
      </c>
      <c r="S73" s="10" t="n">
        <f aca="false">IF(Flows!S43*S$3*S$4&lt;0.002,100,MAX($CM$2/(Flows!S43*S$3*S$4),1))</f>
        <v>186.033530594146</v>
      </c>
      <c r="T73" s="10" t="n">
        <f aca="false">IF(Flows!T43*T$3*T$4&lt;0.002,100,MAX($CM$2/(Flows!T43*T$3*T$4),1))</f>
        <v>332.854111112075</v>
      </c>
      <c r="U73" s="10" t="n">
        <f aca="false">IF(Flows!U43*U$3*U$4&lt;0.002,100,MAX($CM$2/(Flows!U43*U$3*U$4),1))</f>
        <v>59.9674147573832</v>
      </c>
      <c r="V73" s="10" t="n">
        <f aca="false">IF(Flows!V43*V$3*V$4&lt;0.002,100,MAX($CM$2/(Flows!V43*V$3*V$4),1))</f>
        <v>282.933807796221</v>
      </c>
      <c r="W73" s="10" t="n">
        <f aca="false">IF(Flows!W43*W$3*W$4&lt;0.002,100,MAX($CM$2/(Flows!W43*W$3*W$4),1))</f>
        <v>26.4533707876317</v>
      </c>
      <c r="X73" s="10" t="n">
        <f aca="false">IF(Flows!X43*X$3*X$4&lt;0.002,100,MAX($CM$2/(Flows!X43*X$3*X$4),1))</f>
        <v>95.927828143404</v>
      </c>
      <c r="Y73" s="10" t="n">
        <f aca="false">IF(Flows!Y43*Y$3*Y$4&lt;0.002,100,MAX($CM$2/(Flows!Y43*Y$3*Y$4),1))</f>
        <v>108.519559513252</v>
      </c>
      <c r="Z73" s="10" t="n">
        <f aca="false">IF(Flows!Z43*Z$3*Z$4&lt;0.002,100,MAX($CM$2/(Flows!Z43*Z$3*Z$4),1))</f>
        <v>17542.9730049485</v>
      </c>
      <c r="AA73" s="10" t="n">
        <f aca="false">IF(Flows!AA43*AA$3*AA$4&lt;0.002,100,MAX($CM$2/(Flows!AA43*AA$3*AA$4),1))</f>
        <v>17101.2310788318</v>
      </c>
      <c r="AB73" s="10" t="n">
        <f aca="false">IF(Flows!AB43*AB$3*AB$4&lt;0.002,100,MAX($CM$2/(Flows!AB43*AB$3*AB$4),1))</f>
        <v>12588.0558056459</v>
      </c>
      <c r="AC73" s="10" t="n">
        <f aca="false">IF(Flows!AC43*AC$3*AC$4&lt;0.002,100,MAX($CM$2/(Flows!AC43*AC$3*AC$4),1))</f>
        <v>97746.563451844</v>
      </c>
      <c r="AD73" s="10" t="n">
        <f aca="false">IF(Flows!AD43*AD$3*AD$4&lt;0.002,100,MAX($CM$2/(Flows!AD43*AD$3*AD$4),1))</f>
        <v>79294.9731708672</v>
      </c>
      <c r="AE73" s="10" t="n">
        <f aca="false">IF(Flows!AE43*AE$3*AE$4&lt;0.002,100,MAX($CM$2/(Flows!AE43*AE$3*AE$4),1))</f>
        <v>288402.670390016</v>
      </c>
      <c r="AF73" s="10" t="n">
        <f aca="false">IF(Flows!AF43*AF$3*AF$4&lt;0.002,100,MAX($CM$2/(Flows!AF43*AF$3*AF$4),1))</f>
        <v>1071.32517673207</v>
      </c>
      <c r="AG73" s="10" t="n">
        <f aca="false">IF(Flows!AG43*AG$3*AG$4&lt;0.002,100,MAX($CM$2/(Flows!AG43*AG$3*AG$4),1))</f>
        <v>623.137659157486</v>
      </c>
      <c r="AH73" s="10" t="n">
        <f aca="false">IF(Flows!AH43*AH$3*AH$4&lt;0.002,100,MAX($CM$2/(Flows!AH43*AH$3*AH$4),1))</f>
        <v>481.833269427497</v>
      </c>
      <c r="AI73" s="10" t="n">
        <f aca="false">IF(Flows!AI43*AI$3*AI$4&lt;0.002,100,MAX($CM$2/(Flows!AI43*AI$3*AI$4),1))</f>
        <v>2330.28375635891</v>
      </c>
      <c r="AJ73" s="10" t="n">
        <f aca="false">IF(Flows!AJ43*AJ$3*AJ$4&lt;0.002,100,MAX($CM$2/(Flows!AJ43*AJ$3*AJ$4),1))</f>
        <v>2334.5579507248</v>
      </c>
      <c r="AK73" s="10" t="n">
        <f aca="false">IF(Flows!AK43*AK$3*AK$4&lt;0.002,100,MAX($CM$2/(Flows!AK43*AK$3*AK$4),1))</f>
        <v>3878.8710571671</v>
      </c>
      <c r="AL73" s="10" t="n">
        <f aca="false">IF(Flows!AL43*AL$3*AL$4&lt;0.002,100,MAX($CM$2/(Flows!AL43*AL$3*AL$4),1))</f>
        <v>1593.38363239064</v>
      </c>
      <c r="AM73" s="10" t="n">
        <f aca="false">IF(Flows!AM43*AM$3*AM$4&lt;0.002,100,MAX($CM$2/(Flows!AM43*AM$3*AM$4),1))</f>
        <v>2987.80383142544</v>
      </c>
      <c r="AN73" s="10" t="n">
        <f aca="false">IF(Flows!AN43*AN$3*AN$4&lt;0.002,100,MAX($CM$2/(Flows!AN43*AN$3*AN$4),1))</f>
        <v>2086.87080483697</v>
      </c>
      <c r="AO73" s="10" t="n">
        <f aca="false">IF(Flows!AO43*AO$3*AO$4&lt;0.002,100,MAX($CM$2/(Flows!AO43*AO$3*AO$4),1))</f>
        <v>34573.8404928091</v>
      </c>
      <c r="AP73" s="10" t="n">
        <f aca="false">IF(Flows!AP43*AP$3*AP$4&lt;0.002,100,MAX($CM$2/(Flows!AP43*AP$3*AP$4),1))</f>
        <v>40810.3180323703</v>
      </c>
      <c r="AQ73" s="10" t="n">
        <f aca="false">IF(Flows!AQ43*AQ$3*AQ$4&lt;0.002,100,MAX($CM$2/(Flows!AQ43*AQ$3*AQ$4),1))</f>
        <v>55146.1296502808</v>
      </c>
      <c r="AR73" s="10" t="n">
        <f aca="false">IF(Flows!AR43*AR$3*AR$4&lt;0.002,100,MAX($CM$2/(Flows!AR43*AR$3*AR$4),1))</f>
        <v>12100.4825144291</v>
      </c>
      <c r="AS73" s="10" t="n">
        <f aca="false">IF(Flows!AS43*AS$3*AS$4&lt;0.002,100,MAX($CM$2/(Flows!AS43*AS$3*AS$4),1))</f>
        <v>8236.54908146276</v>
      </c>
      <c r="AT73" s="10" t="n">
        <f aca="false">IF(Flows!AT43*AT$3*AT$4&lt;0.002,100,MAX($CM$2/(Flows!AT43*AT$3*AT$4),1))</f>
        <v>632.198288766271</v>
      </c>
      <c r="AU73" s="10" t="n">
        <f aca="false">IF(Flows!AU43*AU$3*AU$4&lt;0.002,100,MAX($CM$2/(Flows!AU43*AU$3*AU$4),1))</f>
        <v>6648.07671057898</v>
      </c>
      <c r="AV73" s="10" t="n">
        <f aca="false">IF(Flows!AV43*AV$3*AV$4&lt;0.002,100,MAX($CM$2/(Flows!AV43*AV$3*AV$4),1))</f>
        <v>13203.7591566092</v>
      </c>
      <c r="AW73" s="10" t="n">
        <f aca="false">IF(Flows!AW43*AW$3*AW$4&lt;0.002,100,MAX($CM$2/(Flows!AW43*AW$3*AW$4),1))</f>
        <v>29.9716457648872</v>
      </c>
      <c r="AX73" s="10" t="n">
        <f aca="false">IF(Flows!AX43*AX$3*AX$4&lt;0.002,100,MAX($CM$2/(Flows!AX43*AX$3*AX$4),1))</f>
        <v>4707.91374802395</v>
      </c>
      <c r="AY73" s="10" t="n">
        <f aca="false">IF(Flows!AY43*AY$3*AY$4&lt;0.002,100,MAX($CM$2/(Flows!AY43*AY$3*AY$4),1))</f>
        <v>830.007146187267</v>
      </c>
      <c r="AZ73" s="10" t="n">
        <f aca="false">IF(Flows!AZ43*AZ$3*AZ$4&lt;0.002,100,MAX($CM$2/(Flows!AZ43*AZ$3*AZ$4),1))</f>
        <v>190.456407230108</v>
      </c>
      <c r="BA73" s="10" t="n">
        <f aca="false">IF(Flows!BA43*BA$3*BA$4&lt;0.002,100,MAX($CM$2/(Flows!BA43*BA$3*BA$4),1))</f>
        <v>1106.89950703517</v>
      </c>
      <c r="BB73" s="10" t="n">
        <f aca="false">IF(Flows!BB43*BB$3*BB$4&lt;0.002,100,MAX($CM$2/(Flows!BB43*BB$3*BB$4),1))</f>
        <v>3460.1958011404</v>
      </c>
      <c r="BC73" s="10" t="n">
        <f aca="false">IF(Flows!BC43*BC$3*BC$4&lt;0.002,100,MAX($CM$2/(Flows!BC43*BC$3*BC$4),1))</f>
        <v>2239.78583727986</v>
      </c>
      <c r="BD73" s="10" t="n">
        <f aca="false">IF(Flows!BD43*BD$3*BD$4&lt;0.002,100,MAX($CM$2/(Flows!BD43*BD$3*BD$4),1))</f>
        <v>5335.23802873354</v>
      </c>
      <c r="BE73" s="10" t="n">
        <f aca="false">IF(Flows!BE43*BE$3*BE$4&lt;0.002,100,MAX($CM$2/(Flows!BE43*BE$3*BE$4),1))</f>
        <v>16483.3379387643</v>
      </c>
      <c r="BF73" s="10" t="n">
        <f aca="false">IF(Flows!BF43*BF$3*BF$4&lt;0.002,100,MAX($CM$2/(Flows!BF43*BF$3*BF$4),1))</f>
        <v>659.640306427665</v>
      </c>
      <c r="BG73" s="10" t="n">
        <f aca="false">IF(Flows!BG43*BG$3*BG$4&lt;0.002,100,MAX($CM$2/(Flows!BG43*BG$3*BG$4),1))</f>
        <v>160.933116929465</v>
      </c>
      <c r="BH73" s="10" t="n">
        <f aca="false">IF(Flows!BH43*BH$3*BH$4&lt;0.002,100,MAX($CM$2/(Flows!BH43*BH$3*BH$4),1))</f>
        <v>529488.296893499</v>
      </c>
      <c r="BI73" s="10" t="n">
        <f aca="false">IF(Flows!BI43*BI$3*BI$4&lt;0.002,100,MAX($CM$2/(Flows!BI43*BI$3*BI$4),1))</f>
        <v>60.3499188485495</v>
      </c>
      <c r="BJ73" s="10" t="n">
        <f aca="false">IF(Flows!BJ43*BJ$3*BJ$4&lt;0.002,100,MAX($CM$2/(Flows!BJ43*BJ$3*BJ$4),1))</f>
        <v>46.4158670122289</v>
      </c>
      <c r="BK73" s="10" t="n">
        <f aca="false">IF(Flows!BK43*BK$3*BK$4&lt;0.002,100,MAX($CM$2/(Flows!BK43*BK$3*BK$4),1))</f>
        <v>120.699837697099</v>
      </c>
      <c r="BL73" s="10" t="n">
        <f aca="false">IF(Flows!BL43*BL$3*BL$4&lt;0.002,100,MAX($CM$2/(Flows!BL43*BL$3*BL$4),1))</f>
        <v>204.456448046128</v>
      </c>
      <c r="BM73" s="10" t="n">
        <f aca="false">IF(Flows!BM43*BM$3*BM$4&lt;0.002,100,MAX($CM$2/(Flows!BM43*BM$3*BM$4),1))</f>
        <v>381.635652446326</v>
      </c>
      <c r="BN73" s="10" t="n">
        <f aca="false">IF(Flows!BN43*BN$3*BN$4&lt;0.002,100,MAX($CM$2/(Flows!BN43*BN$3*BN$4),1))</f>
        <v>232867.797811798</v>
      </c>
      <c r="BO73" s="10" t="n">
        <f aca="false">IF(Flows!BO43*BO$3*BO$4&lt;0.002,100,MAX($CM$2/(Flows!BO43*BO$3*BO$4),1))</f>
        <v>23.3679420065541</v>
      </c>
      <c r="BP73" s="10" t="n">
        <f aca="false">IF(Flows!BP43*BP$3*BP$4&lt;0.002,100,MAX($CM$2/(Flows!BP43*BP$3*BP$4),1))</f>
        <v>84.0743270543548</v>
      </c>
      <c r="BQ73" s="10" t="n">
        <f aca="false">IF(Flows!BQ43*BQ$3*BQ$4&lt;0.002,100,MAX($CM$2/(Flows!BQ43*BQ$3*BQ$4),1))</f>
        <v>100</v>
      </c>
      <c r="BR73" s="10" t="n">
        <f aca="false">IF(Flows!BR43*BR$3*BR$4&lt;0.002,100,MAX($CM$2/(Flows!BR43*BR$3*BR$4),1))</f>
        <v>701.037567530485</v>
      </c>
      <c r="BS73" s="10" t="n">
        <f aca="false">IF(Flows!BS43*BS$3*BS$4&lt;0.002,100,MAX($CM$2/(Flows!BS43*BS$3*BS$4),1))</f>
        <v>7010.37567530486</v>
      </c>
      <c r="BT73" s="10" t="n">
        <f aca="false">IF(Flows!BT43*BT$3*BT$4&lt;0.002,100,MAX($CM$2/(Flows!BT43*BT$3*BT$4),1))</f>
        <v>3.09039617707113</v>
      </c>
      <c r="BU73" s="10" t="n">
        <f aca="false">IF(Flows!BU43*BU$3*BU$4&lt;0.002,100,MAX($CM$2/(Flows!BU43*BU$3*BU$4),1))</f>
        <v>30.9039617707113</v>
      </c>
      <c r="BV73" s="10" t="n">
        <f aca="false">IF(Flows!BV43*BV$3*BV$4&lt;0.002,100,MAX($CM$2/(Flows!BV43*BV$3*BV$4),1))</f>
        <v>309.039617707113</v>
      </c>
      <c r="BW73" s="10" t="n">
        <f aca="false">IF(Flows!BW43*BW$3*BW$4&lt;0.002,100,MAX($CM$2/(Flows!BW43*BW$3*BW$4),1))</f>
        <v>22.6298439414576</v>
      </c>
      <c r="BX73" s="10" t="n">
        <f aca="false">IF(Flows!BX43*BX$3*BX$4&lt;0.002,100,MAX($CM$2/(Flows!BX43*BX$3*BX$4),1))</f>
        <v>18.2485713204103</v>
      </c>
      <c r="BY73" s="10" t="n">
        <f aca="false">IF(Flows!BY43*BY$3*BY$4&lt;0.002,100,MAX($CM$2/(Flows!BY43*BY$3*BY$4),1))</f>
        <v>32.9427986351319</v>
      </c>
      <c r="BZ73" s="10" t="n">
        <f aca="false">IF(Flows!BZ43*BZ$3*BZ$4&lt;0.002,100,MAX($CM$2/(Flows!BZ43*BZ$3*BZ$4),1))</f>
        <v>40121.6856575584</v>
      </c>
      <c r="CA73" s="10" t="n">
        <f aca="false">IF(Flows!CA43*CA$3*CA$4&lt;0.002,100,MAX($CM$2/(Flows!CA43*CA$3*CA$4),1))</f>
        <v>18015.6449693837</v>
      </c>
      <c r="CB73" s="10" t="n">
        <f aca="false">IF(Flows!CB43*CB$3*CB$4&lt;0.002,100,MAX($CM$2/(Flows!CB43*CB$3*CB$4),1))</f>
        <v>31.8317416897474</v>
      </c>
      <c r="CC73" s="10" t="n">
        <f aca="false">IF(Flows!CC43*CC$3*CC$4&lt;0.002,100,MAX($CM$2/(Flows!CC43*CC$3*CC$4),1))</f>
        <v>9.62116006357731</v>
      </c>
      <c r="CD73" s="10" t="n">
        <f aca="false">IF(Flows!CD43*CD$3*CD$4&lt;0.002,100,MAX($CM$2/(Flows!CD43*CD$3*CD$4),1))</f>
        <v>44.0740013930681</v>
      </c>
      <c r="CE73" s="10" t="n">
        <f aca="false">IF(Flows!CE43*CE$3*CE$4&lt;0.002,100,MAX($CM$2/(Flows!CE43*CE$3*CE$4),1))</f>
        <v>37.354816424789</v>
      </c>
      <c r="CF73" s="10" t="n">
        <f aca="false">IF(Flows!CF43*CF$3*CF$4&lt;0.002,100,MAX($CM$2/(Flows!CF43*CF$3*CF$4),1))</f>
        <v>1.11387203628259</v>
      </c>
      <c r="CG73" s="10" t="n">
        <f aca="false">IF(Flows!CG43*CG$3*CG$4&lt;0.002,100,MAX($CM$2/(Flows!CG43*CG$3*CG$4),1))</f>
        <v>74.9535040224889</v>
      </c>
      <c r="CH73" s="10" t="n">
        <f aca="false">IF(Flows!CH43*CH$3*CH$4&lt;0.002,100,MAX($CM$2/(Flows!CH43*CH$3*CH$4),1))</f>
        <v>7473.76201773257</v>
      </c>
      <c r="CI73" s="10" t="n">
        <f aca="false">IF(Flows!CI43*CI$3*CI$4&lt;0.002,100,MAX($CM$2/(Flows!CI43*CI$3*CI$4),1))</f>
        <v>840.893744167227</v>
      </c>
      <c r="CJ73" s="10" t="n">
        <f aca="false">IF(Flows!CJ43*CJ$3*CJ$4&lt;0.002,100,MAX($CM$2/(Flows!CJ43*CJ$3*CJ$4),1))</f>
        <v>6358.1473818779</v>
      </c>
      <c r="CK73" s="10" t="n">
        <f aca="false">IF(Flows!CK43*CK$3*CK$4&lt;0.002,100,MAX($CM$2/(Flows!CK43*CK$3*CK$4),1))</f>
        <v>1585.97639948806</v>
      </c>
      <c r="CL73" s="7" t="s">
        <v>322</v>
      </c>
    </row>
    <row r="74" customFormat="false" ht="12.8" hidden="false" customHeight="false" outlineLevel="0" collapsed="false">
      <c r="A74" s="7" t="s">
        <v>150</v>
      </c>
      <c r="B74" s="7" t="s">
        <v>39</v>
      </c>
      <c r="C74" s="10" t="n">
        <f aca="false">IF(Flows!C44*C$3*C$4&lt;0.002,100,MAX($CM$2/(Flows!C44*C$3*C$4),1))</f>
        <v>14360.1207732616</v>
      </c>
      <c r="D74" s="10" t="n">
        <f aca="false">IF(Flows!D44*D$3*D$4&lt;0.002,100,MAX($CM$2/(Flows!D44*D$3*D$4),1))</f>
        <v>2.23042732084581</v>
      </c>
      <c r="E74" s="10" t="n">
        <f aca="false">IF(Flows!E44*E$3*E$4&lt;0.002,100,MAX($CM$2/(Flows!E44*E$3*E$4),1))</f>
        <v>12.4579013920606</v>
      </c>
      <c r="F74" s="10" t="n">
        <f aca="false">IF(Flows!F44*F$3*F$4&lt;0.002,100,MAX($CM$2/(Flows!F44*F$3*F$4),1))</f>
        <v>53.0084732857097</v>
      </c>
      <c r="G74" s="10" t="n">
        <f aca="false">IF(Flows!G44*G$3*G$4&lt;0.002,100,MAX($CM$2/(Flows!G44*G$3*G$4),1))</f>
        <v>20.3046011609796</v>
      </c>
      <c r="H74" s="10" t="n">
        <f aca="false">IF(Flows!H44*H$3*H$4&lt;0.002,100,MAX($CM$2/(Flows!H44*H$3*H$4),1))</f>
        <v>100</v>
      </c>
      <c r="I74" s="10" t="n">
        <f aca="false">IF(Flows!I44*I$3*I$4&lt;0.002,100,MAX($CM$2/(Flows!I44*I$3*I$4),1))</f>
        <v>2279.6868405607</v>
      </c>
      <c r="J74" s="10" t="n">
        <f aca="false">IF(Flows!J44*J$3*J$4&lt;0.002,100,MAX($CM$2/(Flows!J44*J$3*J$4),1))</f>
        <v>1787.52648353293</v>
      </c>
      <c r="K74" s="10" t="n">
        <f aca="false">IF(Flows!K44*K$3*K$4&lt;0.002,100,MAX($CM$2/(Flows!K44*K$3*K$4),1))</f>
        <v>14133.5374298332</v>
      </c>
      <c r="L74" s="10" t="n">
        <f aca="false">IF(Flows!L44*L$3*L$4&lt;0.002,100,MAX($CM$2/(Flows!L44*L$3*L$4),1))</f>
        <v>35767.3314088143</v>
      </c>
      <c r="M74" s="10" t="n">
        <f aca="false">IF(Flows!M44*M$3*M$4&lt;0.002,100,MAX($CM$2/(Flows!M44*M$3*M$4),1))</f>
        <v>23572.9799900481</v>
      </c>
      <c r="N74" s="10" t="n">
        <f aca="false">IF(Flows!N44*N$3*N$4&lt;0.002,100,MAX($CM$2/(Flows!N44*N$3*N$4),1))</f>
        <v>9.27187480676777</v>
      </c>
      <c r="O74" s="10" t="n">
        <f aca="false">IF(Flows!O44*O$3*O$4&lt;0.002,100,MAX($CM$2/(Flows!O44*O$3*O$4),1))</f>
        <v>3.34564098126872</v>
      </c>
      <c r="P74" s="10" t="n">
        <f aca="false">IF(Flows!P44*P$3*P$4&lt;0.002,100,MAX($CM$2/(Flows!P44*P$3*P$4),1))</f>
        <v>6.27307683987884</v>
      </c>
      <c r="Q74" s="10" t="n">
        <f aca="false">IF(Flows!Q44*Q$3*Q$4&lt;0.002,100,MAX($CM$2/(Flows!Q44*Q$3*Q$4),1))</f>
        <v>517.996154052526</v>
      </c>
      <c r="R74" s="10" t="n">
        <f aca="false">IF(Flows!R44*R$3*R$4&lt;0.002,100,MAX($CM$2/(Flows!R44*R$3*R$4),1))</f>
        <v>24.0082288144976</v>
      </c>
      <c r="S74" s="10" t="n">
        <f aca="false">IF(Flows!S44*S$3*S$4&lt;0.002,100,MAX($CM$2/(Flows!S44*S$3*S$4),1))</f>
        <v>306.577126361265</v>
      </c>
      <c r="T74" s="10" t="n">
        <f aca="false">IF(Flows!T44*T$3*T$4&lt;0.002,100,MAX($CM$2/(Flows!T44*T$3*T$4),1))</f>
        <v>548.532603538538</v>
      </c>
      <c r="U74" s="10" t="n">
        <f aca="false">IF(Flows!U44*U$3*U$4&lt;0.002,100,MAX($CM$2/(Flows!U44*U$3*U$4),1))</f>
        <v>98.2207499585336</v>
      </c>
      <c r="V74" s="10" t="n">
        <f aca="false">IF(Flows!V44*V$3*V$4&lt;0.002,100,MAX($CM$2/(Flows!V44*V$3*V$4),1))</f>
        <v>270.562719198235</v>
      </c>
      <c r="W74" s="10" t="n">
        <f aca="false">IF(Flows!W44*W$3*W$4&lt;0.002,100,MAX($CM$2/(Flows!W44*W$3*W$4),1))</f>
        <v>8.48323957391571</v>
      </c>
      <c r="X74" s="10" t="n">
        <f aca="false">IF(Flows!X44*X$3*X$4&lt;0.002,100,MAX($CM$2/(Flows!X44*X$3*X$4),1))</f>
        <v>1.78621866181322</v>
      </c>
      <c r="Y74" s="10" t="n">
        <f aca="false">IF(Flows!Y44*Y$3*Y$4&lt;0.002,100,MAX($CM$2/(Flows!Y44*Y$3*Y$4),1))</f>
        <v>178.836657044072</v>
      </c>
      <c r="Z74" s="10" t="n">
        <f aca="false">IF(Flows!Z44*Z$3*Z$4&lt;0.002,100,MAX($CM$2/(Flows!Z44*Z$3*Z$4),1))</f>
        <v>11919.1250164679</v>
      </c>
      <c r="AA74" s="10" t="n">
        <f aca="false">IF(Flows!AA44*AA$3*AA$4&lt;0.002,100,MAX($CM$2/(Flows!AA44*AA$3*AA$4),1))</f>
        <v>16057.4049335466</v>
      </c>
      <c r="AB74" s="10" t="n">
        <f aca="false">IF(Flows!AB44*AB$3*AB$4&lt;0.002,100,MAX($CM$2/(Flows!AB44*AB$3*AB$4),1))</f>
        <v>13350.7324336403</v>
      </c>
      <c r="AC74" s="10" t="n">
        <f aca="false">IF(Flows!AC44*AC$3*AC$4&lt;0.002,100,MAX($CM$2/(Flows!AC44*AC$3*AC$4),1))</f>
        <v>77624.1917257008</v>
      </c>
      <c r="AD74" s="10" t="n">
        <f aca="false">IF(Flows!AD44*AD$3*AD$4&lt;0.002,100,MAX($CM$2/(Flows!AD44*AD$3*AD$4),1))</f>
        <v>84099.2434798483</v>
      </c>
      <c r="AE74" s="10" t="n">
        <f aca="false">IF(Flows!AE44*AE$3*AE$4&lt;0.002,100,MAX($CM$2/(Flows!AE44*AE$3*AE$4),1))</f>
        <v>262410.103681337</v>
      </c>
      <c r="AF74" s="10" t="n">
        <f aca="false">IF(Flows!AF44*AF$3*AF$4&lt;0.002,100,MAX($CM$2/(Flows!AF44*AF$3*AF$4),1))</f>
        <v>1897.62485699662</v>
      </c>
      <c r="AG74" s="10" t="n">
        <f aca="false">IF(Flows!AG44*AG$3*AG$4&lt;0.002,100,MAX($CM$2/(Flows!AG44*AG$3*AG$4),1))</f>
        <v>559.10044469204</v>
      </c>
      <c r="AH74" s="10" t="n">
        <f aca="false">IF(Flows!AH44*AH$3*AH$4&lt;0.002,100,MAX($CM$2/(Flows!AH44*AH$3*AH$4),1))</f>
        <v>379.065565785739</v>
      </c>
      <c r="AI74" s="10" t="n">
        <f aca="false">IF(Flows!AI44*AI$3*AI$4&lt;0.002,100,MAX($CM$2/(Flows!AI44*AI$3*AI$4),1))</f>
        <v>2316.42460945868</v>
      </c>
      <c r="AJ74" s="10" t="n">
        <f aca="false">IF(Flows!AJ44*AJ$3*AJ$4&lt;0.002,100,MAX($CM$2/(Flows!AJ44*AJ$3*AJ$4),1))</f>
        <v>1160.63040693601</v>
      </c>
      <c r="AK74" s="10" t="n">
        <f aca="false">IF(Flows!AK44*AK$3*AK$4&lt;0.002,100,MAX($CM$2/(Flows!AK44*AK$3*AK$4),1))</f>
        <v>389.070552349717</v>
      </c>
      <c r="AL74" s="10" t="n">
        <f aca="false">IF(Flows!AL44*AL$3*AL$4&lt;0.002,100,MAX($CM$2/(Flows!AL44*AL$3*AL$4),1))</f>
        <v>738.170488564273</v>
      </c>
      <c r="AM74" s="10" t="n">
        <f aca="false">IF(Flows!AM44*AM$3*AM$4&lt;0.002,100,MAX($CM$2/(Flows!AM44*AM$3*AM$4),1))</f>
        <v>890.060951903369</v>
      </c>
      <c r="AN74" s="10" t="n">
        <f aca="false">IF(Flows!AN44*AN$3*AN$4&lt;0.002,100,MAX($CM$2/(Flows!AN44*AN$3*AN$4),1))</f>
        <v>4012.19661981705</v>
      </c>
      <c r="AO74" s="10" t="n">
        <f aca="false">IF(Flows!AO44*AO$3*AO$4&lt;0.002,100,MAX($CM$2/(Flows!AO44*AO$3*AO$4),1))</f>
        <v>12582.3344539465</v>
      </c>
      <c r="AP74" s="10" t="n">
        <f aca="false">IF(Flows!AP44*AP$3*AP$4&lt;0.002,100,MAX($CM$2/(Flows!AP44*AP$3*AP$4),1))</f>
        <v>32945.7049578473</v>
      </c>
      <c r="AQ74" s="10" t="n">
        <f aca="false">IF(Flows!AQ44*AQ$3*AQ$4&lt;0.002,100,MAX($CM$2/(Flows!AQ44*AQ$3*AQ$4),1))</f>
        <v>12701.8123658277</v>
      </c>
      <c r="AR74" s="10" t="n">
        <f aca="false">IF(Flows!AR44*AR$3*AR$4&lt;0.002,100,MAX($CM$2/(Flows!AR44*AR$3*AR$4),1))</f>
        <v>24454.1862052246</v>
      </c>
      <c r="AS74" s="10" t="n">
        <f aca="false">IF(Flows!AS44*AS$3*AS$4&lt;0.002,100,MAX($CM$2/(Flows!AS44*AS$3*AS$4),1))</f>
        <v>3379.65563830228</v>
      </c>
      <c r="AT74" s="10" t="n">
        <f aca="false">IF(Flows!AT44*AT$3*AT$4&lt;0.002,100,MAX($CM$2/(Flows!AT44*AT$3*AT$4),1))</f>
        <v>632.362813388088</v>
      </c>
      <c r="AU74" s="10" t="n">
        <f aca="false">IF(Flows!AU44*AU$3*AU$4&lt;0.002,100,MAX($CM$2/(Flows!AU44*AU$3*AU$4),1))</f>
        <v>1326.30540750744</v>
      </c>
      <c r="AV74" s="10" t="n">
        <f aca="false">IF(Flows!AV44*AV$3*AV$4&lt;0.002,100,MAX($CM$2/(Flows!AV44*AV$3*AV$4),1))</f>
        <v>6036.03032205093</v>
      </c>
      <c r="AW74" s="10" t="n">
        <f aca="false">IF(Flows!AW44*AW$3*AW$4&lt;0.002,100,MAX($CM$2/(Flows!AW44*AW$3*AW$4),1))</f>
        <v>25.5986717178849</v>
      </c>
      <c r="AX74" s="10" t="n">
        <f aca="false">IF(Flows!AX44*AX$3*AX$4&lt;0.002,100,MAX($CM$2/(Flows!AX44*AX$3*AX$4),1))</f>
        <v>13480.2271882176</v>
      </c>
      <c r="AY74" s="10" t="n">
        <f aca="false">IF(Flows!AY44*AY$3*AY$4&lt;0.002,100,MAX($CM$2/(Flows!AY44*AY$3*AY$4),1))</f>
        <v>693.83716685325</v>
      </c>
      <c r="AZ74" s="10" t="n">
        <f aca="false">IF(Flows!AZ44*AZ$3*AZ$4&lt;0.002,100,MAX($CM$2/(Flows!AZ44*AZ$3*AZ$4),1))</f>
        <v>179.185986367446</v>
      </c>
      <c r="BA74" s="10" t="n">
        <f aca="false">IF(Flows!BA44*BA$3*BA$4&lt;0.002,100,MAX($CM$2/(Flows!BA44*BA$3*BA$4),1))</f>
        <v>1824.13390184953</v>
      </c>
      <c r="BB74" s="10" t="n">
        <f aca="false">IF(Flows!BB44*BB$3*BB$4&lt;0.002,100,MAX($CM$2/(Flows!BB44*BB$3*BB$4),1))</f>
        <v>3068.90800947187</v>
      </c>
      <c r="BC74" s="10" t="n">
        <f aca="false">IF(Flows!BC44*BC$3*BC$4&lt;0.002,100,MAX($CM$2/(Flows!BC44*BC$3*BC$4),1))</f>
        <v>1032.26660868667</v>
      </c>
      <c r="BD74" s="10" t="n">
        <f aca="false">IF(Flows!BD44*BD$3*BD$4&lt;0.002,100,MAX($CM$2/(Flows!BD44*BD$3*BD$4),1))</f>
        <v>4076.84578869143</v>
      </c>
      <c r="BE74" s="10" t="n">
        <f aca="false">IF(Flows!BE44*BE$3*BE$4&lt;0.002,100,MAX($CM$2/(Flows!BE44*BE$3*BE$4),1))</f>
        <v>9694.76953736687</v>
      </c>
      <c r="BF74" s="10" t="n">
        <f aca="false">IF(Flows!BF44*BF$3*BF$4&lt;0.002,100,MAX($CM$2/(Flows!BF44*BF$3*BF$4),1))</f>
        <v>305.927946284246</v>
      </c>
      <c r="BG74" s="10" t="n">
        <f aca="false">IF(Flows!BG44*BG$3*BG$4&lt;0.002,100,MAX($CM$2/(Flows!BG44*BG$3*BG$4),1))</f>
        <v>238.942548699722</v>
      </c>
      <c r="BH74" s="10" t="n">
        <f aca="false">IF(Flows!BH44*BH$3*BH$4&lt;0.002,100,MAX($CM$2/(Flows!BH44*BH$3*BH$4),1))</f>
        <v>119.471274349861</v>
      </c>
      <c r="BI74" s="10" t="n">
        <f aca="false">IF(Flows!BI44*BI$3*BI$4&lt;0.002,100,MAX($CM$2/(Flows!BI44*BI$3*BI$4),1))</f>
        <v>89.6034557623955</v>
      </c>
      <c r="BJ74" s="10" t="n">
        <f aca="false">IF(Flows!BJ44*BJ$3*BJ$4&lt;0.002,100,MAX($CM$2/(Flows!BJ44*BJ$3*BJ$4),1))</f>
        <v>3.87098702958593</v>
      </c>
      <c r="BK74" s="10" t="n">
        <f aca="false">IF(Flows!BK44*BK$3*BK$4&lt;0.002,100,MAX($CM$2/(Flows!BK44*BK$3*BK$4),1))</f>
        <v>179.206911524791</v>
      </c>
      <c r="BL74" s="10" t="n">
        <f aca="false">IF(Flows!BL44*BL$3*BL$4&lt;0.002,100,MAX($CM$2/(Flows!BL44*BL$3*BL$4),1))</f>
        <v>145.676794513528</v>
      </c>
      <c r="BM74" s="10" t="n">
        <f aca="false">IF(Flows!BM44*BM$3*BM$4&lt;0.002,100,MAX($CM$2/(Flows!BM44*BM$3*BM$4),1))</f>
        <v>47.3985473013136</v>
      </c>
      <c r="BN74" s="10" t="n">
        <f aca="false">IF(Flows!BN44*BN$3*BN$4&lt;0.002,100,MAX($CM$2/(Flows!BN44*BN$3*BN$4),1))</f>
        <v>809645.364086635</v>
      </c>
      <c r="BO74" s="10" t="n">
        <f aca="false">IF(Flows!BO44*BO$3*BO$4&lt;0.002,100,MAX($CM$2/(Flows!BO44*BO$3*BO$4),1))</f>
        <v>31.4508330793962</v>
      </c>
      <c r="BP74" s="10" t="n">
        <f aca="false">IF(Flows!BP44*BP$3*BP$4&lt;0.002,100,MAX($CM$2/(Flows!BP44*BP$3*BP$4),1))</f>
        <v>68.8917627295747</v>
      </c>
      <c r="BQ74" s="10" t="n">
        <f aca="false">IF(Flows!BQ44*BQ$3*BQ$4&lt;0.002,100,MAX($CM$2/(Flows!BQ44*BQ$3*BQ$4),1))</f>
        <v>100</v>
      </c>
      <c r="BR74" s="10" t="n">
        <f aca="false">IF(Flows!BR44*BR$3*BR$4&lt;0.002,100,MAX($CM$2/(Flows!BR44*BR$3*BR$4),1))</f>
        <v>943.524700767035</v>
      </c>
      <c r="BS74" s="10" t="n">
        <f aca="false">IF(Flows!BS44*BS$3*BS$4&lt;0.002,100,MAX($CM$2/(Flows!BS44*BS$3*BS$4),1))</f>
        <v>9435.24700767035</v>
      </c>
      <c r="BT74" s="10" t="n">
        <f aca="false">IF(Flows!BT44*BT$3*BT$4&lt;0.002,100,MAX($CM$2/(Flows!BT44*BT$3*BT$4),1))</f>
        <v>4.91788683330658</v>
      </c>
      <c r="BU74" s="10" t="n">
        <f aca="false">IF(Flows!BU44*BU$3*BU$4&lt;0.002,100,MAX($CM$2/(Flows!BU44*BU$3*BU$4),1))</f>
        <v>49.1788683330658</v>
      </c>
      <c r="BV74" s="10" t="n">
        <f aca="false">IF(Flows!BV44*BV$3*BV$4&lt;0.002,100,MAX($CM$2/(Flows!BV44*BV$3*BV$4),1))</f>
        <v>491.788683330658</v>
      </c>
      <c r="BW74" s="10" t="n">
        <f aca="false">IF(Flows!BW44*BW$3*BW$4&lt;0.002,100,MAX($CM$2/(Flows!BW44*BW$3*BW$4),1))</f>
        <v>24.0009256506417</v>
      </c>
      <c r="BX74" s="10" t="n">
        <f aca="false">IF(Flows!BX44*BX$3*BX$4&lt;0.002,100,MAX($CM$2/(Flows!BX44*BX$3*BX$4),1))</f>
        <v>16.3896914163275</v>
      </c>
      <c r="BY74" s="10" t="n">
        <f aca="false">IF(Flows!BY44*BY$3*BY$4&lt;0.002,100,MAX($CM$2/(Flows!BY44*BY$3*BY$4),1))</f>
        <v>135.38332991301</v>
      </c>
      <c r="BZ74" s="10" t="n">
        <f aca="false">IF(Flows!BZ44*BZ$3*BZ$4&lt;0.002,100,MAX($CM$2/(Flows!BZ44*BZ$3*BZ$4),1))</f>
        <v>45878.3177465477</v>
      </c>
      <c r="CA74" s="10" t="n">
        <f aca="false">IF(Flows!CA44*CA$3*CA$4&lt;0.002,100,MAX($CM$2/(Flows!CA44*CA$3*CA$4),1))</f>
        <v>50062.8082229896</v>
      </c>
      <c r="CB74" s="10" t="n">
        <f aca="false">IF(Flows!CB44*CB$3*CB$4&lt;0.002,100,MAX($CM$2/(Flows!CB44*CB$3*CB$4),1))</f>
        <v>109.177525040926</v>
      </c>
      <c r="CC74" s="10" t="n">
        <f aca="false">IF(Flows!CC44*CC$3*CC$4&lt;0.002,100,MAX($CM$2/(Flows!CC44*CC$3*CC$4),1))</f>
        <v>124.246872522433</v>
      </c>
      <c r="CD74" s="10" t="n">
        <f aca="false">IF(Flows!CD44*CD$3*CD$4&lt;0.002,100,MAX($CM$2/(Flows!CD44*CD$3*CD$4),1))</f>
        <v>63.1286645506231</v>
      </c>
      <c r="CE74" s="10" t="n">
        <f aca="false">IF(Flows!CE44*CE$3*CE$4&lt;0.002,100,MAX($CM$2/(Flows!CE44*CE$3*CE$4),1))</f>
        <v>19.4249255109914</v>
      </c>
      <c r="CF74" s="10" t="n">
        <f aca="false">IF(Flows!CF44*CF$3*CF$4&lt;0.002,100,MAX($CM$2/(Flows!CF44*CF$3*CF$4),1))</f>
        <v>1.27017378037528</v>
      </c>
      <c r="CG74" s="10" t="n">
        <f aca="false">IF(Flows!CG44*CG$3*CG$4&lt;0.002,100,MAX($CM$2/(Flows!CG44*CG$3*CG$4),1))</f>
        <v>22.4698910993581</v>
      </c>
      <c r="CH74" s="10" t="n">
        <f aca="false">IF(Flows!CH44*CH$3*CH$4&lt;0.002,100,MAX($CM$2/(Flows!CH44*CH$3*CH$4),1))</f>
        <v>67.3776076947757</v>
      </c>
      <c r="CI74" s="10" t="n">
        <f aca="false">IF(Flows!CI44*CI$3*CI$4&lt;0.002,100,MAX($CM$2/(Flows!CI44*CI$3*CI$4),1))</f>
        <v>241.781111177564</v>
      </c>
      <c r="CJ74" s="10" t="n">
        <f aca="false">IF(Flows!CJ44*CJ$3*CJ$4&lt;0.002,100,MAX($CM$2/(Flows!CJ44*CJ$3*CJ$4),1))</f>
        <v>3651.19515226252</v>
      </c>
      <c r="CK74" s="10" t="n">
        <f aca="false">IF(Flows!CK44*CK$3*CK$4&lt;0.002,100,MAX($CM$2/(Flows!CK44*CK$3*CK$4),1))</f>
        <v>799.613061318388</v>
      </c>
      <c r="CL74" s="7" t="s">
        <v>322</v>
      </c>
    </row>
    <row r="75" customFormat="false" ht="12.8" hidden="false" customHeight="false" outlineLevel="0" collapsed="false">
      <c r="A75" s="7" t="s">
        <v>151</v>
      </c>
      <c r="B75" s="7" t="s">
        <v>39</v>
      </c>
      <c r="C75" s="10" t="n">
        <f aca="false">IF(Flows!C45*C$3*C$4&lt;0.002,100,MAX($CM$2/(Flows!C45*C$3*C$4),1))</f>
        <v>4976.04740803713</v>
      </c>
      <c r="D75" s="10" t="n">
        <f aca="false">IF(Flows!D45*D$3*D$4&lt;0.002,100,MAX($CM$2/(Flows!D45*D$3*D$4),1))</f>
        <v>1.06035700277976</v>
      </c>
      <c r="E75" s="10" t="n">
        <f aca="false">IF(Flows!E45*E$3*E$4&lt;0.002,100,MAX($CM$2/(Flows!E45*E$3*E$4),1))</f>
        <v>6.27199116902291</v>
      </c>
      <c r="F75" s="10" t="n">
        <f aca="false">IF(Flows!F45*F$3*F$4&lt;0.002,100,MAX($CM$2/(Flows!F45*F$3*F$4),1))</f>
        <v>11.4346827277701</v>
      </c>
      <c r="G75" s="10" t="n">
        <f aca="false">IF(Flows!G45*G$3*G$4&lt;0.002,100,MAX($CM$2/(Flows!G45*G$3*G$4),1))</f>
        <v>5.54547594309471</v>
      </c>
      <c r="H75" s="10" t="n">
        <f aca="false">IF(Flows!H45*H$3*H$4&lt;0.002,100,MAX($CM$2/(Flows!H45*H$3*H$4),1))</f>
        <v>100</v>
      </c>
      <c r="I75" s="10" t="n">
        <f aca="false">IF(Flows!I45*I$3*I$4&lt;0.002,100,MAX($CM$2/(Flows!I45*I$3*I$4),1))</f>
        <v>967.764034898189</v>
      </c>
      <c r="J75" s="10" t="n">
        <f aca="false">IF(Flows!J45*J$3*J$4&lt;0.002,100,MAX($CM$2/(Flows!J45*J$3*J$4),1))</f>
        <v>991.706051268492</v>
      </c>
      <c r="K75" s="10" t="n">
        <f aca="false">IF(Flows!K45*K$3*K$4&lt;0.002,100,MAX($CM$2/(Flows!K45*K$3*K$4),1))</f>
        <v>5027.94218316605</v>
      </c>
      <c r="L75" s="10" t="n">
        <f aca="false">IF(Flows!L45*L$3*L$4&lt;0.002,100,MAX($CM$2/(Flows!L45*L$3*L$4),1))</f>
        <v>14891.7931450977</v>
      </c>
      <c r="M75" s="10" t="n">
        <f aca="false">IF(Flows!M45*M$3*M$4&lt;0.002,100,MAX($CM$2/(Flows!M45*M$3*M$4),1))</f>
        <v>9956.1023922858</v>
      </c>
      <c r="N75" s="10" t="n">
        <f aca="false">IF(Flows!N45*N$3*N$4&lt;0.002,100,MAX($CM$2/(Flows!N45*N$3*N$4),1))</f>
        <v>4.35957980985997</v>
      </c>
      <c r="O75" s="10" t="n">
        <f aca="false">IF(Flows!O45*O$3*O$4&lt;0.002,100,MAX($CM$2/(Flows!O45*O$3*O$4),1))</f>
        <v>1.59053550416964</v>
      </c>
      <c r="P75" s="10" t="n">
        <f aca="false">IF(Flows!P45*P$3*P$4&lt;0.002,100,MAX($CM$2/(Flows!P45*P$3*P$4),1))</f>
        <v>2.98225407031808</v>
      </c>
      <c r="Q75" s="10" t="n">
        <f aca="false">IF(Flows!Q45*Q$3*Q$4&lt;0.002,100,MAX($CM$2/(Flows!Q45*Q$3*Q$4),1))</f>
        <v>330.530646410265</v>
      </c>
      <c r="R75" s="10" t="n">
        <f aca="false">IF(Flows!R45*R$3*R$4&lt;0.002,100,MAX($CM$2/(Flows!R45*R$3*R$4),1))</f>
        <v>22.4898381960595</v>
      </c>
      <c r="S75" s="10" t="n">
        <f aca="false">IF(Flows!S45*S$3*S$4&lt;0.002,100,MAX($CM$2/(Flows!S45*S$3*S$4),1))</f>
        <v>127.643941243695</v>
      </c>
      <c r="T75" s="10" t="n">
        <f aca="false">IF(Flows!T45*T$3*T$4&lt;0.002,100,MAX($CM$2/(Flows!T45*T$3*T$4),1))</f>
        <v>228.38254193112</v>
      </c>
      <c r="U75" s="10" t="n">
        <f aca="false">IF(Flows!U45*U$3*U$4&lt;0.002,100,MAX($CM$2/(Flows!U45*U$3*U$4),1))</f>
        <v>41.4837599678575</v>
      </c>
      <c r="V75" s="10" t="n">
        <f aca="false">IF(Flows!V45*V$3*V$4&lt;0.002,100,MAX($CM$2/(Flows!V45*V$3*V$4),1))</f>
        <v>158.500451700314</v>
      </c>
      <c r="W75" s="10" t="n">
        <f aca="false">IF(Flows!W45*W$3*W$4&lt;0.002,100,MAX($CM$2/(Flows!W45*W$3*W$4),1))</f>
        <v>139.437271321077</v>
      </c>
      <c r="X75" s="10" t="n">
        <f aca="false">IF(Flows!X45*X$3*X$4&lt;0.002,100,MAX($CM$2/(Flows!X45*X$3*X$4),1))</f>
        <v>5.02640307170423</v>
      </c>
      <c r="Y75" s="10" t="n">
        <f aca="false">IF(Flows!Y45*Y$3*Y$4&lt;0.002,100,MAX($CM$2/(Flows!Y45*Y$3*Y$4),1))</f>
        <v>74.4589657254887</v>
      </c>
      <c r="Z75" s="10" t="n">
        <f aca="false">IF(Flows!Z45*Z$3*Z$4&lt;0.002,100,MAX($CM$2/(Flows!Z45*Z$3*Z$4),1))</f>
        <v>5382.53970734007</v>
      </c>
      <c r="AA75" s="10" t="n">
        <f aca="false">IF(Flows!AA45*AA$3*AA$4&lt;0.002,100,MAX($CM$2/(Flows!AA45*AA$3*AA$4),1))</f>
        <v>6306.21068496149</v>
      </c>
      <c r="AB75" s="10" t="n">
        <f aca="false">IF(Flows!AB45*AB$3*AB$4&lt;0.002,100,MAX($CM$2/(Flows!AB45*AB$3*AB$4),1))</f>
        <v>6721.49130809018</v>
      </c>
      <c r="AC75" s="10" t="n">
        <f aca="false">IF(Flows!AC45*AC$3*AC$4&lt;0.002,100,MAX($CM$2/(Flows!AC45*AC$3*AC$4),1))</f>
        <v>33298.2555482283</v>
      </c>
      <c r="AD75" s="10" t="n">
        <f aca="false">IF(Flows!AD45*AD$3*AD$4&lt;0.002,100,MAX($CM$2/(Flows!AD45*AD$3*AD$4),1))</f>
        <v>42340.1739849436</v>
      </c>
      <c r="AE75" s="10" t="n">
        <f aca="false">IF(Flows!AE45*AE$3*AE$4&lt;0.002,100,MAX($CM$2/(Flows!AE45*AE$3*AE$4),1))</f>
        <v>226915.806674108</v>
      </c>
      <c r="AF75" s="10" t="n">
        <f aca="false">IF(Flows!AF45*AF$3*AF$4&lt;0.002,100,MAX($CM$2/(Flows!AF45*AF$3*AF$4),1))</f>
        <v>513.989999241204</v>
      </c>
      <c r="AG75" s="10" t="n">
        <f aca="false">IF(Flows!AG45*AG$3*AG$4&lt;0.002,100,MAX($CM$2/(Flows!AG45*AG$3*AG$4),1))</f>
        <v>1011.0027411659</v>
      </c>
      <c r="AH75" s="10" t="n">
        <f aca="false">IF(Flows!AH45*AH$3*AH$4&lt;0.002,100,MAX($CM$2/(Flows!AH45*AH$3*AH$4),1))</f>
        <v>759.812574978016</v>
      </c>
      <c r="AI75" s="10" t="n">
        <f aca="false">IF(Flows!AI45*AI$3*AI$4&lt;0.002,100,MAX($CM$2/(Flows!AI45*AI$3*AI$4),1))</f>
        <v>1248.22515182288</v>
      </c>
      <c r="AJ75" s="10" t="n">
        <f aca="false">IF(Flows!AJ45*AJ$3*AJ$4&lt;0.002,100,MAX($CM$2/(Flows!AJ45*AJ$3*AJ$4),1))</f>
        <v>1597.94758713625</v>
      </c>
      <c r="AK75" s="10" t="n">
        <f aca="false">IF(Flows!AK45*AK$3*AK$4&lt;0.002,100,MAX($CM$2/(Flows!AK45*AK$3*AK$4),1))</f>
        <v>557.131942758531</v>
      </c>
      <c r="AL75" s="10" t="n">
        <f aca="false">IF(Flows!AL45*AL$3*AL$4&lt;0.002,100,MAX($CM$2/(Flows!AL45*AL$3*AL$4),1))</f>
        <v>574.288967814577</v>
      </c>
      <c r="AM75" s="10" t="n">
        <f aca="false">IF(Flows!AM45*AM$3*AM$4&lt;0.002,100,MAX($CM$2/(Flows!AM45*AM$3*AM$4),1))</f>
        <v>908.818718058888</v>
      </c>
      <c r="AN75" s="10" t="n">
        <f aca="false">IF(Flows!AN45*AN$3*AN$4&lt;0.002,100,MAX($CM$2/(Flows!AN45*AN$3*AN$4),1))</f>
        <v>6732.52184009214</v>
      </c>
      <c r="AO75" s="10" t="n">
        <f aca="false">IF(Flows!AO45*AO$3*AO$4&lt;0.002,100,MAX($CM$2/(Flows!AO45*AO$3*AO$4),1))</f>
        <v>17756.0716990733</v>
      </c>
      <c r="AP75" s="10" t="n">
        <f aca="false">IF(Flows!AP45*AP$3*AP$4&lt;0.002,100,MAX($CM$2/(Flows!AP45*AP$3*AP$4),1))</f>
        <v>207447.292681454</v>
      </c>
      <c r="AQ75" s="10" t="n">
        <f aca="false">IF(Flows!AQ45*AQ$3*AQ$4&lt;0.002,100,MAX($CM$2/(Flows!AQ45*AQ$3*AQ$4),1))</f>
        <v>30761.5080126317</v>
      </c>
      <c r="AR75" s="10" t="n">
        <f aca="false">IF(Flows!AR45*AR$3*AR$4&lt;0.002,100,MAX($CM$2/(Flows!AR45*AR$3*AR$4),1))</f>
        <v>7986.55632630184</v>
      </c>
      <c r="AS75" s="10" t="n">
        <f aca="false">IF(Flows!AS45*AS$3*AS$4&lt;0.002,100,MAX($CM$2/(Flows!AS45*AS$3*AS$4),1))</f>
        <v>2729.3692344036</v>
      </c>
      <c r="AT75" s="10" t="n">
        <f aca="false">IF(Flows!AT45*AT$3*AT$4&lt;0.002,100,MAX($CM$2/(Flows!AT45*AT$3*AT$4),1))</f>
        <v>352.75812429298</v>
      </c>
      <c r="AU75" s="10" t="n">
        <f aca="false">IF(Flows!AU45*AU$3*AU$4&lt;0.002,100,MAX($CM$2/(Flows!AU45*AU$3*AU$4),1))</f>
        <v>409.746982126283</v>
      </c>
      <c r="AV75" s="10" t="n">
        <f aca="false">IF(Flows!AV45*AV$3*AV$4&lt;0.002,100,MAX($CM$2/(Flows!AV45*AV$3*AV$4),1))</f>
        <v>5738.52641536702</v>
      </c>
      <c r="AW75" s="10" t="n">
        <f aca="false">IF(Flows!AW45*AW$3*AW$4&lt;0.002,100,MAX($CM$2/(Flows!AW45*AW$3*AW$4),1))</f>
        <v>10.5911101979659</v>
      </c>
      <c r="AX75" s="10" t="n">
        <f aca="false">IF(Flows!AX45*AX$3*AX$4&lt;0.002,100,MAX($CM$2/(Flows!AX45*AX$3*AX$4),1))</f>
        <v>4979.52063082039</v>
      </c>
      <c r="AY75" s="10" t="n">
        <f aca="false">IF(Flows!AY45*AY$3*AY$4&lt;0.002,100,MAX($CM$2/(Flows!AY45*AY$3*AY$4),1))</f>
        <v>326.538682404454</v>
      </c>
      <c r="AZ75" s="10" t="n">
        <f aca="false">IF(Flows!AZ45*AZ$3*AZ$4&lt;0.002,100,MAX($CM$2/(Flows!AZ45*AZ$3*AZ$4),1))</f>
        <v>95.140322150109</v>
      </c>
      <c r="BA75" s="10" t="n">
        <f aca="false">IF(Flows!BA45*BA$3*BA$4&lt;0.002,100,MAX($CM$2/(Flows!BA45*BA$3*BA$4),1))</f>
        <v>759.481450399985</v>
      </c>
      <c r="BB75" s="10" t="n">
        <f aca="false">IF(Flows!BB45*BB$3*BB$4&lt;0.002,100,MAX($CM$2/(Flows!BB45*BB$3*BB$4),1))</f>
        <v>3755.15423408495</v>
      </c>
      <c r="BC75" s="10" t="n">
        <f aca="false">IF(Flows!BC45*BC$3*BC$4&lt;0.002,100,MAX($CM$2/(Flows!BC45*BC$3*BC$4),1))</f>
        <v>1385.98620219054</v>
      </c>
      <c r="BD75" s="10" t="n">
        <f aca="false">IF(Flows!BD45*BD$3*BD$4&lt;0.002,100,MAX($CM$2/(Flows!BD45*BD$3*BD$4),1))</f>
        <v>41451.649272248</v>
      </c>
      <c r="BE75" s="10" t="n">
        <f aca="false">IF(Flows!BE45*BE$3*BE$4&lt;0.002,100,MAX($CM$2/(Flows!BE45*BE$3*BE$4),1))</f>
        <v>13289.2157487782</v>
      </c>
      <c r="BF75" s="10" t="n">
        <f aca="false">IF(Flows!BF45*BF$3*BF$4&lt;0.002,100,MAX($CM$2/(Flows!BF45*BF$3*BF$4),1))</f>
        <v>251.965821464329</v>
      </c>
      <c r="BG75" s="10" t="n">
        <f aca="false">IF(Flows!BG45*BG$3*BG$4&lt;0.002,100,MAX($CM$2/(Flows!BG45*BG$3*BG$4),1))</f>
        <v>120.296790621859</v>
      </c>
      <c r="BH75" s="10" t="n">
        <f aca="false">IF(Flows!BH45*BH$3*BH$4&lt;0.002,100,MAX($CM$2/(Flows!BH45*BH$3*BH$4),1))</f>
        <v>60.1483953109297</v>
      </c>
      <c r="BI75" s="10" t="n">
        <f aca="false">IF(Flows!BI45*BI$3*BI$4&lt;0.002,100,MAX($CM$2/(Flows!BI45*BI$3*BI$4),1))</f>
        <v>45.1112964831973</v>
      </c>
      <c r="BJ75" s="10" t="n">
        <f aca="false">IF(Flows!BJ45*BJ$3*BJ$4&lt;0.002,100,MAX($CM$2/(Flows!BJ45*BJ$3*BJ$4),1))</f>
        <v>12.7469690833397</v>
      </c>
      <c r="BK75" s="10" t="n">
        <f aca="false">IF(Flows!BK45*BK$3*BK$4&lt;0.002,100,MAX($CM$2/(Flows!BK45*BK$3*BK$4),1))</f>
        <v>90.2225929663945</v>
      </c>
      <c r="BL75" s="10" t="n">
        <f aca="false">IF(Flows!BL45*BL$3*BL$4&lt;0.002,100,MAX($CM$2/(Flows!BL45*BL$3*BL$4),1))</f>
        <v>199.409451861628</v>
      </c>
      <c r="BM75" s="10" t="n">
        <f aca="false">IF(Flows!BM45*BM$3*BM$4&lt;0.002,100,MAX($CM$2/(Flows!BM45*BM$3*BM$4),1))</f>
        <v>151.830286642536</v>
      </c>
      <c r="BN75" s="10" t="n">
        <f aca="false">IF(Flows!BN45*BN$3*BN$4&lt;0.002,100,MAX($CM$2/(Flows!BN45*BN$3*BN$4),1))</f>
        <v>107083.529891982</v>
      </c>
      <c r="BO75" s="10" t="n">
        <f aca="false">IF(Flows!BO45*BO$3*BO$4&lt;0.002,100,MAX($CM$2/(Flows!BO45*BO$3*BO$4),1))</f>
        <v>6.99015503241648</v>
      </c>
      <c r="BP75" s="10" t="n">
        <f aca="false">IF(Flows!BP45*BP$3*BP$4&lt;0.002,100,MAX($CM$2/(Flows!BP45*BP$3*BP$4),1))</f>
        <v>29.9600086236887</v>
      </c>
      <c r="BQ75" s="10" t="n">
        <f aca="false">IF(Flows!BQ45*BQ$3*BQ$4&lt;0.002,100,MAX($CM$2/(Flows!BQ45*BQ$3*BQ$4),1))</f>
        <v>100</v>
      </c>
      <c r="BR75" s="10" t="n">
        <f aca="false">IF(Flows!BR45*BR$3*BR$4&lt;0.002,100,MAX($CM$2/(Flows!BR45*BR$3*BR$4),1))</f>
        <v>209.704498068926</v>
      </c>
      <c r="BS75" s="10" t="n">
        <f aca="false">IF(Flows!BS45*BS$3*BS$4&lt;0.002,100,MAX($CM$2/(Flows!BS45*BS$3*BS$4),1))</f>
        <v>2097.04498068926</v>
      </c>
      <c r="BT75" s="10" t="n">
        <f aca="false">IF(Flows!BT45*BT$3*BT$4&lt;0.002,100,MAX($CM$2/(Flows!BT45*BT$3*BT$4),1))</f>
        <v>1.00069499653098</v>
      </c>
      <c r="BU75" s="10" t="n">
        <f aca="false">IF(Flows!BU45*BU$3*BU$4&lt;0.002,100,MAX($CM$2/(Flows!BU45*BU$3*BU$4),1))</f>
        <v>10.0069499653098</v>
      </c>
      <c r="BV75" s="10" t="n">
        <f aca="false">IF(Flows!BV45*BV$3*BV$4&lt;0.002,100,MAX($CM$2/(Flows!BV45*BV$3*BV$4),1))</f>
        <v>100.069499653099</v>
      </c>
      <c r="BW75" s="10" t="n">
        <f aca="false">IF(Flows!BW45*BW$3*BW$4&lt;0.002,100,MAX($CM$2/(Flows!BW45*BW$3*BW$4),1))</f>
        <v>12.0833829865707</v>
      </c>
      <c r="BX75" s="10" t="n">
        <f aca="false">IF(Flows!BX45*BX$3*BX$4&lt;0.002,100,MAX($CM$2/(Flows!BX45*BX$3*BX$4),1))</f>
        <v>109.308363307477</v>
      </c>
      <c r="BY75" s="10" t="n">
        <f aca="false">IF(Flows!BY45*BY$3*BY$4&lt;0.002,100,MAX($CM$2/(Flows!BY45*BY$3*BY$4),1))</f>
        <v>27.6333278295962</v>
      </c>
      <c r="BZ75" s="10" t="n">
        <f aca="false">IF(Flows!BZ45*BZ$3*BZ$4&lt;0.002,100,MAX($CM$2/(Flows!BZ45*BZ$3*BZ$4),1))</f>
        <v>150427.174928933</v>
      </c>
      <c r="CA75" s="10" t="n">
        <f aca="false">IF(Flows!CA45*CA$3*CA$4&lt;0.002,100,MAX($CM$2/(Flows!CA45*CA$3*CA$4),1))</f>
        <v>20127.2412532426</v>
      </c>
      <c r="CB75" s="10" t="n">
        <f aca="false">IF(Flows!CB45*CB$3*CB$4&lt;0.002,100,MAX($CM$2/(Flows!CB45*CB$3*CB$4),1))</f>
        <v>36.6713895478797</v>
      </c>
      <c r="CC75" s="10" t="n">
        <f aca="false">IF(Flows!CC45*CC$3*CC$4&lt;0.002,100,MAX($CM$2/(Flows!CC45*CC$3*CC$4),1))</f>
        <v>12.5278421580526</v>
      </c>
      <c r="CD75" s="10" t="n">
        <f aca="false">IF(Flows!CD45*CD$3*CD$4&lt;0.002,100,MAX($CM$2/(Flows!CD45*CD$3*CD$4),1))</f>
        <v>34.0704387676951</v>
      </c>
      <c r="CE75" s="10" t="n">
        <f aca="false">IF(Flows!CE45*CE$3*CE$4&lt;0.002,100,MAX($CM$2/(Flows!CE45*CE$3*CE$4),1))</f>
        <v>84.1461145063504</v>
      </c>
      <c r="CF75" s="10" t="n">
        <f aca="false">IF(Flows!CF45*CF$3*CF$4&lt;0.002,100,MAX($CM$2/(Flows!CF45*CF$3*CF$4),1))</f>
        <v>1</v>
      </c>
      <c r="CG75" s="10" t="n">
        <f aca="false">IF(Flows!CG45*CG$3*CG$4&lt;0.002,100,MAX($CM$2/(Flows!CG45*CG$3*CG$4),1))</f>
        <v>69.057329740324</v>
      </c>
      <c r="CH75" s="10" t="n">
        <f aca="false">IF(Flows!CH45*CH$3*CH$4&lt;0.002,100,MAX($CM$2/(Flows!CH45*CH$3*CH$4),1))</f>
        <v>1036.37591395548</v>
      </c>
      <c r="CI75" s="10" t="n">
        <f aca="false">IF(Flows!CI45*CI$3*CI$4&lt;0.002,100,MAX($CM$2/(Flows!CI45*CI$3*CI$4),1))</f>
        <v>311.992603020988</v>
      </c>
      <c r="CJ75" s="10" t="n">
        <f aca="false">IF(Flows!CJ45*CJ$3*CJ$4&lt;0.002,100,MAX($CM$2/(Flows!CJ45*CJ$3*CJ$4),1))</f>
        <v>1765.37338949748</v>
      </c>
      <c r="CK75" s="10" t="n">
        <f aca="false">IF(Flows!CK45*CK$3*CK$4&lt;0.002,100,MAX($CM$2/(Flows!CK45*CK$3*CK$4),1))</f>
        <v>7140.36042489536</v>
      </c>
      <c r="CL75" s="7" t="s">
        <v>322</v>
      </c>
    </row>
    <row r="76" s="17" customFormat="true" ht="12.8" hidden="false" customHeight="false" outlineLevel="0" collapsed="false">
      <c r="A76" s="21" t="s">
        <v>152</v>
      </c>
      <c r="B76" s="21" t="s">
        <v>39</v>
      </c>
      <c r="C76" s="25" t="n">
        <f aca="false">IF(Flows!C46*C$3*C$4&lt;0.002,100,MAX($CM$2/(Flows!C46*C$3*C$4),1))</f>
        <v>5247.34459578449</v>
      </c>
      <c r="D76" s="25" t="n">
        <f aca="false">IF(Flows!D46*D$3*D$4&lt;0.002,100,MAX($CM$2/(Flows!D46*D$3*D$4),1))</f>
        <v>1.05365066386227</v>
      </c>
      <c r="E76" s="25" t="n">
        <f aca="false">IF(Flows!E46*E$3*E$4&lt;0.002,100,MAX($CM$2/(Flows!E46*E$3*E$4),1))</f>
        <v>6.55160360385323</v>
      </c>
      <c r="F76" s="25" t="n">
        <f aca="false">IF(Flows!F46*F$3*F$4&lt;0.002,100,MAX($CM$2/(Flows!F46*F$3*F$4),1))</f>
        <v>20.6390654818574</v>
      </c>
      <c r="G76" s="25" t="n">
        <f aca="false">IF(Flows!G46*G$3*G$4&lt;0.002,100,MAX($CM$2/(Flows!G46*G$3*G$4),1))</f>
        <v>161.282410336671</v>
      </c>
      <c r="H76" s="25" t="n">
        <f aca="false">IF(Flows!H46*H$3*H$4&lt;0.002,100,MAX($CM$2/(Flows!H46*H$3*H$4),1))</f>
        <v>100</v>
      </c>
      <c r="I76" s="25" t="n">
        <f aca="false">IF(Flows!I46*I$3*I$4&lt;0.002,100,MAX($CM$2/(Flows!I46*I$3*I$4),1))</f>
        <v>757.157631586537</v>
      </c>
      <c r="J76" s="25" t="n">
        <f aca="false">IF(Flows!J46*J$3*J$4&lt;0.002,100,MAX($CM$2/(Flows!J46*J$3*J$4),1))</f>
        <v>3917.88951799748</v>
      </c>
      <c r="K76" s="25" t="n">
        <f aca="false">IF(Flows!K46*K$3*K$4&lt;0.002,100,MAX($CM$2/(Flows!K46*K$3*K$4),1))</f>
        <v>5082.69983788</v>
      </c>
      <c r="L76" s="25" t="n">
        <f aca="false">IF(Flows!L46*L$3*L$4&lt;0.002,100,MAX($CM$2/(Flows!L46*L$3*L$4),1))</f>
        <v>15266.6372328003</v>
      </c>
      <c r="M76" s="25" t="n">
        <f aca="false">IF(Flows!M46*M$3*M$4&lt;0.002,100,MAX($CM$2/(Flows!M46*M$3*M$4),1))</f>
        <v>10221.0048929881</v>
      </c>
      <c r="N76" s="25" t="n">
        <f aca="false">IF(Flows!N46*N$3*N$4&lt;0.002,100,MAX($CM$2/(Flows!N46*N$3*N$4),1))</f>
        <v>3.45540529219712</v>
      </c>
      <c r="O76" s="25" t="n">
        <f aca="false">IF(Flows!O46*O$3*O$4&lt;0.002,100,MAX($CM$2/(Flows!O46*O$3*O$4),1))</f>
        <v>1.58047599579341</v>
      </c>
      <c r="P76" s="25" t="n">
        <f aca="false">IF(Flows!P46*P$3*P$4&lt;0.002,100,MAX($CM$2/(Flows!P46*P$3*P$4),1))</f>
        <v>2.96339249211264</v>
      </c>
      <c r="Q76" s="25" t="n">
        <f aca="false">IF(Flows!Q46*Q$3*Q$4&lt;0.002,100,MAX($CM$2/(Flows!Q46*Q$3*Q$4),1))</f>
        <v>9558.86167803038</v>
      </c>
      <c r="R76" s="25" t="n">
        <f aca="false">IF(Flows!R46*R$3*R$4&lt;0.002,100,MAX($CM$2/(Flows!R46*R$3*R$4),1))</f>
        <v>13.2893833887641</v>
      </c>
      <c r="S76" s="25" t="n">
        <f aca="false">IF(Flows!S46*S$3*S$4&lt;0.002,100,MAX($CM$2/(Flows!S46*S$3*S$4),1))</f>
        <v>130.856890566859</v>
      </c>
      <c r="T76" s="25" t="n">
        <f aca="false">IF(Flows!T46*T$3*T$4&lt;0.002,100,MAX($CM$2/(Flows!T46*T$3*T$4),1))</f>
        <v>234.131201259332</v>
      </c>
      <c r="U76" s="25" t="n">
        <f aca="false">IF(Flows!U46*U$3*U$4&lt;0.002,100,MAX($CM$2/(Flows!U46*U$3*U$4),1))</f>
        <v>42.5875203874505</v>
      </c>
      <c r="V76" s="25" t="n">
        <f aca="false">IF(Flows!V46*V$3*V$4&lt;0.002,100,MAX($CM$2/(Flows!V46*V$3*V$4),1))</f>
        <v>112.521711020935</v>
      </c>
      <c r="W76" s="25" t="n">
        <f aca="false">IF(Flows!W46*W$3*W$4&lt;0.002,100,MAX($CM$2/(Flows!W46*W$3*W$4),1))</f>
        <v>8.22749429413221</v>
      </c>
      <c r="X76" s="25" t="n">
        <f aca="false">IF(Flows!X46*X$3*X$4&lt;0.002,100,MAX($CM$2/(Flows!X46*X$3*X$4),1))</f>
        <v>1.27810644519297</v>
      </c>
      <c r="Y76" s="25" t="n">
        <f aca="false">IF(Flows!Y46*Y$3*Y$4&lt;0.002,100,MAX($CM$2/(Flows!Y46*Y$3*Y$4),1))</f>
        <v>76.3331861640014</v>
      </c>
      <c r="Z76" s="25" t="n">
        <f aca="false">IF(Flows!Z46*Z$3*Z$4&lt;0.002,100,MAX($CM$2/(Flows!Z46*Z$3*Z$4),1))</f>
        <v>7238.99823606355</v>
      </c>
      <c r="AA76" s="25" t="n">
        <f aca="false">IF(Flows!AA46*AA$3*AA$4&lt;0.002,100,MAX($CM$2/(Flows!AA46*AA$3*AA$4),1))</f>
        <v>5740.32686626575</v>
      </c>
      <c r="AB76" s="25" t="n">
        <f aca="false">IF(Flows!AB46*AB$3*AB$4&lt;0.002,100,MAX($CM$2/(Flows!AB46*AB$3*AB$4),1))</f>
        <v>7021.14296570544</v>
      </c>
      <c r="AC76" s="25" t="n">
        <f aca="false">IF(Flows!AC46*AC$3*AC$4&lt;0.002,100,MAX($CM$2/(Flows!AC46*AC$3*AC$4),1))</f>
        <v>47566.6868697505</v>
      </c>
      <c r="AD76" s="25" t="n">
        <f aca="false">IF(Flows!AD46*AD$3*AD$4&lt;0.002,100,MAX($CM$2/(Flows!AD46*AD$3*AD$4),1))</f>
        <v>44227.7466584418</v>
      </c>
      <c r="AE76" s="25" t="n">
        <f aca="false">IF(Flows!AE46*AE$3*AE$4&lt;0.002,100,MAX($CM$2/(Flows!AE46*AE$3*AE$4),1))</f>
        <v>901341.830323648</v>
      </c>
      <c r="AF76" s="25" t="n">
        <f aca="false">IF(Flows!AF46*AF$3*AF$4&lt;0.002,100,MAX($CM$2/(Flows!AF46*AF$3*AF$4),1))</f>
        <v>646.802677282268</v>
      </c>
      <c r="AG76" s="25" t="n">
        <f aca="false">IF(Flows!AG46*AG$3*AG$4&lt;0.002,100,MAX($CM$2/(Flows!AG46*AG$3*AG$4),1))</f>
        <v>463.605137880528</v>
      </c>
      <c r="AH76" s="25" t="n">
        <f aca="false">IF(Flows!AH46*AH$3*AH$4&lt;0.002,100,MAX($CM$2/(Flows!AH46*AH$3*AH$4),1))</f>
        <v>1598.36625169724</v>
      </c>
      <c r="AI76" s="25" t="n">
        <f aca="false">IF(Flows!AI46*AI$3*AI$4&lt;0.002,100,MAX($CM$2/(Flows!AI46*AI$3*AI$4),1))</f>
        <v>2614.55464697918</v>
      </c>
      <c r="AJ76" s="25" t="n">
        <f aca="false">IF(Flows!AJ46*AJ$3*AJ$4&lt;0.002,100,MAX($CM$2/(Flows!AJ46*AJ$3*AJ$4),1))</f>
        <v>719.329301147945</v>
      </c>
      <c r="AK76" s="25" t="n">
        <f aca="false">IF(Flows!AK46*AK$3*AK$4&lt;0.002,100,MAX($CM$2/(Flows!AK46*AK$3*AK$4),1))</f>
        <v>309.831181801027</v>
      </c>
      <c r="AL76" s="25" t="n">
        <f aca="false">IF(Flows!AL46*AL$3*AL$4&lt;0.002,100,MAX($CM$2/(Flows!AL46*AL$3*AL$4),1))</f>
        <v>1000.30113647712</v>
      </c>
      <c r="AM76" s="25" t="n">
        <f aca="false">IF(Flows!AM46*AM$3*AM$4&lt;0.002,100,MAX($CM$2/(Flows!AM46*AM$3*AM$4),1))</f>
        <v>2022.45597931658</v>
      </c>
      <c r="AN76" s="25" t="n">
        <f aca="false">IF(Flows!AN46*AN$3*AN$4&lt;0.002,100,MAX($CM$2/(Flows!AN46*AN$3*AN$4),1))</f>
        <v>2961.52896136717</v>
      </c>
      <c r="AO76" s="25" t="n">
        <f aca="false">IF(Flows!AO46*AO$3*AO$4&lt;0.002,100,MAX($CM$2/(Flows!AO46*AO$3*AO$4),1))</f>
        <v>14631.8611977509</v>
      </c>
      <c r="AP76" s="25" t="n">
        <f aca="false">IF(Flows!AP46*AP$3*AP$4&lt;0.002,100,MAX($CM$2/(Flows!AP46*AP$3*AP$4),1))</f>
        <v>49687.689784494</v>
      </c>
      <c r="AQ76" s="25" t="n">
        <f aca="false">IF(Flows!AQ46*AQ$3*AQ$4&lt;0.002,100,MAX($CM$2/(Flows!AQ46*AQ$3*AQ$4),1))</f>
        <v>5609.73037442402</v>
      </c>
      <c r="AR76" s="25" t="n">
        <f aca="false">IF(Flows!AR46*AR$3*AR$4&lt;0.002,100,MAX($CM$2/(Flows!AR46*AR$3*AR$4),1))</f>
        <v>15874.421288915</v>
      </c>
      <c r="AS76" s="25" t="n">
        <f aca="false">IF(Flows!AS46*AS$3*AS$4&lt;0.002,100,MAX($CM$2/(Flows!AS46*AS$3*AS$4),1))</f>
        <v>1807.8718171295</v>
      </c>
      <c r="AT76" s="25" t="n">
        <f aca="false">IF(Flows!AT46*AT$3*AT$4&lt;0.002,100,MAX($CM$2/(Flows!AT46*AT$3*AT$4),1))</f>
        <v>866.453074600056</v>
      </c>
      <c r="AU76" s="25" t="n">
        <f aca="false">IF(Flows!AU46*AU$3*AU$4&lt;0.002,100,MAX($CM$2/(Flows!AU46*AU$3*AU$4),1))</f>
        <v>6567.82644325689</v>
      </c>
      <c r="AV76" s="25" t="n">
        <f aca="false">IF(Flows!AV46*AV$3*AV$4&lt;0.002,100,MAX($CM$2/(Flows!AV46*AV$3*AV$4),1))</f>
        <v>17026.0458723809</v>
      </c>
      <c r="AW76" s="25" t="n">
        <f aca="false">IF(Flows!AW46*AW$3*AW$4&lt;0.002,100,MAX($CM$2/(Flows!AW46*AW$3*AW$4),1))</f>
        <v>15.7900622089733</v>
      </c>
      <c r="AX76" s="25" t="n">
        <f aca="false">IF(Flows!AX46*AX$3*AX$4&lt;0.002,100,MAX($CM$2/(Flows!AX46*AX$3*AX$4),1))</f>
        <v>11288.6589939986</v>
      </c>
      <c r="AY76" s="25" t="n">
        <f aca="false">IF(Flows!AY46*AY$3*AY$4&lt;0.002,100,MAX($CM$2/(Flows!AY46*AY$3*AY$4),1))</f>
        <v>438.395539890935</v>
      </c>
      <c r="AZ76" s="25" t="n">
        <f aca="false">IF(Flows!AZ46*AZ$3*AZ$4&lt;0.002,100,MAX($CM$2/(Flows!AZ46*AZ$3*AZ$4),1))</f>
        <v>152.563156248558</v>
      </c>
      <c r="BA76" s="25" t="n">
        <f aca="false">IF(Flows!BA46*BA$3*BA$4&lt;0.002,100,MAX($CM$2/(Flows!BA46*BA$3*BA$4),1))</f>
        <v>778.598498872815</v>
      </c>
      <c r="BB76" s="25" t="n">
        <f aca="false">IF(Flows!BB46*BB$3*BB$4&lt;0.002,100,MAX($CM$2/(Flows!BB46*BB$3*BB$4),1))</f>
        <v>8382.21493774532</v>
      </c>
      <c r="BC76" s="25" t="n">
        <f aca="false">IF(Flows!BC46*BC$3*BC$4&lt;0.002,100,MAX($CM$2/(Flows!BC46*BC$3*BC$4),1))</f>
        <v>1309.92989363449</v>
      </c>
      <c r="BD76" s="25" t="n">
        <f aca="false">IF(Flows!BD46*BD$3*BD$4&lt;0.002,100,MAX($CM$2/(Flows!BD46*BD$3*BD$4),1))</f>
        <v>4908.04041486192</v>
      </c>
      <c r="BE76" s="25" t="n">
        <f aca="false">IF(Flows!BE46*BE$3*BE$4&lt;0.002,100,MAX($CM$2/(Flows!BE46*BE$3*BE$4),1))</f>
        <v>9085.02459076123</v>
      </c>
      <c r="BF76" s="25" t="n">
        <f aca="false">IF(Flows!BF46*BF$3*BF$4&lt;0.002,100,MAX($CM$2/(Flows!BF46*BF$3*BF$4),1))</f>
        <v>752.822052475188</v>
      </c>
      <c r="BG76" s="25" t="n">
        <f aca="false">IF(Flows!BG46*BG$3*BG$4&lt;0.002,100,MAX($CM$2/(Flows!BG46*BG$3*BG$4),1))</f>
        <v>125.659757121905</v>
      </c>
      <c r="BH76" s="25" t="n">
        <f aca="false">IF(Flows!BH46*BH$3*BH$4&lt;0.002,100,MAX($CM$2/(Flows!BH46*BH$3*BH$4),1))</f>
        <v>62.8298785609525</v>
      </c>
      <c r="BI76" s="25" t="n">
        <f aca="false">IF(Flows!BI46*BI$3*BI$4&lt;0.002,100,MAX($CM$2/(Flows!BI46*BI$3*BI$4),1))</f>
        <v>47.1224089207144</v>
      </c>
      <c r="BJ76" s="25" t="n">
        <f aca="false">IF(Flows!BJ46*BJ$3*BJ$4&lt;0.002,100,MAX($CM$2/(Flows!BJ46*BJ$3*BJ$4),1))</f>
        <v>3.86163888516554</v>
      </c>
      <c r="BK76" s="25" t="n">
        <f aca="false">IF(Flows!BK46*BK$3*BK$4&lt;0.002,100,MAX($CM$2/(Flows!BK46*BK$3*BK$4),1))</f>
        <v>94.2448178414287</v>
      </c>
      <c r="BL76" s="25" t="n">
        <f aca="false">IF(Flows!BL46*BL$3*BL$4&lt;0.002,100,MAX($CM$2/(Flows!BL46*BL$3*BL$4),1))</f>
        <v>113.317485644027</v>
      </c>
      <c r="BM76" s="25" t="n">
        <f aca="false">IF(Flows!BM46*BM$3*BM$4&lt;0.002,100,MAX($CM$2/(Flows!BM46*BM$3*BM$4),1))</f>
        <v>56.4504022961273</v>
      </c>
      <c r="BN76" s="25" t="n">
        <f aca="false">IF(Flows!BN46*BN$3*BN$4&lt;0.002,100,MAX($CM$2/(Flows!BN46*BN$3*BN$4),1))</f>
        <v>1</v>
      </c>
      <c r="BO76" s="25" t="n">
        <f aca="false">IF(Flows!BO46*BO$3*BO$4&lt;0.002,100,MAX($CM$2/(Flows!BO46*BO$3*BO$4),1))</f>
        <v>10.9622113692391</v>
      </c>
      <c r="BP76" s="25" t="n">
        <f aca="false">IF(Flows!BP46*BP$3*BP$4&lt;0.002,100,MAX($CM$2/(Flows!BP46*BP$3*BP$4),1))</f>
        <v>41.8137229424027</v>
      </c>
      <c r="BQ76" s="25" t="n">
        <f aca="false">IF(Flows!BQ46*BQ$3*BQ$4&lt;0.002,100,MAX($CM$2/(Flows!BQ46*BQ$3*BQ$4),1))</f>
        <v>100</v>
      </c>
      <c r="BR76" s="25" t="n">
        <f aca="false">IF(Flows!BR46*BR$3*BR$4&lt;0.002,100,MAX($CM$2/(Flows!BR46*BR$3*BR$4),1))</f>
        <v>328.866239158027</v>
      </c>
      <c r="BS76" s="25" t="n">
        <f aca="false">IF(Flows!BS46*BS$3*BS$4&lt;0.002,100,MAX($CM$2/(Flows!BS46*BS$3*BS$4),1))</f>
        <v>3288.66239158027</v>
      </c>
      <c r="BT76" s="25" t="n">
        <f aca="false">IF(Flows!BT46*BT$3*BT$4&lt;0.002,100,MAX($CM$2/(Flows!BT46*BT$3*BT$4),1))</f>
        <v>1</v>
      </c>
      <c r="BU76" s="25" t="n">
        <f aca="false">IF(Flows!BU46*BU$3*BU$4&lt;0.002,100,MAX($CM$2/(Flows!BU46*BU$3*BU$4),1))</f>
        <v>10</v>
      </c>
      <c r="BV76" s="25" t="n">
        <f aca="false">IF(Flows!BV46*BV$3*BV$4&lt;0.002,100,MAX($CM$2/(Flows!BV46*BV$3*BV$4),1))</f>
        <v>100</v>
      </c>
      <c r="BW76" s="25" t="n">
        <f aca="false">IF(Flows!BW46*BW$3*BW$4&lt;0.002,100,MAX($CM$2/(Flows!BW46*BW$3*BW$4),1))</f>
        <v>12.6220738180485</v>
      </c>
      <c r="BX76" s="25" t="n">
        <f aca="false">IF(Flows!BX46*BX$3*BX$4&lt;0.002,100,MAX($CM$2/(Flows!BX46*BX$3*BX$4),1))</f>
        <v>12.8634767174615</v>
      </c>
      <c r="BY76" s="25" t="n">
        <f aca="false">IF(Flows!BY46*BY$3*BY$4&lt;0.002,100,MAX($CM$2/(Flows!BY46*BY$3*BY$4),1))</f>
        <v>23.0078463544813</v>
      </c>
      <c r="BZ76" s="25" t="n">
        <f aca="false">IF(Flows!BZ46*BZ$3*BZ$4&lt;0.002,100,MAX($CM$2/(Flows!BZ46*BZ$3*BZ$4),1))</f>
        <v>43985.5262213532</v>
      </c>
      <c r="CA76" s="25" t="n">
        <f aca="false">IF(Flows!CA46*CA$3*CA$4&lt;0.002,100,MAX($CM$2/(Flows!CA46*CA$3*CA$4),1))</f>
        <v>81033.8482451181</v>
      </c>
      <c r="CB76" s="25" t="n">
        <f aca="false">IF(Flows!CB46*CB$3*CB$4&lt;0.002,100,MAX($CM$2/(Flows!CB46*CB$3*CB$4),1))</f>
        <v>50.9104079668751</v>
      </c>
      <c r="CC76" s="25" t="n">
        <f aca="false">IF(Flows!CC46*CC$3*CC$4&lt;0.002,100,MAX($CM$2/(Flows!CC46*CC$3*CC$4),1))</f>
        <v>16.965461744081</v>
      </c>
      <c r="CD76" s="25" t="n">
        <f aca="false">IF(Flows!CD46*CD$3*CD$4&lt;0.002,100,MAX($CM$2/(Flows!CD46*CD$3*CD$4),1))</f>
        <v>35.871942200509</v>
      </c>
      <c r="CE76" s="25" t="n">
        <f aca="false">IF(Flows!CE46*CE$3*CE$4&lt;0.002,100,MAX($CM$2/(Flows!CE46*CE$3*CE$4),1))</f>
        <v>15.9075412754351</v>
      </c>
      <c r="CF76" s="25" t="n">
        <f aca="false">IF(Flows!CF46*CF$3*CF$4&lt;0.002,100,MAX($CM$2/(Flows!CF46*CF$3*CF$4),1))</f>
        <v>1</v>
      </c>
      <c r="CG76" s="25" t="n">
        <f aca="false">IF(Flows!CG46*CG$3*CG$4&lt;0.002,100,MAX($CM$2/(Flows!CG46*CG$3*CG$4),1))</f>
        <v>36.4692627328997</v>
      </c>
      <c r="CH76" s="25" t="n">
        <f aca="false">IF(Flows!CH46*CH$3*CH$4&lt;0.002,100,MAX($CM$2/(Flows!CH46*CH$3*CH$4),1))</f>
        <v>27.1581510987201</v>
      </c>
      <c r="CI76" s="25" t="n">
        <f aca="false">IF(Flows!CI46*CI$3*CI$4&lt;0.002,100,MAX($CM$2/(Flows!CI46*CI$3*CI$4),1))</f>
        <v>129.543868384295</v>
      </c>
      <c r="CJ76" s="25" t="n">
        <f aca="false">IF(Flows!CJ46*CJ$3*CJ$4&lt;0.002,100,MAX($CM$2/(Flows!CJ46*CJ$3*CJ$4),1))</f>
        <v>1489.95567811836</v>
      </c>
      <c r="CK76" s="25" t="n">
        <f aca="false">IF(Flows!CK46*CK$3*CK$4&lt;0.002,100,MAX($CM$2/(Flows!CK46*CK$3*CK$4),1))</f>
        <v>892.756691010505</v>
      </c>
      <c r="CL76" s="21" t="s">
        <v>322</v>
      </c>
    </row>
    <row r="77" customFormat="false" ht="12.8" hidden="false" customHeight="false" outlineLevel="0" collapsed="false">
      <c r="A77" s="7" t="s">
        <v>153</v>
      </c>
      <c r="B77" s="7" t="s">
        <v>39</v>
      </c>
      <c r="C77" s="10" t="n">
        <f aca="false">IF(Flows!C47*C$3*C$4&lt;0.002,100,MAX($CM$2/(Flows!C47*C$3*C$4),1))</f>
        <v>14423.2689550634</v>
      </c>
      <c r="D77" s="10" t="n">
        <f aca="false">IF(Flows!D47*D$3*D$4&lt;0.002,100,MAX($CM$2/(Flows!D47*D$3*D$4),1))</f>
        <v>2.06542824441762</v>
      </c>
      <c r="E77" s="10" t="n">
        <f aca="false">IF(Flows!E47*E$3*E$4&lt;0.002,100,MAX($CM$2/(Flows!E47*E$3*E$4),1))</f>
        <v>11.7686584176949</v>
      </c>
      <c r="F77" s="10" t="n">
        <f aca="false">IF(Flows!F47*F$3*F$4&lt;0.002,100,MAX($CM$2/(Flows!F47*F$3*F$4),1))</f>
        <v>51.5632750902248</v>
      </c>
      <c r="G77" s="10" t="n">
        <f aca="false">IF(Flows!G47*G$3*G$4&lt;0.002,100,MAX($CM$2/(Flows!G47*G$3*G$4),1))</f>
        <v>40.1001619369899</v>
      </c>
      <c r="H77" s="10" t="n">
        <f aca="false">IF(Flows!H47*H$3*H$4&lt;0.002,100,MAX($CM$2/(Flows!H47*H$3*H$4),1))</f>
        <v>100</v>
      </c>
      <c r="I77" s="10" t="n">
        <f aca="false">IF(Flows!I47*I$3*I$4&lt;0.002,100,MAX($CM$2/(Flows!I47*I$3*I$4),1))</f>
        <v>2679.08213488811</v>
      </c>
      <c r="J77" s="10" t="n">
        <f aca="false">IF(Flows!J47*J$3*J$4&lt;0.002,100,MAX($CM$2/(Flows!J47*J$3*J$4),1))</f>
        <v>6113.59894417663</v>
      </c>
      <c r="K77" s="10" t="n">
        <f aca="false">IF(Flows!K47*K$3*K$4&lt;0.002,100,MAX($CM$2/(Flows!K47*K$3*K$4),1))</f>
        <v>11598.5111041128</v>
      </c>
      <c r="L77" s="10" t="n">
        <f aca="false">IF(Flows!L47*L$3*L$4&lt;0.002,100,MAX($CM$2/(Flows!L47*L$3*L$4),1))</f>
        <v>34698.2211173806</v>
      </c>
      <c r="M77" s="10" t="n">
        <f aca="false">IF(Flows!M47*M$3*M$4&lt;0.002,100,MAX($CM$2/(Flows!M47*M$3*M$4),1))</f>
        <v>23221.0823084448</v>
      </c>
      <c r="N77" s="10" t="n">
        <f aca="false">IF(Flows!N47*N$3*N$4&lt;0.002,100,MAX($CM$2/(Flows!N47*N$3*N$4),1))</f>
        <v>5.79662980732781</v>
      </c>
      <c r="O77" s="10" t="n">
        <f aca="false">IF(Flows!O47*O$3*O$4&lt;0.002,100,MAX($CM$2/(Flows!O47*O$3*O$4),1))</f>
        <v>3.09814236662643</v>
      </c>
      <c r="P77" s="10" t="n">
        <f aca="false">IF(Flows!P47*P$3*P$4&lt;0.002,100,MAX($CM$2/(Flows!P47*P$3*P$4),1))</f>
        <v>5.80901693742456</v>
      </c>
      <c r="Q77" s="10" t="n">
        <f aca="false">IF(Flows!Q47*Q$3*Q$4&lt;0.002,100,MAX($CM$2/(Flows!Q47*Q$3*Q$4),1))</f>
        <v>1536.08697389786</v>
      </c>
      <c r="R77" s="10" t="n">
        <f aca="false">IF(Flows!R47*R$3*R$4&lt;0.002,100,MAX($CM$2/(Flows!R47*R$3*R$4),1))</f>
        <v>24.0558085545487</v>
      </c>
      <c r="S77" s="10" t="n">
        <f aca="false">IF(Flows!S47*S$3*S$4&lt;0.002,100,MAX($CM$2/(Flows!S47*S$3*S$4),1))</f>
        <v>297.413323863262</v>
      </c>
      <c r="T77" s="10" t="n">
        <f aca="false">IF(Flows!T47*T$3*T$4&lt;0.002,100,MAX($CM$2/(Flows!T47*T$3*T$4),1))</f>
        <v>532.136584363189</v>
      </c>
      <c r="U77" s="10" t="n">
        <f aca="false">IF(Flows!U47*U$3*U$4&lt;0.002,100,MAX($CM$2/(Flows!U47*U$3*U$4),1))</f>
        <v>96.7545096185201</v>
      </c>
      <c r="V77" s="10" t="n">
        <f aca="false">IF(Flows!V47*V$3*V$4&lt;0.002,100,MAX($CM$2/(Flows!V47*V$3*V$4),1))</f>
        <v>1573.53697644656</v>
      </c>
      <c r="W77" s="10" t="n">
        <f aca="false">IF(Flows!W47*W$3*W$4&lt;0.002,100,MAX($CM$2/(Flows!W47*W$3*W$4),1))</f>
        <v>8.61116607253918</v>
      </c>
      <c r="X77" s="10" t="n">
        <f aca="false">IF(Flows!X47*X$3*X$4&lt;0.002,100,MAX($CM$2/(Flows!X47*X$3*X$4),1))</f>
        <v>5.27555619236065</v>
      </c>
      <c r="Y77" s="10" t="n">
        <f aca="false">IF(Flows!Y47*Y$3*Y$4&lt;0.002,100,MAX($CM$2/(Flows!Y47*Y$3*Y$4),1))</f>
        <v>173.491105586903</v>
      </c>
      <c r="Z77" s="10" t="n">
        <f aca="false">IF(Flows!Z47*Z$3*Z$4&lt;0.002,100,MAX($CM$2/(Flows!Z47*Z$3*Z$4),1))</f>
        <v>7675.53604031271</v>
      </c>
      <c r="AA77" s="10" t="n">
        <f aca="false">IF(Flows!AA47*AA$3*AA$4&lt;0.002,100,MAX($CM$2/(Flows!AA47*AA$3*AA$4),1))</f>
        <v>10613.435832512</v>
      </c>
      <c r="AB77" s="10" t="n">
        <f aca="false">IF(Flows!AB47*AB$3*AB$4&lt;0.002,100,MAX($CM$2/(Flows!AB47*AB$3*AB$4),1))</f>
        <v>12612.092895332</v>
      </c>
      <c r="AC77" s="10" t="n">
        <f aca="false">IF(Flows!AC47*AC$3*AC$4&lt;0.002,100,MAX($CM$2/(Flows!AC47*AC$3*AC$4),1))</f>
        <v>50276.5551830217</v>
      </c>
      <c r="AD77" s="10" t="n">
        <f aca="false">IF(Flows!AD47*AD$3*AD$4&lt;0.002,100,MAX($CM$2/(Flows!AD47*AD$3*AD$4),1))</f>
        <v>79446.3881638727</v>
      </c>
      <c r="AE77" s="10" t="n">
        <f aca="false">IF(Flows!AE47*AE$3*AE$4&lt;0.002,100,MAX($CM$2/(Flows!AE47*AE$3*AE$4),1))</f>
        <v>138259.191430807</v>
      </c>
      <c r="AF77" s="10" t="n">
        <f aca="false">IF(Flows!AF47*AF$3*AF$4&lt;0.002,100,MAX($CM$2/(Flows!AF47*AF$3*AF$4),1))</f>
        <v>431.111281580358</v>
      </c>
      <c r="AG77" s="10" t="n">
        <f aca="false">IF(Flows!AG47*AG$3*AG$4&lt;0.002,100,MAX($CM$2/(Flows!AG47*AG$3*AG$4),1))</f>
        <v>1144.56183056074</v>
      </c>
      <c r="AH77" s="10" t="n">
        <f aca="false">IF(Flows!AH47*AH$3*AH$4&lt;0.002,100,MAX($CM$2/(Flows!AH47*AH$3*AH$4),1))</f>
        <v>269.134453136472</v>
      </c>
      <c r="AI77" s="10" t="n">
        <f aca="false">IF(Flows!AI47*AI$3*AI$4&lt;0.002,100,MAX($CM$2/(Flows!AI47*AI$3*AI$4),1))</f>
        <v>1626.27362603757</v>
      </c>
      <c r="AJ77" s="10" t="n">
        <f aca="false">IF(Flows!AJ47*AJ$3*AJ$4&lt;0.002,100,MAX($CM$2/(Flows!AJ47*AJ$3*AJ$4),1))</f>
        <v>1869.16163046048</v>
      </c>
      <c r="AK77" s="10" t="n">
        <f aca="false">IF(Flows!AK47*AK$3*AK$4&lt;0.002,100,MAX($CM$2/(Flows!AK47*AK$3*AK$4),1))</f>
        <v>268.971598868244</v>
      </c>
      <c r="AL77" s="10" t="n">
        <f aca="false">IF(Flows!AL47*AL$3*AL$4&lt;0.002,100,MAX($CM$2/(Flows!AL47*AL$3*AL$4),1))</f>
        <v>615.605737850685</v>
      </c>
      <c r="AM77" s="10" t="n">
        <f aca="false">IF(Flows!AM47*AM$3*AM$4&lt;0.002,100,MAX($CM$2/(Flows!AM47*AM$3*AM$4),1))</f>
        <v>11114.8177193816</v>
      </c>
      <c r="AN77" s="10" t="n">
        <f aca="false">IF(Flows!AN47*AN$3*AN$4&lt;0.002,100,MAX($CM$2/(Flows!AN47*AN$3*AN$4),1))</f>
        <v>1516.22277571744</v>
      </c>
      <c r="AO77" s="10" t="n">
        <f aca="false">IF(Flows!AO47*AO$3*AO$4&lt;0.002,100,MAX($CM$2/(Flows!AO47*AO$3*AO$4),1))</f>
        <v>10017.5493211944</v>
      </c>
      <c r="AP77" s="10" t="n">
        <f aca="false">IF(Flows!AP47*AP$3*AP$4&lt;0.002,100,MAX($CM$2/(Flows!AP47*AP$3*AP$4),1))</f>
        <v>105587.611505791</v>
      </c>
      <c r="AQ77" s="10" t="n">
        <f aca="false">IF(Flows!AQ47*AQ$3*AQ$4&lt;0.002,100,MAX($CM$2/(Flows!AQ47*AQ$3*AQ$4),1))</f>
        <v>12320.2229599823</v>
      </c>
      <c r="AR77" s="10" t="n">
        <f aca="false">IF(Flows!AR47*AR$3*AR$4&lt;0.002,100,MAX($CM$2/(Flows!AR47*AR$3*AR$4),1))</f>
        <v>37920.3917515875</v>
      </c>
      <c r="AS77" s="10" t="n">
        <f aca="false">IF(Flows!AS47*AS$3*AS$4&lt;0.002,100,MAX($CM$2/(Flows!AS47*AS$3*AS$4),1))</f>
        <v>4399.20115908968</v>
      </c>
      <c r="AT77" s="10" t="n">
        <f aca="false">IF(Flows!AT47*AT$3*AT$4&lt;0.002,100,MAX($CM$2/(Flows!AT47*AT$3*AT$4),1))</f>
        <v>339.762431564953</v>
      </c>
      <c r="AU77" s="10" t="n">
        <f aca="false">IF(Flows!AU47*AU$3*AU$4&lt;0.002,100,MAX($CM$2/(Flows!AU47*AU$3*AU$4),1))</f>
        <v>1878.27828842606</v>
      </c>
      <c r="AV77" s="10" t="n">
        <f aca="false">IF(Flows!AV47*AV$3*AV$4&lt;0.002,100,MAX($CM$2/(Flows!AV47*AV$3*AV$4),1))</f>
        <v>12033.5499065064</v>
      </c>
      <c r="AW77" s="10" t="n">
        <f aca="false">IF(Flows!AW47*AW$3*AW$4&lt;0.002,100,MAX($CM$2/(Flows!AW47*AW$3*AW$4),1))</f>
        <v>16.167478841998</v>
      </c>
      <c r="AX77" s="10" t="n">
        <f aca="false">IF(Flows!AX47*AX$3*AX$4&lt;0.002,100,MAX($CM$2/(Flows!AX47*AX$3*AX$4),1))</f>
        <v>2948.41633790816</v>
      </c>
      <c r="AY77" s="10" t="n">
        <f aca="false">IF(Flows!AY47*AY$3*AY$4&lt;0.002,100,MAX($CM$2/(Flows!AY47*AY$3*AY$4),1))</f>
        <v>453.937319802303</v>
      </c>
      <c r="AZ77" s="10" t="n">
        <f aca="false">IF(Flows!AZ47*AZ$3*AZ$4&lt;0.002,100,MAX($CM$2/(Flows!AZ47*AZ$3*AZ$4),1))</f>
        <v>157.368396646132</v>
      </c>
      <c r="BA77" s="10" t="n">
        <f aca="false">IF(Flows!BA47*BA$3*BA$4&lt;0.002,100,MAX($CM$2/(Flows!BA47*BA$3*BA$4),1))</f>
        <v>1769.60927698641</v>
      </c>
      <c r="BB77" s="10" t="n">
        <f aca="false">IF(Flows!BB47*BB$3*BB$4&lt;0.002,100,MAX($CM$2/(Flows!BB47*BB$3*BB$4),1))</f>
        <v>9199.71621789141</v>
      </c>
      <c r="BC77" s="10" t="n">
        <f aca="false">IF(Flows!BC47*BC$3*BC$4&lt;0.002,100,MAX($CM$2/(Flows!BC47*BC$3*BC$4),1))</f>
        <v>878.656452598329</v>
      </c>
      <c r="BD77" s="10" t="n">
        <f aca="false">IF(Flows!BD47*BD$3*BD$4&lt;0.002,100,MAX($CM$2/(Flows!BD47*BD$3*BD$4),1))</f>
        <v>4578.27465201329</v>
      </c>
      <c r="BE77" s="10" t="n">
        <f aca="false">IF(Flows!BE47*BE$3*BE$4&lt;0.002,100,MAX($CM$2/(Flows!BE47*BE$3*BE$4),1))</f>
        <v>14586.912575045</v>
      </c>
      <c r="BF77" s="10" t="n">
        <f aca="false">IF(Flows!BF47*BF$3*BF$4&lt;0.002,100,MAX($CM$2/(Flows!BF47*BF$3*BF$4),1))</f>
        <v>4095.18527239099</v>
      </c>
      <c r="BG77" s="10" t="n">
        <f aca="false">IF(Flows!BG47*BG$3*BG$4&lt;0.002,100,MAX($CM$2/(Flows!BG47*BG$3*BG$4),1))</f>
        <v>225.722868451389</v>
      </c>
      <c r="BH77" s="10" t="n">
        <f aca="false">IF(Flows!BH47*BH$3*BH$4&lt;0.002,100,MAX($CM$2/(Flows!BH47*BH$3*BH$4),1))</f>
        <v>112.861434225695</v>
      </c>
      <c r="BI77" s="10" t="n">
        <f aca="false">IF(Flows!BI47*BI$3*BI$4&lt;0.002,100,MAX($CM$2/(Flows!BI47*BI$3*BI$4),1))</f>
        <v>84.6460756692709</v>
      </c>
      <c r="BJ77" s="10" t="n">
        <f aca="false">IF(Flows!BJ47*BJ$3*BJ$4&lt;0.002,100,MAX($CM$2/(Flows!BJ47*BJ$3*BJ$4),1))</f>
        <v>83.7726451873437</v>
      </c>
      <c r="BK77" s="10" t="n">
        <f aca="false">IF(Flows!BK47*BK$3*BK$4&lt;0.002,100,MAX($CM$2/(Flows!BK47*BK$3*BK$4),1))</f>
        <v>169.292151338542</v>
      </c>
      <c r="BL77" s="10" t="n">
        <f aca="false">IF(Flows!BL47*BL$3*BL$4&lt;0.002,100,MAX($CM$2/(Flows!BL47*BL$3*BL$4),1))</f>
        <v>185.588455803904</v>
      </c>
      <c r="BM77" s="10" t="n">
        <f aca="false">IF(Flows!BM47*BM$3*BM$4&lt;0.002,100,MAX($CM$2/(Flows!BM47*BM$3*BM$4),1))</f>
        <v>29.3602545051914</v>
      </c>
      <c r="BN77" s="10" t="n">
        <f aca="false">IF(Flows!BN47*BN$3*BN$4&lt;0.002,100,MAX($CM$2/(Flows!BN47*BN$3*BN$4),1))</f>
        <v>412578.830979467</v>
      </c>
      <c r="BO77" s="10" t="n">
        <f aca="false">IF(Flows!BO47*BO$3*BO$4&lt;0.002,100,MAX($CM$2/(Flows!BO47*BO$3*BO$4),1))</f>
        <v>19.0065988363537</v>
      </c>
      <c r="BP77" s="10" t="n">
        <f aca="false">IF(Flows!BP47*BP$3*BP$4&lt;0.002,100,MAX($CM$2/(Flows!BP47*BP$3*BP$4),1))</f>
        <v>42.6806419780826</v>
      </c>
      <c r="BQ77" s="10" t="n">
        <f aca="false">IF(Flows!BQ47*BQ$3*BQ$4&lt;0.002,100,MAX($CM$2/(Flows!BQ47*BQ$3*BQ$4),1))</f>
        <v>100</v>
      </c>
      <c r="BR77" s="10" t="n">
        <f aca="false">IF(Flows!BR47*BR$3*BR$4&lt;0.002,100,MAX($CM$2/(Flows!BR47*BR$3*BR$4),1))</f>
        <v>570.197731321615</v>
      </c>
      <c r="BS77" s="10" t="n">
        <f aca="false">IF(Flows!BS47*BS$3*BS$4&lt;0.002,100,MAX($CM$2/(Flows!BS47*BS$3*BS$4),1))</f>
        <v>5701.97731321615</v>
      </c>
      <c r="BT77" s="10" t="n">
        <f aca="false">IF(Flows!BT47*BT$3*BT$4&lt;0.002,100,MAX($CM$2/(Flows!BT47*BT$3*BT$4),1))</f>
        <v>3.03293399193856</v>
      </c>
      <c r="BU77" s="10" t="n">
        <f aca="false">IF(Flows!BU47*BU$3*BU$4&lt;0.002,100,MAX($CM$2/(Flows!BU47*BU$3*BU$4),1))</f>
        <v>30.3293399193855</v>
      </c>
      <c r="BV77" s="10" t="n">
        <f aca="false">IF(Flows!BV47*BV$3*BV$4&lt;0.002,100,MAX($CM$2/(Flows!BV47*BV$3*BV$4),1))</f>
        <v>303.293399193856</v>
      </c>
      <c r="BW77" s="10" t="n">
        <f aca="false">IF(Flows!BW47*BW$3*BW$4&lt;0.002,100,MAX($CM$2/(Flows!BW47*BW$3*BW$4),1))</f>
        <v>22.6730559828404</v>
      </c>
      <c r="BX77" s="10" t="n">
        <f aca="false">IF(Flows!BX47*BX$3*BX$4&lt;0.002,100,MAX($CM$2/(Flows!BX47*BX$3*BX$4),1))</f>
        <v>1248.35153001475</v>
      </c>
      <c r="BY77" s="10" t="n">
        <f aca="false">IF(Flows!BY47*BY$3*BY$4&lt;0.002,100,MAX($CM$2/(Flows!BY47*BY$3*BY$4),1))</f>
        <v>20.8862615485005</v>
      </c>
      <c r="BZ77" s="10" t="n">
        <f aca="false">IF(Flows!BZ47*BZ$3*BZ$4&lt;0.002,100,MAX($CM$2/(Flows!BZ47*BZ$3*BZ$4),1))</f>
        <v>65195.3668460917</v>
      </c>
      <c r="CA77" s="10" t="n">
        <f aca="false">IF(Flows!CA47*CA$3*CA$4&lt;0.002,100,MAX($CM$2/(Flows!CA47*CA$3*CA$4),1))</f>
        <v>18742.6569760106</v>
      </c>
      <c r="CB77" s="10" t="n">
        <f aca="false">IF(Flows!CB47*CB$3*CB$4&lt;0.002,100,MAX($CM$2/(Flows!CB47*CB$3*CB$4),1))</f>
        <v>26.2295389544119</v>
      </c>
      <c r="CC77" s="10" t="n">
        <f aca="false">IF(Flows!CC47*CC$3*CC$4&lt;0.002,100,MAX($CM$2/(Flows!CC47*CC$3*CC$4),1))</f>
        <v>10.492965690373</v>
      </c>
      <c r="CD77" s="10" t="n">
        <f aca="false">IF(Flows!CD47*CD$3*CD$4&lt;0.002,100,MAX($CM$2/(Flows!CD47*CD$3*CD$4),1))</f>
        <v>59.1382999115794</v>
      </c>
      <c r="CE77" s="10" t="n">
        <f aca="false">IF(Flows!CE47*CE$3*CE$4&lt;0.002,100,MAX($CM$2/(Flows!CE47*CE$3*CE$4),1))</f>
        <v>17.352696488827</v>
      </c>
      <c r="CF77" s="10" t="n">
        <f aca="false">IF(Flows!CF47*CF$3*CF$4&lt;0.002,100,MAX($CM$2/(Flows!CF47*CF$3*CF$4),1))</f>
        <v>1</v>
      </c>
      <c r="CG77" s="10" t="n">
        <f aca="false">IF(Flows!CG47*CG$3*CG$4&lt;0.002,100,MAX($CM$2/(Flows!CG47*CG$3*CG$4),1))</f>
        <v>59.412821038556</v>
      </c>
      <c r="CH77" s="10" t="n">
        <f aca="false">IF(Flows!CH47*CH$3*CH$4&lt;0.002,100,MAX($CM$2/(Flows!CH47*CH$3*CH$4),1))</f>
        <v>159.101156565248</v>
      </c>
      <c r="CI77" s="10" t="n">
        <f aca="false">IF(Flows!CI47*CI$3*CI$4&lt;0.002,100,MAX($CM$2/(Flows!CI47*CI$3*CI$4),1))</f>
        <v>1076.84373593201</v>
      </c>
      <c r="CJ77" s="10" t="n">
        <f aca="false">IF(Flows!CJ47*CJ$3*CJ$4&lt;0.002,100,MAX($CM$2/(Flows!CJ47*CJ$3*CJ$4),1))</f>
        <v>1370.68260115302</v>
      </c>
      <c r="CK77" s="10" t="n">
        <f aca="false">IF(Flows!CK47*CK$3*CK$4&lt;0.002,100,MAX($CM$2/(Flows!CK47*CK$3*CK$4),1))</f>
        <v>1108.31910308115</v>
      </c>
      <c r="CL77" s="7" t="s">
        <v>322</v>
      </c>
    </row>
    <row r="78" customFormat="false" ht="12.8" hidden="false" customHeight="false" outlineLevel="0" collapsed="false">
      <c r="A78" s="7" t="s">
        <v>155</v>
      </c>
      <c r="B78" s="7" t="s">
        <v>39</v>
      </c>
      <c r="C78" s="10" t="n">
        <f aca="false">IF(Flows!C48*C$3*C$4&lt;0.002,100,MAX($CM$2/(Flows!C48*C$3*C$4),1))</f>
        <v>56372.5182308469</v>
      </c>
      <c r="D78" s="10" t="n">
        <f aca="false">IF(Flows!D48*D$3*D$4&lt;0.002,100,MAX($CM$2/(Flows!D48*D$3*D$4),1))</f>
        <v>12.6423177079445</v>
      </c>
      <c r="E78" s="10" t="n">
        <f aca="false">IF(Flows!E48*E$3*E$4&lt;0.002,100,MAX($CM$2/(Flows!E48*E$3*E$4),1))</f>
        <v>120.722917780458</v>
      </c>
      <c r="F78" s="10" t="n">
        <f aca="false">IF(Flows!F48*F$3*F$4&lt;0.002,100,MAX($CM$2/(Flows!F48*F$3*F$4),1))</f>
        <v>648.595067562106</v>
      </c>
      <c r="G78" s="10" t="n">
        <f aca="false">IF(Flows!G48*G$3*G$4&lt;0.002,100,MAX($CM$2/(Flows!G48*G$3*G$4),1))</f>
        <v>1014.08468835744</v>
      </c>
      <c r="H78" s="10" t="n">
        <f aca="false">IF(Flows!H48*H$3*H$4&lt;0.002,100,MAX($CM$2/(Flows!H48*H$3*H$4),1))</f>
        <v>100</v>
      </c>
      <c r="I78" s="10" t="n">
        <f aca="false">IF(Flows!I48*I$3*I$4&lt;0.002,100,MAX($CM$2/(Flows!I48*I$3*I$4),1))</f>
        <v>6421.4400051382</v>
      </c>
      <c r="J78" s="10" t="n">
        <f aca="false">IF(Flows!J48*J$3*J$4&lt;0.002,100,MAX($CM$2/(Flows!J48*J$3*J$4),1))</f>
        <v>50997.1749027547</v>
      </c>
      <c r="K78" s="10" t="n">
        <f aca="false">IF(Flows!K48*K$3*K$4&lt;0.002,100,MAX($CM$2/(Flows!K48*K$3*K$4),1))</f>
        <v>40746.4992214874</v>
      </c>
      <c r="L78" s="10" t="n">
        <f aca="false">IF(Flows!L48*L$3*L$4&lt;0.002,100,MAX($CM$2/(Flows!L48*L$3*L$4),1))</f>
        <v>144695.043518582</v>
      </c>
      <c r="M78" s="10" t="n">
        <f aca="false">IF(Flows!M48*M$3*M$4&lt;0.002,100,MAX($CM$2/(Flows!M48*M$3*M$4),1))</f>
        <v>98681.6984937108</v>
      </c>
      <c r="N78" s="10" t="n">
        <f aca="false">IF(Flows!N48*N$3*N$4&lt;0.002,100,MAX($CM$2/(Flows!N48*N$3*N$4),1))</f>
        <v>110.790651312345</v>
      </c>
      <c r="O78" s="10" t="n">
        <f aca="false">IF(Flows!O48*O$3*O$4&lt;0.002,100,MAX($CM$2/(Flows!O48*O$3*O$4),1))</f>
        <v>18.9634765619168</v>
      </c>
      <c r="P78" s="10" t="n">
        <f aca="false">IF(Flows!P48*P$3*P$4&lt;0.002,100,MAX($CM$2/(Flows!P48*P$3*P$4),1))</f>
        <v>35.5565185535939</v>
      </c>
      <c r="Q78" s="10" t="n">
        <f aca="false">IF(Flows!Q48*Q$3*Q$4&lt;0.002,100,MAX($CM$2/(Flows!Q48*Q$3*Q$4),1))</f>
        <v>5205.33815439874</v>
      </c>
      <c r="R78" s="10" t="n">
        <f aca="false">IF(Flows!R48*R$3*R$4&lt;0.002,100,MAX($CM$2/(Flows!R48*R$3*R$4),1))</f>
        <v>32.3483797553382</v>
      </c>
      <c r="S78" s="10" t="n">
        <f aca="false">IF(Flows!S48*S$3*S$4&lt;0.002,100,MAX($CM$2/(Flows!S48*S$3*S$4),1))</f>
        <v>1240.24323015927</v>
      </c>
      <c r="T78" s="10" t="n">
        <f aca="false">IF(Flows!T48*T$3*T$4&lt;0.002,100,MAX($CM$2/(Flows!T48*T$3*T$4),1))</f>
        <v>2219.06264219674</v>
      </c>
      <c r="U78" s="10" t="n">
        <f aca="false">IF(Flows!U48*U$3*U$4&lt;0.002,100,MAX($CM$2/(Flows!U48*U$3*U$4),1))</f>
        <v>411.173743723795</v>
      </c>
      <c r="V78" s="10" t="n">
        <f aca="false">IF(Flows!V48*V$3*V$4&lt;0.002,100,MAX($CM$2/(Flows!V48*V$3*V$4),1))</f>
        <v>300.433138175052</v>
      </c>
      <c r="W78" s="10" t="n">
        <f aca="false">IF(Flows!W48*W$3*W$4&lt;0.002,100,MAX($CM$2/(Flows!W48*W$3*W$4),1))</f>
        <v>8.94397183871135</v>
      </c>
      <c r="X78" s="10" t="n">
        <f aca="false">IF(Flows!X48*X$3*X$4&lt;0.002,100,MAX($CM$2/(Flows!X48*X$3*X$4),1))</f>
        <v>1.72361558500484</v>
      </c>
      <c r="Y78" s="10" t="n">
        <f aca="false">IF(Flows!Y48*Y$3*Y$4&lt;0.002,100,MAX($CM$2/(Flows!Y48*Y$3*Y$4),1))</f>
        <v>723.47521759291</v>
      </c>
      <c r="Z78" s="10" t="n">
        <f aca="false">IF(Flows!Z48*Z$3*Z$4&lt;0.002,100,MAX($CM$2/(Flows!Z48*Z$3*Z$4),1))</f>
        <v>484645.598306442</v>
      </c>
      <c r="AA78" s="10" t="n">
        <f aca="false">IF(Flows!AA48*AA$3*AA$4&lt;0.002,100,MAX($CM$2/(Flows!AA48*AA$3*AA$4),1))</f>
        <v>292101.176652591</v>
      </c>
      <c r="AB78" s="10" t="n">
        <f aca="false">IF(Flows!AB48*AB$3*AB$4&lt;0.002,100,MAX($CM$2/(Flows!AB48*AB$3*AB$4),1))</f>
        <v>129374.870066191</v>
      </c>
      <c r="AC78" s="10" t="n">
        <f aca="false">IF(Flows!AC48*AC$3*AC$4&lt;0.002,100,MAX($CM$2/(Flows!AC48*AC$3*AC$4),1))</f>
        <v>2891947.60693587</v>
      </c>
      <c r="AD78" s="10" t="n">
        <f aca="false">IF(Flows!AD48*AD$3*AD$4&lt;0.002,100,MAX($CM$2/(Flows!AD48*AD$3*AD$4),1))</f>
        <v>814961.182987594</v>
      </c>
      <c r="AE78" s="10" t="n">
        <f aca="false">IF(Flows!AE48*AE$3*AE$4&lt;0.002,100,MAX($CM$2/(Flows!AE48*AE$3*AE$4),1))</f>
        <v>903658.498227686</v>
      </c>
      <c r="AF78" s="10" t="n">
        <f aca="false">IF(Flows!AF48*AF$3*AF$4&lt;0.002,100,MAX($CM$2/(Flows!AF48*AF$3*AF$4),1))</f>
        <v>1211.93540283852</v>
      </c>
      <c r="AG78" s="10" t="n">
        <f aca="false">IF(Flows!AG48*AG$3*AG$4&lt;0.002,100,MAX($CM$2/(Flows!AG48*AG$3*AG$4),1))</f>
        <v>1741.66571549838</v>
      </c>
      <c r="AH78" s="10" t="n">
        <f aca="false">IF(Flows!AH48*AH$3*AH$4&lt;0.002,100,MAX($CM$2/(Flows!AH48*AH$3*AH$4),1))</f>
        <v>3382.37004254373</v>
      </c>
      <c r="AI78" s="10" t="n">
        <f aca="false">IF(Flows!AI48*AI$3*AI$4&lt;0.002,100,MAX($CM$2/(Flows!AI48*AI$3*AI$4),1))</f>
        <v>4203.32146378248</v>
      </c>
      <c r="AJ78" s="10" t="n">
        <f aca="false">IF(Flows!AJ48*AJ$3*AJ$4&lt;0.002,100,MAX($CM$2/(Flows!AJ48*AJ$3*AJ$4),1))</f>
        <v>7919.39312581976</v>
      </c>
      <c r="AK78" s="10" t="n">
        <f aca="false">IF(Flows!AK48*AK$3*AK$4&lt;0.002,100,MAX($CM$2/(Flows!AK48*AK$3*AK$4),1))</f>
        <v>862.55839192444</v>
      </c>
      <c r="AL78" s="10" t="n">
        <f aca="false">IF(Flows!AL48*AL$3*AL$4&lt;0.002,100,MAX($CM$2/(Flows!AL48*AL$3*AL$4),1))</f>
        <v>1874.66533400968</v>
      </c>
      <c r="AM78" s="10" t="n">
        <f aca="false">IF(Flows!AM48*AM$3*AM$4&lt;0.002,100,MAX($CM$2/(Flows!AM48*AM$3*AM$4),1))</f>
        <v>2256.10509215407</v>
      </c>
      <c r="AN78" s="10" t="n">
        <f aca="false">IF(Flows!AN48*AN$3*AN$4&lt;0.002,100,MAX($CM$2/(Flows!AN48*AN$3*AN$4),1))</f>
        <v>5703.42172913001</v>
      </c>
      <c r="AO78" s="10" t="n">
        <f aca="false">IF(Flows!AO48*AO$3*AO$4&lt;0.002,100,MAX($CM$2/(Flows!AO48*AO$3*AO$4),1))</f>
        <v>78038.5080141686</v>
      </c>
      <c r="AP78" s="10" t="n">
        <f aca="false">IF(Flows!AP48*AP$3*AP$4&lt;0.002,100,MAX($CM$2/(Flows!AP48*AP$3*AP$4),1))</f>
        <v>243066.511091148</v>
      </c>
      <c r="AQ78" s="10" t="n">
        <f aca="false">IF(Flows!AQ48*AQ$3*AQ$4&lt;0.002,100,MAX($CM$2/(Flows!AQ48*AQ$3*AQ$4),1))</f>
        <v>22884.02196295</v>
      </c>
      <c r="AR78" s="10" t="n">
        <f aca="false">IF(Flows!AR48*AR$3*AR$4&lt;0.002,100,MAX($CM$2/(Flows!AR48*AR$3*AR$4),1))</f>
        <v>22757.9418698446</v>
      </c>
      <c r="AS78" s="10" t="n">
        <f aca="false">IF(Flows!AS48*AS$3*AS$4&lt;0.002,100,MAX($CM$2/(Flows!AS48*AS$3*AS$4),1))</f>
        <v>5516.63146017486</v>
      </c>
      <c r="AT78" s="10" t="n">
        <f aca="false">IF(Flows!AT48*AT$3*AT$4&lt;0.002,100,MAX($CM$2/(Flows!AT48*AT$3*AT$4),1))</f>
        <v>3171.10305910454</v>
      </c>
      <c r="AU78" s="10" t="n">
        <f aca="false">IF(Flows!AU48*AU$3*AU$4&lt;0.002,100,MAX($CM$2/(Flows!AU48*AU$3*AU$4),1))</f>
        <v>2295.26743014177</v>
      </c>
      <c r="AV78" s="10" t="n">
        <f aca="false">IF(Flows!AV48*AV$3*AV$4&lt;0.002,100,MAX($CM$2/(Flows!AV48*AV$3*AV$4),1))</f>
        <v>16897.2270543603</v>
      </c>
      <c r="AW78" s="10" t="n">
        <f aca="false">IF(Flows!AW48*AW$3*AW$4&lt;0.002,100,MAX($CM$2/(Flows!AW48*AW$3*AW$4),1))</f>
        <v>752.678018854307</v>
      </c>
      <c r="AX78" s="10" t="n">
        <f aca="false">IF(Flows!AX48*AX$3*AX$4&lt;0.002,100,MAX($CM$2/(Flows!AX48*AX$3*AX$4),1))</f>
        <v>5107.54452204658</v>
      </c>
      <c r="AY78" s="10" t="n">
        <f aca="false">IF(Flows!AY48*AY$3*AY$4&lt;0.002,100,MAX($CM$2/(Flows!AY48*AY$3*AY$4),1))</f>
        <v>17818.5374705534</v>
      </c>
      <c r="AZ78" s="10" t="n">
        <f aca="false">IF(Flows!AZ48*AZ$3*AZ$4&lt;0.002,100,MAX($CM$2/(Flows!AZ48*AZ$3*AZ$4),1))</f>
        <v>3379.4862809553</v>
      </c>
      <c r="BA78" s="10" t="n">
        <f aca="false">IF(Flows!BA48*BA$3*BA$4&lt;0.002,100,MAX($CM$2/(Flows!BA48*BA$3*BA$4),1))</f>
        <v>7379.44721944768</v>
      </c>
      <c r="BB78" s="10" t="n">
        <f aca="false">IF(Flows!BB48*BB$3*BB$4&lt;0.002,100,MAX($CM$2/(Flows!BB48*BB$3*BB$4),1))</f>
        <v>7982.66320782985</v>
      </c>
      <c r="BC78" s="10" t="n">
        <f aca="false">IF(Flows!BC48*BC$3*BC$4&lt;0.002,100,MAX($CM$2/(Flows!BC48*BC$3*BC$4),1))</f>
        <v>2322.84031864694</v>
      </c>
      <c r="BD78" s="10" t="n">
        <f aca="false">IF(Flows!BD48*BD$3*BD$4&lt;0.002,100,MAX($CM$2/(Flows!BD48*BD$3*BD$4),1))</f>
        <v>10546.8556335715</v>
      </c>
      <c r="BE78" s="10" t="n">
        <f aca="false">IF(Flows!BE48*BE$3*BE$4&lt;0.002,100,MAX($CM$2/(Flows!BE48*BE$3*BE$4),1))</f>
        <v>35259.0194369005</v>
      </c>
      <c r="BF78" s="10" t="n">
        <f aca="false">IF(Flows!BF48*BF$3*BF$4&lt;0.002,100,MAX($CM$2/(Flows!BF48*BF$3*BF$4),1))</f>
        <v>1145.51708037899</v>
      </c>
      <c r="BG78" s="10" t="n">
        <f aca="false">IF(Flows!BG48*BG$3*BG$4&lt;0.002,100,MAX($CM$2/(Flows!BG48*BG$3*BG$4),1))</f>
        <v>1654.78115593971</v>
      </c>
      <c r="BH78" s="10" t="n">
        <f aca="false">IF(Flows!BH48*BH$3*BH$4&lt;0.002,100,MAX($CM$2/(Flows!BH48*BH$3*BH$4),1))</f>
        <v>624009.166904312</v>
      </c>
      <c r="BI78" s="10" t="n">
        <f aca="false">IF(Flows!BI48*BI$3*BI$4&lt;0.002,100,MAX($CM$2/(Flows!BI48*BI$3*BI$4),1))</f>
        <v>620.542933477393</v>
      </c>
      <c r="BJ78" s="10" t="n">
        <f aca="false">IF(Flows!BJ48*BJ$3*BJ$4&lt;0.002,100,MAX($CM$2/(Flows!BJ48*BJ$3*BJ$4),1))</f>
        <v>11.061754363568</v>
      </c>
      <c r="BK78" s="10" t="n">
        <f aca="false">IF(Flows!BK48*BK$3*BK$4&lt;0.002,100,MAX($CM$2/(Flows!BK48*BK$3*BK$4),1))</f>
        <v>1241.08586695479</v>
      </c>
      <c r="BL78" s="10" t="n">
        <f aca="false">IF(Flows!BL48*BL$3*BL$4&lt;0.002,100,MAX($CM$2/(Flows!BL48*BL$3*BL$4),1))</f>
        <v>358.154211053888</v>
      </c>
      <c r="BM78" s="10" t="n">
        <f aca="false">IF(Flows!BM48*BM$3*BM$4&lt;0.002,100,MAX($CM$2/(Flows!BM48*BM$3*BM$4),1))</f>
        <v>228.745733990904</v>
      </c>
      <c r="BN78" s="10" t="n">
        <f aca="false">IF(Flows!BN48*BN$3*BN$4&lt;0.002,100,MAX($CM$2/(Flows!BN48*BN$3*BN$4),1))</f>
        <v>9.73831302925294</v>
      </c>
      <c r="BO78" s="10" t="n">
        <f aca="false">IF(Flows!BO48*BO$3*BO$4&lt;0.002,100,MAX($CM$2/(Flows!BO48*BO$3*BO$4),1))</f>
        <v>1814.52730382589</v>
      </c>
      <c r="BP78" s="10" t="n">
        <f aca="false">IF(Flows!BP48*BP$3*BP$4&lt;0.002,100,MAX($CM$2/(Flows!BP48*BP$3*BP$4),1))</f>
        <v>1928.70700310619</v>
      </c>
      <c r="BQ78" s="10" t="n">
        <f aca="false">IF(Flows!BQ48*BQ$3*BQ$4&lt;0.002,100,MAX($CM$2/(Flows!BQ48*BQ$3*BQ$4),1))</f>
        <v>100</v>
      </c>
      <c r="BR78" s="10" t="n">
        <f aca="false">IF(Flows!BR48*BR$3*BR$4&lt;0.002,100,MAX($CM$2/(Flows!BR48*BR$3*BR$4),1))</f>
        <v>54435.8025878325</v>
      </c>
      <c r="BS78" s="10" t="n">
        <f aca="false">IF(Flows!BS48*BS$3*BS$4&lt;0.002,100,MAX($CM$2/(Flows!BS48*BS$3*BS$4),1))</f>
        <v>544358.025878325</v>
      </c>
      <c r="BT78" s="10" t="n">
        <f aca="false">IF(Flows!BT48*BT$3*BT$4&lt;0.002,100,MAX($CM$2/(Flows!BT48*BT$3*BT$4),1))</f>
        <v>138.539783456822</v>
      </c>
      <c r="BU78" s="10" t="n">
        <f aca="false">IF(Flows!BU48*BU$3*BU$4&lt;0.002,100,MAX($CM$2/(Flows!BU48*BU$3*BU$4),1))</f>
        <v>1385.39783456822</v>
      </c>
      <c r="BV78" s="10" t="n">
        <f aca="false">IF(Flows!BV48*BV$3*BV$4&lt;0.002,100,MAX($CM$2/(Flows!BV48*BV$3*BV$4),1))</f>
        <v>13853.9783456822</v>
      </c>
      <c r="BW78" s="10" t="n">
        <f aca="false">IF(Flows!BW48*BW$3*BW$4&lt;0.002,100,MAX($CM$2/(Flows!BW48*BW$3*BW$4),1))</f>
        <v>232.580246286414</v>
      </c>
      <c r="BX78" s="10" t="n">
        <f aca="false">IF(Flows!BX48*BX$3*BX$4&lt;0.002,100,MAX($CM$2/(Flows!BX48*BX$3*BX$4),1))</f>
        <v>66.5216008535586</v>
      </c>
      <c r="BY78" s="10" t="n">
        <f aca="false">IF(Flows!BY48*BY$3*BY$4&lt;0.002,100,MAX($CM$2/(Flows!BY48*BY$3*BY$4),1))</f>
        <v>59.488376590157</v>
      </c>
      <c r="BZ78" s="10" t="n">
        <f aca="false">IF(Flows!BZ48*BZ$3*BZ$4&lt;0.002,100,MAX($CM$2/(Flows!BZ48*BZ$3*BZ$4),1))</f>
        <v>341431.90840609</v>
      </c>
      <c r="CA78" s="10" t="n">
        <f aca="false">IF(Flows!CA48*CA$3*CA$4&lt;0.002,100,MAX($CM$2/(Flows!CA48*CA$3*CA$4),1))</f>
        <v>110178.041173817</v>
      </c>
      <c r="CB78" s="10" t="n">
        <f aca="false">IF(Flows!CB48*CB$3*CB$4&lt;0.002,100,MAX($CM$2/(Flows!CB48*CB$3*CB$4),1))</f>
        <v>169.446841166292</v>
      </c>
      <c r="CC78" s="10" t="n">
        <f aca="false">IF(Flows!CC48*CC$3*CC$4&lt;0.002,100,MAX($CM$2/(Flows!CC48*CC$3*CC$4),1))</f>
        <v>25.2885643663402</v>
      </c>
      <c r="CD78" s="10" t="n">
        <f aca="false">IF(Flows!CD48*CD$3*CD$4&lt;0.002,100,MAX($CM$2/(Flows!CD48*CD$3*CD$4),1))</f>
        <v>566.696365323602</v>
      </c>
      <c r="CE78" s="10" t="n">
        <f aca="false">IF(Flows!CE48*CE$3*CE$4&lt;0.002,100,MAX($CM$2/(Flows!CE48*CE$3*CE$4),1))</f>
        <v>554.545503124606</v>
      </c>
      <c r="CF78" s="10" t="n">
        <f aca="false">IF(Flows!CF48*CF$3*CF$4&lt;0.002,100,MAX($CM$2/(Flows!CF48*CF$3*CF$4),1))</f>
        <v>1</v>
      </c>
      <c r="CG78" s="10" t="n">
        <f aca="false">IF(Flows!CG48*CG$3*CG$4&lt;0.002,100,MAX($CM$2/(Flows!CG48*CG$3*CG$4),1))</f>
        <v>598.926071379173</v>
      </c>
      <c r="CH78" s="10" t="n">
        <f aca="false">IF(Flows!CH48*CH$3*CH$4&lt;0.002,100,MAX($CM$2/(Flows!CH48*CH$3*CH$4),1))</f>
        <v>33.7084149829798</v>
      </c>
      <c r="CI78" s="10" t="n">
        <f aca="false">IF(Flows!CI48*CI$3*CI$4&lt;0.002,100,MAX($CM$2/(Flows!CI48*CI$3*CI$4),1))</f>
        <v>639.222171736718</v>
      </c>
      <c r="CJ78" s="10" t="n">
        <f aca="false">IF(Flows!CJ48*CJ$3*CJ$4&lt;0.002,100,MAX($CM$2/(Flows!CJ48*CJ$3*CJ$4),1))</f>
        <v>22556.0878224662</v>
      </c>
      <c r="CK78" s="10" t="n">
        <f aca="false">IF(Flows!CK48*CK$3*CK$4&lt;0.002,100,MAX($CM$2/(Flows!CK48*CK$3*CK$4),1))</f>
        <v>2164.71605654926</v>
      </c>
      <c r="CL78" s="7" t="s">
        <v>322</v>
      </c>
    </row>
    <row r="79" customFormat="false" ht="12.8" hidden="false" customHeight="false" outlineLevel="0" collapsed="false">
      <c r="A79" s="7" t="s">
        <v>156</v>
      </c>
      <c r="B79" s="7" t="s">
        <v>39</v>
      </c>
      <c r="C79" s="10" t="n">
        <f aca="false">IF(Flows!C49*C$3*C$4&lt;0.002,100,MAX($CM$2/(Flows!C49*C$3*C$4),1))</f>
        <v>5915.30653275552</v>
      </c>
      <c r="D79" s="10" t="n">
        <f aca="false">IF(Flows!D49*D$3*D$4&lt;0.002,100,MAX($CM$2/(Flows!D49*D$3*D$4),1))</f>
        <v>1</v>
      </c>
      <c r="E79" s="10" t="n">
        <f aca="false">IF(Flows!E49*E$3*E$4&lt;0.002,100,MAX($CM$2/(Flows!E49*E$3*E$4),1))</f>
        <v>4.983241188728</v>
      </c>
      <c r="F79" s="10" t="n">
        <f aca="false">IF(Flows!F49*F$3*F$4&lt;0.002,100,MAX($CM$2/(Flows!F49*F$3*F$4),1))</f>
        <v>11.1147096170551</v>
      </c>
      <c r="G79" s="10" t="n">
        <f aca="false">IF(Flows!G49*G$3*G$4&lt;0.002,100,MAX($CM$2/(Flows!G49*G$3*G$4),1))</f>
        <v>2.66915044977847</v>
      </c>
      <c r="H79" s="10" t="n">
        <f aca="false">IF(Flows!H49*H$3*H$4&lt;0.002,100,MAX($CM$2/(Flows!H49*H$3*H$4),1))</f>
        <v>100</v>
      </c>
      <c r="I79" s="10" t="n">
        <f aca="false">IF(Flows!I49*I$3*I$4&lt;0.002,100,MAX($CM$2/(Flows!I49*I$3*I$4),1))</f>
        <v>1387.80053797296</v>
      </c>
      <c r="J79" s="10" t="n">
        <f aca="false">IF(Flows!J49*J$3*J$4&lt;0.002,100,MAX($CM$2/(Flows!J49*J$3*J$4),1))</f>
        <v>428.599766108355</v>
      </c>
      <c r="K79" s="10" t="n">
        <f aca="false">IF(Flows!K49*K$3*K$4&lt;0.002,100,MAX($CM$2/(Flows!K49*K$3*K$4),1))</f>
        <v>5789.68377417708</v>
      </c>
      <c r="L79" s="10" t="n">
        <f aca="false">IF(Flows!L49*L$3*L$4&lt;0.002,100,MAX($CM$2/(Flows!L49*L$3*L$4),1))</f>
        <v>14590.4863703744</v>
      </c>
      <c r="M79" s="10" t="n">
        <f aca="false">IF(Flows!M49*M$3*M$4&lt;0.002,100,MAX($CM$2/(Flows!M49*M$3*M$4),1))</f>
        <v>9612.71848583911</v>
      </c>
      <c r="N79" s="10" t="n">
        <f aca="false">IF(Flows!N49*N$3*N$4&lt;0.002,100,MAX($CM$2/(Flows!N49*N$3*N$4),1))</f>
        <v>2.57187392836067</v>
      </c>
      <c r="O79" s="10" t="n">
        <f aca="false">IF(Flows!O49*O$3*O$4&lt;0.002,100,MAX($CM$2/(Flows!O49*O$3*O$4),1))</f>
        <v>1.40341677197248</v>
      </c>
      <c r="P79" s="10" t="n">
        <f aca="false">IF(Flows!P49*P$3*P$4&lt;0.002,100,MAX($CM$2/(Flows!P49*P$3*P$4),1))</f>
        <v>2.6314064474484</v>
      </c>
      <c r="Q79" s="10" t="n">
        <f aca="false">IF(Flows!Q49*Q$3*Q$4&lt;0.002,100,MAX($CM$2/(Flows!Q49*Q$3*Q$4),1))</f>
        <v>204.384762366469</v>
      </c>
      <c r="R79" s="10" t="n">
        <f aca="false">IF(Flows!R49*R$3*R$4&lt;0.002,100,MAX($CM$2/(Flows!R49*R$3*R$4),1))</f>
        <v>23.1852123063375</v>
      </c>
      <c r="S79" s="10" t="n">
        <f aca="false">IF(Flows!S49*S$3*S$4&lt;0.002,100,MAX($CM$2/(Flows!S49*S$3*S$4),1))</f>
        <v>125.061311746066</v>
      </c>
      <c r="T79" s="10" t="n">
        <f aca="false">IF(Flows!T49*T$3*T$4&lt;0.002,100,MAX($CM$2/(Flows!T49*T$3*T$4),1))</f>
        <v>223.761660722128</v>
      </c>
      <c r="U79" s="10" t="n">
        <f aca="false">IF(Flows!U49*U$3*U$4&lt;0.002,100,MAX($CM$2/(Flows!U49*U$3*U$4),1))</f>
        <v>40.0529936909963</v>
      </c>
      <c r="V79" s="10" t="n">
        <f aca="false">IF(Flows!V49*V$3*V$4&lt;0.002,100,MAX($CM$2/(Flows!V49*V$3*V$4),1))</f>
        <v>978.238364836292</v>
      </c>
      <c r="W79" s="10" t="n">
        <f aca="false">IF(Flows!W49*W$3*W$4&lt;0.002,100,MAX($CM$2/(Flows!W49*W$3*W$4),1))</f>
        <v>8.10042570441278</v>
      </c>
      <c r="X79" s="10" t="n">
        <f aca="false">IF(Flows!X49*X$3*X$4&lt;0.002,100,MAX($CM$2/(Flows!X49*X$3*X$4),1))</f>
        <v>7.79206125179073</v>
      </c>
      <c r="Y79" s="10" t="n">
        <f aca="false">IF(Flows!Y49*Y$3*Y$4&lt;0.002,100,MAX($CM$2/(Flows!Y49*Y$3*Y$4),1))</f>
        <v>72.952431851872</v>
      </c>
      <c r="Z79" s="10" t="n">
        <f aca="false">IF(Flows!Z49*Z$3*Z$4&lt;0.002,100,MAX($CM$2/(Flows!Z49*Z$3*Z$4),1))</f>
        <v>2979.36722930833</v>
      </c>
      <c r="AA79" s="10" t="n">
        <f aca="false">IF(Flows!AA49*AA$3*AA$4&lt;0.002,100,MAX($CM$2/(Flows!AA49*AA$3*AA$4),1))</f>
        <v>4095.51319336159</v>
      </c>
      <c r="AB79" s="10" t="n">
        <f aca="false">IF(Flows!AB49*AB$3*AB$4&lt;0.002,100,MAX($CM$2/(Flows!AB49*AB$3*AB$4),1))</f>
        <v>5340.37938407529</v>
      </c>
      <c r="AC79" s="10" t="n">
        <f aca="false">IF(Flows!AC49*AC$3*AC$4&lt;0.002,100,MAX($CM$2/(Flows!AC49*AC$3*AC$4),1))</f>
        <v>19700.0326430829</v>
      </c>
      <c r="AD79" s="10" t="n">
        <f aca="false">IF(Flows!AD49*AD$3*AD$4&lt;0.002,100,MAX($CM$2/(Flows!AD49*AD$3*AD$4),1))</f>
        <v>33640.2417117163</v>
      </c>
      <c r="AE79" s="10" t="n">
        <f aca="false">IF(Flows!AE49*AE$3*AE$4&lt;0.002,100,MAX($CM$2/(Flows!AE49*AE$3*AE$4),1))</f>
        <v>93083.7000319523</v>
      </c>
      <c r="AF79" s="10" t="n">
        <f aca="false">IF(Flows!AF49*AF$3*AF$4&lt;0.002,100,MAX($CM$2/(Flows!AF49*AF$3*AF$4),1))</f>
        <v>945.420205331588</v>
      </c>
      <c r="AG79" s="10" t="n">
        <f aca="false">IF(Flows!AG49*AG$3*AG$4&lt;0.002,100,MAX($CM$2/(Flows!AG49*AG$3*AG$4),1))</f>
        <v>396.138185540994</v>
      </c>
      <c r="AH79" s="10" t="n">
        <f aca="false">IF(Flows!AH49*AH$3*AH$4&lt;0.002,100,MAX($CM$2/(Flows!AH49*AH$3*AH$4),1))</f>
        <v>244.228129203421</v>
      </c>
      <c r="AI79" s="10" t="n">
        <f aca="false">IF(Flows!AI49*AI$3*AI$4&lt;0.002,100,MAX($CM$2/(Flows!AI49*AI$3*AI$4),1))</f>
        <v>3027.9988774354</v>
      </c>
      <c r="AJ79" s="10" t="n">
        <f aca="false">IF(Flows!AJ49*AJ$3*AJ$4&lt;0.002,100,MAX($CM$2/(Flows!AJ49*AJ$3*AJ$4),1))</f>
        <v>703.411403408825</v>
      </c>
      <c r="AK79" s="10" t="n">
        <f aca="false">IF(Flows!AK49*AK$3*AK$4&lt;0.002,100,MAX($CM$2/(Flows!AK49*AK$3*AK$4),1))</f>
        <v>303.959289926898</v>
      </c>
      <c r="AL79" s="10" t="n">
        <f aca="false">IF(Flows!AL49*AL$3*AL$4&lt;0.002,100,MAX($CM$2/(Flows!AL49*AL$3*AL$4),1))</f>
        <v>978.852912626133</v>
      </c>
      <c r="AM79" s="10" t="n">
        <f aca="false">IF(Flows!AM49*AM$3*AM$4&lt;0.002,100,MAX($CM$2/(Flows!AM49*AM$3*AM$4),1))</f>
        <v>1175.27100739619</v>
      </c>
      <c r="AN79" s="10" t="n">
        <f aca="false">IF(Flows!AN49*AN$3*AN$4&lt;0.002,100,MAX($CM$2/(Flows!AN49*AN$3*AN$4),1))</f>
        <v>1388.54402978467</v>
      </c>
      <c r="AO79" s="10" t="n">
        <f aca="false">IF(Flows!AO49*AO$3*AO$4&lt;0.002,100,MAX($CM$2/(Flows!AO49*AO$3*AO$4),1))</f>
        <v>18715.6758346604</v>
      </c>
      <c r="AP79" s="10" t="n">
        <f aca="false">IF(Flows!AP49*AP$3*AP$4&lt;0.002,100,MAX($CM$2/(Flows!AP49*AP$3*AP$4),1))</f>
        <v>21820.1849575171</v>
      </c>
      <c r="AQ79" s="10" t="n">
        <f aca="false">IF(Flows!AQ49*AQ$3*AQ$4&lt;0.002,100,MAX($CM$2/(Flows!AQ49*AQ$3*AQ$4),1))</f>
        <v>7191.85676663124</v>
      </c>
      <c r="AR79" s="10" t="n">
        <f aca="false">IF(Flows!AR49*AR$3*AR$4&lt;0.002,100,MAX($CM$2/(Flows!AR49*AR$3*AR$4),1))</f>
        <v>10379.3133687408</v>
      </c>
      <c r="AS79" s="10" t="n">
        <f aca="false">IF(Flows!AS49*AS$3*AS$4&lt;0.002,100,MAX($CM$2/(Flows!AS49*AS$3*AS$4),1))</f>
        <v>1737.20006093838</v>
      </c>
      <c r="AT79" s="10" t="n">
        <f aca="false">IF(Flows!AT49*AT$3*AT$4&lt;0.002,100,MAX($CM$2/(Flows!AT49*AT$3*AT$4),1))</f>
        <v>1415.13694430826</v>
      </c>
      <c r="AU79" s="10" t="n">
        <f aca="false">IF(Flows!AU49*AU$3*AU$4&lt;0.002,100,MAX($CM$2/(Flows!AU49*AU$3*AU$4),1))</f>
        <v>361.502140365213</v>
      </c>
      <c r="AV79" s="10" t="n">
        <f aca="false">IF(Flows!AV49*AV$3*AV$4&lt;0.002,100,MAX($CM$2/(Flows!AV49*AV$3*AV$4),1))</f>
        <v>10492.9840469602</v>
      </c>
      <c r="AW79" s="10" t="n">
        <f aca="false">IF(Flows!AW49*AW$3*AW$4&lt;0.002,100,MAX($CM$2/(Flows!AW49*AW$3*AW$4),1))</f>
        <v>6.34342984018585</v>
      </c>
      <c r="AX79" s="10" t="n">
        <f aca="false">IF(Flows!AX49*AX$3*AX$4&lt;0.002,100,MAX($CM$2/(Flows!AX49*AX$3*AX$4),1))</f>
        <v>1518.57515792591</v>
      </c>
      <c r="AY79" s="10" t="n">
        <f aca="false">IF(Flows!AY49*AY$3*AY$4&lt;0.002,100,MAX($CM$2/(Flows!AY49*AY$3*AY$4),1))</f>
        <v>195.178467459186</v>
      </c>
      <c r="AZ79" s="10" t="n">
        <f aca="false">IF(Flows!AZ49*AZ$3*AZ$4&lt;0.002,100,MAX($CM$2/(Flows!AZ49*AZ$3*AZ$4),1))</f>
        <v>68.2598642570829</v>
      </c>
      <c r="BA79" s="10" t="n">
        <f aca="false">IF(Flows!BA49*BA$3*BA$4&lt;0.002,100,MAX($CM$2/(Flows!BA49*BA$3*BA$4),1))</f>
        <v>744.114804889095</v>
      </c>
      <c r="BB79" s="10" t="n">
        <f aca="false">IF(Flows!BB49*BB$3*BB$4&lt;0.002,100,MAX($CM$2/(Flows!BB49*BB$3*BB$4),1))</f>
        <v>2461.13125552658</v>
      </c>
      <c r="BC79" s="10" t="n">
        <f aca="false">IF(Flows!BC49*BC$3*BC$4&lt;0.002,100,MAX($CM$2/(Flows!BC49*BC$3*BC$4),1))</f>
        <v>1673.70144333019</v>
      </c>
      <c r="BD79" s="10" t="n">
        <f aca="false">IF(Flows!BD49*BD$3*BD$4&lt;0.002,100,MAX($CM$2/(Flows!BD49*BD$3*BD$4),1))</f>
        <v>10168.249371028</v>
      </c>
      <c r="BE79" s="10" t="n">
        <f aca="false">IF(Flows!BE49*BE$3*BE$4&lt;0.002,100,MAX($CM$2/(Flows!BE49*BE$3*BE$4),1))</f>
        <v>9970.2676158039</v>
      </c>
      <c r="BF79" s="10" t="n">
        <f aca="false">IF(Flows!BF49*BF$3*BF$4&lt;0.002,100,MAX($CM$2/(Flows!BF49*BF$3*BF$4),1))</f>
        <v>898.414676632471</v>
      </c>
      <c r="BG79" s="10" t="n">
        <f aca="false">IF(Flows!BG49*BG$3*BG$4&lt;0.002,100,MAX($CM$2/(Flows!BG49*BG$3*BG$4),1))</f>
        <v>95.5785659998031</v>
      </c>
      <c r="BH79" s="10" t="n">
        <f aca="false">IF(Flows!BH49*BH$3*BH$4&lt;0.002,100,MAX($CM$2/(Flows!BH49*BH$3*BH$4),1))</f>
        <v>47.7892829999015</v>
      </c>
      <c r="BI79" s="10" t="n">
        <f aca="false">IF(Flows!BI49*BI$3*BI$4&lt;0.002,100,MAX($CM$2/(Flows!BI49*BI$3*BI$4),1))</f>
        <v>35.8419622499261</v>
      </c>
      <c r="BJ79" s="10" t="n">
        <f aca="false">IF(Flows!BJ49*BJ$3*BJ$4&lt;0.002,100,MAX($CM$2/(Flows!BJ49*BJ$3*BJ$4),1))</f>
        <v>6.5313975678516</v>
      </c>
      <c r="BK79" s="10" t="n">
        <f aca="false">IF(Flows!BK49*BK$3*BK$4&lt;0.002,100,MAX($CM$2/(Flows!BK49*BK$3*BK$4),1))</f>
        <v>71.6839244998523</v>
      </c>
      <c r="BL79" s="10" t="n">
        <f aca="false">IF(Flows!BL49*BL$3*BL$4&lt;0.002,100,MAX($CM$2/(Flows!BL49*BL$3*BL$4),1))</f>
        <v>6186.7095771674</v>
      </c>
      <c r="BM79" s="10" t="n">
        <f aca="false">IF(Flows!BM49*BM$3*BM$4&lt;0.002,100,MAX($CM$2/(Flows!BM49*BM$3*BM$4),1))</f>
        <v>27.2747951270106</v>
      </c>
      <c r="BN79" s="10" t="n">
        <f aca="false">IF(Flows!BN49*BN$3*BN$4&lt;0.002,100,MAX($CM$2/(Flows!BN49*BN$3*BN$4),1))</f>
        <v>103791.632716609</v>
      </c>
      <c r="BO79" s="10" t="n">
        <f aca="false">IF(Flows!BO49*BO$3*BO$4&lt;0.002,100,MAX($CM$2/(Flows!BO49*BO$3*BO$4),1))</f>
        <v>4.37353933246155</v>
      </c>
      <c r="BP79" s="10" t="n">
        <f aca="false">IF(Flows!BP49*BP$3*BP$4&lt;0.002,100,MAX($CM$2/(Flows!BP49*BP$3*BP$4),1))</f>
        <v>16.983258562592</v>
      </c>
      <c r="BQ79" s="10" t="n">
        <f aca="false">IF(Flows!BQ49*BQ$3*BQ$4&lt;0.002,100,MAX($CM$2/(Flows!BQ49*BQ$3*BQ$4),1))</f>
        <v>100</v>
      </c>
      <c r="BR79" s="10" t="n">
        <f aca="false">IF(Flows!BR49*BR$3*BR$4&lt;0.002,100,MAX($CM$2/(Flows!BR49*BR$3*BR$4),1))</f>
        <v>131.206121537256</v>
      </c>
      <c r="BS79" s="10" t="n">
        <f aca="false">IF(Flows!BS49*BS$3*BS$4&lt;0.002,100,MAX($CM$2/(Flows!BS49*BS$3*BS$4),1))</f>
        <v>1312.06121537256</v>
      </c>
      <c r="BT79" s="10" t="n">
        <f aca="false">IF(Flows!BT49*BT$3*BT$4&lt;0.002,100,MAX($CM$2/(Flows!BT49*BT$3*BT$4),1))</f>
        <v>1</v>
      </c>
      <c r="BU79" s="10" t="n">
        <f aca="false">IF(Flows!BU49*BU$3*BU$4&lt;0.002,100,MAX($CM$2/(Flows!BU49*BU$3*BU$4),1))</f>
        <v>6.87293868822108</v>
      </c>
      <c r="BV79" s="10" t="n">
        <f aca="false">IF(Flows!BV49*BV$3*BV$4&lt;0.002,100,MAX($CM$2/(Flows!BV49*BV$3*BV$4),1))</f>
        <v>68.7293868822108</v>
      </c>
      <c r="BW79" s="10" t="n">
        <f aca="false">IF(Flows!BW49*BW$3*BW$4&lt;0.002,100,MAX($CM$2/(Flows!BW49*BW$3*BW$4),1))</f>
        <v>9.60052560265879</v>
      </c>
      <c r="BX79" s="10" t="n">
        <f aca="false">IF(Flows!BX49*BX$3*BX$4&lt;0.002,100,MAX($CM$2/(Flows!BX49*BX$3*BX$4),1))</f>
        <v>11.8611206588788</v>
      </c>
      <c r="BY79" s="10" t="n">
        <f aca="false">IF(Flows!BY49*BY$3*BY$4&lt;0.002,100,MAX($CM$2/(Flows!BY49*BY$3*BY$4),1))</f>
        <v>84.7612041387269</v>
      </c>
      <c r="BZ79" s="10" t="n">
        <f aca="false">IF(Flows!BZ49*BZ$3*BZ$4&lt;0.002,100,MAX($CM$2/(Flows!BZ49*BZ$3*BZ$4),1))</f>
        <v>272450.7198227</v>
      </c>
      <c r="CA79" s="10" t="n">
        <f aca="false">IF(Flows!CA49*CA$3*CA$4&lt;0.002,100,MAX($CM$2/(Flows!CA49*CA$3*CA$4),1))</f>
        <v>135440.061698702</v>
      </c>
      <c r="CB79" s="10" t="n">
        <f aca="false">IF(Flows!CB49*CB$3*CB$4&lt;0.002,100,MAX($CM$2/(Flows!CB49*CB$3*CB$4),1))</f>
        <v>561.31607963221</v>
      </c>
      <c r="CC79" s="10" t="n">
        <f aca="false">IF(Flows!CC49*CC$3*CC$4&lt;0.002,100,MAX($CM$2/(Flows!CC49*CC$3*CC$4),1))</f>
        <v>64.7817412322705</v>
      </c>
      <c r="CD79" s="10" t="n">
        <f aca="false">IF(Flows!CD49*CD$3*CD$4&lt;0.002,100,MAX($CM$2/(Flows!CD49*CD$3*CD$4),1))</f>
        <v>25.0954472380349</v>
      </c>
      <c r="CE79" s="10" t="n">
        <f aca="false">IF(Flows!CE49*CE$3*CE$4&lt;0.002,100,MAX($CM$2/(Flows!CE49*CE$3*CE$4),1))</f>
        <v>4.46530970388169</v>
      </c>
      <c r="CF79" s="10" t="n">
        <f aca="false">IF(Flows!CF49*CF$3*CF$4&lt;0.002,100,MAX($CM$2/(Flows!CF49*CF$3*CF$4),1))</f>
        <v>9.22596381099266</v>
      </c>
      <c r="CG79" s="10" t="n">
        <f aca="false">IF(Flows!CG49*CG$3*CG$4&lt;0.002,100,MAX($CM$2/(Flows!CG49*CG$3*CG$4),1))</f>
        <v>137.216626021272</v>
      </c>
      <c r="CH79" s="10" t="n">
        <f aca="false">IF(Flows!CH49*CH$3*CH$4&lt;0.002,100,MAX($CM$2/(Flows!CH49*CH$3*CH$4),1))</f>
        <v>136.970137978336</v>
      </c>
      <c r="CI79" s="10" t="n">
        <f aca="false">IF(Flows!CI49*CI$3*CI$4&lt;0.002,100,MAX($CM$2/(Flows!CI49*CI$3*CI$4),1))</f>
        <v>190.994440862612</v>
      </c>
      <c r="CJ79" s="10" t="n">
        <f aca="false">IF(Flows!CJ49*CJ$3*CJ$4&lt;0.002,100,MAX($CM$2/(Flows!CJ49*CJ$3*CJ$4),1))</f>
        <v>1699.8484835267</v>
      </c>
      <c r="CK79" s="10" t="n">
        <f aca="false">IF(Flows!CK49*CK$3*CK$4&lt;0.002,100,MAX($CM$2/(Flows!CK49*CK$3*CK$4),1))</f>
        <v>559.001416658857</v>
      </c>
      <c r="CL79" s="7" t="s">
        <v>322</v>
      </c>
    </row>
    <row r="80" customFormat="false" ht="12.8" hidden="false" customHeight="false" outlineLevel="0" collapsed="false">
      <c r="A80" s="7" t="s">
        <v>157</v>
      </c>
      <c r="B80" s="7" t="s">
        <v>39</v>
      </c>
      <c r="C80" s="10" t="n">
        <f aca="false">IF(Flows!C50*C$3*C$4&lt;0.002,100,MAX($CM$2/(Flows!C50*C$3*C$4),1))</f>
        <v>17241.2735323626</v>
      </c>
      <c r="D80" s="10" t="n">
        <f aca="false">IF(Flows!D50*D$3*D$4&lt;0.002,100,MAX($CM$2/(Flows!D50*D$3*D$4),1))</f>
        <v>4.28179647813432</v>
      </c>
      <c r="E80" s="10" t="n">
        <f aca="false">IF(Flows!E50*E$3*E$4&lt;0.002,100,MAX($CM$2/(Flows!E50*E$3*E$4),1))</f>
        <v>40.9663911023299</v>
      </c>
      <c r="F80" s="10" t="n">
        <f aca="false">IF(Flows!F50*F$3*F$4&lt;0.002,100,MAX($CM$2/(Flows!F50*F$3*F$4),1))</f>
        <v>115.640169305768</v>
      </c>
      <c r="G80" s="10" t="n">
        <f aca="false">IF(Flows!G50*G$3*G$4&lt;0.002,100,MAX($CM$2/(Flows!G50*G$3*G$4),1))</f>
        <v>31.698609988398</v>
      </c>
      <c r="H80" s="10" t="n">
        <f aca="false">IF(Flows!H50*H$3*H$4&lt;0.002,100,MAX($CM$2/(Flows!H50*H$3*H$4),1))</f>
        <v>100</v>
      </c>
      <c r="I80" s="10" t="n">
        <f aca="false">IF(Flows!I50*I$3*I$4&lt;0.002,100,MAX($CM$2/(Flows!I50*I$3*I$4),1))</f>
        <v>1705.14054500838</v>
      </c>
      <c r="J80" s="10" t="n">
        <f aca="false">IF(Flows!J50*J$3*J$4&lt;0.002,100,MAX($CM$2/(Flows!J50*J$3*J$4),1))</f>
        <v>1303.3356448902</v>
      </c>
      <c r="K80" s="10" t="n">
        <f aca="false">IF(Flows!K50*K$3*K$4&lt;0.002,100,MAX($CM$2/(Flows!K50*K$3*K$4),1))</f>
        <v>13162.1881692956</v>
      </c>
      <c r="L80" s="10" t="n">
        <f aca="false">IF(Flows!L50*L$3*L$4&lt;0.002,100,MAX($CM$2/(Flows!L50*L$3*L$4),1))</f>
        <v>48600.9560462033</v>
      </c>
      <c r="M80" s="10" t="n">
        <f aca="false">IF(Flows!M50*M$3*M$4&lt;0.002,100,MAX($CM$2/(Flows!M50*M$3*M$4),1))</f>
        <v>33306.2971735113</v>
      </c>
      <c r="N80" s="10" t="n">
        <f aca="false">IF(Flows!N50*N$3*N$4&lt;0.002,100,MAX($CM$2/(Flows!N50*N$3*N$4),1))</f>
        <v>40.4913637574055</v>
      </c>
      <c r="O80" s="10" t="n">
        <f aca="false">IF(Flows!O50*O$3*O$4&lt;0.002,100,MAX($CM$2/(Flows!O50*O$3*O$4),1))</f>
        <v>6.42269471720148</v>
      </c>
      <c r="P80" s="10" t="n">
        <f aca="false">IF(Flows!P50*P$3*P$4&lt;0.002,100,MAX($CM$2/(Flows!P50*P$3*P$4),1))</f>
        <v>12.0425525947528</v>
      </c>
      <c r="Q80" s="10" t="n">
        <f aca="false">IF(Flows!Q50*Q$3*Q$4&lt;0.002,100,MAX($CM$2/(Flows!Q50*Q$3*Q$4),1))</f>
        <v>391.737878778844</v>
      </c>
      <c r="R80" s="10" t="n">
        <f aca="false">IF(Flows!R50*R$3*R$4&lt;0.002,100,MAX($CM$2/(Flows!R50*R$3*R$4),1))</f>
        <v>19.9751457656241</v>
      </c>
      <c r="S80" s="10" t="n">
        <f aca="false">IF(Flows!S50*S$3*S$4&lt;0.002,100,MAX($CM$2/(Flows!S50*S$3*S$4),1))</f>
        <v>416.57962325317</v>
      </c>
      <c r="T80" s="10" t="n">
        <f aca="false">IF(Flows!T50*T$3*T$4&lt;0.002,100,MAX($CM$2/(Flows!T50*T$3*T$4),1))</f>
        <v>745.350796506898</v>
      </c>
      <c r="U80" s="10" t="n">
        <f aca="false">IF(Flows!U50*U$3*U$4&lt;0.002,100,MAX($CM$2/(Flows!U50*U$3*U$4),1))</f>
        <v>138.776238222964</v>
      </c>
      <c r="V80" s="10" t="n">
        <f aca="false">IF(Flows!V50*V$3*V$4&lt;0.002,100,MAX($CM$2/(Flows!V50*V$3*V$4),1))</f>
        <v>2901.24019935585</v>
      </c>
      <c r="W80" s="10" t="n">
        <f aca="false">IF(Flows!W50*W$3*W$4&lt;0.002,100,MAX($CM$2/(Flows!W50*W$3*W$4),1))</f>
        <v>17.0294113656452</v>
      </c>
      <c r="X80" s="10" t="n">
        <f aca="false">IF(Flows!X50*X$3*X$4&lt;0.002,100,MAX($CM$2/(Flows!X50*X$3*X$4),1))</f>
        <v>1.96921573402492</v>
      </c>
      <c r="Y80" s="10" t="n">
        <f aca="false">IF(Flows!Y50*Y$3*Y$4&lt;0.002,100,MAX($CM$2/(Flows!Y50*Y$3*Y$4),1))</f>
        <v>243.004780231017</v>
      </c>
      <c r="Z80" s="10" t="n">
        <f aca="false">IF(Flows!Z50*Z$3*Z$4&lt;0.002,100,MAX($CM$2/(Flows!Z50*Z$3*Z$4),1))</f>
        <v>109312.709063825</v>
      </c>
      <c r="AA80" s="10" t="n">
        <f aca="false">IF(Flows!AA50*AA$3*AA$4&lt;0.002,100,MAX($CM$2/(Flows!AA50*AA$3*AA$4),1))</f>
        <v>66435.0215451988</v>
      </c>
      <c r="AB80" s="10" t="n">
        <f aca="false">IF(Flows!AB50*AB$3*AB$4&lt;0.002,100,MAX($CM$2/(Flows!AB50*AB$3*AB$4),1))</f>
        <v>43902.3643843921</v>
      </c>
      <c r="AC80" s="10" t="n">
        <f aca="false">IF(Flows!AC50*AC$3*AC$4&lt;0.002,100,MAX($CM$2/(Flows!AC50*AC$3*AC$4),1))</f>
        <v>634096.73080574</v>
      </c>
      <c r="AD80" s="10" t="n">
        <f aca="false">IF(Flows!AD50*AD$3*AD$4&lt;0.002,100,MAX($CM$2/(Flows!AD50*AD$3*AD$4),1))</f>
        <v>276550.79225472</v>
      </c>
      <c r="AE80" s="10" t="n">
        <f aca="false">IF(Flows!AE50*AE$3*AE$4&lt;0.002,100,MAX($CM$2/(Flows!AE50*AE$3*AE$4),1))</f>
        <v>487370.456354208</v>
      </c>
      <c r="AF80" s="10" t="n">
        <f aca="false">IF(Flows!AF50*AF$3*AF$4&lt;0.002,100,MAX($CM$2/(Flows!AF50*AF$3*AF$4),1))</f>
        <v>723.343809592462</v>
      </c>
      <c r="AG80" s="10" t="n">
        <f aca="false">IF(Flows!AG50*AG$3*AG$4&lt;0.002,100,MAX($CM$2/(Flows!AG50*AG$3*AG$4),1))</f>
        <v>1312.39487740061</v>
      </c>
      <c r="AH80" s="10" t="n">
        <f aca="false">IF(Flows!AH50*AH$3*AH$4&lt;0.002,100,MAX($CM$2/(Flows!AH50*AH$3*AH$4),1))</f>
        <v>893.82236237216</v>
      </c>
      <c r="AI80" s="10" t="n">
        <f aca="false">IF(Flows!AI50*AI$3*AI$4&lt;0.002,100,MAX($CM$2/(Flows!AI50*AI$3*AI$4),1))</f>
        <v>5959.55061800776</v>
      </c>
      <c r="AJ80" s="10" t="n">
        <f aca="false">IF(Flows!AJ50*AJ$3*AJ$4&lt;0.002,100,MAX($CM$2/(Flows!AJ50*AJ$3*AJ$4),1))</f>
        <v>8327.63844297882</v>
      </c>
      <c r="AK80" s="10" t="n">
        <f aca="false">IF(Flows!AK50*AK$3*AK$4&lt;0.002,100,MAX($CM$2/(Flows!AK50*AK$3*AK$4),1))</f>
        <v>4807.84197089638</v>
      </c>
      <c r="AL80" s="10" t="n">
        <f aca="false">IF(Flows!AL50*AL$3*AL$4&lt;0.002,100,MAX($CM$2/(Flows!AL50*AL$3*AL$4),1))</f>
        <v>2152.54361657272</v>
      </c>
      <c r="AM80" s="10" t="n">
        <f aca="false">IF(Flows!AM50*AM$3*AM$4&lt;0.002,100,MAX($CM$2/(Flows!AM50*AM$3*AM$4),1))</f>
        <v>3514.16823294514</v>
      </c>
      <c r="AN80" s="10" t="n">
        <f aca="false">IF(Flows!AN50*AN$3*AN$4&lt;0.002,100,MAX($CM$2/(Flows!AN50*AN$3*AN$4),1))</f>
        <v>12249.7897719483</v>
      </c>
      <c r="AO80" s="10" t="n">
        <f aca="false">IF(Flows!AO50*AO$3*AO$4&lt;0.002,100,MAX($CM$2/(Flows!AO50*AO$3*AO$4),1))</f>
        <v>57340.9407338465</v>
      </c>
      <c r="AP80" s="10" t="n">
        <f aca="false">IF(Flows!AP50*AP$3*AP$4&lt;0.002,100,MAX($CM$2/(Flows!AP50*AP$3*AP$4),1))</f>
        <v>145874.919977895</v>
      </c>
      <c r="AQ80" s="10" t="n">
        <f aca="false">IF(Flows!AQ50*AQ$3*AQ$4&lt;0.002,100,MAX($CM$2/(Flows!AQ50*AQ$3*AQ$4),1))</f>
        <v>26496.4549172027</v>
      </c>
      <c r="AR80" s="10" t="n">
        <f aca="false">IF(Flows!AR50*AR$3*AR$4&lt;0.002,100,MAX($CM$2/(Flows!AR50*AR$3*AR$4),1))</f>
        <v>23383.918008103</v>
      </c>
      <c r="AS80" s="10" t="n">
        <f aca="false">IF(Flows!AS50*AS$3*AS$4&lt;0.002,100,MAX($CM$2/(Flows!AS50*AS$3*AS$4),1))</f>
        <v>2425.70811578497</v>
      </c>
      <c r="AT80" s="10" t="n">
        <f aca="false">IF(Flows!AT50*AT$3*AT$4&lt;0.002,100,MAX($CM$2/(Flows!AT50*AT$3*AT$4),1))</f>
        <v>1220.84941441066</v>
      </c>
      <c r="AU80" s="10" t="n">
        <f aca="false">IF(Flows!AU50*AU$3*AU$4&lt;0.002,100,MAX($CM$2/(Flows!AU50*AU$3*AU$4),1))</f>
        <v>4815.02664170153</v>
      </c>
      <c r="AV80" s="10" t="n">
        <f aca="false">IF(Flows!AV50*AV$3*AV$4&lt;0.002,100,MAX($CM$2/(Flows!AV50*AV$3*AV$4),1))</f>
        <v>11826.6162655876</v>
      </c>
      <c r="AW80" s="10" t="n">
        <f aca="false">IF(Flows!AW50*AW$3*AW$4&lt;0.002,100,MAX($CM$2/(Flows!AW50*AW$3*AW$4),1))</f>
        <v>186.022502016006</v>
      </c>
      <c r="AX80" s="10" t="n">
        <f aca="false">IF(Flows!AX50*AX$3*AX$4&lt;0.002,100,MAX($CM$2/(Flows!AX50*AX$3*AX$4),1))</f>
        <v>5065.98752874301</v>
      </c>
      <c r="AY80" s="10" t="n">
        <f aca="false">IF(Flows!AY50*AY$3*AY$4&lt;0.002,100,MAX($CM$2/(Flows!AY50*AY$3*AY$4),1))</f>
        <v>4823.69481793928</v>
      </c>
      <c r="AZ80" s="10" t="n">
        <f aca="false">IF(Flows!AZ50*AZ$3*AZ$4&lt;0.002,100,MAX($CM$2/(Flows!AZ50*AZ$3*AZ$4),1))</f>
        <v>1098.08568836562</v>
      </c>
      <c r="BA80" s="10" t="n">
        <f aca="false">IF(Flows!BA50*BA$3*BA$4&lt;0.002,100,MAX($CM$2/(Flows!BA50*BA$3*BA$4),1))</f>
        <v>2478.64875835637</v>
      </c>
      <c r="BB80" s="10" t="n">
        <f aca="false">IF(Flows!BB50*BB$3*BB$4&lt;0.002,100,MAX($CM$2/(Flows!BB50*BB$3*BB$4),1))</f>
        <v>3956.53681284923</v>
      </c>
      <c r="BC80" s="10" t="n">
        <f aca="false">IF(Flows!BC50*BC$3*BC$4&lt;0.002,100,MAX($CM$2/(Flows!BC50*BC$3*BC$4),1))</f>
        <v>1316.58483829142</v>
      </c>
      <c r="BD80" s="10" t="n">
        <f aca="false">IF(Flows!BD50*BD$3*BD$4&lt;0.002,100,MAX($CM$2/(Flows!BD50*BD$3*BD$4),1))</f>
        <v>10489.3685974469</v>
      </c>
      <c r="BE80" s="10" t="n">
        <f aca="false">IF(Flows!BE50*BE$3*BE$4&lt;0.002,100,MAX($CM$2/(Flows!BE50*BE$3*BE$4),1))</f>
        <v>65391.4308728129</v>
      </c>
      <c r="BF80" s="10" t="n">
        <f aca="false">IF(Flows!BF50*BF$3*BF$4&lt;0.002,100,MAX($CM$2/(Flows!BF50*BF$3*BF$4),1))</f>
        <v>973.075845718086</v>
      </c>
      <c r="BG80" s="10" t="n">
        <f aca="false">IF(Flows!BG50*BG$3*BG$4&lt;0.002,100,MAX($CM$2/(Flows!BG50*BG$3*BG$4),1))</f>
        <v>561.345287613889</v>
      </c>
      <c r="BH80" s="10" t="n">
        <f aca="false">IF(Flows!BH50*BH$3*BH$4&lt;0.002,100,MAX($CM$2/(Flows!BH50*BH$3*BH$4),1))</f>
        <v>595953.154980672</v>
      </c>
      <c r="BI80" s="10" t="n">
        <f aca="false">IF(Flows!BI50*BI$3*BI$4&lt;0.002,100,MAX($CM$2/(Flows!BI50*BI$3*BI$4),1))</f>
        <v>210.504482855208</v>
      </c>
      <c r="BJ80" s="10" t="n">
        <f aca="false">IF(Flows!BJ50*BJ$3*BJ$4&lt;0.002,100,MAX($CM$2/(Flows!BJ50*BJ$3*BJ$4),1))</f>
        <v>12.1666978647011</v>
      </c>
      <c r="BK80" s="10" t="n">
        <f aca="false">IF(Flows!BK50*BK$3*BK$4&lt;0.002,100,MAX($CM$2/(Flows!BK50*BK$3*BK$4),1))</f>
        <v>421.008965710416</v>
      </c>
      <c r="BL80" s="10" t="n">
        <f aca="false">IF(Flows!BL50*BL$3*BL$4&lt;0.002,100,MAX($CM$2/(Flows!BL50*BL$3*BL$4),1))</f>
        <v>124.408375512883</v>
      </c>
      <c r="BM80" s="10" t="n">
        <f aca="false">IF(Flows!BM50*BM$3*BM$4&lt;0.002,100,MAX($CM$2/(Flows!BM50*BM$3*BM$4),1))</f>
        <v>61.6193598617143</v>
      </c>
      <c r="BN80" s="10" t="n">
        <f aca="false">IF(Flows!BN50*BN$3*BN$4&lt;0.002,100,MAX($CM$2/(Flows!BN50*BN$3*BN$4),1))</f>
        <v>1</v>
      </c>
      <c r="BO80" s="10" t="n">
        <f aca="false">IF(Flows!BO50*BO$3*BO$4&lt;0.002,100,MAX($CM$2/(Flows!BO50*BO$3*BO$4),1))</f>
        <v>246.084091160596</v>
      </c>
      <c r="BP80" s="10" t="n">
        <f aca="false">IF(Flows!BP50*BP$3*BP$4&lt;0.002,100,MAX($CM$2/(Flows!BP50*BP$3*BP$4),1))</f>
        <v>500.817743607995</v>
      </c>
      <c r="BQ80" s="10" t="n">
        <f aca="false">IF(Flows!BQ50*BQ$3*BQ$4&lt;0.002,100,MAX($CM$2/(Flows!BQ50*BQ$3*BQ$4),1))</f>
        <v>100</v>
      </c>
      <c r="BR80" s="10" t="n">
        <f aca="false">IF(Flows!BR50*BR$3*BR$4&lt;0.002,100,MAX($CM$2/(Flows!BR50*BR$3*BR$4),1))</f>
        <v>7382.52020372716</v>
      </c>
      <c r="BS80" s="10" t="n">
        <f aca="false">IF(Flows!BS50*BS$3*BS$4&lt;0.002,100,MAX($CM$2/(Flows!BS50*BS$3*BS$4),1))</f>
        <v>73825.2020372717</v>
      </c>
      <c r="BT80" s="10" t="n">
        <f aca="false">IF(Flows!BT50*BT$3*BT$4&lt;0.002,100,MAX($CM$2/(Flows!BT50*BT$3*BT$4),1))</f>
        <v>19.4891634761389</v>
      </c>
      <c r="BU80" s="10" t="n">
        <f aca="false">IF(Flows!BU50*BU$3*BU$4&lt;0.002,100,MAX($CM$2/(Flows!BU50*BU$3*BU$4),1))</f>
        <v>194.891634761389</v>
      </c>
      <c r="BV80" s="10" t="n">
        <f aca="false">IF(Flows!BV50*BV$3*BV$4&lt;0.002,100,MAX($CM$2/(Flows!BV50*BV$3*BV$4),1))</f>
        <v>1948.91634761389</v>
      </c>
      <c r="BW80" s="10" t="n">
        <f aca="false">IF(Flows!BW50*BW$3*BW$4&lt;0.002,100,MAX($CM$2/(Flows!BW50*BW$3*BW$4),1))</f>
        <v>78.9243128580825</v>
      </c>
      <c r="BX80" s="10" t="n">
        <f aca="false">IF(Flows!BX50*BX$3*BX$4&lt;0.002,100,MAX($CM$2/(Flows!BX50*BX$3*BX$4),1))</f>
        <v>87.3730898379841</v>
      </c>
      <c r="BY80" s="10" t="n">
        <f aca="false">IF(Flows!BY50*BY$3*BY$4&lt;0.002,100,MAX($CM$2/(Flows!BY50*BY$3*BY$4),1))</f>
        <v>392.930666381681</v>
      </c>
      <c r="BZ80" s="10" t="n">
        <f aca="false">IF(Flows!BZ50*BZ$3*BZ$4&lt;0.002,100,MAX($CM$2/(Flows!BZ50*BZ$3*BZ$4),1))</f>
        <v>48022.5275448239</v>
      </c>
      <c r="CA80" s="10" t="n">
        <f aca="false">IF(Flows!CA50*CA$3*CA$4&lt;0.002,100,MAX($CM$2/(Flows!CA50*CA$3*CA$4),1))</f>
        <v>146235.780335692</v>
      </c>
      <c r="CB80" s="10" t="n">
        <f aca="false">IF(Flows!CB50*CB$3*CB$4&lt;0.002,100,MAX($CM$2/(Flows!CB50*CB$3*CB$4),1))</f>
        <v>72.7832700854482</v>
      </c>
      <c r="CC80" s="10" t="n">
        <f aca="false">IF(Flows!CC50*CC$3*CC$4&lt;0.002,100,MAX($CM$2/(Flows!CC50*CC$3*CC$4),1))</f>
        <v>16.4595950059669</v>
      </c>
      <c r="CD80" s="10" t="n">
        <f aca="false">IF(Flows!CD50*CD$3*CD$4&lt;0.002,100,MAX($CM$2/(Flows!CD50*CD$3*CD$4),1))</f>
        <v>193.610013148331</v>
      </c>
      <c r="CE80" s="10" t="n">
        <f aca="false">IF(Flows!CE50*CE$3*CE$4&lt;0.002,100,MAX($CM$2/(Flows!CE50*CE$3*CE$4),1))</f>
        <v>71.9429876047434</v>
      </c>
      <c r="CF80" s="10" t="n">
        <f aca="false">IF(Flows!CF50*CF$3*CF$4&lt;0.002,100,MAX($CM$2/(Flows!CF50*CF$3*CF$4),1))</f>
        <v>1</v>
      </c>
      <c r="CG80" s="10" t="n">
        <f aca="false">IF(Flows!CG50*CG$3*CG$4&lt;0.002,100,MAX($CM$2/(Flows!CG50*CG$3*CG$4),1))</f>
        <v>107.419405498709</v>
      </c>
      <c r="CH80" s="10" t="n">
        <f aca="false">IF(Flows!CH50*CH$3*CH$4&lt;0.002,100,MAX($CM$2/(Flows!CH50*CH$3*CH$4),1))</f>
        <v>43.0562425394639</v>
      </c>
      <c r="CI80" s="10" t="n">
        <f aca="false">IF(Flows!CI50*CI$3*CI$4&lt;0.002,100,MAX($CM$2/(Flows!CI50*CI$3*CI$4),1))</f>
        <v>194.141324183072</v>
      </c>
      <c r="CJ80" s="10" t="n">
        <f aca="false">IF(Flows!CJ50*CJ$3*CJ$4&lt;0.002,100,MAX($CM$2/(Flows!CJ50*CJ$3*CJ$4),1))</f>
        <v>11182.2949174703</v>
      </c>
      <c r="CK80" s="10" t="n">
        <f aca="false">IF(Flows!CK50*CK$3*CK$4&lt;0.002,100,MAX($CM$2/(Flows!CK50*CK$3*CK$4),1))</f>
        <v>720.611449008491</v>
      </c>
      <c r="CL80" s="7" t="s">
        <v>322</v>
      </c>
    </row>
    <row r="81" customFormat="false" ht="12.8" hidden="false" customHeight="false" outlineLevel="0" collapsed="false">
      <c r="A81" s="7" t="s">
        <v>158</v>
      </c>
      <c r="B81" s="7" t="s">
        <v>39</v>
      </c>
      <c r="C81" s="10" t="n">
        <f aca="false">IF(Flows!C51*C$3*C$4&lt;0.002,100,MAX($CM$2/(Flows!C51*C$3*C$4),1))</f>
        <v>5754.5194195484</v>
      </c>
      <c r="D81" s="10" t="n">
        <f aca="false">IF(Flows!D51*D$3*D$4&lt;0.002,100,MAX($CM$2/(Flows!D51*D$3*D$4),1))</f>
        <v>1.3615951348037</v>
      </c>
      <c r="E81" s="10" t="n">
        <f aca="false">IF(Flows!E51*E$3*E$4&lt;0.002,100,MAX($CM$2/(Flows!E51*E$3*E$4),1))</f>
        <v>8.00819222963722</v>
      </c>
      <c r="F81" s="10" t="n">
        <f aca="false">IF(Flows!F51*F$3*F$4&lt;0.002,100,MAX($CM$2/(Flows!F51*F$3*F$4),1))</f>
        <v>15.6622039009116</v>
      </c>
      <c r="G81" s="10" t="n">
        <f aca="false">IF(Flows!G51*G$3*G$4&lt;0.002,100,MAX($CM$2/(Flows!G51*G$3*G$4),1))</f>
        <v>13.9758449237596</v>
      </c>
      <c r="H81" s="10" t="n">
        <f aca="false">IF(Flows!H51*H$3*H$4&lt;0.002,100,MAX($CM$2/(Flows!H51*H$3*H$4),1))</f>
        <v>100</v>
      </c>
      <c r="I81" s="10" t="n">
        <f aca="false">IF(Flows!I51*I$3*I$4&lt;0.002,100,MAX($CM$2/(Flows!I51*I$3*I$4),1))</f>
        <v>9454.83464849425</v>
      </c>
      <c r="J81" s="10" t="n">
        <f aca="false">IF(Flows!J51*J$3*J$4&lt;0.002,100,MAX($CM$2/(Flows!J51*J$3*J$4),1))</f>
        <v>1101.60709481192</v>
      </c>
      <c r="K81" s="10" t="n">
        <f aca="false">IF(Flows!K51*K$3*K$4&lt;0.002,100,MAX($CM$2/(Flows!K51*K$3*K$4),1))</f>
        <v>6278.62556336091</v>
      </c>
      <c r="L81" s="10" t="n">
        <f aca="false">IF(Flows!L51*L$3*L$4&lt;0.002,100,MAX($CM$2/(Flows!L51*L$3*L$4),1))</f>
        <v>20354.8730958335</v>
      </c>
      <c r="M81" s="10" t="n">
        <f aca="false">IF(Flows!M51*M$3*M$4&lt;0.002,100,MAX($CM$2/(Flows!M51*M$3*M$4),1))</f>
        <v>13737.1510291005</v>
      </c>
      <c r="N81" s="10" t="n">
        <f aca="false">IF(Flows!N51*N$3*N$4&lt;0.002,100,MAX($CM$2/(Flows!N51*N$3*N$4),1))</f>
        <v>5.72829530756591</v>
      </c>
      <c r="O81" s="10" t="n">
        <f aca="false">IF(Flows!O51*O$3*O$4&lt;0.002,100,MAX($CM$2/(Flows!O51*O$3*O$4),1))</f>
        <v>2.04239270220554</v>
      </c>
      <c r="P81" s="10" t="n">
        <f aca="false">IF(Flows!P51*P$3*P$4&lt;0.002,100,MAX($CM$2/(Flows!P51*P$3*P$4),1))</f>
        <v>3.82948631663539</v>
      </c>
      <c r="Q81" s="10" t="n">
        <f aca="false">IF(Flows!Q51*Q$3*Q$4&lt;0.002,100,MAX($CM$2/(Flows!Q51*Q$3*Q$4),1))</f>
        <v>517.46632012162</v>
      </c>
      <c r="R81" s="10" t="n">
        <f aca="false">IF(Flows!R51*R$3*R$4&lt;0.002,100,MAX($CM$2/(Flows!R51*R$3*R$4),1))</f>
        <v>22.3046345311744</v>
      </c>
      <c r="S81" s="10" t="n">
        <f aca="false">IF(Flows!S51*S$3*S$4&lt;0.002,100,MAX($CM$2/(Flows!S51*S$3*S$4),1))</f>
        <v>174.470340821429</v>
      </c>
      <c r="T81" s="10" t="n">
        <f aca="false">IF(Flows!T51*T$3*T$4&lt;0.002,100,MAX($CM$2/(Flows!T51*T$3*T$4),1))</f>
        <v>312.165070587361</v>
      </c>
      <c r="U81" s="10" t="n">
        <f aca="false">IF(Flows!U51*U$3*U$4&lt;0.002,100,MAX($CM$2/(Flows!U51*U$3*U$4),1))</f>
        <v>57.2381292879186</v>
      </c>
      <c r="V81" s="10" t="n">
        <f aca="false">IF(Flows!V51*V$3*V$4&lt;0.002,100,MAX($CM$2/(Flows!V51*V$3*V$4),1))</f>
        <v>323.505397735377</v>
      </c>
      <c r="W81" s="10" t="n">
        <f aca="false">IF(Flows!W51*W$3*W$4&lt;0.002,100,MAX($CM$2/(Flows!W51*W$3*W$4),1))</f>
        <v>5.47105211591781</v>
      </c>
      <c r="X81" s="10" t="n">
        <f aca="false">IF(Flows!X51*X$3*X$4&lt;0.002,100,MAX($CM$2/(Flows!X51*X$3*X$4),1))</f>
        <v>3.17311933852639</v>
      </c>
      <c r="Y81" s="10" t="n">
        <f aca="false">IF(Flows!Y51*Y$3*Y$4&lt;0.002,100,MAX($CM$2/(Flows!Y51*Y$3*Y$4),1))</f>
        <v>101.774365479167</v>
      </c>
      <c r="Z81" s="10" t="n">
        <f aca="false">IF(Flows!Z51*Z$3*Z$4&lt;0.002,100,MAX($CM$2/(Flows!Z51*Z$3*Z$4),1))</f>
        <v>7137.9604588733</v>
      </c>
      <c r="AA81" s="10" t="n">
        <f aca="false">IF(Flows!AA51*AA$3*AA$4&lt;0.002,100,MAX($CM$2/(Flows!AA51*AA$3*AA$4),1))</f>
        <v>8877.86612991349</v>
      </c>
      <c r="AB81" s="10" t="n">
        <f aca="false">IF(Flows!AB51*AB$3*AB$4&lt;0.002,100,MAX($CM$2/(Flows!AB51*AB$3*AB$4),1))</f>
        <v>8582.12217052714</v>
      </c>
      <c r="AC81" s="10" t="n">
        <f aca="false">IF(Flows!AC51*AC$3*AC$4&lt;0.002,100,MAX($CM$2/(Flows!AC51*AC$3*AC$4),1))</f>
        <v>47764.9927672745</v>
      </c>
      <c r="AD81" s="10" t="n">
        <f aca="false">IF(Flows!AD51*AD$3*AD$4&lt;0.002,100,MAX($CM$2/(Flows!AD51*AD$3*AD$4),1))</f>
        <v>54060.7030798062</v>
      </c>
      <c r="AE81" s="10" t="n">
        <f aca="false">IF(Flows!AE51*AE$3*AE$4&lt;0.002,100,MAX($CM$2/(Flows!AE51*AE$3*AE$4),1))</f>
        <v>104441.396363172</v>
      </c>
      <c r="AF81" s="10" t="n">
        <f aca="false">IF(Flows!AF51*AF$3*AF$4&lt;0.002,100,MAX($CM$2/(Flows!AF51*AF$3*AF$4),1))</f>
        <v>575.731012278866</v>
      </c>
      <c r="AG81" s="10" t="n">
        <f aca="false">IF(Flows!AG51*AG$3*AG$4&lt;0.002,100,MAX($CM$2/(Flows!AG51*AG$3*AG$4),1))</f>
        <v>379.769168350544</v>
      </c>
      <c r="AH81" s="10" t="n">
        <f aca="false">IF(Flows!AH51*AH$3*AH$4&lt;0.002,100,MAX($CM$2/(Flows!AH51*AH$3*AH$4),1))</f>
        <v>779.983630010275</v>
      </c>
      <c r="AI81" s="10" t="n">
        <f aca="false">IF(Flows!AI51*AI$3*AI$4&lt;0.002,100,MAX($CM$2/(Flows!AI51*AI$3*AI$4),1))</f>
        <v>1842.62828568866</v>
      </c>
      <c r="AJ81" s="10" t="n">
        <f aca="false">IF(Flows!AJ51*AJ$3*AJ$4&lt;0.002,100,MAX($CM$2/(Flows!AJ51*AJ$3*AJ$4),1))</f>
        <v>528.170181460517</v>
      </c>
      <c r="AK81" s="10" t="n">
        <f aca="false">IF(Flows!AK51*AK$3*AK$4&lt;0.002,100,MAX($CM$2/(Flows!AK51*AK$3*AK$4),1))</f>
        <v>812.490462902966</v>
      </c>
      <c r="AL81" s="10" t="n">
        <f aca="false">IF(Flows!AL51*AL$3*AL$4&lt;0.002,100,MAX($CM$2/(Flows!AL51*AL$3*AL$4),1))</f>
        <v>527.287820279082</v>
      </c>
      <c r="AM81" s="10" t="n">
        <f aca="false">IF(Flows!AM51*AM$3*AM$4&lt;0.002,100,MAX($CM$2/(Flows!AM51*AM$3*AM$4),1))</f>
        <v>829.945675603778</v>
      </c>
      <c r="AN81" s="10" t="n">
        <f aca="false">IF(Flows!AN51*AN$3*AN$4&lt;0.002,100,MAX($CM$2/(Flows!AN51*AN$3*AN$4),1))</f>
        <v>1077.25659612016</v>
      </c>
      <c r="AO81" s="10" t="n">
        <f aca="false">IF(Flows!AO51*AO$3*AO$4&lt;0.002,100,MAX($CM$2/(Flows!AO51*AO$3*AO$4),1))</f>
        <v>10979.968071903</v>
      </c>
      <c r="AP81" s="10" t="n">
        <f aca="false">IF(Flows!AP51*AP$3*AP$4&lt;0.002,100,MAX($CM$2/(Flows!AP51*AP$3*AP$4),1))</f>
        <v>22890.1186209931</v>
      </c>
      <c r="AQ81" s="10" t="n">
        <f aca="false">IF(Flows!AQ51*AQ$3*AQ$4&lt;0.002,100,MAX($CM$2/(Flows!AQ51*AQ$3*AQ$4),1))</f>
        <v>7490.05050349459</v>
      </c>
      <c r="AR81" s="10" t="n">
        <f aca="false">IF(Flows!AR51*AR$3*AR$4&lt;0.002,100,MAX($CM$2/(Flows!AR51*AR$3*AR$4),1))</f>
        <v>10777.8634333691</v>
      </c>
      <c r="AS81" s="10" t="n">
        <f aca="false">IF(Flows!AS51*AS$3*AS$4&lt;0.002,100,MAX($CM$2/(Flows!AS51*AS$3*AS$4),1))</f>
        <v>13946.8895771173</v>
      </c>
      <c r="AT81" s="10" t="n">
        <f aca="false">IF(Flows!AT51*AT$3*AT$4&lt;0.002,100,MAX($CM$2/(Flows!AT51*AT$3*AT$4),1))</f>
        <v>1151.59205804357</v>
      </c>
      <c r="AU81" s="10" t="n">
        <f aca="false">IF(Flows!AU51*AU$3*AU$4&lt;0.002,100,MAX($CM$2/(Flows!AU51*AU$3*AU$4),1))</f>
        <v>1804.0544465703</v>
      </c>
      <c r="AV81" s="10" t="n">
        <f aca="false">IF(Flows!AV51*AV$3*AV$4&lt;0.002,100,MAX($CM$2/(Flows!AV51*AV$3*AV$4),1))</f>
        <v>8698.65399802199</v>
      </c>
      <c r="AW81" s="10" t="n">
        <f aca="false">IF(Flows!AW51*AW$3*AW$4&lt;0.002,100,MAX($CM$2/(Flows!AW51*AW$3*AW$4),1))</f>
        <v>14.5016324810273</v>
      </c>
      <c r="AX81" s="10" t="n">
        <f aca="false">IF(Flows!AX51*AX$3*AX$4&lt;0.002,100,MAX($CM$2/(Flows!AX51*AX$3*AX$4),1))</f>
        <v>2062.41049959607</v>
      </c>
      <c r="AY81" s="10" t="n">
        <f aca="false">IF(Flows!AY51*AY$3*AY$4&lt;0.002,100,MAX($CM$2/(Flows!AY51*AY$3*AY$4),1))</f>
        <v>499.116190568396</v>
      </c>
      <c r="AZ81" s="10" t="n">
        <f aca="false">IF(Flows!AZ51*AZ$3*AZ$4&lt;0.002,100,MAX($CM$2/(Flows!AZ51*AZ$3*AZ$4),1))</f>
        <v>124.506103888437</v>
      </c>
      <c r="BA81" s="10" t="n">
        <f aca="false">IF(Flows!BA51*BA$3*BA$4&lt;0.002,100,MAX($CM$2/(Flows!BA51*BA$3*BA$4),1))</f>
        <v>1038.09852788751</v>
      </c>
      <c r="BB81" s="10" t="n">
        <f aca="false">IF(Flows!BB51*BB$3*BB$4&lt;0.002,100,MAX($CM$2/(Flows!BB51*BB$3*BB$4),1))</f>
        <v>7395.01192065529</v>
      </c>
      <c r="BC81" s="10" t="n">
        <f aca="false">IF(Flows!BC51*BC$3*BC$4&lt;0.002,100,MAX($CM$2/(Flows!BC51*BC$3*BC$4),1))</f>
        <v>2150.10778401691</v>
      </c>
      <c r="BD81" s="10" t="n">
        <f aca="false">IF(Flows!BD51*BD$3*BD$4&lt;0.002,100,MAX($CM$2/(Flows!BD51*BD$3*BD$4),1))</f>
        <v>6528.72942492927</v>
      </c>
      <c r="BE81" s="10" t="n">
        <f aca="false">IF(Flows!BE51*BE$3*BE$4&lt;0.002,100,MAX($CM$2/(Flows!BE51*BE$3*BE$4),1))</f>
        <v>14883.7336592278</v>
      </c>
      <c r="BF81" s="10" t="n">
        <f aca="false">IF(Flows!BF51*BF$3*BF$4&lt;0.002,100,MAX($CM$2/(Flows!BF51*BF$3*BF$4),1))</f>
        <v>2396.38217837235</v>
      </c>
      <c r="BG81" s="10" t="n">
        <f aca="false">IF(Flows!BG51*BG$3*BG$4&lt;0.002,100,MAX($CM$2/(Flows!BG51*BG$3*BG$4),1))</f>
        <v>153.597126964442</v>
      </c>
      <c r="BH81" s="10" t="n">
        <f aca="false">IF(Flows!BH51*BH$3*BH$4&lt;0.002,100,MAX($CM$2/(Flows!BH51*BH$3*BH$4),1))</f>
        <v>76.798563482221</v>
      </c>
      <c r="BI81" s="10" t="n">
        <f aca="false">IF(Flows!BI51*BI$3*BI$4&lt;0.002,100,MAX($CM$2/(Flows!BI51*BI$3*BI$4),1))</f>
        <v>57.5989226116658</v>
      </c>
      <c r="BJ81" s="10" t="n">
        <f aca="false">IF(Flows!BJ51*BJ$3*BJ$4&lt;0.002,100,MAX($CM$2/(Flows!BJ51*BJ$3*BJ$4),1))</f>
        <v>3.09293465704467</v>
      </c>
      <c r="BK81" s="10" t="n">
        <f aca="false">IF(Flows!BK51*BK$3*BK$4&lt;0.002,100,MAX($CM$2/(Flows!BK51*BK$3*BK$4),1))</f>
        <v>115.197845223332</v>
      </c>
      <c r="BL81" s="10" t="n">
        <f aca="false">IF(Flows!BL51*BL$3*BL$4&lt;0.002,100,MAX($CM$2/(Flows!BL51*BL$3*BL$4),1))</f>
        <v>182.656772479411</v>
      </c>
      <c r="BM81" s="10" t="n">
        <f aca="false">IF(Flows!BM51*BM$3*BM$4&lt;0.002,100,MAX($CM$2/(Flows!BM51*BM$3*BM$4),1))</f>
        <v>32.902763683616</v>
      </c>
      <c r="BN81" s="10" t="n">
        <f aca="false">IF(Flows!BN51*BN$3*BN$4&lt;0.002,100,MAX($CM$2/(Flows!BN51*BN$3*BN$4),1))</f>
        <v>252516.40499944</v>
      </c>
      <c r="BO81" s="10" t="n">
        <f aca="false">IF(Flows!BO51*BO$3*BO$4&lt;0.002,100,MAX($CM$2/(Flows!BO51*BO$3*BO$4),1))</f>
        <v>14.723112689465</v>
      </c>
      <c r="BP81" s="10" t="n">
        <f aca="false">IF(Flows!BP51*BP$3*BP$4&lt;0.002,100,MAX($CM$2/(Flows!BP51*BP$3*BP$4),1))</f>
        <v>41.6032184325471</v>
      </c>
      <c r="BQ81" s="10" t="n">
        <f aca="false">IF(Flows!BQ51*BQ$3*BQ$4&lt;0.002,100,MAX($CM$2/(Flows!BQ51*BQ$3*BQ$4),1))</f>
        <v>100</v>
      </c>
      <c r="BR81" s="10" t="n">
        <f aca="false">IF(Flows!BR51*BR$3*BR$4&lt;0.002,100,MAX($CM$2/(Flows!BR51*BR$3*BR$4),1))</f>
        <v>441.693123870226</v>
      </c>
      <c r="BS81" s="10" t="n">
        <f aca="false">IF(Flows!BS51*BS$3*BS$4&lt;0.002,100,MAX($CM$2/(Flows!BS51*BS$3*BS$4),1))</f>
        <v>4416.93123870226</v>
      </c>
      <c r="BT81" s="10" t="n">
        <f aca="false">IF(Flows!BT51*BT$3*BT$4&lt;0.002,100,MAX($CM$2/(Flows!BT51*BT$3*BT$4),1))</f>
        <v>2.06855228322402</v>
      </c>
      <c r="BU81" s="10" t="n">
        <f aca="false">IF(Flows!BU51*BU$3*BU$4&lt;0.002,100,MAX($CM$2/(Flows!BU51*BU$3*BU$4),1))</f>
        <v>20.6855228322402</v>
      </c>
      <c r="BV81" s="10" t="n">
        <f aca="false">IF(Flows!BV51*BV$3*BV$4&lt;0.002,100,MAX($CM$2/(Flows!BV51*BV$3*BV$4),1))</f>
        <v>206.855228322402</v>
      </c>
      <c r="BW81" s="10" t="n">
        <f aca="false">IF(Flows!BW51*BW$3*BW$4&lt;0.002,100,MAX($CM$2/(Flows!BW51*BW$3*BW$4),1))</f>
        <v>15.4282828424105</v>
      </c>
      <c r="BX81" s="10" t="n">
        <f aca="false">IF(Flows!BX51*BX$3*BX$4&lt;0.002,100,MAX($CM$2/(Flows!BX51*BX$3*BX$4),1))</f>
        <v>36.7604599049559</v>
      </c>
      <c r="BY81" s="10" t="n">
        <f aca="false">IF(Flows!BY51*BY$3*BY$4&lt;0.002,100,MAX($CM$2/(Flows!BY51*BY$3*BY$4),1))</f>
        <v>50.9186661098914</v>
      </c>
      <c r="BZ81" s="10" t="n">
        <f aca="false">IF(Flows!BZ51*BZ$3*BZ$4&lt;0.002,100,MAX($CM$2/(Flows!BZ51*BZ$3*BZ$4),1))</f>
        <v>35310.1198404194</v>
      </c>
      <c r="CA81" s="10" t="n">
        <f aca="false">IF(Flows!CA51*CA$3*CA$4&lt;0.002,100,MAX($CM$2/(Flows!CA51*CA$3*CA$4),1))</f>
        <v>55130.4125017344</v>
      </c>
      <c r="CB81" s="10" t="n">
        <f aca="false">IF(Flows!CB51*CB$3*CB$4&lt;0.002,100,MAX($CM$2/(Flows!CB51*CB$3*CB$4),1))</f>
        <v>145.587268759933</v>
      </c>
      <c r="CC81" s="10" t="n">
        <f aca="false">IF(Flows!CC51*CC$3*CC$4&lt;0.002,100,MAX($CM$2/(Flows!CC51*CC$3*CC$4),1))</f>
        <v>10.5181539286495</v>
      </c>
      <c r="CD81" s="10" t="n">
        <f aca="false">IF(Flows!CD51*CD$3*CD$4&lt;0.002,100,MAX($CM$2/(Flows!CD51*CD$3*CD$4),1))</f>
        <v>42.3412588026995</v>
      </c>
      <c r="CE81" s="10" t="n">
        <f aca="false">IF(Flows!CE51*CE$3*CE$4&lt;0.002,100,MAX($CM$2/(Flows!CE51*CE$3*CE$4),1))</f>
        <v>199.40114347239</v>
      </c>
      <c r="CF81" s="10" t="n">
        <f aca="false">IF(Flows!CF51*CF$3*CF$4&lt;0.002,100,MAX($CM$2/(Flows!CF51*CF$3*CF$4),1))</f>
        <v>1</v>
      </c>
      <c r="CG81" s="10" t="n">
        <f aca="false">IF(Flows!CG51*CG$3*CG$4&lt;0.002,100,MAX($CM$2/(Flows!CG51*CG$3*CG$4),1))</f>
        <v>64.9177422549069</v>
      </c>
      <c r="CH81" s="10" t="n">
        <f aca="false">IF(Flows!CH51*CH$3*CH$4&lt;0.002,100,MAX($CM$2/(Flows!CH51*CH$3*CH$4),1))</f>
        <v>105.19294924418</v>
      </c>
      <c r="CI81" s="10" t="n">
        <f aca="false">IF(Flows!CI51*CI$3*CI$4&lt;0.002,100,MAX($CM$2/(Flows!CI51*CI$3*CI$4),1))</f>
        <v>151.302505147922</v>
      </c>
      <c r="CJ81" s="10" t="n">
        <f aca="false">IF(Flows!CJ51*CJ$3*CJ$4&lt;0.002,100,MAX($CM$2/(Flows!CJ51*CJ$3*CJ$4),1))</f>
        <v>820.473215090468</v>
      </c>
      <c r="CK81" s="10" t="n">
        <f aca="false">IF(Flows!CK51*CK$3*CK$4&lt;0.002,100,MAX($CM$2/(Flows!CK51*CK$3*CK$4),1))</f>
        <v>11237.6486725857</v>
      </c>
      <c r="CL81" s="7" t="s">
        <v>322</v>
      </c>
    </row>
    <row r="82" customFormat="false" ht="12.8" hidden="false" customHeight="false" outlineLevel="0" collapsed="false">
      <c r="A82" s="7" t="s">
        <v>159</v>
      </c>
      <c r="B82" s="7" t="s">
        <v>39</v>
      </c>
      <c r="C82" s="10" t="n">
        <f aca="false">IF(Flows!C52*C$3*C$4&lt;0.002,100,MAX($CM$2/(Flows!C52*C$3*C$4),1))</f>
        <v>21771.9721249998</v>
      </c>
      <c r="D82" s="10" t="n">
        <f aca="false">IF(Flows!D52*D$3*D$4&lt;0.002,100,MAX($CM$2/(Flows!D52*D$3*D$4),1))</f>
        <v>7.02877168315921</v>
      </c>
      <c r="E82" s="10" t="n">
        <f aca="false">IF(Flows!E52*E$3*E$4&lt;0.002,100,MAX($CM$2/(Flows!E52*E$3*E$4),1))</f>
        <v>68.9478471297825</v>
      </c>
      <c r="F82" s="10" t="n">
        <f aca="false">IF(Flows!F52*F$3*F$4&lt;0.002,100,MAX($CM$2/(Flows!F52*F$3*F$4),1))</f>
        <v>336.907012976733</v>
      </c>
      <c r="G82" s="10" t="n">
        <f aca="false">IF(Flows!G52*G$3*G$4&lt;0.002,100,MAX($CM$2/(Flows!G52*G$3*G$4),1))</f>
        <v>94.1064177528794</v>
      </c>
      <c r="H82" s="10" t="n">
        <f aca="false">IF(Flows!H52*H$3*H$4&lt;0.002,100,MAX($CM$2/(Flows!H52*H$3*H$4),1))</f>
        <v>100</v>
      </c>
      <c r="I82" s="10" t="n">
        <f aca="false">IF(Flows!I52*I$3*I$4&lt;0.002,100,MAX($CM$2/(Flows!I52*I$3*I$4),1))</f>
        <v>2522.66306416054</v>
      </c>
      <c r="J82" s="10" t="n">
        <f aca="false">IF(Flows!J52*J$3*J$4&lt;0.002,100,MAX($CM$2/(Flows!J52*J$3*J$4),1))</f>
        <v>2247.10885215011</v>
      </c>
      <c r="K82" s="10" t="n">
        <f aca="false">IF(Flows!K52*K$3*K$4&lt;0.002,100,MAX($CM$2/(Flows!K52*K$3*K$4),1))</f>
        <v>18304.7455931066</v>
      </c>
      <c r="L82" s="10" t="n">
        <f aca="false">IF(Flows!L52*L$3*L$4&lt;0.002,100,MAX($CM$2/(Flows!L52*L$3*L$4),1))</f>
        <v>101472.044563677</v>
      </c>
      <c r="M82" s="10" t="n">
        <f aca="false">IF(Flows!M52*M$3*M$4&lt;0.002,100,MAX($CM$2/(Flows!M52*M$3*M$4),1))</f>
        <v>74248.1197877309</v>
      </c>
      <c r="N82" s="10" t="n">
        <f aca="false">IF(Flows!N52*N$3*N$4&lt;0.002,100,MAX($CM$2/(Flows!N52*N$3*N$4),1))</f>
        <v>57.2410305204863</v>
      </c>
      <c r="O82" s="10" t="n">
        <f aca="false">IF(Flows!O52*O$3*O$4&lt;0.002,100,MAX($CM$2/(Flows!O52*O$3*O$4),1))</f>
        <v>10.5431575247388</v>
      </c>
      <c r="P82" s="10" t="n">
        <f aca="false">IF(Flows!P52*P$3*P$4&lt;0.002,100,MAX($CM$2/(Flows!P52*P$3*P$4),1))</f>
        <v>19.7684203588853</v>
      </c>
      <c r="Q82" s="10" t="n">
        <f aca="false">IF(Flows!Q52*Q$3*Q$4&lt;0.002,100,MAX($CM$2/(Flows!Q52*Q$3*Q$4),1))</f>
        <v>802.448656333268</v>
      </c>
      <c r="R82" s="10" t="n">
        <f aca="false">IF(Flows!R52*R$3*R$4&lt;0.002,100,MAX($CM$2/(Flows!R52*R$3*R$4),1))</f>
        <v>32.008237724211</v>
      </c>
      <c r="S82" s="10" t="n">
        <f aca="false">IF(Flows!S52*S$3*S$4&lt;0.002,100,MAX($CM$2/(Flows!S52*S$3*S$4),1))</f>
        <v>869.760381974374</v>
      </c>
      <c r="T82" s="10" t="n">
        <f aca="false">IF(Flows!T52*T$3*T$4&lt;0.002,100,MAX($CM$2/(Flows!T52*T$3*T$4),1))</f>
        <v>1556.18891872866</v>
      </c>
      <c r="U82" s="10" t="n">
        <f aca="false">IF(Flows!U52*U$3*U$4&lt;0.002,100,MAX($CM$2/(Flows!U52*U$3*U$4),1))</f>
        <v>309.367165782212</v>
      </c>
      <c r="V82" s="10" t="n">
        <f aca="false">IF(Flows!V52*V$3*V$4&lt;0.002,100,MAX($CM$2/(Flows!V52*V$3*V$4),1))</f>
        <v>424.720099869698</v>
      </c>
      <c r="W82" s="10" t="n">
        <f aca="false">IF(Flows!W52*W$3*W$4&lt;0.002,100,MAX($CM$2/(Flows!W52*W$3*W$4),1))</f>
        <v>36.0108869743502</v>
      </c>
      <c r="X82" s="10" t="n">
        <f aca="false">IF(Flows!X52*X$3*X$4&lt;0.002,100,MAX($CM$2/(Flows!X52*X$3*X$4),1))</f>
        <v>7.58051365203207</v>
      </c>
      <c r="Y82" s="10" t="n">
        <f aca="false">IF(Flows!Y52*Y$3*Y$4&lt;0.002,100,MAX($CM$2/(Flows!Y52*Y$3*Y$4),1))</f>
        <v>507.360222818386</v>
      </c>
      <c r="Z82" s="10" t="n">
        <f aca="false">IF(Flows!Z52*Z$3*Z$4&lt;0.002,100,MAX($CM$2/(Flows!Z52*Z$3*Z$4),1))</f>
        <v>100227.13126279</v>
      </c>
      <c r="AA82" s="10" t="n">
        <f aca="false">IF(Flows!AA52*AA$3*AA$4&lt;0.002,100,MAX($CM$2/(Flows!AA52*AA$3*AA$4),1))</f>
        <v>101849.28997299</v>
      </c>
      <c r="AB82" s="10" t="n">
        <f aca="false">IF(Flows!AB52*AB$3*AB$4&lt;0.002,100,MAX($CM$2/(Flows!AB52*AB$3*AB$4),1))</f>
        <v>73889.1912799935</v>
      </c>
      <c r="AC82" s="10" t="n">
        <f aca="false">IF(Flows!AC52*AC$3*AC$4&lt;0.002,100,MAX($CM$2/(Flows!AC52*AC$3*AC$4),1))</f>
        <v>618974.676369297</v>
      </c>
      <c r="AD82" s="10" t="n">
        <f aca="false">IF(Flows!AD52*AD$3*AD$4&lt;0.002,100,MAX($CM$2/(Flows!AD52*AD$3*AD$4),1))</f>
        <v>465444.507922844</v>
      </c>
      <c r="AE82" s="10" t="n">
        <f aca="false">IF(Flows!AE52*AE$3*AE$4&lt;0.002,100,MAX($CM$2/(Flows!AE52*AE$3*AE$4),1))</f>
        <v>2636307.83367207</v>
      </c>
      <c r="AF82" s="10" t="n">
        <f aca="false">IF(Flows!AF52*AF$3*AF$4&lt;0.002,100,MAX($CM$2/(Flows!AF52*AF$3*AF$4),1))</f>
        <v>1220.55379371809</v>
      </c>
      <c r="AG82" s="10" t="n">
        <f aca="false">IF(Flows!AG52*AG$3*AG$4&lt;0.002,100,MAX($CM$2/(Flows!AG52*AG$3*AG$4),1))</f>
        <v>896.871026593309</v>
      </c>
      <c r="AH82" s="10" t="n">
        <f aca="false">IF(Flows!AH52*AH$3*AH$4&lt;0.002,100,MAX($CM$2/(Flows!AH52*AH$3*AH$4),1))</f>
        <v>648.567439642184</v>
      </c>
      <c r="AI82" s="10" t="n">
        <f aca="false">IF(Flows!AI52*AI$3*AI$4&lt;0.002,100,MAX($CM$2/(Flows!AI52*AI$3*AI$4),1))</f>
        <v>49780.8062291228</v>
      </c>
      <c r="AJ82" s="10" t="n">
        <f aca="false">IF(Flows!AJ52*AJ$3*AJ$4&lt;0.002,100,MAX($CM$2/(Flows!AJ52*AJ$3*AJ$4),1))</f>
        <v>3753.16612217624</v>
      </c>
      <c r="AK82" s="10" t="n">
        <f aca="false">IF(Flows!AK52*AK$3*AK$4&lt;0.002,100,MAX($CM$2/(Flows!AK52*AK$3*AK$4),1))</f>
        <v>3777.67026335376</v>
      </c>
      <c r="AL82" s="10" t="n">
        <f aca="false">IF(Flows!AL52*AL$3*AL$4&lt;0.002,100,MAX($CM$2/(Flows!AL52*AL$3*AL$4),1))</f>
        <v>4114.18132533398</v>
      </c>
      <c r="AM82" s="10" t="n">
        <f aca="false">IF(Flows!AM52*AM$3*AM$4&lt;0.002,100,MAX($CM$2/(Flows!AM52*AM$3*AM$4),1))</f>
        <v>32373.207327083</v>
      </c>
      <c r="AN82" s="10" t="n">
        <f aca="false">IF(Flows!AN52*AN$3*AN$4&lt;0.002,100,MAX($CM$2/(Flows!AN52*AN$3*AN$4),1))</f>
        <v>1961.79946973114</v>
      </c>
      <c r="AO82" s="10" t="n">
        <f aca="false">IF(Flows!AO52*AO$3*AO$4&lt;0.002,100,MAX($CM$2/(Flows!AO52*AO$3*AO$4),1))</f>
        <v>38889.2914385944</v>
      </c>
      <c r="AP82" s="10" t="n">
        <f aca="false">IF(Flows!AP52*AP$3*AP$4&lt;0.002,100,MAX($CM$2/(Flows!AP52*AP$3*AP$4),1))</f>
        <v>64603.8634044765</v>
      </c>
      <c r="AQ82" s="10" t="n">
        <f aca="false">IF(Flows!AQ52*AQ$3*AQ$4&lt;0.002,100,MAX($CM$2/(Flows!AQ52*AQ$3*AQ$4),1))</f>
        <v>27215.9212009396</v>
      </c>
      <c r="AR82" s="10" t="n">
        <f aca="false">IF(Flows!AR52*AR$3*AR$4&lt;0.002,100,MAX($CM$2/(Flows!AR52*AR$3*AR$4),1))</f>
        <v>94639.0685751082</v>
      </c>
      <c r="AS82" s="10" t="n">
        <f aca="false">IF(Flows!AS52*AS$3*AS$4&lt;0.002,100,MAX($CM$2/(Flows!AS52*AS$3*AS$4),1))</f>
        <v>3684.96573102269</v>
      </c>
      <c r="AT82" s="10" t="n">
        <f aca="false">IF(Flows!AT52*AT$3*AT$4&lt;0.002,100,MAX($CM$2/(Flows!AT52*AT$3*AT$4),1))</f>
        <v>995.609569140419</v>
      </c>
      <c r="AU82" s="10" t="n">
        <f aca="false">IF(Flows!AU52*AU$3*AU$4&lt;0.002,100,MAX($CM$2/(Flows!AU52*AU$3*AU$4),1))</f>
        <v>703.877454239194</v>
      </c>
      <c r="AV82" s="10" t="n">
        <f aca="false">IF(Flows!AV52*AV$3*AV$4&lt;0.002,100,MAX($CM$2/(Flows!AV52*AV$3*AV$4),1))</f>
        <v>62626.5134861036</v>
      </c>
      <c r="AW82" s="10" t="n">
        <f aca="false">IF(Flows!AW52*AW$3*AW$4&lt;0.002,100,MAX($CM$2/(Flows!AW52*AW$3*AW$4),1))</f>
        <v>180.60255287266</v>
      </c>
      <c r="AX82" s="10" t="n">
        <f aca="false">IF(Flows!AX52*AX$3*AX$4&lt;0.002,100,MAX($CM$2/(Flows!AX52*AX$3*AX$4),1))</f>
        <v>3779.32679809838</v>
      </c>
      <c r="AY82" s="10" t="n">
        <f aca="false">IF(Flows!AY52*AY$3*AY$4&lt;0.002,100,MAX($CM$2/(Flows!AY52*AY$3*AY$4),1))</f>
        <v>5212.09238975461</v>
      </c>
      <c r="AZ82" s="10" t="n">
        <f aca="false">IF(Flows!AZ52*AZ$3*AZ$4&lt;0.002,100,MAX($CM$2/(Flows!AZ52*AZ$3*AZ$4),1))</f>
        <v>1198.13445308417</v>
      </c>
      <c r="BA82" s="10" t="n">
        <f aca="false">IF(Flows!BA52*BA$3*BA$4&lt;0.002,100,MAX($CM$2/(Flows!BA52*BA$3*BA$4),1))</f>
        <v>5175.07427274754</v>
      </c>
      <c r="BB82" s="10" t="n">
        <f aca="false">IF(Flows!BB52*BB$3*BB$4&lt;0.002,100,MAX($CM$2/(Flows!BB52*BB$3*BB$4),1))</f>
        <v>17021.7655127592</v>
      </c>
      <c r="BC82" s="10" t="n">
        <f aca="false">IF(Flows!BC52*BC$3*BC$4&lt;0.002,100,MAX($CM$2/(Flows!BC52*BC$3*BC$4),1))</f>
        <v>2567.35565166587</v>
      </c>
      <c r="BD82" s="10" t="n">
        <f aca="false">IF(Flows!BD52*BD$3*BD$4&lt;0.002,100,MAX($CM$2/(Flows!BD52*BD$3*BD$4),1))</f>
        <v>29239.7175469436</v>
      </c>
      <c r="BE82" s="10" t="n">
        <f aca="false">IF(Flows!BE52*BE$3*BE$4&lt;0.002,100,MAX($CM$2/(Flows!BE52*BE$3*BE$4),1))</f>
        <v>16663.8947597501</v>
      </c>
      <c r="BF82" s="10" t="n">
        <f aca="false">IF(Flows!BF52*BF$3*BF$4&lt;0.002,100,MAX($CM$2/(Flows!BF52*BF$3*BF$4),1))</f>
        <v>5056.38667273935</v>
      </c>
      <c r="BG82" s="10" t="n">
        <f aca="false">IF(Flows!BG52*BG$3*BG$4&lt;0.002,100,MAX($CM$2/(Flows!BG52*BG$3*BG$4),1))</f>
        <v>1322.41970794923</v>
      </c>
      <c r="BH82" s="10" t="n">
        <f aca="false">IF(Flows!BH52*BH$3*BH$4&lt;0.002,100,MAX($CM$2/(Flows!BH52*BH$3*BH$4),1))</f>
        <v>661.209853974614</v>
      </c>
      <c r="BI82" s="10" t="n">
        <f aca="false">IF(Flows!BI52*BI$3*BI$4&lt;0.002,100,MAX($CM$2/(Flows!BI52*BI$3*BI$4),1))</f>
        <v>495.907390480961</v>
      </c>
      <c r="BJ82" s="10" t="n">
        <f aca="false">IF(Flows!BJ52*BJ$3*BJ$4&lt;0.002,100,MAX($CM$2/(Flows!BJ52*BJ$3*BJ$4),1))</f>
        <v>12.8000617168222</v>
      </c>
      <c r="BK82" s="10" t="n">
        <f aca="false">IF(Flows!BK52*BK$3*BK$4&lt;0.002,100,MAX($CM$2/(Flows!BK52*BK$3*BK$4),1))</f>
        <v>991.814780961922</v>
      </c>
      <c r="BL82" s="10" t="n">
        <f aca="false">IF(Flows!BL52*BL$3*BL$4&lt;0.002,100,MAX($CM$2/(Flows!BL52*BL$3*BL$4),1))</f>
        <v>196.004271053977</v>
      </c>
      <c r="BM82" s="10" t="n">
        <f aca="false">IF(Flows!BM52*BM$3*BM$4&lt;0.002,100,MAX($CM$2/(Flows!BM52*BM$3*BM$4),1))</f>
        <v>217.942332152762</v>
      </c>
      <c r="BN82" s="10" t="n">
        <f aca="false">IF(Flows!BN52*BN$3*BN$4&lt;0.002,100,MAX($CM$2/(Flows!BN52*BN$3*BN$4),1))</f>
        <v>3677293.12414215</v>
      </c>
      <c r="BO82" s="10" t="n">
        <f aca="false">IF(Flows!BO52*BO$3*BO$4&lt;0.002,100,MAX($CM$2/(Flows!BO52*BO$3*BO$4),1))</f>
        <v>372.778545053541</v>
      </c>
      <c r="BP82" s="10" t="n">
        <f aca="false">IF(Flows!BP52*BP$3*BP$4&lt;0.002,100,MAX($CM$2/(Flows!BP52*BP$3*BP$4),1))</f>
        <v>453.537939898826</v>
      </c>
      <c r="BQ82" s="10" t="n">
        <f aca="false">IF(Flows!BQ52*BQ$3*BQ$4&lt;0.002,100,MAX($CM$2/(Flows!BQ52*BQ$3*BQ$4),1))</f>
        <v>100</v>
      </c>
      <c r="BR82" s="10" t="n">
        <f aca="false">IF(Flows!BR52*BR$3*BR$4&lt;0.002,100,MAX($CM$2/(Flows!BR52*BR$3*BR$4),1))</f>
        <v>11183.3479712655</v>
      </c>
      <c r="BS82" s="10" t="n">
        <f aca="false">IF(Flows!BS52*BS$3*BS$4&lt;0.002,100,MAX($CM$2/(Flows!BS52*BS$3*BS$4),1))</f>
        <v>111833.479712655</v>
      </c>
      <c r="BT82" s="10" t="n">
        <f aca="false">IF(Flows!BT52*BT$3*BT$4&lt;0.002,100,MAX($CM$2/(Flows!BT52*BT$3*BT$4),1))</f>
        <v>46.3664612040963</v>
      </c>
      <c r="BU82" s="10" t="n">
        <f aca="false">IF(Flows!BU52*BU$3*BU$4&lt;0.002,100,MAX($CM$2/(Flows!BU52*BU$3*BU$4),1))</f>
        <v>463.664612040963</v>
      </c>
      <c r="BV82" s="10" t="n">
        <f aca="false">IF(Flows!BV52*BV$3*BV$4&lt;0.002,100,MAX($CM$2/(Flows!BV52*BV$3*BV$4),1))</f>
        <v>4636.64612040963</v>
      </c>
      <c r="BW82" s="10" t="n">
        <f aca="false">IF(Flows!BW52*BW$3*BW$4&lt;0.002,100,MAX($CM$2/(Flows!BW52*BW$3*BW$4),1))</f>
        <v>132.832336735972</v>
      </c>
      <c r="BX82" s="10" t="n">
        <f aca="false">IF(Flows!BX52*BX$3*BX$4&lt;0.002,100,MAX($CM$2/(Flows!BX52*BX$3*BX$4),1))</f>
        <v>32.648178625176</v>
      </c>
      <c r="BY82" s="10" t="n">
        <f aca="false">IF(Flows!BY52*BY$3*BY$4&lt;0.002,100,MAX($CM$2/(Flows!BY52*BY$3*BY$4),1))</f>
        <v>37.8820731956648</v>
      </c>
      <c r="BZ82" s="10" t="n">
        <f aca="false">IF(Flows!BZ52*BZ$3*BZ$4&lt;0.002,100,MAX($CM$2/(Flows!BZ52*BZ$3*BZ$4),1))</f>
        <v>75742.4315056341</v>
      </c>
      <c r="CA82" s="10" t="n">
        <f aca="false">IF(Flows!CA52*CA$3*CA$4&lt;0.002,100,MAX($CM$2/(Flows!CA52*CA$3*CA$4),1))</f>
        <v>34034.8032541251</v>
      </c>
      <c r="CB82" s="10" t="n">
        <f aca="false">IF(Flows!CB52*CB$3*CB$4&lt;0.002,100,MAX($CM$2/(Flows!CB52*CB$3*CB$4),1))</f>
        <v>92.960488991756</v>
      </c>
      <c r="CC82" s="10" t="n">
        <f aca="false">IF(Flows!CC52*CC$3*CC$4&lt;0.002,100,MAX($CM$2/(Flows!CC52*CC$3*CC$4),1))</f>
        <v>9.28928559829623</v>
      </c>
      <c r="CD82" s="10" t="n">
        <f aca="false">IF(Flows!CD52*CD$3*CD$4&lt;0.002,100,MAX($CM$2/(Flows!CD52*CD$3*CD$4),1))</f>
        <v>502.863700278446</v>
      </c>
      <c r="CE82" s="10" t="n">
        <f aca="false">IF(Flows!CE52*CE$3*CE$4&lt;0.002,100,MAX($CM$2/(Flows!CE52*CE$3*CE$4),1))</f>
        <v>1976.88279189191</v>
      </c>
      <c r="CF82" s="10" t="n">
        <f aca="false">IF(Flows!CF52*CF$3*CF$4&lt;0.002,100,MAX($CM$2/(Flows!CF52*CF$3*CF$4),1))</f>
        <v>1</v>
      </c>
      <c r="CG82" s="10" t="n">
        <f aca="false">IF(Flows!CG52*CG$3*CG$4&lt;0.002,100,MAX($CM$2/(Flows!CG52*CG$3*CG$4),1))</f>
        <v>829.394499643948</v>
      </c>
      <c r="CH82" s="10" t="n">
        <f aca="false">IF(Flows!CH52*CH$3*CH$4&lt;0.002,100,MAX($CM$2/(Flows!CH52*CH$3*CH$4),1))</f>
        <v>222.369549592154</v>
      </c>
      <c r="CI82" s="10" t="n">
        <f aca="false">IF(Flows!CI52*CI$3*CI$4&lt;0.002,100,MAX($CM$2/(Flows!CI52*CI$3*CI$4),1))</f>
        <v>276.79877342857</v>
      </c>
      <c r="CJ82" s="10" t="n">
        <f aca="false">IF(Flows!CJ52*CJ$3*CJ$4&lt;0.002,100,MAX($CM$2/(Flows!CJ52*CJ$3*CJ$4),1))</f>
        <v>1700.17394151744</v>
      </c>
      <c r="CK82" s="10" t="n">
        <f aca="false">IF(Flows!CK52*CK$3*CK$4&lt;0.002,100,MAX($CM$2/(Flows!CK52*CK$3*CK$4),1))</f>
        <v>19174.6396689356</v>
      </c>
      <c r="CL82" s="7" t="s">
        <v>322</v>
      </c>
    </row>
    <row r="83" customFormat="false" ht="12.8" hidden="false" customHeight="false" outlineLevel="0" collapsed="false">
      <c r="A83" s="7" t="s">
        <v>160</v>
      </c>
      <c r="B83" s="7" t="s">
        <v>39</v>
      </c>
      <c r="C83" s="10" t="n">
        <f aca="false">IF(Flows!C53*C$3*C$4&lt;0.002,100,MAX($CM$2/(Flows!C53*C$3*C$4),1))</f>
        <v>14054.8780976867</v>
      </c>
      <c r="D83" s="10" t="n">
        <f aca="false">IF(Flows!D53*D$3*D$4&lt;0.002,100,MAX($CM$2/(Flows!D53*D$3*D$4),1))</f>
        <v>4.61042121291998</v>
      </c>
      <c r="E83" s="10" t="n">
        <f aca="false">IF(Flows!E53*E$3*E$4&lt;0.002,100,MAX($CM$2/(Flows!E53*E$3*E$4),1))</f>
        <v>45.1403386141948</v>
      </c>
      <c r="F83" s="10" t="n">
        <f aca="false">IF(Flows!F53*F$3*F$4&lt;0.002,100,MAX($CM$2/(Flows!F53*F$3*F$4),1))</f>
        <v>158.563304146541</v>
      </c>
      <c r="G83" s="10" t="n">
        <f aca="false">IF(Flows!G53*G$3*G$4&lt;0.002,100,MAX($CM$2/(Flows!G53*G$3*G$4),1))</f>
        <v>50.1920456056087</v>
      </c>
      <c r="H83" s="10" t="n">
        <f aca="false">IF(Flows!H53*H$3*H$4&lt;0.002,100,MAX($CM$2/(Flows!H53*H$3*H$4),1))</f>
        <v>100</v>
      </c>
      <c r="I83" s="10" t="n">
        <f aca="false">IF(Flows!I53*I$3*I$4&lt;0.002,100,MAX($CM$2/(Flows!I53*I$3*I$4),1))</f>
        <v>19660.6671029117</v>
      </c>
      <c r="J83" s="10" t="n">
        <f aca="false">IF(Flows!J53*J$3*J$4&lt;0.002,100,MAX($CM$2/(Flows!J53*J$3*J$4),1))</f>
        <v>540.492596351911</v>
      </c>
      <c r="K83" s="10" t="n">
        <f aca="false">IF(Flows!K53*K$3*K$4&lt;0.002,100,MAX($CM$2/(Flows!K53*K$3*K$4),1))</f>
        <v>11826.4313126865</v>
      </c>
      <c r="L83" s="10" t="n">
        <f aca="false">IF(Flows!L53*L$3*L$4&lt;0.002,100,MAX($CM$2/(Flows!L53*L$3*L$4),1))</f>
        <v>66181.4101962987</v>
      </c>
      <c r="M83" s="10" t="n">
        <f aca="false">IF(Flows!M53*M$3*M$4&lt;0.002,100,MAX($CM$2/(Flows!M53*M$3*M$4),1))</f>
        <v>48518.9338945494</v>
      </c>
      <c r="N83" s="10" t="n">
        <f aca="false">IF(Flows!N53*N$3*N$4&lt;0.002,100,MAX($CM$2/(Flows!N53*N$3*N$4),1))</f>
        <v>33.0658984926269</v>
      </c>
      <c r="O83" s="10" t="n">
        <f aca="false">IF(Flows!O53*O$3*O$4&lt;0.002,100,MAX($CM$2/(Flows!O53*O$3*O$4),1))</f>
        <v>6.91563181937996</v>
      </c>
      <c r="P83" s="10" t="n">
        <f aca="false">IF(Flows!P53*P$3*P$4&lt;0.002,100,MAX($CM$2/(Flows!P53*P$3*P$4),1))</f>
        <v>12.9668096613374</v>
      </c>
      <c r="Q83" s="10" t="n">
        <f aca="false">IF(Flows!Q53*Q$3*Q$4&lt;0.002,100,MAX($CM$2/(Flows!Q53*Q$3*Q$4),1))</f>
        <v>666.641950023494</v>
      </c>
      <c r="R83" s="10" t="n">
        <f aca="false">IF(Flows!R53*R$3*R$4&lt;0.002,100,MAX($CM$2/(Flows!R53*R$3*R$4),1))</f>
        <v>29.0534331799763</v>
      </c>
      <c r="S83" s="10" t="n">
        <f aca="false">IF(Flows!S53*S$3*S$4&lt;0.002,100,MAX($CM$2/(Flows!S53*S$3*S$4),1))</f>
        <v>567.269230253987</v>
      </c>
      <c r="T83" s="10" t="n">
        <f aca="false">IF(Flows!T53*T$3*T$4&lt;0.002,100,MAX($CM$2/(Flows!T53*T$3*T$4),1))</f>
        <v>1014.9670051113</v>
      </c>
      <c r="U83" s="10" t="n">
        <f aca="false">IF(Flows!U53*U$3*U$4&lt;0.002,100,MAX($CM$2/(Flows!U53*U$3*U$4),1))</f>
        <v>202.162224560622</v>
      </c>
      <c r="V83" s="10" t="n">
        <f aca="false">IF(Flows!V53*V$3*V$4&lt;0.002,100,MAX($CM$2/(Flows!V53*V$3*V$4),1))</f>
        <v>354.940646095477</v>
      </c>
      <c r="W83" s="10" t="n">
        <f aca="false">IF(Flows!W53*W$3*W$4&lt;0.002,100,MAX($CM$2/(Flows!W53*W$3*W$4),1))</f>
        <v>14.6182657729753</v>
      </c>
      <c r="X83" s="10" t="n">
        <f aca="false">IF(Flows!X53*X$3*X$4&lt;0.002,100,MAX($CM$2/(Flows!X53*X$3*X$4),1))</f>
        <v>14.9627013285246</v>
      </c>
      <c r="Y83" s="10" t="n">
        <f aca="false">IF(Flows!Y53*Y$3*Y$4&lt;0.002,100,MAX($CM$2/(Flows!Y53*Y$3*Y$4),1))</f>
        <v>330.907050981493</v>
      </c>
      <c r="Z83" s="10" t="n">
        <f aca="false">IF(Flows!Z53*Z$3*Z$4&lt;0.002,100,MAX($CM$2/(Flows!Z53*Z$3*Z$4),1))</f>
        <v>59047.868105912</v>
      </c>
      <c r="AA83" s="10" t="n">
        <f aca="false">IF(Flows!AA53*AA$3*AA$4&lt;0.002,100,MAX($CM$2/(Flows!AA53*AA$3*AA$4),1))</f>
        <v>59017.5231048918</v>
      </c>
      <c r="AB83" s="10" t="n">
        <f aca="false">IF(Flows!AB53*AB$3*AB$4&lt;0.002,100,MAX($CM$2/(Flows!AB53*AB$3*AB$4),1))</f>
        <v>48375.4497516018</v>
      </c>
      <c r="AC83" s="10" t="n">
        <f aca="false">IF(Flows!AC53*AC$3*AC$4&lt;0.002,100,MAX($CM$2/(Flows!AC53*AC$3*AC$4),1))</f>
        <v>342944.015130218</v>
      </c>
      <c r="AD83" s="10" t="n">
        <f aca="false">IF(Flows!AD53*AD$3*AD$4&lt;0.002,100,MAX($CM$2/(Flows!AD53*AD$3*AD$4),1))</f>
        <v>304727.755374379</v>
      </c>
      <c r="AE83" s="10" t="n">
        <f aca="false">IF(Flows!AE53*AE$3*AE$4&lt;0.002,100,MAX($CM$2/(Flows!AE53*AE$3*AE$4),1))</f>
        <v>406867.138822011</v>
      </c>
      <c r="AF83" s="10" t="n">
        <f aca="false">IF(Flows!AF53*AF$3*AF$4&lt;0.002,100,MAX($CM$2/(Flows!AF53*AF$3*AF$4),1))</f>
        <v>2331.73496696015</v>
      </c>
      <c r="AG83" s="10" t="n">
        <f aca="false">IF(Flows!AG53*AG$3*AG$4&lt;0.002,100,MAX($CM$2/(Flows!AG53*AG$3*AG$4),1))</f>
        <v>962.292849218436</v>
      </c>
      <c r="AH83" s="10" t="n">
        <f aca="false">IF(Flows!AH53*AH$3*AH$4&lt;0.002,100,MAX($CM$2/(Flows!AH53*AH$3*AH$4),1))</f>
        <v>489.427819925882</v>
      </c>
      <c r="AI83" s="10" t="n">
        <f aca="false">IF(Flows!AI53*AI$3*AI$4&lt;0.002,100,MAX($CM$2/(Flows!AI53*AI$3*AI$4),1))</f>
        <v>10854.4200320815</v>
      </c>
      <c r="AJ83" s="10" t="n">
        <f aca="false">IF(Flows!AJ53*AJ$3*AJ$4&lt;0.002,100,MAX($CM$2/(Flows!AJ53*AJ$3*AJ$4),1))</f>
        <v>1069.5740784739</v>
      </c>
      <c r="AK83" s="10" t="n">
        <f aca="false">IF(Flows!AK53*AK$3*AK$4&lt;0.002,100,MAX($CM$2/(Flows!AK53*AK$3*AK$4),1))</f>
        <v>436.889077956498</v>
      </c>
      <c r="AL83" s="10" t="n">
        <f aca="false">IF(Flows!AL53*AL$3*AL$4&lt;0.002,100,MAX($CM$2/(Flows!AL53*AL$3*AL$4),1))</f>
        <v>4420.99860901912</v>
      </c>
      <c r="AM83" s="10" t="n">
        <f aca="false">IF(Flows!AM53*AM$3*AM$4&lt;0.002,100,MAX($CM$2/(Flows!AM53*AM$3*AM$4),1))</f>
        <v>1625.02223464317</v>
      </c>
      <c r="AN83" s="10" t="n">
        <f aca="false">IF(Flows!AN53*AN$3*AN$4&lt;0.002,100,MAX($CM$2/(Flows!AN53*AN$3*AN$4),1))</f>
        <v>1692.47820839032</v>
      </c>
      <c r="AO83" s="10" t="n">
        <f aca="false">IF(Flows!AO53*AO$3*AO$4&lt;0.002,100,MAX($CM$2/(Flows!AO53*AO$3*AO$4),1))</f>
        <v>40920.7219297127</v>
      </c>
      <c r="AP83" s="10" t="n">
        <f aca="false">IF(Flows!AP53*AP$3*AP$4&lt;0.002,100,MAX($CM$2/(Flows!AP53*AP$3*AP$4),1))</f>
        <v>206139.016748726</v>
      </c>
      <c r="AQ83" s="10" t="n">
        <f aca="false">IF(Flows!AQ53*AQ$3*AQ$4&lt;0.002,100,MAX($CM$2/(Flows!AQ53*AQ$3*AQ$4),1))</f>
        <v>13404.9349814227</v>
      </c>
      <c r="AR83" s="10" t="n">
        <f aca="false">IF(Flows!AR53*AR$3*AR$4&lt;0.002,100,MAX($CM$2/(Flows!AR53*AR$3*AR$4),1))</f>
        <v>189493.230903452</v>
      </c>
      <c r="AS83" s="10" t="n">
        <f aca="false">IF(Flows!AS53*AS$3*AS$4&lt;0.002,100,MAX($CM$2/(Flows!AS53*AS$3*AS$4),1))</f>
        <v>2925.10216543553</v>
      </c>
      <c r="AT83" s="10" t="n">
        <f aca="false">IF(Flows!AT53*AT$3*AT$4&lt;0.002,100,MAX($CM$2/(Flows!AT53*AT$3*AT$4),1))</f>
        <v>714.367986510562</v>
      </c>
      <c r="AU83" s="10" t="n">
        <f aca="false">IF(Flows!AU53*AU$3*AU$4&lt;0.002,100,MAX($CM$2/(Flows!AU53*AU$3*AU$4),1))</f>
        <v>1349.06506388134</v>
      </c>
      <c r="AV83" s="10" t="n">
        <f aca="false">IF(Flows!AV53*AV$3*AV$4&lt;0.002,100,MAX($CM$2/(Flows!AV53*AV$3*AV$4),1))</f>
        <v>6622.23826783162</v>
      </c>
      <c r="AW83" s="10" t="n">
        <f aca="false">IF(Flows!AW53*AW$3*AW$4&lt;0.002,100,MAX($CM$2/(Flows!AW53*AW$3*AW$4),1))</f>
        <v>103.09956581089</v>
      </c>
      <c r="AX83" s="10" t="n">
        <f aca="false">IF(Flows!AX53*AX$3*AX$4&lt;0.002,100,MAX($CM$2/(Flows!AX53*AX$3*AX$4),1))</f>
        <v>3683.97079961068</v>
      </c>
      <c r="AY83" s="10" t="n">
        <f aca="false">IF(Flows!AY53*AY$3*AY$4&lt;0.002,100,MAX($CM$2/(Flows!AY53*AY$3*AY$4),1))</f>
        <v>2743.69711352556</v>
      </c>
      <c r="AZ83" s="10" t="n">
        <f aca="false">IF(Flows!AZ53*AZ$3*AZ$4&lt;0.002,100,MAX($CM$2/(Flows!AZ53*AZ$3*AZ$4),1))</f>
        <v>732.002179547513</v>
      </c>
      <c r="BA83" s="10" t="n">
        <f aca="false">IF(Flows!BA53*BA$3*BA$4&lt;0.002,100,MAX($CM$2/(Flows!BA53*BA$3*BA$4),1))</f>
        <v>3375.25192001123</v>
      </c>
      <c r="BB83" s="10" t="n">
        <f aca="false">IF(Flows!BB53*BB$3*BB$4&lt;0.002,100,MAX($CM$2/(Flows!BB53*BB$3*BB$4),1))</f>
        <v>3619.7844335004</v>
      </c>
      <c r="BC83" s="10" t="n">
        <f aca="false">IF(Flows!BC53*BC$3*BC$4&lt;0.002,100,MAX($CM$2/(Flows!BC53*BC$3*BC$4),1))</f>
        <v>2410.42645910233</v>
      </c>
      <c r="BD83" s="10" t="n">
        <f aca="false">IF(Flows!BD53*BD$3*BD$4&lt;0.002,100,MAX($CM$2/(Flows!BD53*BD$3*BD$4),1))</f>
        <v>38453.370859088</v>
      </c>
      <c r="BE83" s="10" t="n">
        <f aca="false">IF(Flows!BE53*BE$3*BE$4&lt;0.002,100,MAX($CM$2/(Flows!BE53*BE$3*BE$4),1))</f>
        <v>20944.6632671509</v>
      </c>
      <c r="BF83" s="10" t="n">
        <f aca="false">IF(Flows!BF53*BF$3*BF$4&lt;0.002,100,MAX($CM$2/(Flows!BF53*BF$3*BF$4),1))</f>
        <v>100</v>
      </c>
      <c r="BG83" s="10" t="n">
        <f aca="false">IF(Flows!BG53*BG$3*BG$4&lt;0.002,100,MAX($CM$2/(Flows!BG53*BG$3*BG$4),1))</f>
        <v>865.791694620256</v>
      </c>
      <c r="BH83" s="10" t="n">
        <f aca="false">IF(Flows!BH53*BH$3*BH$4&lt;0.002,100,MAX($CM$2/(Flows!BH53*BH$3*BH$4),1))</f>
        <v>432.895847310128</v>
      </c>
      <c r="BI83" s="10" t="n">
        <f aca="false">IF(Flows!BI53*BI$3*BI$4&lt;0.002,100,MAX($CM$2/(Flows!BI53*BI$3*BI$4),1))</f>
        <v>324.671885482596</v>
      </c>
      <c r="BJ83" s="10" t="n">
        <f aca="false">IF(Flows!BJ53*BJ$3*BJ$4&lt;0.002,100,MAX($CM$2/(Flows!BJ53*BJ$3*BJ$4),1))</f>
        <v>8.66100620952185</v>
      </c>
      <c r="BK83" s="10" t="n">
        <f aca="false">IF(Flows!BK53*BK$3*BK$4&lt;0.002,100,MAX($CM$2/(Flows!BK53*BK$3*BK$4),1))</f>
        <v>649.343770965192</v>
      </c>
      <c r="BL83" s="10" t="n">
        <f aca="false">IF(Flows!BL53*BL$3*BL$4&lt;0.002,100,MAX($CM$2/(Flows!BL53*BL$3*BL$4),1))</f>
        <v>215.235481752455</v>
      </c>
      <c r="BM83" s="10" t="n">
        <f aca="false">IF(Flows!BM53*BM$3*BM$4&lt;0.002,100,MAX($CM$2/(Flows!BM53*BM$3*BM$4),1))</f>
        <v>120.688742209809</v>
      </c>
      <c r="BN83" s="10" t="n">
        <f aca="false">IF(Flows!BN53*BN$3*BN$4&lt;0.002,100,MAX($CM$2/(Flows!BN53*BN$3*BN$4),1))</f>
        <v>1574830.46851496</v>
      </c>
      <c r="BO83" s="10" t="n">
        <f aca="false">IF(Flows!BO53*BO$3*BO$4&lt;0.002,100,MAX($CM$2/(Flows!BO53*BO$3*BO$4),1))</f>
        <v>150.099663299674</v>
      </c>
      <c r="BP83" s="10" t="n">
        <f aca="false">IF(Flows!BP53*BP$3*BP$4&lt;0.002,100,MAX($CM$2/(Flows!BP53*BP$3*BP$4),1))</f>
        <v>263.128272730185</v>
      </c>
      <c r="BQ83" s="10" t="n">
        <f aca="false">IF(Flows!BQ53*BQ$3*BQ$4&lt;0.002,100,MAX($CM$2/(Flows!BQ53*BQ$3*BQ$4),1))</f>
        <v>100</v>
      </c>
      <c r="BR83" s="10" t="n">
        <f aca="false">IF(Flows!BR53*BR$3*BR$4&lt;0.002,100,MAX($CM$2/(Flows!BR53*BR$3*BR$4),1))</f>
        <v>4502.98654783497</v>
      </c>
      <c r="BS83" s="10" t="n">
        <f aca="false">IF(Flows!BS53*BS$3*BS$4&lt;0.002,100,MAX($CM$2/(Flows!BS53*BS$3*BS$4),1))</f>
        <v>45029.8654783497</v>
      </c>
      <c r="BT83" s="10" t="n">
        <f aca="false">IF(Flows!BT53*BT$3*BT$4&lt;0.002,100,MAX($CM$2/(Flows!BT53*BT$3*BT$4),1))</f>
        <v>19.525644969032</v>
      </c>
      <c r="BU83" s="10" t="n">
        <f aca="false">IF(Flows!BU53*BU$3*BU$4&lt;0.002,100,MAX($CM$2/(Flows!BU53*BU$3*BU$4),1))</f>
        <v>195.25644969032</v>
      </c>
      <c r="BV83" s="10" t="n">
        <f aca="false">IF(Flows!BV53*BV$3*BV$4&lt;0.002,100,MAX($CM$2/(Flows!BV53*BV$3*BV$4),1))</f>
        <v>1952.5644969032</v>
      </c>
      <c r="BW83" s="10" t="n">
        <f aca="false">IF(Flows!BW53*BW$3*BW$4&lt;0.002,100,MAX($CM$2/(Flows!BW53*BW$3*BW$4),1))</f>
        <v>86.9656836114097</v>
      </c>
      <c r="BX83" s="10" t="n">
        <f aca="false">IF(Flows!BX53*BX$3*BX$4&lt;0.002,100,MAX($CM$2/(Flows!BX53*BX$3*BX$4),1))</f>
        <v>27.6944754705366</v>
      </c>
      <c r="BY83" s="10" t="n">
        <f aca="false">IF(Flows!BY53*BY$3*BY$4&lt;0.002,100,MAX($CM$2/(Flows!BY53*BY$3*BY$4),1))</f>
        <v>80.1056152330818</v>
      </c>
      <c r="BZ83" s="10" t="n">
        <f aca="false">IF(Flows!BZ53*BZ$3*BZ$4&lt;0.002,100,MAX($CM$2/(Flows!BZ53*BZ$3*BZ$4),1))</f>
        <v>47321.6508804069</v>
      </c>
      <c r="CA83" s="10" t="n">
        <f aca="false">IF(Flows!CA53*CA$3*CA$4&lt;0.002,100,MAX($CM$2/(Flows!CA53*CA$3*CA$4),1))</f>
        <v>75285.8153344824</v>
      </c>
      <c r="CB83" s="10" t="n">
        <f aca="false">IF(Flows!CB53*CB$3*CB$4&lt;0.002,100,MAX($CM$2/(Flows!CB53*CB$3*CB$4),1))</f>
        <v>154.492907188195</v>
      </c>
      <c r="CC83" s="10" t="n">
        <f aca="false">IF(Flows!CC53*CC$3*CC$4&lt;0.002,100,MAX($CM$2/(Flows!CC53*CC$3*CC$4),1))</f>
        <v>15.2321736721834</v>
      </c>
      <c r="CD83" s="10" t="n">
        <f aca="false">IF(Flows!CD53*CD$3*CD$4&lt;0.002,100,MAX($CM$2/(Flows!CD53*CD$3*CD$4),1))</f>
        <v>330.362701921429</v>
      </c>
      <c r="CE83" s="10" t="n">
        <f aca="false">IF(Flows!CE53*CE$3*CE$4&lt;0.002,100,MAX($CM$2/(Flows!CE53*CE$3*CE$4),1))</f>
        <v>174.498173145732</v>
      </c>
      <c r="CF83" s="10" t="n">
        <f aca="false">IF(Flows!CF53*CF$3*CF$4&lt;0.002,100,MAX($CM$2/(Flows!CF53*CF$3*CF$4),1))</f>
        <v>1</v>
      </c>
      <c r="CG83" s="10" t="n">
        <f aca="false">IF(Flows!CG53*CG$3*CG$4&lt;0.002,100,MAX($CM$2/(Flows!CG53*CG$3*CG$4),1))</f>
        <v>150.339693225669</v>
      </c>
      <c r="CH83" s="10" t="n">
        <f aca="false">IF(Flows!CH53*CH$3*CH$4&lt;0.002,100,MAX($CM$2/(Flows!CH53*CH$3*CH$4),1))</f>
        <v>53.2327233591583</v>
      </c>
      <c r="CI83" s="10" t="n">
        <f aca="false">IF(Flows!CI53*CI$3*CI$4&lt;0.002,100,MAX($CM$2/(Flows!CI53*CI$3*CI$4),1))</f>
        <v>632.992704263587</v>
      </c>
      <c r="CJ83" s="10" t="n">
        <f aca="false">IF(Flows!CJ53*CJ$3*CJ$4&lt;0.002,100,MAX($CM$2/(Flows!CJ53*CJ$3*CJ$4),1))</f>
        <v>5827.00502434995</v>
      </c>
      <c r="CK83" s="10" t="n">
        <f aca="false">IF(Flows!CK53*CK$3*CK$4&lt;0.002,100,MAX($CM$2/(Flows!CK53*CK$3*CK$4),1))</f>
        <v>3004.53357160749</v>
      </c>
      <c r="CL83" s="7" t="s">
        <v>39</v>
      </c>
    </row>
    <row r="84" customFormat="false" ht="12.8" hidden="false" customHeight="false" outlineLevel="0" collapsed="false">
      <c r="B84" s="7" t="s">
        <v>39</v>
      </c>
      <c r="CL84" s="7" t="s">
        <v>39</v>
      </c>
    </row>
    <row r="85" customFormat="false" ht="12.8" hidden="false" customHeight="false" outlineLevel="0" collapsed="false">
      <c r="B85" s="7" t="s">
        <v>39</v>
      </c>
      <c r="CL85" s="7" t="s">
        <v>39</v>
      </c>
    </row>
    <row r="86" customFormat="false" ht="12.8" hidden="false" customHeight="false" outlineLevel="0" collapsed="false">
      <c r="B86" s="7" t="s">
        <v>39</v>
      </c>
      <c r="CL86" s="7" t="s">
        <v>39</v>
      </c>
    </row>
    <row r="87" customFormat="false" ht="12.8" hidden="false" customHeight="false" outlineLevel="0" collapsed="false">
      <c r="B87" s="7" t="s">
        <v>39</v>
      </c>
      <c r="CL87" s="7" t="s">
        <v>39</v>
      </c>
    </row>
    <row r="88" customFormat="false" ht="12.8" hidden="false" customHeight="false" outlineLevel="0" collapsed="false">
      <c r="B88" s="7" t="s">
        <v>39</v>
      </c>
      <c r="CL88" s="7" t="s">
        <v>39</v>
      </c>
    </row>
    <row r="89" customFormat="false" ht="12.8" hidden="false" customHeight="false" outlineLevel="0" collapsed="false">
      <c r="B89" s="7" t="s">
        <v>39</v>
      </c>
      <c r="CL89" s="7" t="s">
        <v>39</v>
      </c>
      <c r="CX89" s="1" t="s">
        <v>410</v>
      </c>
      <c r="DD89" s="1" t="s">
        <v>411</v>
      </c>
    </row>
    <row r="90" customFormat="false" ht="12.8" hidden="false" customHeight="false" outlineLevel="0" collapsed="false">
      <c r="A90" s="7" t="s">
        <v>428</v>
      </c>
      <c r="B90" s="7" t="s">
        <v>39</v>
      </c>
      <c r="C90" s="18" t="n">
        <v>1</v>
      </c>
      <c r="D90" s="18" t="n">
        <v>2</v>
      </c>
      <c r="E90" s="18" t="n">
        <v>3</v>
      </c>
      <c r="F90" s="18" t="n">
        <v>4</v>
      </c>
      <c r="G90" s="18" t="n">
        <v>5</v>
      </c>
      <c r="H90" s="18" t="n">
        <v>6</v>
      </c>
      <c r="I90" s="18" t="n">
        <v>7</v>
      </c>
      <c r="J90" s="18" t="n">
        <v>8</v>
      </c>
      <c r="K90" s="18" t="n">
        <v>9</v>
      </c>
      <c r="L90" s="18" t="n">
        <v>10</v>
      </c>
      <c r="M90" s="18" t="n">
        <v>11</v>
      </c>
      <c r="N90" s="18" t="n">
        <v>12</v>
      </c>
      <c r="O90" s="18" t="n">
        <v>13</v>
      </c>
      <c r="P90" s="18" t="n">
        <v>14</v>
      </c>
      <c r="Q90" s="18" t="n">
        <v>15</v>
      </c>
      <c r="R90" s="18" t="n">
        <v>16</v>
      </c>
      <c r="S90" s="18" t="n">
        <v>17</v>
      </c>
      <c r="T90" s="18" t="n">
        <v>18</v>
      </c>
      <c r="U90" s="18" t="n">
        <v>19</v>
      </c>
      <c r="V90" s="18" t="n">
        <v>20</v>
      </c>
      <c r="W90" s="18" t="n">
        <v>21</v>
      </c>
      <c r="X90" s="18" t="n">
        <v>22</v>
      </c>
      <c r="Y90" s="18" t="n">
        <v>23</v>
      </c>
      <c r="Z90" s="18" t="n">
        <v>24</v>
      </c>
      <c r="AA90" s="18" t="n">
        <v>25</v>
      </c>
      <c r="AB90" s="18" t="n">
        <v>26</v>
      </c>
      <c r="AC90" s="18" t="n">
        <v>27</v>
      </c>
      <c r="AD90" s="18" t="n">
        <v>28</v>
      </c>
      <c r="AE90" s="18" t="n">
        <v>29</v>
      </c>
      <c r="AF90" s="18" t="n">
        <v>30</v>
      </c>
      <c r="AG90" s="18" t="n">
        <v>31</v>
      </c>
      <c r="AH90" s="18" t="n">
        <v>32</v>
      </c>
      <c r="AI90" s="18" t="n">
        <v>33</v>
      </c>
      <c r="AJ90" s="18" t="n">
        <v>34</v>
      </c>
      <c r="AK90" s="18" t="n">
        <v>35</v>
      </c>
      <c r="AL90" s="18" t="n">
        <v>36</v>
      </c>
      <c r="AM90" s="18" t="n">
        <v>37</v>
      </c>
      <c r="AN90" s="18" t="n">
        <v>38</v>
      </c>
      <c r="AO90" s="18" t="n">
        <v>39</v>
      </c>
      <c r="AP90" s="18" t="n">
        <v>40</v>
      </c>
      <c r="AQ90" s="18" t="n">
        <v>41</v>
      </c>
      <c r="AR90" s="18" t="n">
        <v>42</v>
      </c>
      <c r="AS90" s="18" t="n">
        <v>43</v>
      </c>
      <c r="AT90" s="18" t="n">
        <v>44</v>
      </c>
      <c r="AU90" s="18" t="n">
        <v>45</v>
      </c>
      <c r="AV90" s="18" t="n">
        <v>46</v>
      </c>
      <c r="AW90" s="18" t="n">
        <v>47</v>
      </c>
      <c r="AX90" s="18" t="n">
        <v>48</v>
      </c>
      <c r="AY90" s="18" t="n">
        <v>49</v>
      </c>
      <c r="AZ90" s="18" t="n">
        <v>50</v>
      </c>
      <c r="BA90" s="18" t="n">
        <v>51</v>
      </c>
      <c r="BB90" s="18" t="n">
        <v>52</v>
      </c>
      <c r="BC90" s="18" t="n">
        <v>53</v>
      </c>
      <c r="BD90" s="18" t="n">
        <v>54</v>
      </c>
      <c r="BE90" s="18" t="n">
        <v>55</v>
      </c>
      <c r="BF90" s="18" t="n">
        <v>56</v>
      </c>
      <c r="BG90" s="18" t="n">
        <v>57</v>
      </c>
      <c r="BH90" s="18" t="n">
        <v>58</v>
      </c>
      <c r="BI90" s="18" t="n">
        <v>59</v>
      </c>
      <c r="BJ90" s="18" t="n">
        <v>60</v>
      </c>
      <c r="BK90" s="18" t="n">
        <v>61</v>
      </c>
      <c r="BL90" s="18" t="n">
        <v>62</v>
      </c>
      <c r="BM90" s="18" t="n">
        <v>63</v>
      </c>
      <c r="BN90" s="18" t="n">
        <v>64</v>
      </c>
      <c r="BO90" s="18" t="n">
        <v>65</v>
      </c>
      <c r="BP90" s="18" t="n">
        <v>66</v>
      </c>
      <c r="BQ90" s="18" t="n">
        <v>67</v>
      </c>
      <c r="BR90" s="18" t="n">
        <v>68</v>
      </c>
      <c r="BS90" s="18" t="n">
        <v>69</v>
      </c>
      <c r="BT90" s="18" t="n">
        <v>70</v>
      </c>
      <c r="BU90" s="18" t="n">
        <v>71</v>
      </c>
      <c r="BV90" s="18" t="n">
        <v>72</v>
      </c>
      <c r="BW90" s="18" t="n">
        <v>73</v>
      </c>
      <c r="BX90" s="18" t="n">
        <v>74</v>
      </c>
      <c r="BY90" s="18" t="n">
        <v>75</v>
      </c>
      <c r="BZ90" s="18" t="n">
        <v>76</v>
      </c>
      <c r="CA90" s="18" t="n">
        <v>77</v>
      </c>
      <c r="CB90" s="18" t="n">
        <v>78</v>
      </c>
      <c r="CC90" s="18" t="n">
        <v>79</v>
      </c>
      <c r="CD90" s="18" t="n">
        <v>80</v>
      </c>
      <c r="CE90" s="18" t="n">
        <v>81</v>
      </c>
      <c r="CF90" s="18" t="n">
        <v>82</v>
      </c>
      <c r="CG90" s="18" t="n">
        <v>83</v>
      </c>
      <c r="CH90" s="18" t="n">
        <v>84</v>
      </c>
      <c r="CI90" s="18" t="n">
        <v>85</v>
      </c>
      <c r="CJ90" s="18" t="n">
        <v>86</v>
      </c>
      <c r="CK90" s="18" t="n">
        <v>87</v>
      </c>
      <c r="CL90" s="7" t="s">
        <v>39</v>
      </c>
      <c r="CM90" s="1" t="s">
        <v>413</v>
      </c>
      <c r="CN90" s="1" t="s">
        <v>414</v>
      </c>
      <c r="CO90" s="1" t="s">
        <v>415</v>
      </c>
      <c r="CP90" s="1" t="s">
        <v>416</v>
      </c>
      <c r="CQ90" s="1" t="s">
        <v>417</v>
      </c>
      <c r="CR90" s="1" t="s">
        <v>418</v>
      </c>
      <c r="CS90" s="1" t="s">
        <v>419</v>
      </c>
      <c r="CT90" s="1" t="s">
        <v>420</v>
      </c>
      <c r="CU90" s="1" t="s">
        <v>282</v>
      </c>
      <c r="CV90" s="1" t="s">
        <v>421</v>
      </c>
      <c r="CX90" s="1" t="s">
        <v>429</v>
      </c>
      <c r="CY90" s="1" t="s">
        <v>430</v>
      </c>
      <c r="CZ90" s="1" t="s">
        <v>431</v>
      </c>
      <c r="DA90" s="1" t="s">
        <v>432</v>
      </c>
      <c r="DB90" s="1" t="s">
        <v>433</v>
      </c>
      <c r="DD90" s="1" t="s">
        <v>429</v>
      </c>
      <c r="DE90" s="1" t="s">
        <v>430</v>
      </c>
      <c r="DF90" s="1" t="s">
        <v>431</v>
      </c>
      <c r="DG90" s="1" t="s">
        <v>432</v>
      </c>
      <c r="DH90" s="1" t="s">
        <v>433</v>
      </c>
    </row>
    <row r="91" customFormat="false" ht="12.8" hidden="false" customHeight="false" outlineLevel="0" collapsed="false">
      <c r="A91" s="7" t="s">
        <v>131</v>
      </c>
      <c r="B91" s="7" t="s">
        <v>39</v>
      </c>
      <c r="C91" s="10" t="n">
        <f aca="false">MAX(-Flows!C61*C$4*C6/100,0)</f>
        <v>22841886.9075202</v>
      </c>
      <c r="D91" s="10" t="n">
        <f aca="false">MAX(-Flows!D61*D$4*D6/100,0)</f>
        <v>23452418.5062158</v>
      </c>
      <c r="E91" s="10" t="n">
        <f aca="false">MAX(-Flows!E61*E$4*E6/100,0)</f>
        <v>32434890.0529482</v>
      </c>
      <c r="F91" s="10" t="n">
        <f aca="false">MAX(-Flows!F61*F$4*F6/100,0)</f>
        <v>0</v>
      </c>
      <c r="G91" s="10" t="n">
        <f aca="false">MAX(-Flows!G61*G$4*G6/100,0)</f>
        <v>23587692.345079</v>
      </c>
      <c r="H91" s="10" t="n">
        <f aca="false">MAX(-Flows!H61*H$4*H6/100,0)</f>
        <v>0</v>
      </c>
      <c r="I91" s="10" t="n">
        <f aca="false">MAX(-Flows!I61*I$4*I6/100,0)</f>
        <v>0</v>
      </c>
      <c r="J91" s="10" t="n">
        <f aca="false">MAX(-Flows!J61*J$4*J6/100,0)</f>
        <v>3801052.27796201</v>
      </c>
      <c r="K91" s="10" t="n">
        <f aca="false">MAX(-Flows!K61*K$4*K6/100,0)</f>
        <v>0</v>
      </c>
      <c r="L91" s="10" t="n">
        <f aca="false">MAX(-Flows!L61*L$4*L6/100,0)</f>
        <v>0</v>
      </c>
      <c r="M91" s="10" t="n">
        <f aca="false">MAX(-Flows!M61*M$4*M6/100,0)</f>
        <v>0</v>
      </c>
      <c r="N91" s="10" t="n">
        <f aca="false">MAX(-Flows!N61*N$4*N6/100,0)</f>
        <v>22231141.2893842</v>
      </c>
      <c r="O91" s="10" t="n">
        <f aca="false">MAX(-Flows!O61*O$4*O6/100,0)</f>
        <v>0</v>
      </c>
      <c r="P91" s="10" t="n">
        <f aca="false">MAX(-Flows!P61*P$4*P6/100,0)</f>
        <v>0</v>
      </c>
      <c r="Q91" s="10" t="n">
        <f aca="false">MAX(-Flows!Q61*Q$4*Q6/100,0)</f>
        <v>231844999.103664</v>
      </c>
      <c r="R91" s="10" t="n">
        <f aca="false">MAX(-Flows!R61*R$4*R6/100,0)</f>
        <v>29865574.1337037</v>
      </c>
      <c r="S91" s="10" t="n">
        <f aca="false">MAX(-Flows!S61*S$4*S6/100,0)</f>
        <v>0</v>
      </c>
      <c r="T91" s="10" t="n">
        <f aca="false">MAX(-Flows!T61*T$4*T6/100,0)</f>
        <v>0</v>
      </c>
      <c r="U91" s="10" t="n">
        <f aca="false">MAX(-Flows!U61*U$4*U6/100,0)</f>
        <v>0</v>
      </c>
      <c r="V91" s="10" t="n">
        <f aca="false">MAX(-Flows!V61*V$4*V6/100,0)</f>
        <v>71373361.4894716</v>
      </c>
      <c r="W91" s="10" t="n">
        <f aca="false">MAX(-Flows!W61*W$4*W6/100,0)</f>
        <v>16290788.3434954</v>
      </c>
      <c r="X91" s="10" t="n">
        <f aca="false">MAX(-Flows!X61*X$4*X6/100,0)</f>
        <v>115540158.281266</v>
      </c>
      <c r="Y91" s="10" t="n">
        <f aca="false">MAX(-Flows!Y61*Y$4*Y6/100,0)</f>
        <v>0</v>
      </c>
      <c r="Z91" s="10" t="n">
        <f aca="false">MAX(-Flows!Z61*Z$4*Z6/100,0)</f>
        <v>0</v>
      </c>
      <c r="AA91" s="10" t="n">
        <f aca="false">MAX(-Flows!AA61*AA$4*AA6/100,0)</f>
        <v>109067.510746147</v>
      </c>
      <c r="AB91" s="10" t="n">
        <f aca="false">MAX(-Flows!AB61*AB$4*AB6/100,0)</f>
        <v>738097.382465193</v>
      </c>
      <c r="AC91" s="10" t="n">
        <f aca="false">MAX(-Flows!AC61*AC$4*AC6/100,0)</f>
        <v>0</v>
      </c>
      <c r="AD91" s="10" t="n">
        <f aca="false">MAX(-Flows!AD61*AD$4*AD6/100,0)</f>
        <v>369048.691232597</v>
      </c>
      <c r="AE91" s="10" t="n">
        <f aca="false">MAX(-Flows!AE61*AE$4*AE6/100,0)</f>
        <v>5368126.78352098</v>
      </c>
      <c r="AF91" s="10" t="n">
        <f aca="false">MAX(-Flows!AF61*AF$4*AF6/100,0)</f>
        <v>17752251.451842</v>
      </c>
      <c r="AG91" s="10" t="n">
        <f aca="false">MAX(-Flows!AG61*AG$4*AG6/100,0)</f>
        <v>18345082.9641651</v>
      </c>
      <c r="AH91" s="10" t="n">
        <f aca="false">MAX(-Flows!AH61*AH$4*AH6/100,0)</f>
        <v>67232979.0752165</v>
      </c>
      <c r="AI91" s="10" t="n">
        <f aca="false">MAX(-Flows!AI61*AI$4*AI6/100,0)</f>
        <v>74563459.0939296</v>
      </c>
      <c r="AJ91" s="10" t="n">
        <f aca="false">MAX(-Flows!AJ61*AJ$4*AJ6/100,0)</f>
        <v>57643702.6143243</v>
      </c>
      <c r="AK91" s="10" t="n">
        <f aca="false">MAX(-Flows!AK61*AK$4*AK6/100,0)</f>
        <v>42006021.0758875</v>
      </c>
      <c r="AL91" s="10" t="n">
        <f aca="false">MAX(-Flows!AL61*AL$4*AL6/100,0)</f>
        <v>54178148.5507504</v>
      </c>
      <c r="AM91" s="10" t="n">
        <f aca="false">MAX(-Flows!AM61*AM$4*AM6/100,0)</f>
        <v>1655460.81370381</v>
      </c>
      <c r="AN91" s="10" t="n">
        <f aca="false">MAX(-Flows!AN61*AN$4*AN6/100,0)</f>
        <v>0</v>
      </c>
      <c r="AO91" s="10" t="n">
        <f aca="false">MAX(-Flows!AO61*AO$4*AO6/100,0)</f>
        <v>0</v>
      </c>
      <c r="AP91" s="10" t="n">
        <f aca="false">MAX(-Flows!AP61*AP$4*AP6/100,0)</f>
        <v>48407757.1318714</v>
      </c>
      <c r="AQ91" s="10" t="n">
        <f aca="false">MAX(-Flows!AQ61*AQ$4*AQ6/100,0)</f>
        <v>8797477.9826817</v>
      </c>
      <c r="AR91" s="10" t="n">
        <f aca="false">MAX(-Flows!AR61*AR$4*AR6/100,0)</f>
        <v>29711943.8742287</v>
      </c>
      <c r="AS91" s="10" t="n">
        <f aca="false">MAX(-Flows!AS61*AS$4*AS6/100,0)</f>
        <v>0</v>
      </c>
      <c r="AT91" s="10" t="n">
        <f aca="false">MAX(-Flows!AT61*AT$4*AT6/100,0)</f>
        <v>10114841.2594971</v>
      </c>
      <c r="AU91" s="10" t="n">
        <f aca="false">MAX(-Flows!AU61*AU$4*AU6/100,0)</f>
        <v>78529342.1254976</v>
      </c>
      <c r="AV91" s="10" t="n">
        <f aca="false">MAX(-Flows!AV61*AV$4*AV6/100,0)</f>
        <v>61428502.9697321</v>
      </c>
      <c r="AW91" s="10" t="n">
        <f aca="false">MAX(-Flows!AW61*AW$4*AW6/100,0)</f>
        <v>0</v>
      </c>
      <c r="AX91" s="10" t="n">
        <f aca="false">MAX(-Flows!AX61*AX$4*AX6/100,0)</f>
        <v>23023904.0533573</v>
      </c>
      <c r="AY91" s="10" t="n">
        <f aca="false">MAX(-Flows!AY61*AY$4*AY6/100,0)</f>
        <v>2333363.78212475</v>
      </c>
      <c r="AZ91" s="10" t="n">
        <f aca="false">MAX(-Flows!AZ61*AZ$4*AZ6/100,0)</f>
        <v>5433190.58024711</v>
      </c>
      <c r="BA91" s="10" t="n">
        <f aca="false">MAX(-Flows!BA61*BA$4*BA6/100,0)</f>
        <v>0</v>
      </c>
      <c r="BB91" s="10" t="n">
        <f aca="false">MAX(-Flows!BB61*BB$4*BB6/100,0)</f>
        <v>48391209.0646883</v>
      </c>
      <c r="BC91" s="10" t="n">
        <f aca="false">MAX(-Flows!BC61*BC$4*BC6/100,0)</f>
        <v>32345425.9926325</v>
      </c>
      <c r="BD91" s="10" t="n">
        <f aca="false">MAX(-Flows!BD61*BD$4*BD6/100,0)</f>
        <v>62050229.2045799</v>
      </c>
      <c r="BE91" s="10" t="n">
        <f aca="false">MAX(-Flows!BE61*BE$4*BE6/100,0)</f>
        <v>8678120.32353827</v>
      </c>
      <c r="BF91" s="10" t="n">
        <f aca="false">MAX(-Flows!BF61*BF$4*BF6/100,0)</f>
        <v>13218950.2498963</v>
      </c>
      <c r="BG91" s="10" t="n">
        <f aca="false">MAX(-Flows!BG61*BG$4*BG6/100,0)</f>
        <v>0</v>
      </c>
      <c r="BH91" s="10" t="n">
        <f aca="false">MAX(-Flows!BH61*BH$4*BH6/100,0)</f>
        <v>0</v>
      </c>
      <c r="BI91" s="10" t="n">
        <f aca="false">MAX(-Flows!BI61*BI$4*BI6/100,0)</f>
        <v>128851524.014508</v>
      </c>
      <c r="BJ91" s="10" t="n">
        <f aca="false">MAX(-Flows!BJ61*BJ$4*BJ6/100,0)</f>
        <v>128851524.014508</v>
      </c>
      <c r="BK91" s="10" t="n">
        <f aca="false">MAX(-Flows!BK61*BK$4*BK6/100,0)</f>
        <v>128851524.014508</v>
      </c>
      <c r="BL91" s="10" t="n">
        <f aca="false">MAX(-Flows!BL61*BL$4*BL6/100,0)</f>
        <v>23184499.9103664</v>
      </c>
      <c r="BM91" s="10" t="n">
        <f aca="false">MAX(-Flows!BM61*BM$4*BM6/100,0)</f>
        <v>23184499.9103664</v>
      </c>
      <c r="BN91" s="10" t="n">
        <f aca="false">MAX(-Flows!BN61*BN$4*BN6/100,0)</f>
        <v>0</v>
      </c>
      <c r="BO91" s="10" t="n">
        <f aca="false">MAX(-Flows!BO61*BO$4*BO6/100,0)</f>
        <v>5046713733237.98</v>
      </c>
      <c r="BP91" s="10" t="n">
        <f aca="false">MAX(-Flows!BP61*BP$4*BP6/100,0)</f>
        <v>2355133661066810</v>
      </c>
      <c r="BQ91" s="10" t="n">
        <f aca="false">MAX(-Flows!BQ61*BQ$4*BQ6/100,0)</f>
        <v>0</v>
      </c>
      <c r="BR91" s="10" t="n">
        <f aca="false">MAX(-Flows!BR61*BR$4*BR6/100,0)</f>
        <v>1682237067339.05</v>
      </c>
      <c r="BS91" s="10" t="n">
        <f aca="false">MAX(-Flows!BS61*BS$4*BS6/100,0)</f>
        <v>841117900864.317</v>
      </c>
      <c r="BT91" s="10" t="n">
        <f aca="false">MAX(-Flows!BT61*BT$4*BT6/100,0)</f>
        <v>0</v>
      </c>
      <c r="BU91" s="10" t="n">
        <f aca="false">MAX(-Flows!BU61*BU$4*BU6/100,0)</f>
        <v>0</v>
      </c>
      <c r="BV91" s="10" t="n">
        <f aca="false">MAX(-Flows!BV61*BV$4*BV6/100,0)</f>
        <v>0</v>
      </c>
      <c r="BW91" s="10" t="n">
        <f aca="false">MAX(-Flows!BW61*BW$4*BW6/100,0)</f>
        <v>0</v>
      </c>
      <c r="BX91" s="10" t="n">
        <f aca="false">MAX(-Flows!BX61*BX$4*BX6/100,0)</f>
        <v>46368999.8207329</v>
      </c>
      <c r="BY91" s="10" t="n">
        <f aca="false">MAX(-Flows!BY61*BY$4*BY6/100,0)</f>
        <v>46368999.8207328</v>
      </c>
      <c r="BZ91" s="10" t="n">
        <f aca="false">MAX(-Flows!BZ61*BZ$4*BZ6/100,0)</f>
        <v>151771215.198219</v>
      </c>
      <c r="CA91" s="10" t="n">
        <f aca="false">MAX(-Flows!CA61*CA$4*CA6/100,0)</f>
        <v>151771215.198219</v>
      </c>
      <c r="CB91" s="10" t="n">
        <f aca="false">MAX(-Flows!CB61*CB$4*CB6/100,0)</f>
        <v>231844999.103664</v>
      </c>
      <c r="CC91" s="10" t="n">
        <f aca="false">MAX(-Flows!CC61*CC$4*CC6/100,0)</f>
        <v>6442576.20072539</v>
      </c>
      <c r="CD91" s="10" t="n">
        <f aca="false">MAX(-Flows!CD61*CD$4*CD6/100,0)</f>
        <v>0</v>
      </c>
      <c r="CE91" s="10" t="n">
        <f aca="false">MAX(-Flows!CE61*CE$4*CE6/100,0)</f>
        <v>6442576.20072539</v>
      </c>
      <c r="CF91" s="10" t="n">
        <f aca="false">MAX(-Flows!CF61*CF$4*CF6/100,0)</f>
        <v>12885152.4014508</v>
      </c>
      <c r="CG91" s="10" t="n">
        <f aca="false">MAX(-Flows!CG61*CG$4*CG6/100,0)</f>
        <v>25232309383.8263</v>
      </c>
      <c r="CH91" s="10" t="n">
        <f aca="false">MAX(-Flows!CH61*CH$4*CH6/100,0)</f>
        <v>25232309383.8263</v>
      </c>
      <c r="CI91" s="10" t="n">
        <f aca="false">MAX(-Flows!CI61*CI$4*CI6/100,0)</f>
        <v>115922499.551832</v>
      </c>
      <c r="CJ91" s="10" t="n">
        <f aca="false">MAX(-Flows!CJ61*CJ$4*CJ6/100,0)</f>
        <v>11592249.9551832</v>
      </c>
      <c r="CK91" s="10" t="n">
        <f aca="false">MAX(-Flows!CK61*CK$4*CK6/100,0)</f>
        <v>11592249.9551832</v>
      </c>
      <c r="CL91" s="7" t="s">
        <v>39</v>
      </c>
      <c r="CM91" s="10" t="n">
        <f aca="false">-CM31</f>
        <v>217246300.474893</v>
      </c>
      <c r="CN91" s="10" t="n">
        <f aca="false">-CN31</f>
        <v>584250420.137301</v>
      </c>
      <c r="CO91" s="10" t="n">
        <f aca="false">-CO31</f>
        <v>732913133.096027</v>
      </c>
      <c r="CP91" s="10" t="n">
        <f aca="false">-CP31</f>
        <v>269625587.149193</v>
      </c>
      <c r="CQ91" s="10" t="n">
        <f aca="false">-CQ31</f>
        <v>581000478.874388</v>
      </c>
      <c r="CR91" s="10" t="n">
        <f aca="false">-CR31</f>
        <v>2362754207296080</v>
      </c>
      <c r="CS91" s="10" t="n">
        <f aca="false">-CS31</f>
        <v>111279193.256841</v>
      </c>
      <c r="CT91" s="10" t="n">
        <f aca="false">-CT31</f>
        <v>36069652.3118172</v>
      </c>
      <c r="CU91" s="10" t="n">
        <f aca="false">-CU31</f>
        <v>-44374687.3866448</v>
      </c>
      <c r="CV91" s="10" t="n">
        <f aca="false">-CV31</f>
        <v>1107146.07369779</v>
      </c>
      <c r="CX91" s="0" t="str">
        <f aca="false">INDEX($C$1:$CK$1,MATCH(LARGE($C91:$CK91,1),$C91:$CK91,0))</f>
        <v>Iron (lb)</v>
      </c>
      <c r="CY91" s="0" t="str">
        <f aca="false">INDEX($C$1:$CK$1,MATCH(LARGE($C91:$CK91,2),$C91:$CK91,0))</f>
        <v>Cu (lb)</v>
      </c>
      <c r="CZ91" s="0" t="str">
        <f aca="false">INDEX($C$1:$CK$1,MATCH(LARGE($C91:$CK91,3),$C91:$CK91,0))</f>
        <v>Ag (lb)</v>
      </c>
      <c r="DA91" s="0" t="str">
        <f aca="false">INDEX($C$1:$CK$1,MATCH(LARGE($C91:$CK91,4),$C91:$CK91,0))</f>
        <v>Au (lb)</v>
      </c>
      <c r="DB91" s="0" t="str">
        <f aca="false">INDEX($C$1:$CK$1,MATCH(LARGE($C91:$CK91,5),$C91:$CK91,0))</f>
        <v>Diamonds (lb)</v>
      </c>
      <c r="DD91" s="0" t="str">
        <f aca="false">IF(LARGE($CM91:$CV91,1)&gt;0,INDEX($CM$30:$CV$30,MATCH(LARGE($CM91:$CV91,1),$CM91:$CV91,0)),"N/A")</f>
        <v>Mineral</v>
      </c>
      <c r="DE91" s="0" t="str">
        <f aca="false">IF(LARGE($CM91:$CV91,2)&gt;0,INDEX($CM$30:$CV$30,MATCH(LARGE($CM91:$CV91,2),$CM91:$CV91,0)),"N/A")</f>
        <v>Food Prod</v>
      </c>
      <c r="DF91" s="0" t="str">
        <f aca="false">IF(LARGE($CM91:$CV91,3)&gt;0,INDEX($CM$30:$CV$30,MATCH(LARGE($CM91:$CV91,3),$CM91:$CV91,0)),"N/A")</f>
        <v>Animal</v>
      </c>
      <c r="DG91" s="0" t="str">
        <f aca="false">IF(LARGE($CM91:$CV91,4)&gt;0,INDEX($CM$30:$CV$30,MATCH(LARGE($CM91:$CV91,4),$CM91:$CV91,0)),"N/A")</f>
        <v>Tools</v>
      </c>
      <c r="DH91" s="0" t="str">
        <f aca="false">IF(LARGE($CM91:$CV91,5)&gt;0,INDEX($CM$30:$CV$30,MATCH(LARGE($CM91:$CV91,5),$CM91:$CV91,0)),"N/A")</f>
        <v>Textile</v>
      </c>
    </row>
    <row r="92" customFormat="false" ht="12.8" hidden="false" customHeight="false" outlineLevel="0" collapsed="false">
      <c r="A92" s="7" t="s">
        <v>133</v>
      </c>
      <c r="B92" s="7" t="s">
        <v>39</v>
      </c>
      <c r="C92" s="10" t="n">
        <f aca="false">MAX(-Flows!C62*C$4*C7/100,0)</f>
        <v>13691093.8664466</v>
      </c>
      <c r="D92" s="10" t="n">
        <f aca="false">MAX(-Flows!D62*D$4*D7/100,0)</f>
        <v>43434268.5068949</v>
      </c>
      <c r="E92" s="10" t="n">
        <f aca="false">MAX(-Flows!E62*E$4*E7/100,0)</f>
        <v>0</v>
      </c>
      <c r="F92" s="10" t="n">
        <f aca="false">MAX(-Flows!F62*F$4*F7/100,0)</f>
        <v>0</v>
      </c>
      <c r="G92" s="10" t="n">
        <f aca="false">MAX(-Flows!G62*G$4*G7/100,0)</f>
        <v>53493110.258572</v>
      </c>
      <c r="H92" s="10" t="n">
        <f aca="false">MAX(-Flows!H62*H$4*H7/100,0)</f>
        <v>0</v>
      </c>
      <c r="I92" s="10" t="n">
        <f aca="false">MAX(-Flows!I62*I$4*I7/100,0)</f>
        <v>26584811.2899179</v>
      </c>
      <c r="J92" s="10" t="n">
        <f aca="false">MAX(-Flows!J62*J$4*J7/100,0)</f>
        <v>20031485.9399112</v>
      </c>
      <c r="K92" s="10" t="n">
        <f aca="false">MAX(-Flows!K62*K$4*K7/100,0)</f>
        <v>0</v>
      </c>
      <c r="L92" s="10" t="n">
        <f aca="false">MAX(-Flows!L62*L$4*L7/100,0)</f>
        <v>0</v>
      </c>
      <c r="M92" s="10" t="n">
        <f aca="false">MAX(-Flows!M62*M$4*M7/100,0)</f>
        <v>0</v>
      </c>
      <c r="N92" s="10" t="n">
        <f aca="false">MAX(-Flows!N62*N$4*N7/100,0)</f>
        <v>30013080.5093379</v>
      </c>
      <c r="O92" s="10" t="n">
        <f aca="false">MAX(-Flows!O62*O$4*O7/100,0)</f>
        <v>0</v>
      </c>
      <c r="P92" s="10" t="n">
        <f aca="false">MAX(-Flows!P62*P$4*P7/100,0)</f>
        <v>0</v>
      </c>
      <c r="Q92" s="10" t="n">
        <f aca="false">MAX(-Flows!Q62*Q$4*Q7/100,0)</f>
        <v>96662034.5552316</v>
      </c>
      <c r="R92" s="10" t="n">
        <f aca="false">MAX(-Flows!R62*R$4*R7/100,0)</f>
        <v>8802596.80561095</v>
      </c>
      <c r="S92" s="10" t="n">
        <f aca="false">MAX(-Flows!S62*S$4*S7/100,0)</f>
        <v>0</v>
      </c>
      <c r="T92" s="10" t="n">
        <f aca="false">MAX(-Flows!T62*T$4*T7/100,0)</f>
        <v>0</v>
      </c>
      <c r="U92" s="10" t="n">
        <f aca="false">MAX(-Flows!U62*U$4*U7/100,0)</f>
        <v>0</v>
      </c>
      <c r="V92" s="10" t="n">
        <f aca="false">MAX(-Flows!V62*V$4*V7/100,0)</f>
        <v>267968476.433669</v>
      </c>
      <c r="W92" s="10" t="n">
        <f aca="false">MAX(-Flows!W62*W$4*W7/100,0)</f>
        <v>189329290.00122</v>
      </c>
      <c r="X92" s="10" t="n">
        <f aca="false">MAX(-Flows!X62*X$4*X7/100,0)</f>
        <v>29303344.1520734</v>
      </c>
      <c r="Y92" s="10" t="n">
        <f aca="false">MAX(-Flows!Y62*Y$4*Y7/100,0)</f>
        <v>0</v>
      </c>
      <c r="Z92" s="10" t="n">
        <f aca="false">MAX(-Flows!Z62*Z$4*Z7/100,0)</f>
        <v>8616040.39180576</v>
      </c>
      <c r="AA92" s="10" t="n">
        <f aca="false">MAX(-Flows!AA62*AA$4*AA7/100,0)</f>
        <v>289974.227935943</v>
      </c>
      <c r="AB92" s="10" t="n">
        <f aca="false">MAX(-Flows!AB62*AB$4*AB7/100,0)</f>
        <v>1460916.89051486</v>
      </c>
      <c r="AC92" s="10" t="n">
        <f aca="false">MAX(-Flows!AC62*AC$4*AC7/100,0)</f>
        <v>0</v>
      </c>
      <c r="AD92" s="10" t="n">
        <f aca="false">MAX(-Flows!AD62*AD$4*AD7/100,0)</f>
        <v>730458.445257429</v>
      </c>
      <c r="AE92" s="10" t="n">
        <f aca="false">MAX(-Flows!AE62*AE$4*AE7/100,0)</f>
        <v>13480130.3631123</v>
      </c>
      <c r="AF92" s="10" t="n">
        <f aca="false">MAX(-Flows!AF62*AF$4*AF7/100,0)</f>
        <v>2371308.8764688</v>
      </c>
      <c r="AG92" s="10" t="n">
        <f aca="false">MAX(-Flows!AG62*AG$4*AG7/100,0)</f>
        <v>36748773.3202841</v>
      </c>
      <c r="AH92" s="10" t="n">
        <f aca="false">MAX(-Flows!AH62*AH$4*AH7/100,0)</f>
        <v>11817954.5807267</v>
      </c>
      <c r="AI92" s="10" t="n">
        <f aca="false">MAX(-Flows!AI62*AI$4*AI7/100,0)</f>
        <v>41892331.5152477</v>
      </c>
      <c r="AJ92" s="10" t="n">
        <f aca="false">MAX(-Flows!AJ62*AJ$4*AJ7/100,0)</f>
        <v>0</v>
      </c>
      <c r="AK92" s="10" t="n">
        <f aca="false">MAX(-Flows!AK62*AK$4*AK7/100,0)</f>
        <v>13779437.841005</v>
      </c>
      <c r="AL92" s="10" t="n">
        <f aca="false">MAX(-Flows!AL62*AL$4*AL7/100,0)</f>
        <v>0</v>
      </c>
      <c r="AM92" s="10" t="n">
        <f aca="false">MAX(-Flows!AM62*AM$4*AM7/100,0)</f>
        <v>22041533.1407338</v>
      </c>
      <c r="AN92" s="10" t="n">
        <f aca="false">MAX(-Flows!AN62*AN$4*AN7/100,0)</f>
        <v>39464674.4341362</v>
      </c>
      <c r="AO92" s="10" t="n">
        <f aca="false">MAX(-Flows!AO62*AO$4*AO7/100,0)</f>
        <v>0</v>
      </c>
      <c r="AP92" s="10" t="n">
        <f aca="false">MAX(-Flows!AP62*AP$4*AP7/100,0)</f>
        <v>31197099.1330375</v>
      </c>
      <c r="AQ92" s="10" t="n">
        <f aca="false">MAX(-Flows!AQ62*AQ$4*AQ7/100,0)</f>
        <v>45254665.8469759</v>
      </c>
      <c r="AR92" s="10" t="n">
        <f aca="false">MAX(-Flows!AR62*AR$4*AR7/100,0)</f>
        <v>9042853.58636137</v>
      </c>
      <c r="AS92" s="10" t="n">
        <f aca="false">MAX(-Flows!AS62*AS$4*AS7/100,0)</f>
        <v>13730641.7400885</v>
      </c>
      <c r="AT92" s="10" t="n">
        <f aca="false">MAX(-Flows!AT62*AT$4*AT7/100,0)</f>
        <v>25968983.1313486</v>
      </c>
      <c r="AU92" s="10" t="n">
        <f aca="false">MAX(-Flows!AU62*AU$4*AU7/100,0)</f>
        <v>0</v>
      </c>
      <c r="AV92" s="10" t="n">
        <f aca="false">MAX(-Flows!AV62*AV$4*AV7/100,0)</f>
        <v>43666149.5819009</v>
      </c>
      <c r="AW92" s="10" t="n">
        <f aca="false">MAX(-Flows!AW62*AW$4*AW7/100,0)</f>
        <v>0</v>
      </c>
      <c r="AX92" s="10" t="n">
        <f aca="false">MAX(-Flows!AX62*AX$4*AX7/100,0)</f>
        <v>1564866.66119682</v>
      </c>
      <c r="AY92" s="10" t="n">
        <f aca="false">MAX(-Flows!AY62*AY$4*AY7/100,0)</f>
        <v>0</v>
      </c>
      <c r="AZ92" s="10" t="n">
        <f aca="false">MAX(-Flows!AZ62*AZ$4*AZ7/100,0)</f>
        <v>2833997.92914011</v>
      </c>
      <c r="BA92" s="10" t="n">
        <f aca="false">MAX(-Flows!BA62*BA$4*BA7/100,0)</f>
        <v>0</v>
      </c>
      <c r="BB92" s="10" t="n">
        <f aca="false">MAX(-Flows!BB62*BB$4*BB7/100,0)</f>
        <v>900169.277451315</v>
      </c>
      <c r="BC92" s="10" t="n">
        <f aca="false">MAX(-Flows!BC62*BC$4*BC7/100,0)</f>
        <v>3483623.89893794</v>
      </c>
      <c r="BD92" s="10" t="n">
        <f aca="false">MAX(-Flows!BD62*BD$4*BD7/100,0)</f>
        <v>0</v>
      </c>
      <c r="BE92" s="10" t="n">
        <f aca="false">MAX(-Flows!BE62*BE$4*BE7/100,0)</f>
        <v>17924203.8915484</v>
      </c>
      <c r="BF92" s="10" t="n">
        <f aca="false">MAX(-Flows!BF62*BF$4*BF7/100,0)</f>
        <v>24735668.6984471</v>
      </c>
      <c r="BG92" s="10" t="n">
        <f aca="false">MAX(-Flows!BG62*BG$4*BG7/100,0)</f>
        <v>9859146.52070819</v>
      </c>
      <c r="BH92" s="10" t="n">
        <f aca="false">MAX(-Flows!BH62*BH$4*BH7/100,0)</f>
        <v>22102879.5308879</v>
      </c>
      <c r="BI92" s="10" t="n">
        <f aca="false">MAX(-Flows!BI62*BI$4*BI7/100,0)</f>
        <v>8734608.75304032</v>
      </c>
      <c r="BJ92" s="10" t="n">
        <f aca="false">MAX(-Flows!BJ62*BJ$4*BJ7/100,0)</f>
        <v>8734608.75304033</v>
      </c>
      <c r="BK92" s="10" t="n">
        <f aca="false">MAX(-Flows!BK62*BK$4*BK7/100,0)</f>
        <v>8734608.75304032</v>
      </c>
      <c r="BL92" s="10" t="n">
        <f aca="false">MAX(-Flows!BL62*BL$4*BL7/100,0)</f>
        <v>9666203.45552316</v>
      </c>
      <c r="BM92" s="10" t="n">
        <f aca="false">MAX(-Flows!BM62*BM$4*BM7/100,0)</f>
        <v>9666203.45552315</v>
      </c>
      <c r="BN92" s="10" t="n">
        <f aca="false">MAX(-Flows!BN62*BN$4*BN7/100,0)</f>
        <v>0</v>
      </c>
      <c r="BO92" s="10" t="n">
        <f aca="false">MAX(-Flows!BO62*BO$4*BO7/100,0)</f>
        <v>0</v>
      </c>
      <c r="BP92" s="10" t="n">
        <f aca="false">MAX(-Flows!BP62*BP$4*BP7/100,0)</f>
        <v>0</v>
      </c>
      <c r="BQ92" s="10" t="n">
        <f aca="false">MAX(-Flows!BQ62*BQ$4*BQ7/100,0)</f>
        <v>0</v>
      </c>
      <c r="BR92" s="10" t="n">
        <f aca="false">MAX(-Flows!BR62*BR$4*BR7/100,0)</f>
        <v>0</v>
      </c>
      <c r="BS92" s="10" t="n">
        <f aca="false">MAX(-Flows!BS62*BS$4*BS7/100,0)</f>
        <v>0</v>
      </c>
      <c r="BT92" s="10" t="n">
        <f aca="false">MAX(-Flows!BT62*BT$4*BT7/100,0)</f>
        <v>0</v>
      </c>
      <c r="BU92" s="10" t="n">
        <f aca="false">MAX(-Flows!BU62*BU$4*BU7/100,0)</f>
        <v>0</v>
      </c>
      <c r="BV92" s="10" t="n">
        <f aca="false">MAX(-Flows!BV62*BV$4*BV7/100,0)</f>
        <v>0</v>
      </c>
      <c r="BW92" s="10" t="n">
        <f aca="false">MAX(-Flows!BW62*BW$4*BW7/100,0)</f>
        <v>0</v>
      </c>
      <c r="BX92" s="10" t="n">
        <f aca="false">MAX(-Flows!BX62*BX$4*BX7/100,0)</f>
        <v>19332406.9110463</v>
      </c>
      <c r="BY92" s="10" t="n">
        <f aca="false">MAX(-Flows!BY62*BY$4*BY7/100,0)</f>
        <v>19332406.9110463</v>
      </c>
      <c r="BZ92" s="10" t="n">
        <f aca="false">MAX(-Flows!BZ62*BZ$4*BZ7/100,0)</f>
        <v>20055756.4881628</v>
      </c>
      <c r="CA92" s="10" t="n">
        <f aca="false">MAX(-Flows!CA62*CA$4*CA7/100,0)</f>
        <v>20055756.4881628</v>
      </c>
      <c r="CB92" s="10" t="n">
        <f aca="false">MAX(-Flows!CB62*CB$4*CB7/100,0)</f>
        <v>96662034.5552316</v>
      </c>
      <c r="CC92" s="10" t="n">
        <f aca="false">MAX(-Flows!CC62*CC$4*CC7/100,0)</f>
        <v>436730.437652015</v>
      </c>
      <c r="CD92" s="10" t="n">
        <f aca="false">MAX(-Flows!CD62*CD$4*CD7/100,0)</f>
        <v>0</v>
      </c>
      <c r="CE92" s="10" t="n">
        <f aca="false">MAX(-Flows!CE62*CE$4*CE7/100,0)</f>
        <v>436730.437652018</v>
      </c>
      <c r="CF92" s="10" t="n">
        <f aca="false">MAX(-Flows!CF62*CF$4*CF7/100,0)</f>
        <v>1444746.85175007</v>
      </c>
      <c r="CG92" s="10" t="n">
        <f aca="false">MAX(-Flows!CG62*CG$4*CG7/100,0)</f>
        <v>0</v>
      </c>
      <c r="CH92" s="10" t="n">
        <f aca="false">MAX(-Flows!CH62*CH$4*CH7/100,0)</f>
        <v>0</v>
      </c>
      <c r="CI92" s="10" t="n">
        <f aca="false">MAX(-Flows!CI62*CI$4*CI7/100,0)</f>
        <v>48331017.2776158</v>
      </c>
      <c r="CJ92" s="10" t="n">
        <f aca="false">MAX(-Flows!CJ62*CJ$4*CJ7/100,0)</f>
        <v>4833101.72776157</v>
      </c>
      <c r="CK92" s="10" t="n">
        <f aca="false">MAX(-Flows!CK62*CK$4*CK7/100,0)</f>
        <v>4833101.72776158</v>
      </c>
      <c r="CL92" s="7" t="s">
        <v>39</v>
      </c>
      <c r="CM92" s="10" t="n">
        <f aca="false">-CM32</f>
        <v>150555109.95411</v>
      </c>
      <c r="CN92" s="10" t="n">
        <f aca="false">-CN32</f>
        <v>113562551.227942</v>
      </c>
      <c r="CO92" s="10" t="n">
        <f aca="false">-CO32</f>
        <v>681850134.970449</v>
      </c>
      <c r="CP92" s="10" t="n">
        <f aca="false">-CP32</f>
        <v>44362872.7900717</v>
      </c>
      <c r="CQ92" s="10" t="n">
        <f aca="false">-CQ32</f>
        <v>332746174.96276</v>
      </c>
      <c r="CR92" s="10" t="n">
        <f aca="false">-CR32</f>
        <v>2210338.70694818</v>
      </c>
      <c r="CS92" s="10" t="n">
        <f aca="false">-CS32</f>
        <v>29793894.7185177</v>
      </c>
      <c r="CT92" s="10" t="n">
        <f aca="false">-CT32</f>
        <v>11110950.3072732</v>
      </c>
      <c r="CU92" s="10" t="n">
        <f aca="false">-CU32</f>
        <v>46616297.2298291</v>
      </c>
      <c r="CV92" s="10" t="n">
        <f aca="false">-CV32</f>
        <v>2191375.33577229</v>
      </c>
      <c r="CX92" s="0" t="str">
        <f aca="false">INDEX($C$1:$CK$1,MATCH(LARGE($C92:$CK92,1),$C92:$CK92,0))</f>
        <v>Cider (gal)</v>
      </c>
      <c r="CY92" s="0" t="str">
        <f aca="false">INDEX($C$1:$CK$1,MATCH(LARGE($C92:$CK92,2),$C92:$CK92,0))</f>
        <v>Sauce (lb)</v>
      </c>
      <c r="CZ92" s="0" t="str">
        <f aca="false">INDEX($C$1:$CK$1,MATCH(LARGE($C92:$CK92,3),$C92:$CK92,0))</f>
        <v>Veg Oil (lb)</v>
      </c>
      <c r="DA92" s="0" t="str">
        <f aca="false">INDEX($C$1:$CK$1,MATCH(LARGE($C92:$CK92,4),$C92:$CK92,0))</f>
        <v>Veg Oil (lb)</v>
      </c>
      <c r="DB92" s="23" t="s">
        <v>401</v>
      </c>
      <c r="DD92" s="0" t="str">
        <f aca="false">IF(LARGE($CM92:$CV92,1)&gt;0,INDEX($CM$30:$CV$30,MATCH(LARGE($CM92:$CV92,1),$CM92:$CV92,0)),"N/A")</f>
        <v>Food Prod</v>
      </c>
      <c r="DE92" s="0" t="str">
        <f aca="false">IF(LARGE($CM92:$CV92,2)&gt;0,INDEX($CM$30:$CV$30,MATCH(LARGE($CM92:$CV92,2),$CM92:$CV92,0)),"N/A")</f>
        <v>Tools</v>
      </c>
      <c r="DF92" s="0" t="str">
        <f aca="false">IF(LARGE($CM92:$CV92,3)&gt;0,INDEX($CM$30:$CV$30,MATCH(LARGE($CM92:$CV92,3),$CM92:$CV92,0)),"N/A")</f>
        <v>Produce</v>
      </c>
      <c r="DG92" s="0" t="str">
        <f aca="false">IF(LARGE($CM92:$CV92,4)&gt;0,INDEX($CM$30:$CV$30,MATCH(LARGE($CM92:$CV92,4),$CM92:$CV92,0)),"N/A")</f>
        <v>Animal</v>
      </c>
      <c r="DH92" s="0" t="str">
        <f aca="false">IF(LARGE($CM92:$CV92,5)&gt;0,INDEX($CM$30:$CV$30,MATCH(LARGE($CM92:$CV92,5),$CM92:$CV92,0)),"N/A")</f>
        <v>Honey</v>
      </c>
    </row>
    <row r="93" customFormat="false" ht="12.8" hidden="false" customHeight="false" outlineLevel="0" collapsed="false">
      <c r="A93" s="7" t="s">
        <v>135</v>
      </c>
      <c r="B93" s="7" t="s">
        <v>39</v>
      </c>
      <c r="C93" s="10" t="n">
        <f aca="false">MAX(-Flows!C63*C$4*C8/100,0)</f>
        <v>12955268.3935423</v>
      </c>
      <c r="D93" s="10" t="n">
        <f aca="false">MAX(-Flows!D63*D$4*D8/100,0)</f>
        <v>1937210.74578911</v>
      </c>
      <c r="E93" s="10" t="n">
        <f aca="false">MAX(-Flows!E63*E$4*E8/100,0)</f>
        <v>13789644.7631255</v>
      </c>
      <c r="F93" s="10" t="n">
        <f aca="false">MAX(-Flows!F63*F$4*F8/100,0)</f>
        <v>0</v>
      </c>
      <c r="G93" s="10" t="n">
        <f aca="false">MAX(-Flows!G63*G$4*G8/100,0)</f>
        <v>0</v>
      </c>
      <c r="H93" s="10" t="n">
        <f aca="false">MAX(-Flows!H63*H$4*H8/100,0)</f>
        <v>0</v>
      </c>
      <c r="I93" s="10" t="n">
        <f aca="false">MAX(-Flows!I63*I$4*I8/100,0)</f>
        <v>0</v>
      </c>
      <c r="J93" s="10" t="n">
        <f aca="false">MAX(-Flows!J63*J$4*J8/100,0)</f>
        <v>0</v>
      </c>
      <c r="K93" s="10" t="n">
        <f aca="false">MAX(-Flows!K63*K$4*K8/100,0)</f>
        <v>0</v>
      </c>
      <c r="L93" s="10" t="n">
        <f aca="false">MAX(-Flows!L63*L$4*L8/100,0)</f>
        <v>0</v>
      </c>
      <c r="M93" s="10" t="n">
        <f aca="false">MAX(-Flows!M63*M$4*M8/100,0)</f>
        <v>0</v>
      </c>
      <c r="N93" s="10" t="n">
        <f aca="false">MAX(-Flows!N63*N$4*N8/100,0)</f>
        <v>2249556.50022559</v>
      </c>
      <c r="O93" s="10" t="n">
        <f aca="false">MAX(-Flows!O63*O$4*O8/100,0)</f>
        <v>0</v>
      </c>
      <c r="P93" s="10" t="n">
        <f aca="false">MAX(-Flows!P63*P$4*P8/100,0)</f>
        <v>0</v>
      </c>
      <c r="Q93" s="10" t="n">
        <f aca="false">MAX(-Flows!Q63*Q$4*Q8/100,0)</f>
        <v>11322141.2040015</v>
      </c>
      <c r="R93" s="10" t="n">
        <f aca="false">MAX(-Flows!R63*R$4*R8/100,0)</f>
        <v>5548810.20047026</v>
      </c>
      <c r="S93" s="10" t="n">
        <f aca="false">MAX(-Flows!S63*S$4*S8/100,0)</f>
        <v>0</v>
      </c>
      <c r="T93" s="10" t="n">
        <f aca="false">MAX(-Flows!T63*T$4*T8/100,0)</f>
        <v>0</v>
      </c>
      <c r="U93" s="10" t="n">
        <f aca="false">MAX(-Flows!U63*U$4*U8/100,0)</f>
        <v>0</v>
      </c>
      <c r="V93" s="10" t="n">
        <f aca="false">MAX(-Flows!V63*V$4*V8/100,0)</f>
        <v>0</v>
      </c>
      <c r="W93" s="10" t="n">
        <f aca="false">MAX(-Flows!W63*W$4*W8/100,0)</f>
        <v>33721384.8227712</v>
      </c>
      <c r="X93" s="10" t="n">
        <f aca="false">MAX(-Flows!X63*X$4*X8/100,0)</f>
        <v>32653664.8822732</v>
      </c>
      <c r="Y93" s="10" t="n">
        <f aca="false">MAX(-Flows!Y63*Y$4*Y8/100,0)</f>
        <v>0</v>
      </c>
      <c r="Z93" s="10" t="n">
        <f aca="false">MAX(-Flows!Z63*Z$4*Z8/100,0)</f>
        <v>0</v>
      </c>
      <c r="AA93" s="10" t="n">
        <f aca="false">MAX(-Flows!AA63*AA$4*AA8/100,0)</f>
        <v>63313.4311182071</v>
      </c>
      <c r="AB93" s="10" t="n">
        <f aca="false">MAX(-Flows!AB63*AB$4*AB8/100,0)</f>
        <v>0</v>
      </c>
      <c r="AC93" s="10" t="n">
        <f aca="false">MAX(-Flows!AC63*AC$4*AC8/100,0)</f>
        <v>0</v>
      </c>
      <c r="AD93" s="10" t="n">
        <f aca="false">MAX(-Flows!AD63*AD$4*AD8/100,0)</f>
        <v>0</v>
      </c>
      <c r="AE93" s="10" t="n">
        <f aca="false">MAX(-Flows!AE63*AE$4*AE8/100,0)</f>
        <v>867571.407666962</v>
      </c>
      <c r="AF93" s="10" t="n">
        <f aca="false">MAX(-Flows!AF63*AF$4*AF8/100,0)</f>
        <v>0</v>
      </c>
      <c r="AG93" s="10" t="n">
        <f aca="false">MAX(-Flows!AG63*AG$4*AG8/100,0)</f>
        <v>12128399.5105136</v>
      </c>
      <c r="AH93" s="10" t="n">
        <f aca="false">MAX(-Flows!AH63*AH$4*AH8/100,0)</f>
        <v>9593277.25578335</v>
      </c>
      <c r="AI93" s="10" t="n">
        <f aca="false">MAX(-Flows!AI63*AI$4*AI8/100,0)</f>
        <v>0</v>
      </c>
      <c r="AJ93" s="10" t="n">
        <f aca="false">MAX(-Flows!AJ63*AJ$4*AJ8/100,0)</f>
        <v>1289402.92510958</v>
      </c>
      <c r="AK93" s="10" t="n">
        <f aca="false">MAX(-Flows!AK63*AK$4*AK8/100,0)</f>
        <v>0</v>
      </c>
      <c r="AL93" s="10" t="n">
        <f aca="false">MAX(-Flows!AL63*AL$4*AL8/100,0)</f>
        <v>0</v>
      </c>
      <c r="AM93" s="10" t="n">
        <f aca="false">MAX(-Flows!AM63*AM$4*AM8/100,0)</f>
        <v>0</v>
      </c>
      <c r="AN93" s="10" t="n">
        <f aca="false">MAX(-Flows!AN63*AN$4*AN8/100,0)</f>
        <v>2630028.7824748</v>
      </c>
      <c r="AO93" s="10" t="n">
        <f aca="false">MAX(-Flows!AO63*AO$4*AO8/100,0)</f>
        <v>0</v>
      </c>
      <c r="AP93" s="10" t="n">
        <f aca="false">MAX(-Flows!AP63*AP$4*AP8/100,0)</f>
        <v>9149718.51665031</v>
      </c>
      <c r="AQ93" s="10" t="n">
        <f aca="false">MAX(-Flows!AQ63*AQ$4*AQ8/100,0)</f>
        <v>2910716.49767342</v>
      </c>
      <c r="AR93" s="10" t="n">
        <f aca="false">MAX(-Flows!AR63*AR$4*AR8/100,0)</f>
        <v>0</v>
      </c>
      <c r="AS93" s="10" t="n">
        <f aca="false">MAX(-Flows!AS63*AS$4*AS8/100,0)</f>
        <v>13130681.2425248</v>
      </c>
      <c r="AT93" s="10" t="n">
        <f aca="false">MAX(-Flows!AT63*AT$4*AT8/100,0)</f>
        <v>0</v>
      </c>
      <c r="AU93" s="10" t="n">
        <f aca="false">MAX(-Flows!AU63*AU$4*AU8/100,0)</f>
        <v>0</v>
      </c>
      <c r="AV93" s="10" t="n">
        <f aca="false">MAX(-Flows!AV63*AV$4*AV8/100,0)</f>
        <v>0</v>
      </c>
      <c r="AW93" s="10" t="n">
        <f aca="false">MAX(-Flows!AW63*AW$4*AW8/100,0)</f>
        <v>0</v>
      </c>
      <c r="AX93" s="10" t="n">
        <f aca="false">MAX(-Flows!AX63*AX$4*AX8/100,0)</f>
        <v>2980345.50108265</v>
      </c>
      <c r="AY93" s="10" t="n">
        <f aca="false">MAX(-Flows!AY63*AY$4*AY8/100,0)</f>
        <v>104704.631968033</v>
      </c>
      <c r="AZ93" s="10" t="n">
        <f aca="false">MAX(-Flows!AZ63*AZ$4*AZ8/100,0)</f>
        <v>0</v>
      </c>
      <c r="BA93" s="10" t="n">
        <f aca="false">MAX(-Flows!BA63*BA$4*BA8/100,0)</f>
        <v>0</v>
      </c>
      <c r="BB93" s="10" t="n">
        <f aca="false">MAX(-Flows!BB63*BB$4*BB8/100,0)</f>
        <v>6331913.00044777</v>
      </c>
      <c r="BC93" s="10" t="n">
        <f aca="false">MAX(-Flows!BC63*BC$4*BC8/100,0)</f>
        <v>2513313.36392214</v>
      </c>
      <c r="BD93" s="10" t="n">
        <f aca="false">MAX(-Flows!BD63*BD$4*BD8/100,0)</f>
        <v>745127.292341612</v>
      </c>
      <c r="BE93" s="10" t="n">
        <f aca="false">MAX(-Flows!BE63*BE$4*BE8/100,0)</f>
        <v>3742462.13787669</v>
      </c>
      <c r="BF93" s="10" t="n">
        <f aca="false">MAX(-Flows!BF63*BF$4*BF8/100,0)</f>
        <v>138392198.721324</v>
      </c>
      <c r="BG93" s="10" t="n">
        <f aca="false">MAX(-Flows!BG63*BG$4*BG8/100,0)</f>
        <v>0</v>
      </c>
      <c r="BH93" s="10" t="n">
        <f aca="false">MAX(-Flows!BH63*BH$4*BH8/100,0)</f>
        <v>0</v>
      </c>
      <c r="BI93" s="10" t="n">
        <f aca="false">MAX(-Flows!BI63*BI$4*BI8/100,0)</f>
        <v>11208420.318519</v>
      </c>
      <c r="BJ93" s="10" t="n">
        <f aca="false">MAX(-Flows!BJ63*BJ$4*BJ8/100,0)</f>
        <v>11208420.318519</v>
      </c>
      <c r="BK93" s="10" t="n">
        <f aca="false">MAX(-Flows!BK63*BK$4*BK8/100,0)</f>
        <v>11208420.318519</v>
      </c>
      <c r="BL93" s="10" t="n">
        <f aca="false">MAX(-Flows!BL63*BL$4*BL8/100,0)</f>
        <v>1132214.12040015</v>
      </c>
      <c r="BM93" s="10" t="n">
        <f aca="false">MAX(-Flows!BM63*BM$4*BM8/100,0)</f>
        <v>1132214.12040015</v>
      </c>
      <c r="BN93" s="10" t="n">
        <f aca="false">MAX(-Flows!BN63*BN$4*BN8/100,0)</f>
        <v>0</v>
      </c>
      <c r="BO93" s="10" t="n">
        <f aca="false">MAX(-Flows!BO63*BO$4*BO8/100,0)</f>
        <v>5849754600370.6</v>
      </c>
      <c r="BP93" s="10" t="n">
        <f aca="false">MAX(-Flows!BP63*BP$4*BP8/100,0)</f>
        <v>2729885658689780</v>
      </c>
      <c r="BQ93" s="10" t="n">
        <f aca="false">MAX(-Flows!BQ63*BQ$4*BQ8/100,0)</f>
        <v>0</v>
      </c>
      <c r="BR93" s="10" t="n">
        <f aca="false">MAX(-Flows!BR63*BR$4*BR8/100,0)</f>
        <v>1949917942894.66</v>
      </c>
      <c r="BS93" s="10" t="n">
        <f aca="false">MAX(-Flows!BS63*BS$4*BS8/100,0)</f>
        <v>974958778525.681</v>
      </c>
      <c r="BT93" s="10" t="n">
        <f aca="false">MAX(-Flows!BT63*BT$4*BT8/100,0)</f>
        <v>0</v>
      </c>
      <c r="BU93" s="10" t="n">
        <f aca="false">MAX(-Flows!BU63*BU$4*BU8/100,0)</f>
        <v>0</v>
      </c>
      <c r="BV93" s="10" t="n">
        <f aca="false">MAX(-Flows!BV63*BV$4*BV8/100,0)</f>
        <v>0</v>
      </c>
      <c r="BW93" s="10" t="n">
        <f aca="false">MAX(-Flows!BW63*BW$4*BW8/100,0)</f>
        <v>0</v>
      </c>
      <c r="BX93" s="10" t="n">
        <f aca="false">MAX(-Flows!BX63*BX$4*BX8/100,0)</f>
        <v>2264428.2408003</v>
      </c>
      <c r="BY93" s="10" t="n">
        <f aca="false">MAX(-Flows!BY63*BY$4*BY8/100,0)</f>
        <v>2264428.24080031</v>
      </c>
      <c r="BZ93" s="10" t="n">
        <f aca="false">MAX(-Flows!BZ63*BZ$4*BZ8/100,0)</f>
        <v>7372784.72865291</v>
      </c>
      <c r="CA93" s="10" t="n">
        <f aca="false">MAX(-Flows!CA63*CA$4*CA8/100,0)</f>
        <v>7372784.72865295</v>
      </c>
      <c r="CB93" s="10" t="n">
        <f aca="false">MAX(-Flows!CB63*CB$4*CB8/100,0)</f>
        <v>11322141.2040015</v>
      </c>
      <c r="CC93" s="10" t="n">
        <f aca="false">MAX(-Flows!CC63*CC$4*CC8/100,0)</f>
        <v>560421.015925949</v>
      </c>
      <c r="CD93" s="10" t="n">
        <f aca="false">MAX(-Flows!CD63*CD$4*CD8/100,0)</f>
        <v>0</v>
      </c>
      <c r="CE93" s="10" t="n">
        <f aca="false">MAX(-Flows!CE63*CE$4*CE8/100,0)</f>
        <v>560421.015925952</v>
      </c>
      <c r="CF93" s="10" t="n">
        <f aca="false">MAX(-Flows!CF63*CF$4*CF8/100,0)</f>
        <v>3241834.61079691</v>
      </c>
      <c r="CG93" s="10" t="n">
        <f aca="false">MAX(-Flows!CG63*CG$4*CG8/100,0)</f>
        <v>29248389087.7683</v>
      </c>
      <c r="CH93" s="10" t="n">
        <f aca="false">MAX(-Flows!CH63*CH$4*CH8/100,0)</f>
        <v>29248389087.7683</v>
      </c>
      <c r="CI93" s="10" t="n">
        <f aca="false">MAX(-Flows!CI63*CI$4*CI8/100,0)</f>
        <v>5661070.60200075</v>
      </c>
      <c r="CJ93" s="10" t="n">
        <f aca="false">MAX(-Flows!CJ63*CJ$4*CJ8/100,0)</f>
        <v>566107.060200077</v>
      </c>
      <c r="CK93" s="10" t="n">
        <f aca="false">MAX(-Flows!CK63*CK$4*CK8/100,0)</f>
        <v>566107.060200075</v>
      </c>
      <c r="CL93" s="7" t="s">
        <v>322</v>
      </c>
      <c r="CM93" s="10" t="n">
        <f aca="false">-CM33</f>
        <v>50477718.6672737</v>
      </c>
      <c r="CN93" s="10" t="n">
        <f aca="false">-CN33</f>
        <v>23489422.3560267</v>
      </c>
      <c r="CO93" s="10" t="n">
        <f aca="false">-CO33</f>
        <v>33215979.9870761</v>
      </c>
      <c r="CP93" s="10" t="n">
        <f aca="false">-CP33</f>
        <v>19709519.2546561</v>
      </c>
      <c r="CQ93" s="10" t="n">
        <f aca="false">-CQ33</f>
        <v>-9956098.26319188</v>
      </c>
      <c r="CR93" s="10" t="n">
        <f aca="false">-CR33</f>
        <v>2738718925130240</v>
      </c>
      <c r="CS93" s="10" t="n">
        <f aca="false">-CS33</f>
        <v>-10529472.5291641</v>
      </c>
      <c r="CT93" s="10" t="n">
        <f aca="false">-CT33</f>
        <v>4374048.73119707</v>
      </c>
      <c r="CU93" s="10" t="n">
        <f aca="false">-CU33</f>
        <v>-87493696.5680362</v>
      </c>
      <c r="CV93" s="10" t="n">
        <f aca="false">-CV33</f>
        <v>-17543.296705058</v>
      </c>
      <c r="CX93" s="0" t="str">
        <f aca="false">INDEX($C$1:$CK$1,MATCH(LARGE($C93:$CK93,1),$C93:$CK93,0))</f>
        <v>Iron (lb)</v>
      </c>
      <c r="CY93" s="0" t="str">
        <f aca="false">INDEX($C$1:$CK$1,MATCH(LARGE($C93:$CK93,2),$C93:$CK93,0))</f>
        <v>Cu (lb)</v>
      </c>
      <c r="CZ93" s="0" t="str">
        <f aca="false">INDEX($C$1:$CK$1,MATCH(LARGE($C93:$CK93,3),$C93:$CK93,0))</f>
        <v>Ag (lb)</v>
      </c>
      <c r="DA93" s="0" t="str">
        <f aca="false">INDEX($C$1:$CK$1,MATCH(LARGE($C93:$CK93,4),$C93:$CK93,0))</f>
        <v>Au (lb)</v>
      </c>
      <c r="DB93" s="0" t="str">
        <f aca="false">INDEX($C$1:$CK$1,MATCH(LARGE($C93:$CK93,5),$C93:$CK93,0))</f>
        <v>Diamonds (lb)</v>
      </c>
      <c r="DD93" s="0" t="str">
        <f aca="false">IF(LARGE($CM93:$CV93,1)&gt;0,INDEX($CM$30:$CV$30,MATCH(LARGE($CM93:$CV93,1),$CM93:$CV93,0)),"N/A")</f>
        <v>Mineral</v>
      </c>
      <c r="DE93" s="0" t="str">
        <f aca="false">IF(LARGE($CM93:$CV93,2)&gt;0,INDEX($CM$30:$CV$30,MATCH(LARGE($CM93:$CV93,2),$CM93:$CV93,0)),"N/A")</f>
        <v>Produce</v>
      </c>
      <c r="DF93" s="0" t="str">
        <f aca="false">IF(LARGE($CM93:$CV93,3)&gt;0,INDEX($CM$30:$CV$30,MATCH(LARGE($CM93:$CV93,3),$CM93:$CV93,0)),"N/A")</f>
        <v>Food Prod</v>
      </c>
      <c r="DG93" s="0" t="str">
        <f aca="false">IF(LARGE($CM93:$CV93,4)&gt;0,INDEX($CM$30:$CV$30,MATCH(LARGE($CM93:$CV93,4),$CM93:$CV93,0)),"N/A")</f>
        <v>Animal</v>
      </c>
      <c r="DH93" s="0" t="str">
        <f aca="false">IF(LARGE($CM93:$CV93,5)&gt;0,INDEX($CM$30:$CV$30,MATCH(LARGE($CM93:$CV93,5),$CM93:$CV93,0)),"N/A")</f>
        <v>Textile</v>
      </c>
    </row>
    <row r="94" customFormat="false" ht="12.8" hidden="false" customHeight="false" outlineLevel="0" collapsed="false">
      <c r="A94" s="7" t="s">
        <v>137</v>
      </c>
      <c r="B94" s="7" t="s">
        <v>39</v>
      </c>
      <c r="C94" s="10" t="n">
        <f aca="false">MAX(-Flows!C64*C$4*C9/100,0)</f>
        <v>0</v>
      </c>
      <c r="D94" s="10" t="n">
        <f aca="false">MAX(-Flows!D64*D$4*D9/100,0)</f>
        <v>0</v>
      </c>
      <c r="E94" s="10" t="n">
        <f aca="false">MAX(-Flows!E64*E$4*E9/100,0)</f>
        <v>0</v>
      </c>
      <c r="F94" s="10" t="n">
        <f aca="false">MAX(-Flows!F64*F$4*F9/100,0)</f>
        <v>0</v>
      </c>
      <c r="G94" s="10" t="n">
        <f aca="false">MAX(-Flows!G64*G$4*G9/100,0)</f>
        <v>0</v>
      </c>
      <c r="H94" s="10" t="n">
        <f aca="false">MAX(-Flows!H64*H$4*H9/100,0)</f>
        <v>0</v>
      </c>
      <c r="I94" s="10" t="n">
        <f aca="false">MAX(-Flows!I64*I$4*I9/100,0)</f>
        <v>89718201.0243413</v>
      </c>
      <c r="J94" s="10" t="n">
        <f aca="false">MAX(-Flows!J64*J$4*J9/100,0)</f>
        <v>51756014.9847512</v>
      </c>
      <c r="K94" s="10" t="n">
        <f aca="false">MAX(-Flows!K64*K$4*K9/100,0)</f>
        <v>0</v>
      </c>
      <c r="L94" s="10" t="n">
        <f aca="false">MAX(-Flows!L64*L$4*L9/100,0)</f>
        <v>0</v>
      </c>
      <c r="M94" s="10" t="n">
        <f aca="false">MAX(-Flows!M64*M$4*M9/100,0)</f>
        <v>0</v>
      </c>
      <c r="N94" s="10" t="n">
        <f aca="false">MAX(-Flows!N64*N$4*N9/100,0)</f>
        <v>0</v>
      </c>
      <c r="O94" s="10" t="n">
        <f aca="false">MAX(-Flows!O64*O$4*O9/100,0)</f>
        <v>0</v>
      </c>
      <c r="P94" s="10" t="n">
        <f aca="false">MAX(-Flows!P64*P$4*P9/100,0)</f>
        <v>0</v>
      </c>
      <c r="Q94" s="10" t="n">
        <f aca="false">MAX(-Flows!Q64*Q$4*Q9/100,0)</f>
        <v>0</v>
      </c>
      <c r="R94" s="10" t="n">
        <f aca="false">MAX(-Flows!R64*R$4*R9/100,0)</f>
        <v>0</v>
      </c>
      <c r="S94" s="10" t="n">
        <f aca="false">MAX(-Flows!S64*S$4*S9/100,0)</f>
        <v>0</v>
      </c>
      <c r="T94" s="10" t="n">
        <f aca="false">MAX(-Flows!T64*T$4*T9/100,0)</f>
        <v>0</v>
      </c>
      <c r="U94" s="10" t="n">
        <f aca="false">MAX(-Flows!U64*U$4*U9/100,0)</f>
        <v>0</v>
      </c>
      <c r="V94" s="10" t="n">
        <f aca="false">MAX(-Flows!V64*V$4*V9/100,0)</f>
        <v>0</v>
      </c>
      <c r="W94" s="10" t="n">
        <f aca="false">MAX(-Flows!W64*W$4*W9/100,0)</f>
        <v>0</v>
      </c>
      <c r="X94" s="10" t="n">
        <f aca="false">MAX(-Flows!X64*X$4*X9/100,0)</f>
        <v>0</v>
      </c>
      <c r="Y94" s="10" t="n">
        <f aca="false">MAX(-Flows!Y64*Y$4*Y9/100,0)</f>
        <v>0</v>
      </c>
      <c r="Z94" s="10" t="n">
        <f aca="false">MAX(-Flows!Z64*Z$4*Z9/100,0)</f>
        <v>8755420.8265105</v>
      </c>
      <c r="AA94" s="10" t="n">
        <f aca="false">MAX(-Flows!AA64*AA$4*AA9/100,0)</f>
        <v>27751.4741691183</v>
      </c>
      <c r="AB94" s="10" t="n">
        <f aca="false">MAX(-Flows!AB64*AB$4*AB9/100,0)</f>
        <v>105072.354096313</v>
      </c>
      <c r="AC94" s="10" t="n">
        <f aca="false">MAX(-Flows!AC64*AC$4*AC9/100,0)</f>
        <v>0</v>
      </c>
      <c r="AD94" s="10" t="n">
        <f aca="false">MAX(-Flows!AD64*AD$4*AD9/100,0)</f>
        <v>52536.1770481561</v>
      </c>
      <c r="AE94" s="10" t="n">
        <f aca="false">MAX(-Flows!AE64*AE$4*AE9/100,0)</f>
        <v>0</v>
      </c>
      <c r="AF94" s="10" t="n">
        <f aca="false">MAX(-Flows!AF64*AF$4*AF9/100,0)</f>
        <v>0</v>
      </c>
      <c r="AG94" s="10" t="n">
        <f aca="false">MAX(-Flows!AG64*AG$4*AG9/100,0)</f>
        <v>0</v>
      </c>
      <c r="AH94" s="10" t="n">
        <f aca="false">MAX(-Flows!AH64*AH$4*AH9/100,0)</f>
        <v>0</v>
      </c>
      <c r="AI94" s="10" t="n">
        <f aca="false">MAX(-Flows!AI64*AI$4*AI9/100,0)</f>
        <v>0</v>
      </c>
      <c r="AJ94" s="10" t="n">
        <f aca="false">MAX(-Flows!AJ64*AJ$4*AJ9/100,0)</f>
        <v>0</v>
      </c>
      <c r="AK94" s="10" t="n">
        <f aca="false">MAX(-Flows!AK64*AK$4*AK9/100,0)</f>
        <v>0</v>
      </c>
      <c r="AL94" s="10" t="n">
        <f aca="false">MAX(-Flows!AL64*AL$4*AL9/100,0)</f>
        <v>0</v>
      </c>
      <c r="AM94" s="10" t="n">
        <f aca="false">MAX(-Flows!AM64*AM$4*AM9/100,0)</f>
        <v>280354.793147902</v>
      </c>
      <c r="AN94" s="10" t="n">
        <f aca="false">MAX(-Flows!AN64*AN$4*AN9/100,0)</f>
        <v>0</v>
      </c>
      <c r="AO94" s="10" t="n">
        <f aca="false">MAX(-Flows!AO64*AO$4*AO9/100,0)</f>
        <v>0</v>
      </c>
      <c r="AP94" s="10" t="n">
        <f aca="false">MAX(-Flows!AP64*AP$4*AP9/100,0)</f>
        <v>0</v>
      </c>
      <c r="AQ94" s="10" t="n">
        <f aca="false">MAX(-Flows!AQ64*AQ$4*AQ9/100,0)</f>
        <v>0</v>
      </c>
      <c r="AR94" s="10" t="n">
        <f aca="false">MAX(-Flows!AR64*AR$4*AR9/100,0)</f>
        <v>0</v>
      </c>
      <c r="AS94" s="10" t="n">
        <f aca="false">MAX(-Flows!AS64*AS$4*AS9/100,0)</f>
        <v>0</v>
      </c>
      <c r="AT94" s="10" t="n">
        <f aca="false">MAX(-Flows!AT64*AT$4*AT9/100,0)</f>
        <v>0</v>
      </c>
      <c r="AU94" s="10" t="n">
        <f aca="false">MAX(-Flows!AU64*AU$4*AU9/100,0)</f>
        <v>0</v>
      </c>
      <c r="AV94" s="10" t="n">
        <f aca="false">MAX(-Flows!AV64*AV$4*AV9/100,0)</f>
        <v>6641675.47385373</v>
      </c>
      <c r="AW94" s="10" t="n">
        <f aca="false">MAX(-Flows!AW64*AW$4*AW9/100,0)</f>
        <v>0</v>
      </c>
      <c r="AX94" s="10" t="n">
        <f aca="false">MAX(-Flows!AX64*AX$4*AX9/100,0)</f>
        <v>0</v>
      </c>
      <c r="AY94" s="10" t="n">
        <f aca="false">MAX(-Flows!AY64*AY$4*AY9/100,0)</f>
        <v>461211.665251893</v>
      </c>
      <c r="AZ94" s="10" t="n">
        <f aca="false">MAX(-Flows!AZ64*AZ$4*AZ9/100,0)</f>
        <v>1382477.42212057</v>
      </c>
      <c r="BA94" s="10" t="n">
        <f aca="false">MAX(-Flows!BA64*BA$4*BA9/100,0)</f>
        <v>0</v>
      </c>
      <c r="BB94" s="10" t="n">
        <f aca="false">MAX(-Flows!BB64*BB$4*BB9/100,0)</f>
        <v>0</v>
      </c>
      <c r="BC94" s="10" t="n">
        <f aca="false">MAX(-Flows!BC64*BC$4*BC9/100,0)</f>
        <v>0</v>
      </c>
      <c r="BD94" s="10" t="n">
        <f aca="false">MAX(-Flows!BD64*BD$4*BD9/100,0)</f>
        <v>0</v>
      </c>
      <c r="BE94" s="10" t="n">
        <f aca="false">MAX(-Flows!BE64*BE$4*BE9/100,0)</f>
        <v>0</v>
      </c>
      <c r="BF94" s="10" t="n">
        <f aca="false">MAX(-Flows!BF64*BF$4*BF9/100,0)</f>
        <v>0</v>
      </c>
      <c r="BG94" s="10" t="n">
        <f aca="false">MAX(-Flows!BG64*BG$4*BG9/100,0)</f>
        <v>0</v>
      </c>
      <c r="BH94" s="10" t="n">
        <f aca="false">MAX(-Flows!BH64*BH$4*BH9/100,0)</f>
        <v>3158223.46598452</v>
      </c>
      <c r="BI94" s="10" t="n">
        <f aca="false">MAX(-Flows!BI64*BI$4*BI9/100,0)</f>
        <v>0</v>
      </c>
      <c r="BJ94" s="10" t="n">
        <f aca="false">MAX(-Flows!BJ64*BJ$4*BJ9/100,0)</f>
        <v>0</v>
      </c>
      <c r="BK94" s="10" t="n">
        <f aca="false">MAX(-Flows!BK64*BK$4*BK9/100,0)</f>
        <v>0</v>
      </c>
      <c r="BL94" s="10" t="n">
        <f aca="false">MAX(-Flows!BL64*BL$4*BL9/100,0)</f>
        <v>0</v>
      </c>
      <c r="BM94" s="10" t="n">
        <f aca="false">MAX(-Flows!BM64*BM$4*BM9/100,0)</f>
        <v>0</v>
      </c>
      <c r="BN94" s="10" t="n">
        <f aca="false">MAX(-Flows!BN64*BN$4*BN9/100,0)</f>
        <v>0</v>
      </c>
      <c r="BO94" s="10" t="n">
        <f aca="false">MAX(-Flows!BO64*BO$4*BO9/100,0)</f>
        <v>9297258478398.47</v>
      </c>
      <c r="BP94" s="10" t="n">
        <f aca="false">MAX(-Flows!BP64*BP$4*BP9/100,0)</f>
        <v>4338720680678220</v>
      </c>
      <c r="BQ94" s="10" t="n">
        <f aca="false">MAX(-Flows!BQ64*BQ$4*BQ9/100,0)</f>
        <v>0</v>
      </c>
      <c r="BR94" s="10" t="n">
        <f aca="false">MAX(-Flows!BR64*BR$4*BR9/100,0)</f>
        <v>3099086076720.32</v>
      </c>
      <c r="BS94" s="10" t="n">
        <f aca="false">MAX(-Flows!BS64*BS$4*BS9/100,0)</f>
        <v>1549542976300.79</v>
      </c>
      <c r="BT94" s="10" t="n">
        <f aca="false">MAX(-Flows!BT64*BT$4*BT9/100,0)</f>
        <v>0</v>
      </c>
      <c r="BU94" s="10" t="n">
        <f aca="false">MAX(-Flows!BU64*BU$4*BU9/100,0)</f>
        <v>0</v>
      </c>
      <c r="BV94" s="10" t="n">
        <f aca="false">MAX(-Flows!BV64*BV$4*BV9/100,0)</f>
        <v>0</v>
      </c>
      <c r="BW94" s="10" t="n">
        <f aca="false">MAX(-Flows!BW64*BW$4*BW9/100,0)</f>
        <v>0</v>
      </c>
      <c r="BX94" s="10" t="n">
        <f aca="false">MAX(-Flows!BX64*BX$4*BX9/100,0)</f>
        <v>0</v>
      </c>
      <c r="BY94" s="10" t="n">
        <f aca="false">MAX(-Flows!BY64*BY$4*BY9/100,0)</f>
        <v>0</v>
      </c>
      <c r="BZ94" s="10" t="n">
        <f aca="false">MAX(-Flows!BZ64*BZ$4*BZ9/100,0)</f>
        <v>0</v>
      </c>
      <c r="CA94" s="10" t="n">
        <f aca="false">MAX(-Flows!CA64*CA$4*CA9/100,0)</f>
        <v>0</v>
      </c>
      <c r="CB94" s="10" t="n">
        <f aca="false">MAX(-Flows!CB64*CB$4*CB9/100,0)</f>
        <v>0</v>
      </c>
      <c r="CC94" s="10" t="n">
        <f aca="false">MAX(-Flows!CC64*CC$4*CC9/100,0)</f>
        <v>0</v>
      </c>
      <c r="CD94" s="10" t="n">
        <f aca="false">MAX(-Flows!CD64*CD$4*CD9/100,0)</f>
        <v>0</v>
      </c>
      <c r="CE94" s="10" t="n">
        <f aca="false">MAX(-Flows!CE64*CE$4*CE9/100,0)</f>
        <v>0</v>
      </c>
      <c r="CF94" s="10" t="n">
        <f aca="false">MAX(-Flows!CF64*CF$4*CF9/100,0)</f>
        <v>0</v>
      </c>
      <c r="CG94" s="10" t="n">
        <f aca="false">MAX(-Flows!CG64*CG$4*CG9/100,0)</f>
        <v>46486168893.8382</v>
      </c>
      <c r="CH94" s="10" t="n">
        <f aca="false">MAX(-Flows!CH64*CH$4*CH9/100,0)</f>
        <v>46486168893.8383</v>
      </c>
      <c r="CI94" s="10" t="n">
        <f aca="false">MAX(-Flows!CI64*CI$4*CI9/100,0)</f>
        <v>0</v>
      </c>
      <c r="CJ94" s="10" t="n">
        <f aca="false">MAX(-Flows!CJ64*CJ$4*CJ9/100,0)</f>
        <v>0</v>
      </c>
      <c r="CK94" s="10" t="n">
        <f aca="false">MAX(-Flows!CK64*CK$4*CK9/100,0)</f>
        <v>0</v>
      </c>
      <c r="CL94" s="7" t="s">
        <v>322</v>
      </c>
      <c r="CM94" s="10" t="n">
        <f aca="false">-CM34</f>
        <v>-477698793.261158</v>
      </c>
      <c r="CN94" s="10" t="n">
        <f aca="false">-CN34</f>
        <v>-178678044.144342</v>
      </c>
      <c r="CO94" s="10" t="n">
        <f aca="false">-CO34</f>
        <v>-317449594.056012</v>
      </c>
      <c r="CP94" s="10" t="n">
        <f aca="false">-CP34</f>
        <v>-30197022.1343317</v>
      </c>
      <c r="CQ94" s="10" t="n">
        <f aca="false">-CQ34</f>
        <v>-87763213.5709884</v>
      </c>
      <c r="CR94" s="10" t="n">
        <f aca="false">-CR34</f>
        <v>4352759480311580</v>
      </c>
      <c r="CS94" s="10" t="n">
        <f aca="false">-CS34</f>
        <v>-2328856.11471827</v>
      </c>
      <c r="CT94" s="10" t="n">
        <f aca="false">-CT34</f>
        <v>-12136680.610768</v>
      </c>
      <c r="CU94" s="10" t="n">
        <f aca="false">-CU34</f>
        <v>141474216.009093</v>
      </c>
      <c r="CV94" s="10" t="n">
        <f aca="false">-CV34</f>
        <v>157608.531144469</v>
      </c>
      <c r="CX94" s="0" t="str">
        <f aca="false">INDEX($C$1:$CK$1,MATCH(LARGE($C94:$CK94,1),$C94:$CK94,0))</f>
        <v>Iron (lb)</v>
      </c>
      <c r="CY94" s="0" t="str">
        <f aca="false">INDEX($C$1:$CK$1,MATCH(LARGE($C94:$CK94,2),$C94:$CK94,0))</f>
        <v>Cu (lb)</v>
      </c>
      <c r="CZ94" s="0" t="str">
        <f aca="false">INDEX($C$1:$CK$1,MATCH(LARGE($C94:$CK94,3),$C94:$CK94,0))</f>
        <v>Ag (lb)</v>
      </c>
      <c r="DA94" s="0" t="str">
        <f aca="false">INDEX($C$1:$CK$1,MATCH(LARGE($C94:$CK94,4),$C94:$CK94,0))</f>
        <v>Au (lb)</v>
      </c>
      <c r="DB94" s="0" t="str">
        <f aca="false">INDEX($C$1:$CK$1,MATCH(LARGE($C94:$CK94,5),$C94:$CK94,0))</f>
        <v>Diamonds (lb)</v>
      </c>
      <c r="DD94" s="0" t="str">
        <f aca="false">IF(LARGE($CM94:$CV94,1)&gt;0,INDEX($CM$30:$CV$30,MATCH(LARGE($CM94:$CV94,1),$CM94:$CV94,0)),"N/A")</f>
        <v>Mineral</v>
      </c>
      <c r="DE94" s="0" t="str">
        <f aca="false">IF(LARGE($CM94:$CV94,2)&gt;0,INDEX($CM$30:$CV$30,MATCH(LARGE($CM94:$CV94,2),$CM94:$CV94,0)),"N/A")</f>
        <v>Honey</v>
      </c>
      <c r="DF94" s="0" t="str">
        <f aca="false">IF(LARGE($CM94:$CV94,3)&gt;0,INDEX($CM$30:$CV$30,MATCH(LARGE($CM94:$CV94,3),$CM94:$CV94,0)),"N/A")</f>
        <v>Service</v>
      </c>
      <c r="DG94" s="0" t="str">
        <f aca="false">IF(LARGE($CM94:$CV94,4)&gt;0,INDEX($CM$30:$CV$30,MATCH(LARGE($CM94:$CV94,4),$CM94:$CV94,0)),"N/A")</f>
        <v>N/A</v>
      </c>
      <c r="DH94" s="0" t="str">
        <f aca="false">IF(LARGE($CM94:$CV94,5)&gt;0,INDEX($CM$30:$CV$30,MATCH(LARGE($CM94:$CV94,5),$CM94:$CV94,0)),"N/A")</f>
        <v>N/A</v>
      </c>
    </row>
    <row r="95" customFormat="false" ht="12.8" hidden="false" customHeight="false" outlineLevel="0" collapsed="false">
      <c r="A95" s="7" t="s">
        <v>139</v>
      </c>
      <c r="B95" s="7" t="s">
        <v>39</v>
      </c>
      <c r="C95" s="10" t="n">
        <f aca="false">MAX(-Flows!C65*C$4*C10/100,0)</f>
        <v>86969267.0196083</v>
      </c>
      <c r="D95" s="10" t="n">
        <f aca="false">MAX(-Flows!D65*D$4*D10/100,0)</f>
        <v>141826065.4811</v>
      </c>
      <c r="E95" s="10" t="n">
        <f aca="false">MAX(-Flows!E65*E$4*E10/100,0)</f>
        <v>48599028.4985369</v>
      </c>
      <c r="F95" s="10" t="n">
        <f aca="false">MAX(-Flows!F65*F$4*F10/100,0)</f>
        <v>0</v>
      </c>
      <c r="G95" s="10" t="n">
        <f aca="false">MAX(-Flows!G65*G$4*G10/100,0)</f>
        <v>160377928.899223</v>
      </c>
      <c r="H95" s="10" t="n">
        <f aca="false">MAX(-Flows!H65*H$4*H10/100,0)</f>
        <v>0</v>
      </c>
      <c r="I95" s="10" t="n">
        <f aca="false">MAX(-Flows!I65*I$4*I10/100,0)</f>
        <v>0</v>
      </c>
      <c r="J95" s="10" t="n">
        <f aca="false">MAX(-Flows!J65*J$4*J10/100,0)</f>
        <v>0</v>
      </c>
      <c r="K95" s="10" t="n">
        <f aca="false">MAX(-Flows!K65*K$4*K10/100,0)</f>
        <v>0</v>
      </c>
      <c r="L95" s="10" t="n">
        <f aca="false">MAX(-Flows!L65*L$4*L10/100,0)</f>
        <v>0</v>
      </c>
      <c r="M95" s="10" t="n">
        <f aca="false">MAX(-Flows!M65*M$4*M10/100,0)</f>
        <v>0</v>
      </c>
      <c r="N95" s="10" t="n">
        <f aca="false">MAX(-Flows!N65*N$4*N10/100,0)</f>
        <v>117999322.013788</v>
      </c>
      <c r="O95" s="10" t="n">
        <f aca="false">MAX(-Flows!O65*O$4*O10/100,0)</f>
        <v>0</v>
      </c>
      <c r="P95" s="10" t="n">
        <f aca="false">MAX(-Flows!P65*P$4*P10/100,0)</f>
        <v>0</v>
      </c>
      <c r="Q95" s="10" t="n">
        <f aca="false">MAX(-Flows!Q65*Q$4*Q10/100,0)</f>
        <v>186799731.061524</v>
      </c>
      <c r="R95" s="10" t="n">
        <f aca="false">MAX(-Flows!R65*R$4*R10/100,0)</f>
        <v>75562389.5204593</v>
      </c>
      <c r="S95" s="10" t="n">
        <f aca="false">MAX(-Flows!S65*S$4*S10/100,0)</f>
        <v>0</v>
      </c>
      <c r="T95" s="10" t="n">
        <f aca="false">MAX(-Flows!T65*T$4*T10/100,0)</f>
        <v>0</v>
      </c>
      <c r="U95" s="10" t="n">
        <f aca="false">MAX(-Flows!U65*U$4*U10/100,0)</f>
        <v>0</v>
      </c>
      <c r="V95" s="10" t="n">
        <f aca="false">MAX(-Flows!V65*V$4*V10/100,0)</f>
        <v>0</v>
      </c>
      <c r="W95" s="10" t="n">
        <f aca="false">MAX(-Flows!W65*W$4*W10/100,0)</f>
        <v>250729952.106354</v>
      </c>
      <c r="X95" s="10" t="n">
        <f aca="false">MAX(-Flows!X65*X$4*X10/100,0)</f>
        <v>15732312.6185972</v>
      </c>
      <c r="Y95" s="10" t="n">
        <f aca="false">MAX(-Flows!Y65*Y$4*Y10/100,0)</f>
        <v>0</v>
      </c>
      <c r="Z95" s="10" t="n">
        <f aca="false">MAX(-Flows!Z65*Z$4*Z10/100,0)</f>
        <v>10026472.1123949</v>
      </c>
      <c r="AA95" s="10" t="n">
        <f aca="false">MAX(-Flows!AA65*AA$4*AA10/100,0)</f>
        <v>263730.929178892</v>
      </c>
      <c r="AB95" s="10" t="n">
        <f aca="false">MAX(-Flows!AB65*AB$4*AB10/100,0)</f>
        <v>1182786.75510086</v>
      </c>
      <c r="AC95" s="10" t="n">
        <f aca="false">MAX(-Flows!AC65*AC$4*AC10/100,0)</f>
        <v>0</v>
      </c>
      <c r="AD95" s="10" t="n">
        <f aca="false">MAX(-Flows!AD65*AD$4*AD10/100,0)</f>
        <v>591393.377550432</v>
      </c>
      <c r="AE95" s="10" t="n">
        <f aca="false">MAX(-Flows!AE65*AE$4*AE10/100,0)</f>
        <v>9492279.20754878</v>
      </c>
      <c r="AF95" s="10" t="n">
        <f aca="false">MAX(-Flows!AF65*AF$4*AF10/100,0)</f>
        <v>790640.931932263</v>
      </c>
      <c r="AG95" s="10" t="n">
        <f aca="false">MAX(-Flows!AG65*AG$4*AG10/100,0)</f>
        <v>50218726.1431302</v>
      </c>
      <c r="AH95" s="10" t="n">
        <f aca="false">MAX(-Flows!AH65*AH$4*AH10/100,0)</f>
        <v>21561064.8366962</v>
      </c>
      <c r="AI95" s="10" t="n">
        <f aca="false">MAX(-Flows!AI65*AI$4*AI10/100,0)</f>
        <v>64444979.2877009</v>
      </c>
      <c r="AJ95" s="10" t="n">
        <f aca="false">MAX(-Flows!AJ65*AJ$4*AJ10/100,0)</f>
        <v>48149851.2461121</v>
      </c>
      <c r="AK95" s="10" t="n">
        <f aca="false">MAX(-Flows!AK65*AK$4*AK10/100,0)</f>
        <v>0</v>
      </c>
      <c r="AL95" s="10" t="n">
        <f aca="false">MAX(-Flows!AL65*AL$4*AL10/100,0)</f>
        <v>37736396.5166803</v>
      </c>
      <c r="AM95" s="10" t="n">
        <f aca="false">MAX(-Flows!AM65*AM$4*AM10/100,0)</f>
        <v>73260741.1028691</v>
      </c>
      <c r="AN95" s="10" t="n">
        <f aca="false">MAX(-Flows!AN65*AN$4*AN10/100,0)</f>
        <v>6916986.56059296</v>
      </c>
      <c r="AO95" s="10" t="n">
        <f aca="false">MAX(-Flows!AO65*AO$4*AO10/100,0)</f>
        <v>24699687.0771957</v>
      </c>
      <c r="AP95" s="10" t="n">
        <f aca="false">MAX(-Flows!AP65*AP$4*AP10/100,0)</f>
        <v>55658425.5652881</v>
      </c>
      <c r="AQ95" s="10" t="n">
        <f aca="false">MAX(-Flows!AQ65*AQ$4*AQ10/100,0)</f>
        <v>10405099.9007049</v>
      </c>
      <c r="AR95" s="10" t="n">
        <f aca="false">MAX(-Flows!AR65*AR$4*AR10/100,0)</f>
        <v>20212644.6655855</v>
      </c>
      <c r="AS95" s="10" t="n">
        <f aca="false">MAX(-Flows!AS65*AS$4*AS10/100,0)</f>
        <v>72472558.8431671</v>
      </c>
      <c r="AT95" s="10" t="n">
        <f aca="false">MAX(-Flows!AT65*AT$4*AT10/100,0)</f>
        <v>846197.161680323</v>
      </c>
      <c r="AU95" s="10" t="n">
        <f aca="false">MAX(-Flows!AU65*AU$4*AU10/100,0)</f>
        <v>101760498.473066</v>
      </c>
      <c r="AV95" s="10" t="n">
        <f aca="false">MAX(-Flows!AV65*AV$4*AV10/100,0)</f>
        <v>84086872.6403608</v>
      </c>
      <c r="AW95" s="10" t="n">
        <f aca="false">MAX(-Flows!AW65*AW$4*AW10/100,0)</f>
        <v>0</v>
      </c>
      <c r="AX95" s="10" t="n">
        <f aca="false">MAX(-Flows!AX65*AX$4*AX10/100,0)</f>
        <v>0</v>
      </c>
      <c r="AY95" s="10" t="n">
        <f aca="false">MAX(-Flows!AY65*AY$4*AY10/100,0)</f>
        <v>0</v>
      </c>
      <c r="AZ95" s="10" t="n">
        <f aca="false">MAX(-Flows!AZ65*AZ$4*AZ10/100,0)</f>
        <v>1013664.37311557</v>
      </c>
      <c r="BA95" s="10" t="n">
        <f aca="false">MAX(-Flows!BA65*BA$4*BA10/100,0)</f>
        <v>0</v>
      </c>
      <c r="BB95" s="10" t="n">
        <f aca="false">MAX(-Flows!BB65*BB$4*BB10/100,0)</f>
        <v>46320157.7119909</v>
      </c>
      <c r="BC95" s="10" t="n">
        <f aca="false">MAX(-Flows!BC65*BC$4*BC10/100,0)</f>
        <v>39664990.8273816</v>
      </c>
      <c r="BD95" s="10" t="n">
        <f aca="false">MAX(-Flows!BD65*BD$4*BD10/100,0)</f>
        <v>35954866.7355822</v>
      </c>
      <c r="BE95" s="10" t="n">
        <f aca="false">MAX(-Flows!BE65*BE$4*BE10/100,0)</f>
        <v>26566371.1126445</v>
      </c>
      <c r="BF95" s="10" t="n">
        <f aca="false">MAX(-Flows!BF65*BF$4*BF10/100,0)</f>
        <v>14325912.5488224</v>
      </c>
      <c r="BG95" s="10" t="n">
        <f aca="false">MAX(-Flows!BG65*BG$4*BG10/100,0)</f>
        <v>14544217.6643125</v>
      </c>
      <c r="BH95" s="10" t="n">
        <f aca="false">MAX(-Flows!BH65*BH$4*BH10/100,0)</f>
        <v>29264070.5019049</v>
      </c>
      <c r="BI95" s="10" t="n">
        <f aca="false">MAX(-Flows!BI65*BI$4*BI10/100,0)</f>
        <v>74873242.1030657</v>
      </c>
      <c r="BJ95" s="10" t="n">
        <f aca="false">MAX(-Flows!BJ65*BJ$4*BJ10/100,0)</f>
        <v>74873242.1030657</v>
      </c>
      <c r="BK95" s="10" t="n">
        <f aca="false">MAX(-Flows!BK65*BK$4*BK10/100,0)</f>
        <v>74873242.1030657</v>
      </c>
      <c r="BL95" s="10" t="n">
        <f aca="false">MAX(-Flows!BL65*BL$4*BL10/100,0)</f>
        <v>18679973.1061524</v>
      </c>
      <c r="BM95" s="10" t="n">
        <f aca="false">MAX(-Flows!BM65*BM$4*BM10/100,0)</f>
        <v>18679973.1061524</v>
      </c>
      <c r="BN95" s="10" t="n">
        <f aca="false">MAX(-Flows!BN65*BN$4*BN10/100,0)</f>
        <v>0</v>
      </c>
      <c r="BO95" s="10" t="n">
        <f aca="false">MAX(-Flows!BO65*BO$4*BO10/100,0)</f>
        <v>0</v>
      </c>
      <c r="BP95" s="10" t="n">
        <f aca="false">MAX(-Flows!BP65*BP$4*BP10/100,0)</f>
        <v>0</v>
      </c>
      <c r="BQ95" s="10" t="n">
        <f aca="false">MAX(-Flows!BQ65*BQ$4*BQ10/100,0)</f>
        <v>0</v>
      </c>
      <c r="BR95" s="10" t="n">
        <f aca="false">MAX(-Flows!BR65*BR$4*BR10/100,0)</f>
        <v>0</v>
      </c>
      <c r="BS95" s="10" t="n">
        <f aca="false">MAX(-Flows!BS65*BS$4*BS10/100,0)</f>
        <v>0</v>
      </c>
      <c r="BT95" s="10" t="n">
        <f aca="false">MAX(-Flows!BT65*BT$4*BT10/100,0)</f>
        <v>0</v>
      </c>
      <c r="BU95" s="10" t="n">
        <f aca="false">MAX(-Flows!BU65*BU$4*BU10/100,0)</f>
        <v>0</v>
      </c>
      <c r="BV95" s="10" t="n">
        <f aca="false">MAX(-Flows!BV65*BV$4*BV10/100,0)</f>
        <v>0</v>
      </c>
      <c r="BW95" s="10" t="n">
        <f aca="false">MAX(-Flows!BW65*BW$4*BW10/100,0)</f>
        <v>0</v>
      </c>
      <c r="BX95" s="10" t="n">
        <f aca="false">MAX(-Flows!BX65*BX$4*BX10/100,0)</f>
        <v>37359946.2123048</v>
      </c>
      <c r="BY95" s="10" t="n">
        <f aca="false">MAX(-Flows!BY65*BY$4*BY10/100,0)</f>
        <v>37359946.2123048</v>
      </c>
      <c r="BZ95" s="10" t="n">
        <f aca="false">MAX(-Flows!BZ65*BZ$4*BZ10/100,0)</f>
        <v>93923823.9353915</v>
      </c>
      <c r="CA95" s="10" t="n">
        <f aca="false">MAX(-Flows!CA65*CA$4*CA10/100,0)</f>
        <v>93923823.9353915</v>
      </c>
      <c r="CB95" s="10" t="n">
        <f aca="false">MAX(-Flows!CB65*CB$4*CB10/100,0)</f>
        <v>186799731.061524</v>
      </c>
      <c r="CC95" s="10" t="n">
        <f aca="false">MAX(-Flows!CC65*CC$4*CC10/100,0)</f>
        <v>3743662.10515328</v>
      </c>
      <c r="CD95" s="10" t="n">
        <f aca="false">MAX(-Flows!CD65*CD$4*CD10/100,0)</f>
        <v>0</v>
      </c>
      <c r="CE95" s="10" t="n">
        <f aca="false">MAX(-Flows!CE65*CE$4*CE10/100,0)</f>
        <v>3743662.10515328</v>
      </c>
      <c r="CF95" s="10" t="n">
        <f aca="false">MAX(-Flows!CF65*CF$4*CF10/100,0)</f>
        <v>7666428.84710659</v>
      </c>
      <c r="CG95" s="10" t="n">
        <f aca="false">MAX(-Flows!CG65*CG$4*CG10/100,0)</f>
        <v>0</v>
      </c>
      <c r="CH95" s="10" t="n">
        <f aca="false">MAX(-Flows!CH65*CH$4*CH10/100,0)</f>
        <v>0</v>
      </c>
      <c r="CI95" s="10" t="n">
        <f aca="false">MAX(-Flows!CI65*CI$4*CI10/100,0)</f>
        <v>93399865.5307623</v>
      </c>
      <c r="CJ95" s="10" t="n">
        <f aca="false">MAX(-Flows!CJ65*CJ$4*CJ10/100,0)</f>
        <v>9339986.55307622</v>
      </c>
      <c r="CK95" s="10" t="n">
        <f aca="false">MAX(-Flows!CK65*CK$4*CK10/100,0)</f>
        <v>9339986.55307621</v>
      </c>
      <c r="CL95" s="7" t="s">
        <v>322</v>
      </c>
      <c r="CM95" s="10" t="n">
        <f aca="false">-CM35</f>
        <v>484534657.511245</v>
      </c>
      <c r="CN95" s="10" t="n">
        <f aca="false">-CN35</f>
        <v>417061996.767139</v>
      </c>
      <c r="CO95" s="10" t="n">
        <f aca="false">-CO35</f>
        <v>846590465.424853</v>
      </c>
      <c r="CP95" s="10" t="n">
        <f aca="false">-CP35</f>
        <v>207423555.885879</v>
      </c>
      <c r="CQ95" s="10" t="n">
        <f aca="false">-CQ35</f>
        <v>653819054.228557</v>
      </c>
      <c r="CR95" s="10" t="n">
        <f aca="false">-CR35</f>
        <v>-1589318.73001292</v>
      </c>
      <c r="CS95" s="10" t="n">
        <f aca="false">-CS35</f>
        <v>131576871.782473</v>
      </c>
      <c r="CT95" s="10" t="n">
        <f aca="false">-CT35</f>
        <v>26346401.953259</v>
      </c>
      <c r="CU95" s="10" t="n">
        <f aca="false">-CU35</f>
        <v>-53874319.8022254</v>
      </c>
      <c r="CV95" s="10" t="n">
        <f aca="false">-CV35</f>
        <v>1774180.1326513</v>
      </c>
      <c r="CX95" s="0" t="str">
        <f aca="false">INDEX($C$1:$CK$1,MATCH(LARGE($C95:$CK95,1),$C95:$CK95,0))</f>
        <v>Sauce (lb)</v>
      </c>
      <c r="CY95" s="0" t="str">
        <f aca="false">INDEX($C$1:$CK$1,MATCH(LARGE($C95:$CK95,2),$C95:$CK95,0))</f>
        <v>Veg Oil (lb)</v>
      </c>
      <c r="CZ95" s="23" t="s">
        <v>401</v>
      </c>
      <c r="DA95" s="0" t="str">
        <f aca="false">INDEX($C$1:$CK$1,MATCH(LARGE($C95:$CK95,4),$C95:$CK95,0))</f>
        <v>Nunives (lb)</v>
      </c>
      <c r="DB95" s="0" t="str">
        <f aca="false">INDEX($C$1:$CK$1,MATCH(LARGE($C95:$CK95,5),$C95:$CK95,0))</f>
        <v>Jeet (lb)</v>
      </c>
      <c r="DD95" s="0" t="str">
        <f aca="false">IF(LARGE($CM95:$CV95,1)&gt;0,INDEX($CM$30:$CV$30,MATCH(LARGE($CM95:$CV95,1),$CM95:$CV95,0)),"N/A")</f>
        <v>Food Prod</v>
      </c>
      <c r="DE95" s="0" t="str">
        <f aca="false">IF(LARGE($CM95:$CV95,2)&gt;0,INDEX($CM$30:$CV$30,MATCH(LARGE($CM95:$CV95,2),$CM95:$CV95,0)),"N/A")</f>
        <v>Tools</v>
      </c>
      <c r="DF95" s="0" t="str">
        <f aca="false">IF(LARGE($CM95:$CV95,3)&gt;0,INDEX($CM$30:$CV$30,MATCH(LARGE($CM95:$CV95,3),$CM95:$CV95,0)),"N/A")</f>
        <v>Produce</v>
      </c>
      <c r="DG95" s="0" t="str">
        <f aca="false">IF(LARGE($CM95:$CV95,4)&gt;0,INDEX($CM$30:$CV$30,MATCH(LARGE($CM95:$CV95,4),$CM95:$CV95,0)),"N/A")</f>
        <v>Animal</v>
      </c>
      <c r="DH95" s="0" t="str">
        <f aca="false">IF(LARGE($CM95:$CV95,5)&gt;0,INDEX($CM$30:$CV$30,MATCH(LARGE($CM95:$CV95,5),$CM95:$CV95,0)),"N/A")</f>
        <v>Textile</v>
      </c>
    </row>
    <row r="96" customFormat="false" ht="12.8" hidden="false" customHeight="false" outlineLevel="0" collapsed="false">
      <c r="A96" s="7" t="s">
        <v>140</v>
      </c>
      <c r="B96" s="7" t="s">
        <v>39</v>
      </c>
      <c r="C96" s="10" t="n">
        <f aca="false">MAX(-Flows!C66*C$4*C11/100,0)</f>
        <v>0</v>
      </c>
      <c r="D96" s="10" t="n">
        <f aca="false">MAX(-Flows!D66*D$4*D11/100,0)</f>
        <v>0</v>
      </c>
      <c r="E96" s="10" t="n">
        <f aca="false">MAX(-Flows!E66*E$4*E11/100,0)</f>
        <v>4280328.87994262</v>
      </c>
      <c r="F96" s="10" t="n">
        <f aca="false">MAX(-Flows!F66*F$4*F11/100,0)</f>
        <v>0</v>
      </c>
      <c r="G96" s="10" t="n">
        <f aca="false">MAX(-Flows!G66*G$4*G11/100,0)</f>
        <v>0</v>
      </c>
      <c r="H96" s="10" t="n">
        <f aca="false">MAX(-Flows!H66*H$4*H11/100,0)</f>
        <v>0</v>
      </c>
      <c r="I96" s="10" t="n">
        <f aca="false">MAX(-Flows!I66*I$4*I11/100,0)</f>
        <v>0</v>
      </c>
      <c r="J96" s="10" t="n">
        <f aca="false">MAX(-Flows!J66*J$4*J11/100,0)</f>
        <v>0</v>
      </c>
      <c r="K96" s="10" t="n">
        <f aca="false">MAX(-Flows!K66*K$4*K11/100,0)</f>
        <v>0</v>
      </c>
      <c r="L96" s="10" t="n">
        <f aca="false">MAX(-Flows!L66*L$4*L11/100,0)</f>
        <v>0</v>
      </c>
      <c r="M96" s="10" t="n">
        <f aca="false">MAX(-Flows!M66*M$4*M11/100,0)</f>
        <v>0</v>
      </c>
      <c r="N96" s="10" t="n">
        <f aca="false">MAX(-Flows!N66*N$4*N11/100,0)</f>
        <v>0</v>
      </c>
      <c r="O96" s="10" t="n">
        <f aca="false">MAX(-Flows!O66*O$4*O11/100,0)</f>
        <v>0</v>
      </c>
      <c r="P96" s="10" t="n">
        <f aca="false">MAX(-Flows!P66*P$4*P11/100,0)</f>
        <v>0</v>
      </c>
      <c r="Q96" s="10" t="n">
        <f aca="false">MAX(-Flows!Q66*Q$4*Q11/100,0)</f>
        <v>7965866.63321293</v>
      </c>
      <c r="R96" s="10" t="n">
        <f aca="false">MAX(-Flows!R66*R$4*R11/100,0)</f>
        <v>0</v>
      </c>
      <c r="S96" s="10" t="n">
        <f aca="false">MAX(-Flows!S66*S$4*S11/100,0)</f>
        <v>0</v>
      </c>
      <c r="T96" s="10" t="n">
        <f aca="false">MAX(-Flows!T66*T$4*T11/100,0)</f>
        <v>0</v>
      </c>
      <c r="U96" s="10" t="n">
        <f aca="false">MAX(-Flows!U66*U$4*U11/100,0)</f>
        <v>0</v>
      </c>
      <c r="V96" s="10" t="n">
        <f aca="false">MAX(-Flows!V66*V$4*V11/100,0)</f>
        <v>658704.38447815</v>
      </c>
      <c r="W96" s="10" t="n">
        <f aca="false">MAX(-Flows!W66*W$4*W11/100,0)</f>
        <v>0</v>
      </c>
      <c r="X96" s="10" t="n">
        <f aca="false">MAX(-Flows!X66*X$4*X11/100,0)</f>
        <v>16322660.9878871</v>
      </c>
      <c r="Y96" s="10" t="n">
        <f aca="false">MAX(-Flows!Y66*Y$4*Y11/100,0)</f>
        <v>0</v>
      </c>
      <c r="Z96" s="10" t="n">
        <f aca="false">MAX(-Flows!Z66*Z$4*Z11/100,0)</f>
        <v>0</v>
      </c>
      <c r="AA96" s="10" t="n">
        <f aca="false">MAX(-Flows!AA66*AA$4*AA11/100,0)</f>
        <v>294942.145716836</v>
      </c>
      <c r="AB96" s="10" t="n">
        <f aca="false">MAX(-Flows!AB66*AB$4*AB11/100,0)</f>
        <v>412344.008200141</v>
      </c>
      <c r="AC96" s="10" t="n">
        <f aca="false">MAX(-Flows!AC66*AC$4*AC11/100,0)</f>
        <v>183372.372891144</v>
      </c>
      <c r="AD96" s="10" t="n">
        <f aca="false">MAX(-Flows!AD66*AD$4*AD11/100,0)</f>
        <v>206172.004100071</v>
      </c>
      <c r="AE96" s="10" t="n">
        <f aca="false">MAX(-Flows!AE66*AE$4*AE11/100,0)</f>
        <v>0</v>
      </c>
      <c r="AF96" s="10" t="n">
        <f aca="false">MAX(-Flows!AF66*AF$4*AF11/100,0)</f>
        <v>2109459.81549869</v>
      </c>
      <c r="AG96" s="10" t="n">
        <f aca="false">MAX(-Flows!AG66*AG$4*AG11/100,0)</f>
        <v>0</v>
      </c>
      <c r="AH96" s="10" t="n">
        <f aca="false">MAX(-Flows!AH66*AH$4*AH11/100,0)</f>
        <v>4751601.55958063</v>
      </c>
      <c r="AI96" s="10" t="n">
        <f aca="false">MAX(-Flows!AI66*AI$4*AI11/100,0)</f>
        <v>1239859.24263821</v>
      </c>
      <c r="AJ96" s="10" t="n">
        <f aca="false">MAX(-Flows!AJ66*AJ$4*AJ11/100,0)</f>
        <v>4272858.72878369</v>
      </c>
      <c r="AK96" s="10" t="n">
        <f aca="false">MAX(-Flows!AK66*AK$4*AK11/100,0)</f>
        <v>0</v>
      </c>
      <c r="AL96" s="10" t="n">
        <f aca="false">MAX(-Flows!AL66*AL$4*AL11/100,0)</f>
        <v>12937664.3969718</v>
      </c>
      <c r="AM96" s="10" t="n">
        <f aca="false">MAX(-Flows!AM66*AM$4*AM11/100,0)</f>
        <v>0</v>
      </c>
      <c r="AN96" s="10" t="n">
        <f aca="false">MAX(-Flows!AN66*AN$4*AN11/100,0)</f>
        <v>0</v>
      </c>
      <c r="AO96" s="10" t="n">
        <f aca="false">MAX(-Flows!AO66*AO$4*AO11/100,0)</f>
        <v>8615562.94661703</v>
      </c>
      <c r="AP96" s="10" t="n">
        <f aca="false">MAX(-Flows!AP66*AP$4*AP11/100,0)</f>
        <v>0</v>
      </c>
      <c r="AQ96" s="10" t="n">
        <f aca="false">MAX(-Flows!AQ66*AQ$4*AQ11/100,0)</f>
        <v>0</v>
      </c>
      <c r="AR96" s="10" t="n">
        <f aca="false">MAX(-Flows!AR66*AR$4*AR11/100,0)</f>
        <v>13235733.8830871</v>
      </c>
      <c r="AS96" s="10" t="n">
        <f aca="false">MAX(-Flows!AS66*AS$4*AS11/100,0)</f>
        <v>118625.035997333</v>
      </c>
      <c r="AT96" s="10" t="n">
        <f aca="false">MAX(-Flows!AT66*AT$4*AT11/100,0)</f>
        <v>6037755.87838216</v>
      </c>
      <c r="AU96" s="10" t="n">
        <f aca="false">MAX(-Flows!AU66*AU$4*AU11/100,0)</f>
        <v>0</v>
      </c>
      <c r="AV96" s="10" t="n">
        <f aca="false">MAX(-Flows!AV66*AV$4*AV11/100,0)</f>
        <v>0</v>
      </c>
      <c r="AW96" s="10" t="n">
        <f aca="false">MAX(-Flows!AW66*AW$4*AW11/100,0)</f>
        <v>3838252.82997144</v>
      </c>
      <c r="AX96" s="10" t="n">
        <f aca="false">MAX(-Flows!AX66*AX$4*AX11/100,0)</f>
        <v>2271011.4558852</v>
      </c>
      <c r="AY96" s="10" t="n">
        <f aca="false">MAX(-Flows!AY66*AY$4*AY11/100,0)</f>
        <v>5915984.33345203</v>
      </c>
      <c r="AZ96" s="10" t="n">
        <f aca="false">MAX(-Flows!AZ66*AZ$4*AZ11/100,0)</f>
        <v>7420931.0862518</v>
      </c>
      <c r="BA96" s="10" t="n">
        <f aca="false">MAX(-Flows!BA66*BA$4*BA11/100,0)</f>
        <v>0</v>
      </c>
      <c r="BB96" s="10" t="n">
        <f aca="false">MAX(-Flows!BB66*BB$4*BB11/100,0)</f>
        <v>0</v>
      </c>
      <c r="BC96" s="10" t="n">
        <f aca="false">MAX(-Flows!BC66*BC$4*BC11/100,0)</f>
        <v>0</v>
      </c>
      <c r="BD96" s="10" t="n">
        <f aca="false">MAX(-Flows!BD66*BD$4*BD11/100,0)</f>
        <v>7059336.76213375</v>
      </c>
      <c r="BE96" s="10" t="n">
        <f aca="false">MAX(-Flows!BE66*BE$4*BE11/100,0)</f>
        <v>0</v>
      </c>
      <c r="BF96" s="10" t="n">
        <f aca="false">MAX(-Flows!BF66*BF$4*BF11/100,0)</f>
        <v>40942547.1391131</v>
      </c>
      <c r="BG96" s="10" t="n">
        <f aca="false">MAX(-Flows!BG66*BG$4*BG11/100,0)</f>
        <v>3990333.37955015</v>
      </c>
      <c r="BH96" s="10" t="n">
        <f aca="false">MAX(-Flows!BH66*BH$4*BH11/100,0)</f>
        <v>10343230.2048101</v>
      </c>
      <c r="BI96" s="10" t="n">
        <f aca="false">MAX(-Flows!BI66*BI$4*BI11/100,0)</f>
        <v>5667751.78760683</v>
      </c>
      <c r="BJ96" s="10" t="n">
        <f aca="false">MAX(-Flows!BJ66*BJ$4*BJ11/100,0)</f>
        <v>5667751.78760678</v>
      </c>
      <c r="BK96" s="10" t="n">
        <f aca="false">MAX(-Flows!BK66*BK$4*BK11/100,0)</f>
        <v>5667751.78760683</v>
      </c>
      <c r="BL96" s="10" t="n">
        <f aca="false">MAX(-Flows!BL66*BL$4*BL11/100,0)</f>
        <v>796586.663321291</v>
      </c>
      <c r="BM96" s="10" t="n">
        <f aca="false">MAX(-Flows!BM66*BM$4*BM11/100,0)</f>
        <v>796586.663321291</v>
      </c>
      <c r="BN96" s="10" t="n">
        <f aca="false">MAX(-Flows!BN66*BN$4*BN11/100,0)</f>
        <v>0</v>
      </c>
      <c r="BO96" s="10" t="n">
        <f aca="false">MAX(-Flows!BO66*BO$4*BO11/100,0)</f>
        <v>12473796059364</v>
      </c>
      <c r="BP96" s="10" t="n">
        <f aca="false">MAX(-Flows!BP66*BP$4*BP11/100,0)</f>
        <v>5821105433976780</v>
      </c>
      <c r="BQ96" s="10" t="n">
        <f aca="false">MAX(-Flows!BQ66*BQ$4*BQ11/100,0)</f>
        <v>0</v>
      </c>
      <c r="BR96" s="10" t="n">
        <f aca="false">MAX(-Flows!BR66*BR$4*BR11/100,0)</f>
        <v>4157931146194.95</v>
      </c>
      <c r="BS96" s="10" t="n">
        <f aca="false">MAX(-Flows!BS66*BS$4*BS11/100,0)</f>
        <v>2078964917902.69</v>
      </c>
      <c r="BT96" s="10" t="n">
        <f aca="false">MAX(-Flows!BT66*BT$4*BT11/100,0)</f>
        <v>0</v>
      </c>
      <c r="BU96" s="10" t="n">
        <f aca="false">MAX(-Flows!BU66*BU$4*BU11/100,0)</f>
        <v>0</v>
      </c>
      <c r="BV96" s="10" t="n">
        <f aca="false">MAX(-Flows!BV66*BV$4*BV11/100,0)</f>
        <v>0</v>
      </c>
      <c r="BW96" s="10" t="n">
        <f aca="false">MAX(-Flows!BW66*BW$4*BW11/100,0)</f>
        <v>0</v>
      </c>
      <c r="BX96" s="10" t="n">
        <f aca="false">MAX(-Flows!BX66*BX$4*BX11/100,0)</f>
        <v>1593173.32664259</v>
      </c>
      <c r="BY96" s="10" t="n">
        <f aca="false">MAX(-Flows!BY66*BY$4*BY11/100,0)</f>
        <v>1593173.32664258</v>
      </c>
      <c r="BZ96" s="10" t="n">
        <f aca="false">MAX(-Flows!BZ66*BZ$4*BZ11/100,0)</f>
        <v>4625365.42544418</v>
      </c>
      <c r="CA96" s="10" t="n">
        <f aca="false">MAX(-Flows!CA66*CA$4*CA11/100,0)</f>
        <v>4625365.4254442</v>
      </c>
      <c r="CB96" s="10" t="n">
        <f aca="false">MAX(-Flows!CB66*CB$4*CB11/100,0)</f>
        <v>7965866.63321292</v>
      </c>
      <c r="CC96" s="10" t="n">
        <f aca="false">MAX(-Flows!CC66*CC$4*CC11/100,0)</f>
        <v>283387.589380341</v>
      </c>
      <c r="CD96" s="10" t="n">
        <f aca="false">MAX(-Flows!CD66*CD$4*CD11/100,0)</f>
        <v>0</v>
      </c>
      <c r="CE96" s="10" t="n">
        <f aca="false">MAX(-Flows!CE66*CE$4*CE11/100,0)</f>
        <v>283387.589380342</v>
      </c>
      <c r="CF96" s="10" t="n">
        <f aca="false">MAX(-Flows!CF66*CF$4*CF11/100,0)</f>
        <v>887885.621624082</v>
      </c>
      <c r="CG96" s="10" t="n">
        <f aca="false">MAX(-Flows!CG66*CG$4*CG11/100,0)</f>
        <v>62367676459.1955</v>
      </c>
      <c r="CH96" s="10" t="n">
        <f aca="false">MAX(-Flows!CH66*CH$4*CH11/100,0)</f>
        <v>62367676459.1955</v>
      </c>
      <c r="CI96" s="10" t="n">
        <f aca="false">MAX(-Flows!CI66*CI$4*CI11/100,0)</f>
        <v>3982933.31660647</v>
      </c>
      <c r="CJ96" s="10" t="n">
        <f aca="false">MAX(-Flows!CJ66*CJ$4*CJ11/100,0)</f>
        <v>398293.331660648</v>
      </c>
      <c r="CK96" s="10" t="n">
        <f aca="false">MAX(-Flows!CK66*CK$4*CK11/100,0)</f>
        <v>398293.331660646</v>
      </c>
      <c r="CL96" s="7" t="s">
        <v>322</v>
      </c>
      <c r="CM96" s="10" t="n">
        <f aca="false">-CM36</f>
        <v>-28958284.2353662</v>
      </c>
      <c r="CN96" s="10" t="n">
        <f aca="false">-CN36</f>
        <v>33091237.228556</v>
      </c>
      <c r="CO96" s="10" t="n">
        <f aca="false">-CO36</f>
        <v>-13905905.9556391</v>
      </c>
      <c r="CP96" s="10" t="n">
        <f aca="false">-CP36</f>
        <v>14500521.059159</v>
      </c>
      <c r="CQ96" s="10" t="n">
        <f aca="false">-CQ36</f>
        <v>-7148474.48119959</v>
      </c>
      <c r="CR96" s="10" t="n">
        <f aca="false">-CR36</f>
        <v>5839940902579080</v>
      </c>
      <c r="CS96" s="10" t="n">
        <f aca="false">-CS36</f>
        <v>-2490638.1738976</v>
      </c>
      <c r="CT96" s="10" t="n">
        <f aca="false">-CT36</f>
        <v>1684472.28494537</v>
      </c>
      <c r="CU96" s="10" t="n">
        <f aca="false">-CU36</f>
        <v>-87242672.4270438</v>
      </c>
      <c r="CV96" s="10" t="n">
        <f aca="false">-CV36</f>
        <v>618516.012300212</v>
      </c>
      <c r="CX96" s="0" t="str">
        <f aca="false">INDEX($C$1:$CK$1,MATCH(LARGE($C96:$CK96,1),$C96:$CK96,0))</f>
        <v>Iron (lb)</v>
      </c>
      <c r="CY96" s="0" t="str">
        <f aca="false">INDEX($C$1:$CK$1,MATCH(LARGE($C96:$CK96,2),$C96:$CK96,0))</f>
        <v>Cu (lb)</v>
      </c>
      <c r="CZ96" s="0" t="str">
        <f aca="false">INDEX($C$1:$CK$1,MATCH(LARGE($C96:$CK96,3),$C96:$CK96,0))</f>
        <v>Ag (lb)</v>
      </c>
      <c r="DA96" s="0" t="str">
        <f aca="false">INDEX($C$1:$CK$1,MATCH(LARGE($C96:$CK96,4),$C96:$CK96,0))</f>
        <v>Au (lb)</v>
      </c>
      <c r="DB96" s="0" t="str">
        <f aca="false">INDEX($C$1:$CK$1,MATCH(LARGE($C96:$CK96,5),$C96:$CK96,0))</f>
        <v>Diamonds (lb)</v>
      </c>
      <c r="DD96" s="0" t="str">
        <f aca="false">IF(LARGE($CM96:$CV96,1)&gt;0,INDEX($CM$30:$CV$30,MATCH(LARGE($CM96:$CV96,1),$CM96:$CV96,0)),"N/A")</f>
        <v>Mineral</v>
      </c>
      <c r="DE96" s="0" t="str">
        <f aca="false">IF(LARGE($CM96:$CV96,2)&gt;0,INDEX($CM$30:$CV$30,MATCH(LARGE($CM96:$CV96,2),$CM96:$CV96,0)),"N/A")</f>
        <v>Animal</v>
      </c>
      <c r="DF96" s="0" t="str">
        <f aca="false">IF(LARGE($CM96:$CV96,3)&gt;0,INDEX($CM$30:$CV$30,MATCH(LARGE($CM96:$CV96,3),$CM96:$CV96,0)),"N/A")</f>
        <v>Textile</v>
      </c>
      <c r="DG96" s="0" t="str">
        <f aca="false">IF(LARGE($CM96:$CV96,4)&gt;0,INDEX($CM$30:$CV$30,MATCH(LARGE($CM96:$CV96,4),$CM96:$CV96,0)),"N/A")</f>
        <v>Pottery</v>
      </c>
      <c r="DH96" s="0" t="str">
        <f aca="false">IF(LARGE($CM96:$CV96,5)&gt;0,INDEX($CM$30:$CV$30,MATCH(LARGE($CM96:$CV96,5),$CM96:$CV96,0)),"N/A")</f>
        <v>Service</v>
      </c>
    </row>
    <row r="97" customFormat="false" ht="12.8" hidden="false" customHeight="false" outlineLevel="0" collapsed="false">
      <c r="A97" s="7" t="s">
        <v>141</v>
      </c>
      <c r="B97" s="7" t="s">
        <v>39</v>
      </c>
      <c r="C97" s="10" t="n">
        <f aca="false">MAX(-Flows!C67*C$4*C12/100,0)</f>
        <v>14777663.2464099</v>
      </c>
      <c r="D97" s="10" t="n">
        <f aca="false">MAX(-Flows!D67*D$4*D12/100,0)</f>
        <v>6204022.93591202</v>
      </c>
      <c r="E97" s="10" t="n">
        <f aca="false">MAX(-Flows!E67*E$4*E12/100,0)</f>
        <v>16809865.6631163</v>
      </c>
      <c r="F97" s="10" t="n">
        <f aca="false">MAX(-Flows!F67*F$4*F12/100,0)</f>
        <v>0</v>
      </c>
      <c r="G97" s="10" t="n">
        <f aca="false">MAX(-Flows!G67*G$4*G12/100,0)</f>
        <v>4578062.78144057</v>
      </c>
      <c r="H97" s="10" t="n">
        <f aca="false">MAX(-Flows!H67*H$4*H12/100,0)</f>
        <v>0</v>
      </c>
      <c r="I97" s="10" t="n">
        <f aca="false">MAX(-Flows!I67*I$4*I12/100,0)</f>
        <v>0</v>
      </c>
      <c r="J97" s="10" t="n">
        <f aca="false">MAX(-Flows!J67*J$4*J12/100,0)</f>
        <v>0</v>
      </c>
      <c r="K97" s="10" t="n">
        <f aca="false">MAX(-Flows!K67*K$4*K12/100,0)</f>
        <v>0</v>
      </c>
      <c r="L97" s="10" t="n">
        <f aca="false">MAX(-Flows!L67*L$4*L12/100,0)</f>
        <v>0</v>
      </c>
      <c r="M97" s="10" t="n">
        <f aca="false">MAX(-Flows!M67*M$4*M12/100,0)</f>
        <v>0</v>
      </c>
      <c r="N97" s="10" t="n">
        <f aca="false">MAX(-Flows!N67*N$4*N12/100,0)</f>
        <v>5189161.44762142</v>
      </c>
      <c r="O97" s="10" t="n">
        <f aca="false">MAX(-Flows!O67*O$4*O12/100,0)</f>
        <v>0</v>
      </c>
      <c r="P97" s="10" t="n">
        <f aca="false">MAX(-Flows!P67*P$4*P12/100,0)</f>
        <v>0</v>
      </c>
      <c r="Q97" s="10" t="n">
        <f aca="false">MAX(-Flows!Q67*Q$4*Q12/100,0)</f>
        <v>25317351.6915572</v>
      </c>
      <c r="R97" s="10" t="n">
        <f aca="false">MAX(-Flows!R67*R$4*R12/100,0)</f>
        <v>9897354.13523882</v>
      </c>
      <c r="S97" s="10" t="n">
        <f aca="false">MAX(-Flows!S67*S$4*S12/100,0)</f>
        <v>0</v>
      </c>
      <c r="T97" s="10" t="n">
        <f aca="false">MAX(-Flows!T67*T$4*T12/100,0)</f>
        <v>0</v>
      </c>
      <c r="U97" s="10" t="n">
        <f aca="false">MAX(-Flows!U67*U$4*U12/100,0)</f>
        <v>0</v>
      </c>
      <c r="V97" s="10" t="n">
        <f aca="false">MAX(-Flows!V67*V$4*V12/100,0)</f>
        <v>57775649.0280304</v>
      </c>
      <c r="W97" s="10" t="n">
        <f aca="false">MAX(-Flows!W67*W$4*W12/100,0)</f>
        <v>64885648.2299205</v>
      </c>
      <c r="X97" s="10" t="n">
        <f aca="false">MAX(-Flows!X67*X$4*X12/100,0)</f>
        <v>0</v>
      </c>
      <c r="Y97" s="10" t="n">
        <f aca="false">MAX(-Flows!Y67*Y$4*Y12/100,0)</f>
        <v>0</v>
      </c>
      <c r="Z97" s="10" t="n">
        <f aca="false">MAX(-Flows!Z67*Z$4*Z12/100,0)</f>
        <v>0</v>
      </c>
      <c r="AA97" s="10" t="n">
        <f aca="false">MAX(-Flows!AA67*AA$4*AA12/100,0)</f>
        <v>139394.152160554</v>
      </c>
      <c r="AB97" s="10" t="n">
        <f aca="false">MAX(-Flows!AB67*AB$4*AB12/100,0)</f>
        <v>313510.518386414</v>
      </c>
      <c r="AC97" s="10" t="n">
        <f aca="false">MAX(-Flows!AC67*AC$4*AC12/100,0)</f>
        <v>0</v>
      </c>
      <c r="AD97" s="10" t="n">
        <f aca="false">MAX(-Flows!AD67*AD$4*AD12/100,0)</f>
        <v>156755.259193207</v>
      </c>
      <c r="AE97" s="10" t="n">
        <f aca="false">MAX(-Flows!AE67*AE$4*AE12/100,0)</f>
        <v>2059460.44275223</v>
      </c>
      <c r="AF97" s="10" t="n">
        <f aca="false">MAX(-Flows!AF67*AF$4*AF12/100,0)</f>
        <v>0</v>
      </c>
      <c r="AG97" s="10" t="n">
        <f aca="false">MAX(-Flows!AG67*AG$4*AG12/100,0)</f>
        <v>5606454.39210786</v>
      </c>
      <c r="AH97" s="10" t="n">
        <f aca="false">MAX(-Flows!AH67*AH$4*AH12/100,0)</f>
        <v>11944197.108751</v>
      </c>
      <c r="AI97" s="10" t="n">
        <f aca="false">MAX(-Flows!AI67*AI$4*AI12/100,0)</f>
        <v>0</v>
      </c>
      <c r="AJ97" s="10" t="n">
        <f aca="false">MAX(-Flows!AJ67*AJ$4*AJ12/100,0)</f>
        <v>0</v>
      </c>
      <c r="AK97" s="10" t="n">
        <f aca="false">MAX(-Flows!AK67*AK$4*AK12/100,0)</f>
        <v>0</v>
      </c>
      <c r="AL97" s="10" t="n">
        <f aca="false">MAX(-Flows!AL67*AL$4*AL12/100,0)</f>
        <v>0</v>
      </c>
      <c r="AM97" s="10" t="n">
        <f aca="false">MAX(-Flows!AM67*AM$4*AM12/100,0)</f>
        <v>19286721.3814614</v>
      </c>
      <c r="AN97" s="10" t="n">
        <f aca="false">MAX(-Flows!AN67*AN$4*AN12/100,0)</f>
        <v>0</v>
      </c>
      <c r="AO97" s="10" t="n">
        <f aca="false">MAX(-Flows!AO67*AO$4*AO12/100,0)</f>
        <v>0</v>
      </c>
      <c r="AP97" s="10" t="n">
        <f aca="false">MAX(-Flows!AP67*AP$4*AP12/100,0)</f>
        <v>12410678.7072884</v>
      </c>
      <c r="AQ97" s="10" t="n">
        <f aca="false">MAX(-Flows!AQ67*AQ$4*AQ12/100,0)</f>
        <v>9496981.86059533</v>
      </c>
      <c r="AR97" s="10" t="n">
        <f aca="false">MAX(-Flows!AR67*AR$4*AR12/100,0)</f>
        <v>6726470.66443479</v>
      </c>
      <c r="AS97" s="10" t="n">
        <f aca="false">MAX(-Flows!AS67*AS$4*AS12/100,0)</f>
        <v>0</v>
      </c>
      <c r="AT97" s="10" t="n">
        <f aca="false">MAX(-Flows!AT67*AT$4*AT12/100,0)</f>
        <v>0</v>
      </c>
      <c r="AU97" s="10" t="n">
        <f aca="false">MAX(-Flows!AU67*AU$4*AU12/100,0)</f>
        <v>9703495.83590845</v>
      </c>
      <c r="AV97" s="10" t="n">
        <f aca="false">MAX(-Flows!AV67*AV$4*AV12/100,0)</f>
        <v>5675687.35823915</v>
      </c>
      <c r="AW97" s="10" t="n">
        <f aca="false">MAX(-Flows!AW67*AW$4*AW12/100,0)</f>
        <v>0</v>
      </c>
      <c r="AX97" s="10" t="n">
        <f aca="false">MAX(-Flows!AX67*AX$4*AX12/100,0)</f>
        <v>6898638.07970403</v>
      </c>
      <c r="AY97" s="10" t="n">
        <f aca="false">MAX(-Flows!AY67*AY$4*AY12/100,0)</f>
        <v>220273.768880155</v>
      </c>
      <c r="AZ97" s="10" t="n">
        <f aca="false">MAX(-Flows!AZ67*AZ$4*AZ12/100,0)</f>
        <v>2378374.46020774</v>
      </c>
      <c r="BA97" s="10" t="n">
        <f aca="false">MAX(-Flows!BA67*BA$4*BA12/100,0)</f>
        <v>0</v>
      </c>
      <c r="BB97" s="10" t="n">
        <f aca="false">MAX(-Flows!BB67*BB$4*BB12/100,0)</f>
        <v>423630.30660157</v>
      </c>
      <c r="BC97" s="10" t="n">
        <f aca="false">MAX(-Flows!BC67*BC$4*BC12/100,0)</f>
        <v>0</v>
      </c>
      <c r="BD97" s="10" t="n">
        <f aca="false">MAX(-Flows!BD67*BD$4*BD12/100,0)</f>
        <v>0</v>
      </c>
      <c r="BE97" s="10" t="n">
        <f aca="false">MAX(-Flows!BE67*BE$4*BE12/100,0)</f>
        <v>0</v>
      </c>
      <c r="BF97" s="10" t="n">
        <f aca="false">MAX(-Flows!BF67*BF$4*BF12/100,0)</f>
        <v>0</v>
      </c>
      <c r="BG97" s="10" t="n">
        <f aca="false">MAX(-Flows!BG67*BG$4*BG12/100,0)</f>
        <v>0</v>
      </c>
      <c r="BH97" s="10" t="n">
        <f aca="false">MAX(-Flows!BH67*BH$4*BH12/100,0)</f>
        <v>0</v>
      </c>
      <c r="BI97" s="10" t="n">
        <f aca="false">MAX(-Flows!BI67*BI$4*BI12/100,0)</f>
        <v>14186289.8902512</v>
      </c>
      <c r="BJ97" s="10" t="n">
        <f aca="false">MAX(-Flows!BJ67*BJ$4*BJ12/100,0)</f>
        <v>14186289.8902513</v>
      </c>
      <c r="BK97" s="10" t="n">
        <f aca="false">MAX(-Flows!BK67*BK$4*BK12/100,0)</f>
        <v>14186289.8902512</v>
      </c>
      <c r="BL97" s="10" t="n">
        <f aca="false">MAX(-Flows!BL67*BL$4*BL12/100,0)</f>
        <v>2531735.16915572</v>
      </c>
      <c r="BM97" s="10" t="n">
        <f aca="false">MAX(-Flows!BM67*BM$4*BM12/100,0)</f>
        <v>2531735.16915572</v>
      </c>
      <c r="BN97" s="10" t="n">
        <f aca="false">MAX(-Flows!BN67*BN$4*BN12/100,0)</f>
        <v>0</v>
      </c>
      <c r="BO97" s="10" t="n">
        <f aca="false">MAX(-Flows!BO67*BO$4*BO12/100,0)</f>
        <v>4624468608004.6</v>
      </c>
      <c r="BP97" s="10" t="n">
        <f aca="false">MAX(-Flows!BP67*BP$4*BP12/100,0)</f>
        <v>2158085560503380</v>
      </c>
      <c r="BQ97" s="10" t="n">
        <f aca="false">MAX(-Flows!BQ67*BQ$4*BQ12/100,0)</f>
        <v>0</v>
      </c>
      <c r="BR97" s="10" t="n">
        <f aca="false">MAX(-Flows!BR67*BR$4*BR12/100,0)</f>
        <v>1541489233262</v>
      </c>
      <c r="BS97" s="10" t="n">
        <f aca="false">MAX(-Flows!BS67*BS$4*BS12/100,0)</f>
        <v>770744389576.349</v>
      </c>
      <c r="BT97" s="10" t="n">
        <f aca="false">MAX(-Flows!BT67*BT$4*BT12/100,0)</f>
        <v>0</v>
      </c>
      <c r="BU97" s="10" t="n">
        <f aca="false">MAX(-Flows!BU67*BU$4*BU12/100,0)</f>
        <v>0</v>
      </c>
      <c r="BV97" s="10" t="n">
        <f aca="false">MAX(-Flows!BV67*BV$4*BV12/100,0)</f>
        <v>0</v>
      </c>
      <c r="BW97" s="10" t="n">
        <f aca="false">MAX(-Flows!BW67*BW$4*BW12/100,0)</f>
        <v>0</v>
      </c>
      <c r="BX97" s="10" t="n">
        <f aca="false">MAX(-Flows!BX67*BX$4*BX12/100,0)</f>
        <v>5063470.33831145</v>
      </c>
      <c r="BY97" s="10" t="n">
        <f aca="false">MAX(-Flows!BY67*BY$4*BY12/100,0)</f>
        <v>5063470.33831144</v>
      </c>
      <c r="BZ97" s="10" t="n">
        <f aca="false">MAX(-Flows!BZ67*BZ$4*BZ12/100,0)</f>
        <v>13092998.534838</v>
      </c>
      <c r="CA97" s="10" t="n">
        <f aca="false">MAX(-Flows!CA67*CA$4*CA12/100,0)</f>
        <v>13092998.534838</v>
      </c>
      <c r="CB97" s="10" t="n">
        <f aca="false">MAX(-Flows!CB67*CB$4*CB12/100,0)</f>
        <v>25317351.6915572</v>
      </c>
      <c r="CC97" s="10" t="n">
        <f aca="false">MAX(-Flows!CC67*CC$4*CC12/100,0)</f>
        <v>709314.494512563</v>
      </c>
      <c r="CD97" s="10" t="n">
        <f aca="false">MAX(-Flows!CD67*CD$4*CD12/100,0)</f>
        <v>0</v>
      </c>
      <c r="CE97" s="10" t="n">
        <f aca="false">MAX(-Flows!CE67*CE$4*CE12/100,0)</f>
        <v>709314.494512563</v>
      </c>
      <c r="CF97" s="10" t="n">
        <f aca="false">MAX(-Flows!CF67*CF$4*CF12/100,0)</f>
        <v>3032407.72965088</v>
      </c>
      <c r="CG97" s="10" t="n">
        <f aca="false">MAX(-Flows!CG67*CG$4*CG12/100,0)</f>
        <v>23121891201.2684</v>
      </c>
      <c r="CH97" s="10" t="n">
        <f aca="false">MAX(-Flows!CH67*CH$4*CH12/100,0)</f>
        <v>23121891201.2684</v>
      </c>
      <c r="CI97" s="10" t="n">
        <f aca="false">MAX(-Flows!CI67*CI$4*CI12/100,0)</f>
        <v>12658675.8457786</v>
      </c>
      <c r="CJ97" s="10" t="n">
        <f aca="false">MAX(-Flows!CJ67*CJ$4*CJ12/100,0)</f>
        <v>1265867.58457786</v>
      </c>
      <c r="CK97" s="10" t="n">
        <f aca="false">MAX(-Flows!CK67*CK$4*CK12/100,0)</f>
        <v>1265867.58457786</v>
      </c>
      <c r="CL97" s="7" t="s">
        <v>322</v>
      </c>
      <c r="CM97" s="10" t="n">
        <f aca="false">-CM37</f>
        <v>1744529.0088085</v>
      </c>
      <c r="CN97" s="10" t="n">
        <f aca="false">-CN37</f>
        <v>50017189.1426424</v>
      </c>
      <c r="CO97" s="10" t="n">
        <f aca="false">-CO37</f>
        <v>212157307.912965</v>
      </c>
      <c r="CP97" s="10" t="n">
        <f aca="false">-CP37</f>
        <v>5838809.99691507</v>
      </c>
      <c r="CQ97" s="10" t="n">
        <f aca="false">-CQ37</f>
        <v>50369892.0278751</v>
      </c>
      <c r="CR97" s="10" t="n">
        <f aca="false">-CR37</f>
        <v>2165068464240170</v>
      </c>
      <c r="CS97" s="10" t="n">
        <f aca="false">-CS37</f>
        <v>9597581.76074692</v>
      </c>
      <c r="CT97" s="10" t="n">
        <f aca="false">-CT37</f>
        <v>5564142.8988066</v>
      </c>
      <c r="CU97" s="10" t="n">
        <f aca="false">-CU37</f>
        <v>-90503105.2751622</v>
      </c>
      <c r="CV97" s="10" t="n">
        <f aca="false">-CV37</f>
        <v>470265.77757962</v>
      </c>
      <c r="CX97" s="0" t="str">
        <f aca="false">INDEX($C$1:$CK$1,MATCH(LARGE($C97:$CK97,1),$C97:$CK97,0))</f>
        <v>Iron (lb)</v>
      </c>
      <c r="CY97" s="0" t="str">
        <f aca="false">INDEX($C$1:$CK$1,MATCH(LARGE($C97:$CK97,2),$C97:$CK97,0))</f>
        <v>Cu (lb)</v>
      </c>
      <c r="CZ97" s="0" t="str">
        <f aca="false">INDEX($C$1:$CK$1,MATCH(LARGE($C97:$CK97,3),$C97:$CK97,0))</f>
        <v>Ag (lb)</v>
      </c>
      <c r="DA97" s="0" t="str">
        <f aca="false">INDEX($C$1:$CK$1,MATCH(LARGE($C97:$CK97,4),$C97:$CK97,0))</f>
        <v>Au (lb)</v>
      </c>
      <c r="DB97" s="0" t="str">
        <f aca="false">INDEX($C$1:$CK$1,MATCH(LARGE($C97:$CK97,5),$C97:$CK97,0))</f>
        <v>Diamonds (lb)</v>
      </c>
      <c r="DD97" s="0" t="str">
        <f aca="false">IF(LARGE($CM97:$CV97,1)&gt;0,INDEX($CM$30:$CV$30,MATCH(LARGE($CM97:$CV97,1),$CM97:$CV97,0)),"N/A")</f>
        <v>Mineral</v>
      </c>
      <c r="DE97" s="0" t="str">
        <f aca="false">IF(LARGE($CM97:$CV97,2)&gt;0,INDEX($CM$30:$CV$30,MATCH(LARGE($CM97:$CV97,2),$CM97:$CV97,0)),"N/A")</f>
        <v>Food Prod</v>
      </c>
      <c r="DF97" s="0" t="str">
        <f aca="false">IF(LARGE($CM97:$CV97,3)&gt;0,INDEX($CM$30:$CV$30,MATCH(LARGE($CM97:$CV97,3),$CM97:$CV97,0)),"N/A")</f>
        <v>Tools</v>
      </c>
      <c r="DG97" s="0" t="str">
        <f aca="false">IF(LARGE($CM97:$CV97,4)&gt;0,INDEX($CM$30:$CV$30,MATCH(LARGE($CM97:$CV97,4),$CM97:$CV97,0)),"N/A")</f>
        <v>Animal</v>
      </c>
      <c r="DH97" s="0" t="str">
        <f aca="false">IF(LARGE($CM97:$CV97,5)&gt;0,INDEX($CM$30:$CV$30,MATCH(LARGE($CM97:$CV97,5),$CM97:$CV97,0)),"N/A")</f>
        <v>Wood</v>
      </c>
    </row>
    <row r="98" customFormat="false" ht="12.8" hidden="false" customHeight="false" outlineLevel="0" collapsed="false">
      <c r="A98" s="7" t="s">
        <v>142</v>
      </c>
      <c r="B98" s="7" t="s">
        <v>39</v>
      </c>
      <c r="C98" s="10" t="n">
        <f aca="false">MAX(-Flows!C68*C$4*C13/100,0)</f>
        <v>72425121.2554485</v>
      </c>
      <c r="D98" s="10" t="n">
        <f aca="false">MAX(-Flows!D68*D$4*D13/100,0)</f>
        <v>129860350.445532</v>
      </c>
      <c r="E98" s="10" t="n">
        <f aca="false">MAX(-Flows!E68*E$4*E13/100,0)</f>
        <v>32040472.4847869</v>
      </c>
      <c r="F98" s="10" t="n">
        <f aca="false">MAX(-Flows!F68*F$4*F13/100,0)</f>
        <v>0</v>
      </c>
      <c r="G98" s="10" t="n">
        <f aca="false">MAX(-Flows!G68*G$4*G13/100,0)</f>
        <v>149284074.312782</v>
      </c>
      <c r="H98" s="10" t="n">
        <f aca="false">MAX(-Flows!H68*H$4*H13/100,0)</f>
        <v>0</v>
      </c>
      <c r="I98" s="10" t="n">
        <f aca="false">MAX(-Flows!I68*I$4*I13/100,0)</f>
        <v>20059246.8845733</v>
      </c>
      <c r="J98" s="10" t="n">
        <f aca="false">MAX(-Flows!J68*J$4*J13/100,0)</f>
        <v>0</v>
      </c>
      <c r="K98" s="10" t="n">
        <f aca="false">MAX(-Flows!K68*K$4*K13/100,0)</f>
        <v>0</v>
      </c>
      <c r="L98" s="10" t="n">
        <f aca="false">MAX(-Flows!L68*L$4*L13/100,0)</f>
        <v>0</v>
      </c>
      <c r="M98" s="10" t="n">
        <f aca="false">MAX(-Flows!M68*M$4*M13/100,0)</f>
        <v>0</v>
      </c>
      <c r="N98" s="10" t="n">
        <f aca="false">MAX(-Flows!N68*N$4*N13/100,0)</f>
        <v>102936630.675215</v>
      </c>
      <c r="O98" s="10" t="n">
        <f aca="false">MAX(-Flows!O68*O$4*O13/100,0)</f>
        <v>0</v>
      </c>
      <c r="P98" s="10" t="n">
        <f aca="false">MAX(-Flows!P68*P$4*P13/100,0)</f>
        <v>0</v>
      </c>
      <c r="Q98" s="10" t="n">
        <f aca="false">MAX(-Flows!Q68*Q$4*Q13/100,0)</f>
        <v>150468620.016001</v>
      </c>
      <c r="R98" s="10" t="n">
        <f aca="false">MAX(-Flows!R68*R$4*R13/100,0)</f>
        <v>60290122.6519655</v>
      </c>
      <c r="S98" s="10" t="n">
        <f aca="false">MAX(-Flows!S68*S$4*S13/100,0)</f>
        <v>0</v>
      </c>
      <c r="T98" s="10" t="n">
        <f aca="false">MAX(-Flows!T68*T$4*T13/100,0)</f>
        <v>0</v>
      </c>
      <c r="U98" s="10" t="n">
        <f aca="false">MAX(-Flows!U68*U$4*U13/100,0)</f>
        <v>0</v>
      </c>
      <c r="V98" s="10" t="n">
        <f aca="false">MAX(-Flows!V68*V$4*V13/100,0)</f>
        <v>143964901.879684</v>
      </c>
      <c r="W98" s="10" t="n">
        <f aca="false">MAX(-Flows!W68*W$4*W13/100,0)</f>
        <v>416769502.089785</v>
      </c>
      <c r="X98" s="10" t="n">
        <f aca="false">MAX(-Flows!X68*X$4*X13/100,0)</f>
        <v>36120440.7773144</v>
      </c>
      <c r="Y98" s="10" t="n">
        <f aca="false">MAX(-Flows!Y68*Y$4*Y13/100,0)</f>
        <v>0</v>
      </c>
      <c r="Z98" s="10" t="n">
        <f aca="false">MAX(-Flows!Z68*Z$4*Z13/100,0)</f>
        <v>12477986.5681873</v>
      </c>
      <c r="AA98" s="10" t="n">
        <f aca="false">MAX(-Flows!AA68*AA$4*AA13/100,0)</f>
        <v>29837.825605021</v>
      </c>
      <c r="AB98" s="10" t="n">
        <f aca="false">MAX(-Flows!AB68*AB$4*AB13/100,0)</f>
        <v>486596.389211507</v>
      </c>
      <c r="AC98" s="10" t="n">
        <f aca="false">MAX(-Flows!AC68*AC$4*AC13/100,0)</f>
        <v>0</v>
      </c>
      <c r="AD98" s="10" t="n">
        <f aca="false">MAX(-Flows!AD68*AD$4*AD13/100,0)</f>
        <v>243298.194605753</v>
      </c>
      <c r="AE98" s="10" t="n">
        <f aca="false">MAX(-Flows!AE68*AE$4*AE13/100,0)</f>
        <v>1674827.32717788</v>
      </c>
      <c r="AF98" s="10" t="n">
        <f aca="false">MAX(-Flows!AF68*AF$4*AF13/100,0)</f>
        <v>7958850.14678439</v>
      </c>
      <c r="AG98" s="10" t="n">
        <f aca="false">MAX(-Flows!AG68*AG$4*AG13/100,0)</f>
        <v>1541716.81623474</v>
      </c>
      <c r="AH98" s="10" t="n">
        <f aca="false">MAX(-Flows!AH68*AH$4*AH13/100,0)</f>
        <v>19159808.8134799</v>
      </c>
      <c r="AI98" s="10" t="n">
        <f aca="false">MAX(-Flows!AI68*AI$4*AI13/100,0)</f>
        <v>0</v>
      </c>
      <c r="AJ98" s="10" t="n">
        <f aca="false">MAX(-Flows!AJ68*AJ$4*AJ13/100,0)</f>
        <v>43250705.7208122</v>
      </c>
      <c r="AK98" s="10" t="n">
        <f aca="false">MAX(-Flows!AK68*AK$4*AK13/100,0)</f>
        <v>36093850.733512</v>
      </c>
      <c r="AL98" s="10" t="n">
        <f aca="false">MAX(-Flows!AL68*AL$4*AL13/100,0)</f>
        <v>30711097.8160559</v>
      </c>
      <c r="AM98" s="10" t="n">
        <f aca="false">MAX(-Flows!AM68*AM$4*AM13/100,0)</f>
        <v>9050886.21235776</v>
      </c>
      <c r="AN98" s="10" t="n">
        <f aca="false">MAX(-Flows!AN68*AN$4*AN13/100,0)</f>
        <v>2948608.50237779</v>
      </c>
      <c r="AO98" s="10" t="n">
        <f aca="false">MAX(-Flows!AO68*AO$4*AO13/100,0)</f>
        <v>24937258.3350063</v>
      </c>
      <c r="AP98" s="10" t="n">
        <f aca="false">MAX(-Flows!AP68*AP$4*AP13/100,0)</f>
        <v>43879916.1269631</v>
      </c>
      <c r="AQ98" s="10" t="n">
        <f aca="false">MAX(-Flows!AQ68*AQ$4*AQ13/100,0)</f>
        <v>57533299.011113</v>
      </c>
      <c r="AR98" s="10" t="n">
        <f aca="false">MAX(-Flows!AR68*AR$4*AR13/100,0)</f>
        <v>42529450.2437355</v>
      </c>
      <c r="AS98" s="10" t="n">
        <f aca="false">MAX(-Flows!AS68*AS$4*AS13/100,0)</f>
        <v>8621034.87279547</v>
      </c>
      <c r="AT98" s="10" t="n">
        <f aca="false">MAX(-Flows!AT68*AT$4*AT13/100,0)</f>
        <v>12411484.1631709</v>
      </c>
      <c r="AU98" s="10" t="n">
        <f aca="false">MAX(-Flows!AU68*AU$4*AU13/100,0)</f>
        <v>48660781.2005015</v>
      </c>
      <c r="AV98" s="10" t="n">
        <f aca="false">MAX(-Flows!AV68*AV$4*AV13/100,0)</f>
        <v>74456351.9481397</v>
      </c>
      <c r="AW98" s="10" t="n">
        <f aca="false">MAX(-Flows!AW68*AW$4*AW13/100,0)</f>
        <v>0</v>
      </c>
      <c r="AX98" s="10" t="n">
        <f aca="false">MAX(-Flows!AX68*AX$4*AX13/100,0)</f>
        <v>6528415.17224174</v>
      </c>
      <c r="AY98" s="10" t="n">
        <f aca="false">MAX(-Flows!AY68*AY$4*AY13/100,0)</f>
        <v>0</v>
      </c>
      <c r="AZ98" s="10" t="n">
        <f aca="false">MAX(-Flows!AZ68*AZ$4*AZ13/100,0)</f>
        <v>0</v>
      </c>
      <c r="BA98" s="10" t="n">
        <f aca="false">MAX(-Flows!BA68*BA$4*BA13/100,0)</f>
        <v>0</v>
      </c>
      <c r="BB98" s="10" t="n">
        <f aca="false">MAX(-Flows!BB68*BB$4*BB13/100,0)</f>
        <v>57050597.2583317</v>
      </c>
      <c r="BC98" s="10" t="n">
        <f aca="false">MAX(-Flows!BC68*BC$4*BC13/100,0)</f>
        <v>8782911.84637612</v>
      </c>
      <c r="BD98" s="10" t="n">
        <f aca="false">MAX(-Flows!BD68*BD$4*BD13/100,0)</f>
        <v>1418560.35451155</v>
      </c>
      <c r="BE98" s="10" t="n">
        <f aca="false">MAX(-Flows!BE68*BE$4*BE13/100,0)</f>
        <v>22219961.652416</v>
      </c>
      <c r="BF98" s="10" t="n">
        <f aca="false">MAX(-Flows!BF68*BF$4*BF13/100,0)</f>
        <v>70444420.6260509</v>
      </c>
      <c r="BG98" s="10" t="n">
        <f aca="false">MAX(-Flows!BG68*BG$4*BG13/100,0)</f>
        <v>8678830.65939505</v>
      </c>
      <c r="BH98" s="10" t="n">
        <f aca="false">MAX(-Flows!BH68*BH$4*BH13/100,0)</f>
        <v>17222681.6432142</v>
      </c>
      <c r="BI98" s="10" t="n">
        <f aca="false">MAX(-Flows!BI68*BI$4*BI13/100,0)</f>
        <v>72859190.0433428</v>
      </c>
      <c r="BJ98" s="10" t="n">
        <f aca="false">MAX(-Flows!BJ68*BJ$4*BJ13/100,0)</f>
        <v>72859190.0433428</v>
      </c>
      <c r="BK98" s="10" t="n">
        <f aca="false">MAX(-Flows!BK68*BK$4*BK13/100,0)</f>
        <v>72859190.0433428</v>
      </c>
      <c r="BL98" s="10" t="n">
        <f aca="false">MAX(-Flows!BL68*BL$4*BL13/100,0)</f>
        <v>15046862.0016001</v>
      </c>
      <c r="BM98" s="10" t="n">
        <f aca="false">MAX(-Flows!BM68*BM$4*BM13/100,0)</f>
        <v>15046862.0016001</v>
      </c>
      <c r="BN98" s="10" t="n">
        <f aca="false">MAX(-Flows!BN68*BN$4*BN13/100,0)</f>
        <v>0</v>
      </c>
      <c r="BO98" s="10" t="n">
        <f aca="false">MAX(-Flows!BO68*BO$4*BO13/100,0)</f>
        <v>0</v>
      </c>
      <c r="BP98" s="10" t="n">
        <f aca="false">MAX(-Flows!BP68*BP$4*BP13/100,0)</f>
        <v>0</v>
      </c>
      <c r="BQ98" s="10" t="n">
        <f aca="false">MAX(-Flows!BQ68*BQ$4*BQ13/100,0)</f>
        <v>0</v>
      </c>
      <c r="BR98" s="10" t="n">
        <f aca="false">MAX(-Flows!BR68*BR$4*BR13/100,0)</f>
        <v>0</v>
      </c>
      <c r="BS98" s="10" t="n">
        <f aca="false">MAX(-Flows!BS68*BS$4*BS13/100,0)</f>
        <v>0</v>
      </c>
      <c r="BT98" s="10" t="n">
        <f aca="false">MAX(-Flows!BT68*BT$4*BT13/100,0)</f>
        <v>0</v>
      </c>
      <c r="BU98" s="10" t="n">
        <f aca="false">MAX(-Flows!BU68*BU$4*BU13/100,0)</f>
        <v>0</v>
      </c>
      <c r="BV98" s="10" t="n">
        <f aca="false">MAX(-Flows!BV68*BV$4*BV13/100,0)</f>
        <v>0</v>
      </c>
      <c r="BW98" s="10" t="n">
        <f aca="false">MAX(-Flows!BW68*BW$4*BW13/100,0)</f>
        <v>0</v>
      </c>
      <c r="BX98" s="10" t="n">
        <f aca="false">MAX(-Flows!BX68*BX$4*BX13/100,0)</f>
        <v>30093724.0032002</v>
      </c>
      <c r="BY98" s="10" t="n">
        <f aca="false">MAX(-Flows!BY68*BY$4*BY13/100,0)</f>
        <v>30093724.0032002</v>
      </c>
      <c r="BZ98" s="10" t="n">
        <f aca="false">MAX(-Flows!BZ68*BZ$4*BZ13/100,0)</f>
        <v>94709657.9642011</v>
      </c>
      <c r="CA98" s="10" t="n">
        <f aca="false">MAX(-Flows!CA68*CA$4*CA13/100,0)</f>
        <v>94709657.9642011</v>
      </c>
      <c r="CB98" s="10" t="n">
        <f aca="false">MAX(-Flows!CB68*CB$4*CB13/100,0)</f>
        <v>150468620.016001</v>
      </c>
      <c r="CC98" s="10" t="n">
        <f aca="false">MAX(-Flows!CC68*CC$4*CC13/100,0)</f>
        <v>3642959.50216714</v>
      </c>
      <c r="CD98" s="10" t="n">
        <f aca="false">MAX(-Flows!CD68*CD$4*CD13/100,0)</f>
        <v>0</v>
      </c>
      <c r="CE98" s="10" t="n">
        <f aca="false">MAX(-Flows!CE68*CE$4*CE13/100,0)</f>
        <v>3642959.50216714</v>
      </c>
      <c r="CF98" s="10" t="n">
        <f aca="false">MAX(-Flows!CF68*CF$4*CF13/100,0)</f>
        <v>13600741.9737802</v>
      </c>
      <c r="CG98" s="10" t="n">
        <f aca="false">MAX(-Flows!CG68*CG$4*CG13/100,0)</f>
        <v>0</v>
      </c>
      <c r="CH98" s="10" t="n">
        <f aca="false">MAX(-Flows!CH68*CH$4*CH13/100,0)</f>
        <v>0</v>
      </c>
      <c r="CI98" s="10" t="n">
        <f aca="false">MAX(-Flows!CI68*CI$4*CI13/100,0)</f>
        <v>75234310.0080004</v>
      </c>
      <c r="CJ98" s="10" t="n">
        <f aca="false">MAX(-Flows!CJ68*CJ$4*CJ13/100,0)</f>
        <v>7523431.00080004</v>
      </c>
      <c r="CK98" s="10" t="n">
        <f aca="false">MAX(-Flows!CK68*CK$4*CK13/100,0)</f>
        <v>7523431.00080004</v>
      </c>
      <c r="CL98" s="7" t="s">
        <v>322</v>
      </c>
      <c r="CM98" s="10" t="n">
        <f aca="false">-CM38</f>
        <v>450241968.695631</v>
      </c>
      <c r="CN98" s="10" t="n">
        <f aca="false">-CN38</f>
        <v>385046816.650809</v>
      </c>
      <c r="CO98" s="10" t="n">
        <f aca="false">-CO38</f>
        <v>1067246077.95223</v>
      </c>
      <c r="CP98" s="10" t="n">
        <f aca="false">-CP38</f>
        <v>139718239.660503</v>
      </c>
      <c r="CQ98" s="10" t="n">
        <f aca="false">-CQ38</f>
        <v>472685635.311984</v>
      </c>
      <c r="CR98" s="10" t="n">
        <f aca="false">-CR38</f>
        <v>54065089.9451375</v>
      </c>
      <c r="CS98" s="10" t="n">
        <f aca="false">-CS38</f>
        <v>88626951.7590648</v>
      </c>
      <c r="CT98" s="10" t="n">
        <f aca="false">-CT38</f>
        <v>28647603.9753802</v>
      </c>
      <c r="CU98" s="10" t="n">
        <f aca="false">-CU38</f>
        <v>-43427208.9370532</v>
      </c>
      <c r="CV98" s="10" t="n">
        <f aca="false">-CV38</f>
        <v>729894.58381726</v>
      </c>
      <c r="CX98" s="0" t="str">
        <f aca="false">INDEX($C$1:$CK$1,MATCH(LARGE($C98:$CK98,1),$C98:$CK98,0))</f>
        <v>Sauce (lb)</v>
      </c>
      <c r="CY98" s="0" t="str">
        <f aca="false">INDEX($C$1:$CK$1,MATCH(LARGE($C98:$CK98,2),$C98:$CK98,0))</f>
        <v>Veg Oil (lb)</v>
      </c>
      <c r="CZ98" s="0" t="str">
        <f aca="false">INDEX($C$1:$CK$1,MATCH(LARGE($C98:$CK98,3),$C98:$CK98,0))</f>
        <v>Veg Oil (lb)</v>
      </c>
      <c r="DA98" s="23" t="s">
        <v>401</v>
      </c>
      <c r="DB98" s="0" t="str">
        <f aca="false">INDEX($C$1:$CK$1,MATCH(LARGE($C98:$CK98,5),$C98:$CK98,0))</f>
        <v>Cider (gal)</v>
      </c>
      <c r="DD98" s="0" t="str">
        <f aca="false">IF(LARGE($CM98:$CV98,1)&gt;0,INDEX($CM$30:$CV$30,MATCH(LARGE($CM98:$CV98,1),$CM98:$CV98,0)),"N/A")</f>
        <v>Food Prod</v>
      </c>
      <c r="DE98" s="0" t="str">
        <f aca="false">IF(LARGE($CM98:$CV98,2)&gt;0,INDEX($CM$30:$CV$30,MATCH(LARGE($CM98:$CV98,2),$CM98:$CV98,0)),"N/A")</f>
        <v>Tools</v>
      </c>
      <c r="DF98" s="0" t="str">
        <f aca="false">IF(LARGE($CM98:$CV98,3)&gt;0,INDEX($CM$30:$CV$30,MATCH(LARGE($CM98:$CV98,3),$CM98:$CV98,0)),"N/A")</f>
        <v>Produce</v>
      </c>
      <c r="DG98" s="0" t="str">
        <f aca="false">IF(LARGE($CM98:$CV98,4)&gt;0,INDEX($CM$30:$CV$30,MATCH(LARGE($CM98:$CV98,4),$CM98:$CV98,0)),"N/A")</f>
        <v>Animal</v>
      </c>
      <c r="DH98" s="0" t="str">
        <f aca="false">IF(LARGE($CM98:$CV98,5)&gt;0,INDEX($CM$30:$CV$30,MATCH(LARGE($CM98:$CV98,5),$CM98:$CV98,0)),"N/A")</f>
        <v>Textile</v>
      </c>
    </row>
    <row r="99" customFormat="false" ht="12.8" hidden="false" customHeight="false" outlineLevel="0" collapsed="false">
      <c r="A99" s="7" t="s">
        <v>143</v>
      </c>
      <c r="B99" s="7" t="s">
        <v>39</v>
      </c>
      <c r="C99" s="10" t="n">
        <f aca="false">MAX(-Flows!C69*C$4*C14/100,0)</f>
        <v>0</v>
      </c>
      <c r="D99" s="10" t="n">
        <f aca="false">MAX(-Flows!D69*D$4*D14/100,0)</f>
        <v>0</v>
      </c>
      <c r="E99" s="10" t="n">
        <f aca="false">MAX(-Flows!E69*E$4*E14/100,0)</f>
        <v>0</v>
      </c>
      <c r="F99" s="10" t="n">
        <f aca="false">MAX(-Flows!F69*F$4*F14/100,0)</f>
        <v>0</v>
      </c>
      <c r="G99" s="10" t="n">
        <f aca="false">MAX(-Flows!G69*G$4*G14/100,0)</f>
        <v>0</v>
      </c>
      <c r="H99" s="10" t="n">
        <f aca="false">MAX(-Flows!H69*H$4*H14/100,0)</f>
        <v>0</v>
      </c>
      <c r="I99" s="10" t="n">
        <f aca="false">MAX(-Flows!I69*I$4*I14/100,0)</f>
        <v>0</v>
      </c>
      <c r="J99" s="10" t="n">
        <f aca="false">MAX(-Flows!J69*J$4*J14/100,0)</f>
        <v>416208.389323007</v>
      </c>
      <c r="K99" s="10" t="n">
        <f aca="false">MAX(-Flows!K69*K$4*K14/100,0)</f>
        <v>0</v>
      </c>
      <c r="L99" s="10" t="n">
        <f aca="false">MAX(-Flows!L69*L$4*L14/100,0)</f>
        <v>0</v>
      </c>
      <c r="M99" s="10" t="n">
        <f aca="false">MAX(-Flows!M69*M$4*M14/100,0)</f>
        <v>0</v>
      </c>
      <c r="N99" s="10" t="n">
        <f aca="false">MAX(-Flows!N69*N$4*N14/100,0)</f>
        <v>0</v>
      </c>
      <c r="O99" s="10" t="n">
        <f aca="false">MAX(-Flows!O69*O$4*O14/100,0)</f>
        <v>0</v>
      </c>
      <c r="P99" s="10" t="n">
        <f aca="false">MAX(-Flows!P69*P$4*P14/100,0)</f>
        <v>0</v>
      </c>
      <c r="Q99" s="10" t="n">
        <f aca="false">MAX(-Flows!Q69*Q$4*Q14/100,0)</f>
        <v>0</v>
      </c>
      <c r="R99" s="10" t="n">
        <f aca="false">MAX(-Flows!R69*R$4*R14/100,0)</f>
        <v>0</v>
      </c>
      <c r="S99" s="10" t="n">
        <f aca="false">MAX(-Flows!S69*S$4*S14/100,0)</f>
        <v>0</v>
      </c>
      <c r="T99" s="10" t="n">
        <f aca="false">MAX(-Flows!T69*T$4*T14/100,0)</f>
        <v>0</v>
      </c>
      <c r="U99" s="10" t="n">
        <f aca="false">MAX(-Flows!U69*U$4*U14/100,0)</f>
        <v>0</v>
      </c>
      <c r="V99" s="10" t="n">
        <f aca="false">MAX(-Flows!V69*V$4*V14/100,0)</f>
        <v>0</v>
      </c>
      <c r="W99" s="10" t="n">
        <f aca="false">MAX(-Flows!W69*W$4*W14/100,0)</f>
        <v>0</v>
      </c>
      <c r="X99" s="10" t="n">
        <f aca="false">MAX(-Flows!X69*X$4*X14/100,0)</f>
        <v>0</v>
      </c>
      <c r="Y99" s="10" t="n">
        <f aca="false">MAX(-Flows!Y69*Y$4*Y14/100,0)</f>
        <v>0</v>
      </c>
      <c r="Z99" s="10" t="n">
        <f aca="false">MAX(-Flows!Z69*Z$4*Z14/100,0)</f>
        <v>0</v>
      </c>
      <c r="AA99" s="10" t="n">
        <f aca="false">MAX(-Flows!AA69*AA$4*AA14/100,0)</f>
        <v>0</v>
      </c>
      <c r="AB99" s="10" t="n">
        <f aca="false">MAX(-Flows!AB69*AB$4*AB14/100,0)</f>
        <v>0</v>
      </c>
      <c r="AC99" s="10" t="n">
        <f aca="false">MAX(-Flows!AC69*AC$4*AC14/100,0)</f>
        <v>173446.89179997</v>
      </c>
      <c r="AD99" s="10" t="n">
        <f aca="false">MAX(-Flows!AD69*AD$4*AD14/100,0)</f>
        <v>0</v>
      </c>
      <c r="AE99" s="10" t="n">
        <f aca="false">MAX(-Flows!AE69*AE$4*AE14/100,0)</f>
        <v>2384.00330030741</v>
      </c>
      <c r="AF99" s="10" t="n">
        <f aca="false">MAX(-Flows!AF69*AF$4*AF14/100,0)</f>
        <v>0</v>
      </c>
      <c r="AG99" s="10" t="n">
        <f aca="false">MAX(-Flows!AG69*AG$4*AG14/100,0)</f>
        <v>0</v>
      </c>
      <c r="AH99" s="10" t="n">
        <f aca="false">MAX(-Flows!AH69*AH$4*AH14/100,0)</f>
        <v>0</v>
      </c>
      <c r="AI99" s="10" t="n">
        <f aca="false">MAX(-Flows!AI69*AI$4*AI14/100,0)</f>
        <v>0</v>
      </c>
      <c r="AJ99" s="10" t="n">
        <f aca="false">MAX(-Flows!AJ69*AJ$4*AJ14/100,0)</f>
        <v>0</v>
      </c>
      <c r="AK99" s="10" t="n">
        <f aca="false">MAX(-Flows!AK69*AK$4*AK14/100,0)</f>
        <v>0</v>
      </c>
      <c r="AL99" s="10" t="n">
        <f aca="false">MAX(-Flows!AL69*AL$4*AL14/100,0)</f>
        <v>0</v>
      </c>
      <c r="AM99" s="10" t="n">
        <f aca="false">MAX(-Flows!AM69*AM$4*AM14/100,0)</f>
        <v>0</v>
      </c>
      <c r="AN99" s="10" t="n">
        <f aca="false">MAX(-Flows!AN69*AN$4*AN14/100,0)</f>
        <v>3199603.13550392</v>
      </c>
      <c r="AO99" s="10" t="n">
        <f aca="false">MAX(-Flows!AO69*AO$4*AO14/100,0)</f>
        <v>0</v>
      </c>
      <c r="AP99" s="10" t="n">
        <f aca="false">MAX(-Flows!AP69*AP$4*AP14/100,0)</f>
        <v>0</v>
      </c>
      <c r="AQ99" s="10" t="n">
        <f aca="false">MAX(-Flows!AQ69*AQ$4*AQ14/100,0)</f>
        <v>0</v>
      </c>
      <c r="AR99" s="10" t="n">
        <f aca="false">MAX(-Flows!AR69*AR$4*AR14/100,0)</f>
        <v>2236615.07923767</v>
      </c>
      <c r="AS99" s="10" t="n">
        <f aca="false">MAX(-Flows!AS69*AS$4*AS14/100,0)</f>
        <v>0</v>
      </c>
      <c r="AT99" s="10" t="n">
        <f aca="false">MAX(-Flows!AT69*AT$4*AT14/100,0)</f>
        <v>0</v>
      </c>
      <c r="AU99" s="10" t="n">
        <f aca="false">MAX(-Flows!AU69*AU$4*AU14/100,0)</f>
        <v>0</v>
      </c>
      <c r="AV99" s="10" t="n">
        <f aca="false">MAX(-Flows!AV69*AV$4*AV14/100,0)</f>
        <v>0</v>
      </c>
      <c r="AW99" s="10" t="n">
        <f aca="false">MAX(-Flows!AW69*AW$4*AW14/100,0)</f>
        <v>3199885.55945522</v>
      </c>
      <c r="AX99" s="10" t="n">
        <f aca="false">MAX(-Flows!AX69*AX$4*AX14/100,0)</f>
        <v>0</v>
      </c>
      <c r="AY99" s="10" t="n">
        <f aca="false">MAX(-Flows!AY69*AY$4*AY14/100,0)</f>
        <v>1029363.22802229</v>
      </c>
      <c r="AZ99" s="10" t="n">
        <f aca="false">MAX(-Flows!AZ69*AZ$4*AZ14/100,0)</f>
        <v>0</v>
      </c>
      <c r="BA99" s="10" t="n">
        <f aca="false">MAX(-Flows!BA69*BA$4*BA14/100,0)</f>
        <v>0</v>
      </c>
      <c r="BB99" s="10" t="n">
        <f aca="false">MAX(-Flows!BB69*BB$4*BB14/100,0)</f>
        <v>0</v>
      </c>
      <c r="BC99" s="10" t="n">
        <f aca="false">MAX(-Flows!BC69*BC$4*BC14/100,0)</f>
        <v>0</v>
      </c>
      <c r="BD99" s="10" t="n">
        <f aca="false">MAX(-Flows!BD69*BD$4*BD14/100,0)</f>
        <v>0</v>
      </c>
      <c r="BE99" s="10" t="n">
        <f aca="false">MAX(-Flows!BE69*BE$4*BE14/100,0)</f>
        <v>0</v>
      </c>
      <c r="BF99" s="10" t="n">
        <f aca="false">MAX(-Flows!BF69*BF$4*BF14/100,0)</f>
        <v>0</v>
      </c>
      <c r="BG99" s="10" t="n">
        <f aca="false">MAX(-Flows!BG69*BG$4*BG14/100,0)</f>
        <v>0</v>
      </c>
      <c r="BH99" s="10" t="n">
        <f aca="false">MAX(-Flows!BH69*BH$4*BH14/100,0)</f>
        <v>0</v>
      </c>
      <c r="BI99" s="10" t="n">
        <f aca="false">MAX(-Flows!BI69*BI$4*BI14/100,0)</f>
        <v>0</v>
      </c>
      <c r="BJ99" s="10" t="n">
        <f aca="false">MAX(-Flows!BJ69*BJ$4*BJ14/100,0)</f>
        <v>0</v>
      </c>
      <c r="BK99" s="10" t="n">
        <f aca="false">MAX(-Flows!BK69*BK$4*BK14/100,0)</f>
        <v>0</v>
      </c>
      <c r="BL99" s="10" t="n">
        <f aca="false">MAX(-Flows!BL69*BL$4*BL14/100,0)</f>
        <v>0</v>
      </c>
      <c r="BM99" s="10" t="n">
        <f aca="false">MAX(-Flows!BM69*BM$4*BM14/100,0)</f>
        <v>0</v>
      </c>
      <c r="BN99" s="10" t="n">
        <f aca="false">MAX(-Flows!BN69*BN$4*BN14/100,0)</f>
        <v>0</v>
      </c>
      <c r="BO99" s="10" t="n">
        <f aca="false">MAX(-Flows!BO69*BO$4*BO14/100,0)</f>
        <v>13282601509089</v>
      </c>
      <c r="BP99" s="10" t="n">
        <f aca="false">MAX(-Flows!BP69*BP$4*BP14/100,0)</f>
        <v>6198547632439370</v>
      </c>
      <c r="BQ99" s="10" t="n">
        <f aca="false">MAX(-Flows!BQ69*BQ$4*BQ14/100,0)</f>
        <v>0</v>
      </c>
      <c r="BR99" s="10" t="n">
        <f aca="false">MAX(-Flows!BR69*BR$4*BR14/100,0)</f>
        <v>4427533459516.95</v>
      </c>
      <c r="BS99" s="10" t="n">
        <f aca="false">MAX(-Flows!BS69*BS$4*BS14/100,0)</f>
        <v>2213766447123.94</v>
      </c>
      <c r="BT99" s="10" t="n">
        <f aca="false">MAX(-Flows!BT69*BT$4*BT14/100,0)</f>
        <v>0</v>
      </c>
      <c r="BU99" s="10" t="n">
        <f aca="false">MAX(-Flows!BU69*BU$4*BU14/100,0)</f>
        <v>0</v>
      </c>
      <c r="BV99" s="10" t="n">
        <f aca="false">MAX(-Flows!BV69*BV$4*BV14/100,0)</f>
        <v>0</v>
      </c>
      <c r="BW99" s="10" t="n">
        <f aca="false">MAX(-Flows!BW69*BW$4*BW14/100,0)</f>
        <v>0</v>
      </c>
      <c r="BX99" s="10" t="n">
        <f aca="false">MAX(-Flows!BX69*BX$4*BX14/100,0)</f>
        <v>0</v>
      </c>
      <c r="BY99" s="10" t="n">
        <f aca="false">MAX(-Flows!BY69*BY$4*BY14/100,0)</f>
        <v>0</v>
      </c>
      <c r="BZ99" s="10" t="n">
        <f aca="false">MAX(-Flows!BZ69*BZ$4*BZ14/100,0)</f>
        <v>0</v>
      </c>
      <c r="CA99" s="10" t="n">
        <f aca="false">MAX(-Flows!CA69*CA$4*CA14/100,0)</f>
        <v>0</v>
      </c>
      <c r="CB99" s="10" t="n">
        <f aca="false">MAX(-Flows!CB69*CB$4*CB14/100,0)</f>
        <v>0</v>
      </c>
      <c r="CC99" s="10" t="n">
        <f aca="false">MAX(-Flows!CC69*CC$4*CC14/100,0)</f>
        <v>0</v>
      </c>
      <c r="CD99" s="10" t="n">
        <f aca="false">MAX(-Flows!CD69*CD$4*CD14/100,0)</f>
        <v>0</v>
      </c>
      <c r="CE99" s="10" t="n">
        <f aca="false">MAX(-Flows!CE69*CE$4*CE14/100,0)</f>
        <v>0</v>
      </c>
      <c r="CF99" s="10" t="n">
        <f aca="false">MAX(-Flows!CF69*CF$4*CF14/100,0)</f>
        <v>0</v>
      </c>
      <c r="CG99" s="10" t="n">
        <f aca="false">MAX(-Flows!CG69*CG$4*CG14/100,0)</f>
        <v>66412445102.7113</v>
      </c>
      <c r="CH99" s="10" t="n">
        <f aca="false">MAX(-Flows!CH69*CH$4*CH14/100,0)</f>
        <v>66412445102.7113</v>
      </c>
      <c r="CI99" s="10" t="n">
        <f aca="false">MAX(-Flows!CI69*CI$4*CI14/100,0)</f>
        <v>0</v>
      </c>
      <c r="CJ99" s="10" t="n">
        <f aca="false">MAX(-Flows!CJ69*CJ$4*CJ14/100,0)</f>
        <v>0</v>
      </c>
      <c r="CK99" s="10" t="n">
        <f aca="false">MAX(-Flows!CK69*CK$4*CK14/100,0)</f>
        <v>0</v>
      </c>
      <c r="CL99" s="7" t="s">
        <v>322</v>
      </c>
      <c r="CM99" s="10" t="n">
        <f aca="false">-CM39</f>
        <v>-116818881.641476</v>
      </c>
      <c r="CN99" s="10" t="n">
        <f aca="false">-CN39</f>
        <v>-57089214.8327139</v>
      </c>
      <c r="CO99" s="10" t="n">
        <f aca="false">-CO39</f>
        <v>-141756785.574654</v>
      </c>
      <c r="CP99" s="10" t="n">
        <f aca="false">-CP39</f>
        <v>-19761606.1328001</v>
      </c>
      <c r="CQ99" s="10" t="n">
        <f aca="false">-CQ39</f>
        <v>-88363244.751612</v>
      </c>
      <c r="CR99" s="10" t="n">
        <f aca="false">-CR39</f>
        <v>6218604320736950</v>
      </c>
      <c r="CS99" s="10" t="n">
        <f aca="false">-CS39</f>
        <v>-15714015.7147787</v>
      </c>
      <c r="CT99" s="10" t="n">
        <f aca="false">-CT39</f>
        <v>-3870575.60607189</v>
      </c>
      <c r="CU99" s="10" t="n">
        <f aca="false">-CU39</f>
        <v>-37556148.8685319</v>
      </c>
      <c r="CV99" s="10" t="n">
        <f aca="false">-CV39</f>
        <v>-299355.927305</v>
      </c>
      <c r="CX99" s="0" t="str">
        <f aca="false">INDEX($C$1:$CK$1,MATCH(LARGE($C99:$CK99,1),$C99:$CK99,0))</f>
        <v>Iron (lb)</v>
      </c>
      <c r="CY99" s="0" t="str">
        <f aca="false">INDEX($C$1:$CK$1,MATCH(LARGE($C99:$CK99,2),$C99:$CK99,0))</f>
        <v>Cu (lb)</v>
      </c>
      <c r="CZ99" s="0" t="str">
        <f aca="false">INDEX($C$1:$CK$1,MATCH(LARGE($C99:$CK99,3),$C99:$CK99,0))</f>
        <v>Ag (lb)</v>
      </c>
      <c r="DA99" s="0" t="str">
        <f aca="false">INDEX($C$1:$CK$1,MATCH(LARGE($C99:$CK99,4),$C99:$CK99,0))</f>
        <v>Au (lb)</v>
      </c>
      <c r="DB99" s="0" t="str">
        <f aca="false">INDEX($C$1:$CK$1,MATCH(LARGE($C99:$CK99,5),$C99:$CK99,0))</f>
        <v>Diamonds (lb)</v>
      </c>
      <c r="DD99" s="0" t="str">
        <f aca="false">IF(LARGE($CM99:$CV99,1)&gt;0,INDEX($CM$30:$CV$30,MATCH(LARGE($CM99:$CV99,1),$CM99:$CV99,0)),"N/A")</f>
        <v>Mineral</v>
      </c>
      <c r="DE99" s="0" t="str">
        <f aca="false">IF(LARGE($CM99:$CV99,2)&gt;0,INDEX($CM$30:$CV$30,MATCH(LARGE($CM99:$CV99,2),$CM99:$CV99,0)),"N/A")</f>
        <v>N/A</v>
      </c>
      <c r="DF99" s="0" t="str">
        <f aca="false">IF(LARGE($CM99:$CV99,3)&gt;0,INDEX($CM$30:$CV$30,MATCH(LARGE($CM99:$CV99,3),$CM99:$CV99,0)),"N/A")</f>
        <v>N/A</v>
      </c>
      <c r="DG99" s="0" t="str">
        <f aca="false">IF(LARGE($CM99:$CV99,4)&gt;0,INDEX($CM$30:$CV$30,MATCH(LARGE($CM99:$CV99,4),$CM99:$CV99,0)),"N/A")</f>
        <v>N/A</v>
      </c>
      <c r="DH99" s="0" t="str">
        <f aca="false">IF(LARGE($CM99:$CV99,5)&gt;0,INDEX($CM$30:$CV$30,MATCH(LARGE($CM99:$CV99,5),$CM99:$CV99,0)),"N/A")</f>
        <v>N/A</v>
      </c>
    </row>
    <row r="100" customFormat="false" ht="12.8" hidden="false" customHeight="false" outlineLevel="0" collapsed="false">
      <c r="A100" s="7" t="s">
        <v>144</v>
      </c>
      <c r="B100" s="7" t="s">
        <v>39</v>
      </c>
      <c r="C100" s="10" t="n">
        <f aca="false">MAX(-Flows!C70*C$4*C15/100,0)</f>
        <v>62657942.2987429</v>
      </c>
      <c r="D100" s="10" t="n">
        <f aca="false">MAX(-Flows!D70*D$4*D15/100,0)</f>
        <v>117553816.264327</v>
      </c>
      <c r="E100" s="10" t="n">
        <f aca="false">MAX(-Flows!E70*E$4*E15/100,0)</f>
        <v>25205279.0095149</v>
      </c>
      <c r="F100" s="10" t="n">
        <f aca="false">MAX(-Flows!F70*F$4*F15/100,0)</f>
        <v>0</v>
      </c>
      <c r="G100" s="10" t="n">
        <f aca="false">MAX(-Flows!G70*G$4*G15/100,0)</f>
        <v>136118799.437428</v>
      </c>
      <c r="H100" s="10" t="n">
        <f aca="false">MAX(-Flows!H70*H$4*H15/100,0)</f>
        <v>0</v>
      </c>
      <c r="I100" s="10" t="n">
        <f aca="false">MAX(-Flows!I70*I$4*I15/100,0)</f>
        <v>0</v>
      </c>
      <c r="J100" s="10" t="n">
        <f aca="false">MAX(-Flows!J70*J$4*J15/100,0)</f>
        <v>3491394.43347423</v>
      </c>
      <c r="K100" s="10" t="n">
        <f aca="false">MAX(-Flows!K70*K$4*K15/100,0)</f>
        <v>0</v>
      </c>
      <c r="L100" s="10" t="n">
        <f aca="false">MAX(-Flows!L70*L$4*L15/100,0)</f>
        <v>0</v>
      </c>
      <c r="M100" s="10" t="n">
        <f aca="false">MAX(-Flows!M70*M$4*M15/100,0)</f>
        <v>0</v>
      </c>
      <c r="N100" s="10" t="n">
        <f aca="false">MAX(-Flows!N70*N$4*N15/100,0)</f>
        <v>89482853.2633614</v>
      </c>
      <c r="O100" s="10" t="n">
        <f aca="false">MAX(-Flows!O70*O$4*O15/100,0)</f>
        <v>0</v>
      </c>
      <c r="P100" s="10" t="n">
        <f aca="false">MAX(-Flows!P70*P$4*P15/100,0)</f>
        <v>0</v>
      </c>
      <c r="Q100" s="10" t="n">
        <f aca="false">MAX(-Flows!Q70*Q$4*Q15/100,0)</f>
        <v>113845921.89333</v>
      </c>
      <c r="R100" s="10" t="n">
        <f aca="false">MAX(-Flows!R70*R$4*R15/100,0)</f>
        <v>52102753.353867</v>
      </c>
      <c r="S100" s="10" t="n">
        <f aca="false">MAX(-Flows!S70*S$4*S15/100,0)</f>
        <v>0</v>
      </c>
      <c r="T100" s="10" t="n">
        <f aca="false">MAX(-Flows!T70*T$4*T15/100,0)</f>
        <v>0</v>
      </c>
      <c r="U100" s="10" t="n">
        <f aca="false">MAX(-Flows!U70*U$4*U15/100,0)</f>
        <v>0</v>
      </c>
      <c r="V100" s="10" t="n">
        <f aca="false">MAX(-Flows!V70*V$4*V15/100,0)</f>
        <v>357918370.307406</v>
      </c>
      <c r="W100" s="10" t="n">
        <f aca="false">MAX(-Flows!W70*W$4*W15/100,0)</f>
        <v>320615735.859094</v>
      </c>
      <c r="X100" s="10" t="n">
        <f aca="false">MAX(-Flows!X70*X$4*X15/100,0)</f>
        <v>83973234.22185</v>
      </c>
      <c r="Y100" s="10" t="n">
        <f aca="false">MAX(-Flows!Y70*Y$4*Y15/100,0)</f>
        <v>0</v>
      </c>
      <c r="Z100" s="10" t="n">
        <f aca="false">MAX(-Flows!Z70*Z$4*Z15/100,0)</f>
        <v>13855127.7561718</v>
      </c>
      <c r="AA100" s="10" t="n">
        <f aca="false">MAX(-Flows!AA70*AA$4*AA15/100,0)</f>
        <v>41583.75387138</v>
      </c>
      <c r="AB100" s="10" t="n">
        <f aca="false">MAX(-Flows!AB70*AB$4*AB15/100,0)</f>
        <v>265171.920933906</v>
      </c>
      <c r="AC100" s="10" t="n">
        <f aca="false">MAX(-Flows!AC70*AC$4*AC15/100,0)</f>
        <v>0</v>
      </c>
      <c r="AD100" s="10" t="n">
        <f aca="false">MAX(-Flows!AD70*AD$4*AD15/100,0)</f>
        <v>132585.960466953</v>
      </c>
      <c r="AE100" s="10" t="n">
        <f aca="false">MAX(-Flows!AE70*AE$4*AE15/100,0)</f>
        <v>1176484.97915201</v>
      </c>
      <c r="AF100" s="10" t="n">
        <f aca="false">MAX(-Flows!AF70*AF$4*AF15/100,0)</f>
        <v>10788887.6199435</v>
      </c>
      <c r="AG100" s="10" t="n">
        <f aca="false">MAX(-Flows!AG70*AG$4*AG15/100,0)</f>
        <v>4055110.12036587</v>
      </c>
      <c r="AH100" s="10" t="n">
        <f aca="false">MAX(-Flows!AH70*AH$4*AH15/100,0)</f>
        <v>0</v>
      </c>
      <c r="AI100" s="10" t="n">
        <f aca="false">MAX(-Flows!AI70*AI$4*AI15/100,0)</f>
        <v>33388398.9882984</v>
      </c>
      <c r="AJ100" s="10" t="n">
        <f aca="false">MAX(-Flows!AJ70*AJ$4*AJ15/100,0)</f>
        <v>8852394.87279104</v>
      </c>
      <c r="AK100" s="10" t="n">
        <f aca="false">MAX(-Flows!AK70*AK$4*AK15/100,0)</f>
        <v>29084203.3133852</v>
      </c>
      <c r="AL100" s="10" t="n">
        <f aca="false">MAX(-Flows!AL70*AL$4*AL15/100,0)</f>
        <v>49298339.3111919</v>
      </c>
      <c r="AM100" s="10" t="n">
        <f aca="false">MAX(-Flows!AM70*AM$4*AM15/100,0)</f>
        <v>38039183.3705474</v>
      </c>
      <c r="AN100" s="10" t="n">
        <f aca="false">MAX(-Flows!AN70*AN$4*AN15/100,0)</f>
        <v>37011656.4212068</v>
      </c>
      <c r="AO100" s="10" t="n">
        <f aca="false">MAX(-Flows!AO70*AO$4*AO15/100,0)</f>
        <v>44013597.8970766</v>
      </c>
      <c r="AP100" s="10" t="n">
        <f aca="false">MAX(-Flows!AP70*AP$4*AP15/100,0)</f>
        <v>35099574.2962636</v>
      </c>
      <c r="AQ100" s="10" t="n">
        <f aca="false">MAX(-Flows!AQ70*AQ$4*AQ15/100,0)</f>
        <v>0</v>
      </c>
      <c r="AR100" s="10" t="n">
        <f aca="false">MAX(-Flows!AR70*AR$4*AR15/100,0)</f>
        <v>703778.370993395</v>
      </c>
      <c r="AS100" s="10" t="n">
        <f aca="false">MAX(-Flows!AS70*AS$4*AS15/100,0)</f>
        <v>14315211.3580015</v>
      </c>
      <c r="AT100" s="10" t="n">
        <f aca="false">MAX(-Flows!AT70*AT$4*AT15/100,0)</f>
        <v>15230163.6889239</v>
      </c>
      <c r="AU100" s="10" t="n">
        <f aca="false">MAX(-Flows!AU70*AU$4*AU15/100,0)</f>
        <v>25568255.3179339</v>
      </c>
      <c r="AV100" s="10" t="n">
        <f aca="false">MAX(-Flows!AV70*AV$4*AV15/100,0)</f>
        <v>0</v>
      </c>
      <c r="AW100" s="10" t="n">
        <f aca="false">MAX(-Flows!AW70*AW$4*AW15/100,0)</f>
        <v>0</v>
      </c>
      <c r="AX100" s="10" t="n">
        <f aca="false">MAX(-Flows!AX70*AX$4*AX15/100,0)</f>
        <v>4629800.94454591</v>
      </c>
      <c r="AY100" s="10" t="n">
        <f aca="false">MAX(-Flows!AY70*AY$4*AY15/100,0)</f>
        <v>0</v>
      </c>
      <c r="AZ100" s="10" t="n">
        <f aca="false">MAX(-Flows!AZ70*AZ$4*AZ15/100,0)</f>
        <v>0</v>
      </c>
      <c r="BA100" s="10" t="n">
        <f aca="false">MAX(-Flows!BA70*BA$4*BA15/100,0)</f>
        <v>0</v>
      </c>
      <c r="BB100" s="10" t="n">
        <f aca="false">MAX(-Flows!BB70*BB$4*BB15/100,0)</f>
        <v>0</v>
      </c>
      <c r="BC100" s="10" t="n">
        <f aca="false">MAX(-Flows!BC70*BC$4*BC15/100,0)</f>
        <v>14570313.3100449</v>
      </c>
      <c r="BD100" s="10" t="n">
        <f aca="false">MAX(-Flows!BD70*BD$4*BD15/100,0)</f>
        <v>17715368.3771183</v>
      </c>
      <c r="BE100" s="10" t="n">
        <f aca="false">MAX(-Flows!BE70*BE$4*BE15/100,0)</f>
        <v>7045437.68608886</v>
      </c>
      <c r="BF100" s="10" t="n">
        <f aca="false">MAX(-Flows!BF70*BF$4*BF15/100,0)</f>
        <v>9463551.52157231</v>
      </c>
      <c r="BG100" s="10" t="n">
        <f aca="false">MAX(-Flows!BG70*BG$4*BG15/100,0)</f>
        <v>11836382.3060994</v>
      </c>
      <c r="BH100" s="10" t="n">
        <f aca="false">MAX(-Flows!BH70*BH$4*BH15/100,0)</f>
        <v>16917963.4860605</v>
      </c>
      <c r="BI100" s="10" t="n">
        <f aca="false">MAX(-Flows!BI70*BI$4*BI15/100,0)</f>
        <v>67027430.723451</v>
      </c>
      <c r="BJ100" s="10" t="n">
        <f aca="false">MAX(-Flows!BJ70*BJ$4*BJ15/100,0)</f>
        <v>67027430.723451</v>
      </c>
      <c r="BK100" s="10" t="n">
        <f aca="false">MAX(-Flows!BK70*BK$4*BK15/100,0)</f>
        <v>67027430.723451</v>
      </c>
      <c r="BL100" s="10" t="n">
        <f aca="false">MAX(-Flows!BL70*BL$4*BL15/100,0)</f>
        <v>11384592.189333</v>
      </c>
      <c r="BM100" s="10" t="n">
        <f aca="false">MAX(-Flows!BM70*BM$4*BM15/100,0)</f>
        <v>11384592.189333</v>
      </c>
      <c r="BN100" s="10" t="n">
        <f aca="false">MAX(-Flows!BN70*BN$4*BN15/100,0)</f>
        <v>0</v>
      </c>
      <c r="BO100" s="10" t="n">
        <f aca="false">MAX(-Flows!BO70*BO$4*BO15/100,0)</f>
        <v>0</v>
      </c>
      <c r="BP100" s="10" t="n">
        <f aca="false">MAX(-Flows!BP70*BP$4*BP15/100,0)</f>
        <v>0</v>
      </c>
      <c r="BQ100" s="10" t="n">
        <f aca="false">MAX(-Flows!BQ70*BQ$4*BQ15/100,0)</f>
        <v>0</v>
      </c>
      <c r="BR100" s="10" t="n">
        <f aca="false">MAX(-Flows!BR70*BR$4*BR15/100,0)</f>
        <v>0</v>
      </c>
      <c r="BS100" s="10" t="n">
        <f aca="false">MAX(-Flows!BS70*BS$4*BS15/100,0)</f>
        <v>0</v>
      </c>
      <c r="BT100" s="10" t="n">
        <f aca="false">MAX(-Flows!BT70*BT$4*BT15/100,0)</f>
        <v>0</v>
      </c>
      <c r="BU100" s="10" t="n">
        <f aca="false">MAX(-Flows!BU70*BU$4*BU15/100,0)</f>
        <v>0</v>
      </c>
      <c r="BV100" s="10" t="n">
        <f aca="false">MAX(-Flows!BV70*BV$4*BV15/100,0)</f>
        <v>0</v>
      </c>
      <c r="BW100" s="10" t="n">
        <f aca="false">MAX(-Flows!BW70*BW$4*BW15/100,0)</f>
        <v>0</v>
      </c>
      <c r="BX100" s="10" t="n">
        <f aca="false">MAX(-Flows!BX70*BX$4*BX15/100,0)</f>
        <v>22769184.378666</v>
      </c>
      <c r="BY100" s="10" t="n">
        <f aca="false">MAX(-Flows!BY70*BY$4*BY15/100,0)</f>
        <v>22769184.378666</v>
      </c>
      <c r="BZ100" s="10" t="n">
        <f aca="false">MAX(-Flows!BZ70*BZ$4*BZ15/100,0)</f>
        <v>87351538.2280571</v>
      </c>
      <c r="CA100" s="10" t="n">
        <f aca="false">MAX(-Flows!CA70*CA$4*CA15/100,0)</f>
        <v>87351538.2280572</v>
      </c>
      <c r="CB100" s="10" t="n">
        <f aca="false">MAX(-Flows!CB70*CB$4*CB15/100,0)</f>
        <v>113845921.89333</v>
      </c>
      <c r="CC100" s="10" t="n">
        <f aca="false">MAX(-Flows!CC70*CC$4*CC15/100,0)</f>
        <v>3351371.53617255</v>
      </c>
      <c r="CD100" s="10" t="n">
        <f aca="false">MAX(-Flows!CD70*CD$4*CD15/100,0)</f>
        <v>0</v>
      </c>
      <c r="CE100" s="10" t="n">
        <f aca="false">MAX(-Flows!CE70*CE$4*CE15/100,0)</f>
        <v>3351371.53617255</v>
      </c>
      <c r="CF100" s="10" t="n">
        <f aca="false">MAX(-Flows!CF70*CF$4*CF15/100,0)</f>
        <v>14400814.4488667</v>
      </c>
      <c r="CG100" s="10" t="n">
        <f aca="false">MAX(-Flows!CG70*CG$4*CG15/100,0)</f>
        <v>0</v>
      </c>
      <c r="CH100" s="10" t="n">
        <f aca="false">MAX(-Flows!CH70*CH$4*CH15/100,0)</f>
        <v>0</v>
      </c>
      <c r="CI100" s="10" t="n">
        <f aca="false">MAX(-Flows!CI70*CI$4*CI15/100,0)</f>
        <v>56922960.946665</v>
      </c>
      <c r="CJ100" s="10" t="n">
        <f aca="false">MAX(-Flows!CJ70*CJ$4*CJ15/100,0)</f>
        <v>5692296.09466649</v>
      </c>
      <c r="CK100" s="10" t="n">
        <f aca="false">MAX(-Flows!CK70*CK$4*CK15/100,0)</f>
        <v>5692296.09466649</v>
      </c>
      <c r="CL100" s="7" t="s">
        <v>322</v>
      </c>
      <c r="CM100" s="10" t="n">
        <f aca="false">-CM40</f>
        <v>452333982.196481</v>
      </c>
      <c r="CN100" s="10" t="n">
        <f aca="false">-CN40</f>
        <v>356776103.936006</v>
      </c>
      <c r="CO100" s="10" t="n">
        <f aca="false">-CO40</f>
        <v>1088014076.32922</v>
      </c>
      <c r="CP100" s="10" t="n">
        <f aca="false">-CP40</f>
        <v>65607103.404942</v>
      </c>
      <c r="CQ100" s="10" t="n">
        <f aca="false">-CQ40</f>
        <v>338532828.559517</v>
      </c>
      <c r="CR100" s="10" t="n">
        <f aca="false">-CR40</f>
        <v>-10946063.1634931</v>
      </c>
      <c r="CS100" s="10" t="n">
        <f aca="false">-CS40</f>
        <v>66079722.7062339</v>
      </c>
      <c r="CT100" s="10" t="n">
        <f aca="false">-CT40</f>
        <v>25785406.6381997</v>
      </c>
      <c r="CU100" s="10" t="n">
        <f aca="false">-CU40</f>
        <v>-13981315.484408</v>
      </c>
      <c r="CV100" s="10" t="n">
        <f aca="false">-CV40</f>
        <v>397757.881400859</v>
      </c>
      <c r="CX100" s="0" t="str">
        <f aca="false">INDEX($C$1:$CK$1,MATCH(LARGE($C100:$CK100,1),$C100:$CK100,0))</f>
        <v>Cider (gal)</v>
      </c>
      <c r="CY100" s="0" t="str">
        <f aca="false">INDEX($C$1:$CK$1,MATCH(LARGE($C100:$CK100,2),$C100:$CK100,0))</f>
        <v>Sauce (lb)</v>
      </c>
      <c r="CZ100" s="0" t="str">
        <f aca="false">INDEX($C$1:$CK$1,MATCH(LARGE($C100:$CK100,3),$C100:$CK100,0))</f>
        <v>Nunives (lb)</v>
      </c>
      <c r="DA100" s="0" t="str">
        <f aca="false">INDEX($C$1:$CK$1,MATCH(LARGE($C100:$CK100,4),$C100:$CK100,0))</f>
        <v>Jeet (lb)</v>
      </c>
      <c r="DB100" s="0" t="str">
        <f aca="false">INDEX($C$1:$CK$1,MATCH(LARGE($C100:$CK100,5),$C100:$CK100,0))</f>
        <v>Veg Oil (lb)</v>
      </c>
      <c r="DD100" s="0" t="str">
        <f aca="false">IF(LARGE($CM100:$CV100,1)&gt;0,INDEX($CM$30:$CV$30,MATCH(LARGE($CM100:$CV100,1),$CM100:$CV100,0)),"N/A")</f>
        <v>Food Prod</v>
      </c>
      <c r="DE100" s="0" t="str">
        <f aca="false">IF(LARGE($CM100:$CV100,2)&gt;0,INDEX($CM$30:$CV$30,MATCH(LARGE($CM100:$CV100,2),$CM100:$CV100,0)),"N/A")</f>
        <v>Produce</v>
      </c>
      <c r="DF100" s="0" t="str">
        <f aca="false">IF(LARGE($CM100:$CV100,3)&gt;0,INDEX($CM$30:$CV$30,MATCH(LARGE($CM100:$CV100,3),$CM100:$CV100,0)),"N/A")</f>
        <v>Animal</v>
      </c>
      <c r="DG100" s="0" t="str">
        <f aca="false">IF(LARGE($CM100:$CV100,4)&gt;0,INDEX($CM$30:$CV$30,MATCH(LARGE($CM100:$CV100,4),$CM100:$CV100,0)),"N/A")</f>
        <v>Tools</v>
      </c>
      <c r="DH100" s="0" t="str">
        <f aca="false">IF(LARGE($CM100:$CV100,5)&gt;0,INDEX($CM$30:$CV$30,MATCH(LARGE($CM100:$CV100,5),$CM100:$CV100,0)),"N/A")</f>
        <v>Wood</v>
      </c>
    </row>
    <row r="101" customFormat="false" ht="12.8" hidden="false" customHeight="false" outlineLevel="0" collapsed="false">
      <c r="A101" s="7" t="s">
        <v>145</v>
      </c>
      <c r="B101" s="7" t="s">
        <v>39</v>
      </c>
      <c r="C101" s="10" t="n">
        <f aca="false">MAX(-Flows!C71*C$4*C16/100,0)</f>
        <v>8684486.90568866</v>
      </c>
      <c r="D101" s="10" t="n">
        <f aca="false">MAX(-Flows!D71*D$4*D16/100,0)</f>
        <v>9676325.65306905</v>
      </c>
      <c r="E101" s="10" t="n">
        <f aca="false">MAX(-Flows!E71*E$4*E16/100,0)</f>
        <v>16566298.0466927</v>
      </c>
      <c r="F101" s="10" t="n">
        <f aca="false">MAX(-Flows!F71*F$4*F16/100,0)</f>
        <v>0</v>
      </c>
      <c r="G101" s="10" t="n">
        <f aca="false">MAX(-Flows!G71*G$4*G16/100,0)</f>
        <v>9905061.77061361</v>
      </c>
      <c r="H101" s="10" t="n">
        <f aca="false">MAX(-Flows!H71*H$4*H16/100,0)</f>
        <v>0</v>
      </c>
      <c r="I101" s="10" t="n">
        <f aca="false">MAX(-Flows!I71*I$4*I16/100,0)</f>
        <v>0</v>
      </c>
      <c r="J101" s="10" t="n">
        <f aca="false">MAX(-Flows!J71*J$4*J16/100,0)</f>
        <v>0</v>
      </c>
      <c r="K101" s="10" t="n">
        <f aca="false">MAX(-Flows!K71*K$4*K16/100,0)</f>
        <v>0</v>
      </c>
      <c r="L101" s="10" t="n">
        <f aca="false">MAX(-Flows!L71*L$4*L16/100,0)</f>
        <v>0</v>
      </c>
      <c r="M101" s="10" t="n">
        <f aca="false">MAX(-Flows!M71*M$4*M16/100,0)</f>
        <v>0</v>
      </c>
      <c r="N101" s="10" t="n">
        <f aca="false">MAX(-Flows!N71*N$4*N16/100,0)</f>
        <v>22443544.5537574</v>
      </c>
      <c r="O101" s="10" t="n">
        <f aca="false">MAX(-Flows!O71*O$4*O16/100,0)</f>
        <v>0</v>
      </c>
      <c r="P101" s="10" t="n">
        <f aca="false">MAX(-Flows!P71*P$4*P16/100,0)</f>
        <v>0</v>
      </c>
      <c r="Q101" s="10" t="n">
        <f aca="false">MAX(-Flows!Q71*Q$4*Q16/100,0)</f>
        <v>13816451.8534934</v>
      </c>
      <c r="R101" s="10" t="n">
        <f aca="false">MAX(-Flows!R71*R$4*R16/100,0)</f>
        <v>15016491.8280702</v>
      </c>
      <c r="S101" s="10" t="n">
        <f aca="false">MAX(-Flows!S71*S$4*S16/100,0)</f>
        <v>0</v>
      </c>
      <c r="T101" s="10" t="n">
        <f aca="false">MAX(-Flows!T71*T$4*T16/100,0)</f>
        <v>0</v>
      </c>
      <c r="U101" s="10" t="n">
        <f aca="false">MAX(-Flows!U71*U$4*U16/100,0)</f>
        <v>0</v>
      </c>
      <c r="V101" s="10" t="n">
        <f aca="false">MAX(-Flows!V71*V$4*V16/100,0)</f>
        <v>13525566.1601998</v>
      </c>
      <c r="W101" s="10" t="n">
        <f aca="false">MAX(-Flows!W71*W$4*W16/100,0)</f>
        <v>11801626.6798802</v>
      </c>
      <c r="X101" s="10" t="n">
        <f aca="false">MAX(-Flows!X71*X$4*X16/100,0)</f>
        <v>1137534.61617148</v>
      </c>
      <c r="Y101" s="10" t="n">
        <f aca="false">MAX(-Flows!Y71*Y$4*Y16/100,0)</f>
        <v>0</v>
      </c>
      <c r="Z101" s="10" t="n">
        <f aca="false">MAX(-Flows!Z71*Z$4*Z16/100,0)</f>
        <v>0</v>
      </c>
      <c r="AA101" s="10" t="n">
        <f aca="false">MAX(-Flows!AA71*AA$4*AA16/100,0)</f>
        <v>199501.618149145</v>
      </c>
      <c r="AB101" s="10" t="n">
        <f aca="false">MAX(-Flows!AB71*AB$4*AB16/100,0)</f>
        <v>768037.017144086</v>
      </c>
      <c r="AC101" s="10" t="n">
        <f aca="false">MAX(-Flows!AC71*AC$4*AC16/100,0)</f>
        <v>171470.373093585</v>
      </c>
      <c r="AD101" s="10" t="n">
        <f aca="false">MAX(-Flows!AD71*AD$4*AD16/100,0)</f>
        <v>384018.508572043</v>
      </c>
      <c r="AE101" s="10" t="n">
        <f aca="false">MAX(-Flows!AE71*AE$4*AE16/100,0)</f>
        <v>1617117.48090767</v>
      </c>
      <c r="AF101" s="10" t="n">
        <f aca="false">MAX(-Flows!AF71*AF$4*AF16/100,0)</f>
        <v>556601.235389897</v>
      </c>
      <c r="AG101" s="10" t="n">
        <f aca="false">MAX(-Flows!AG71*AG$4*AG16/100,0)</f>
        <v>0</v>
      </c>
      <c r="AH101" s="10" t="n">
        <f aca="false">MAX(-Flows!AH71*AH$4*AH16/100,0)</f>
        <v>551291.020126843</v>
      </c>
      <c r="AI101" s="10" t="n">
        <f aca="false">MAX(-Flows!AI71*AI$4*AI16/100,0)</f>
        <v>0</v>
      </c>
      <c r="AJ101" s="10" t="n">
        <f aca="false">MAX(-Flows!AJ71*AJ$4*AJ16/100,0)</f>
        <v>10444830.9909526</v>
      </c>
      <c r="AK101" s="10" t="n">
        <f aca="false">MAX(-Flows!AK71*AK$4*AK16/100,0)</f>
        <v>12409698.3988954</v>
      </c>
      <c r="AL101" s="10" t="n">
        <f aca="false">MAX(-Flows!AL71*AL$4*AL16/100,0)</f>
        <v>2336754.93771933</v>
      </c>
      <c r="AM101" s="10" t="n">
        <f aca="false">MAX(-Flows!AM71*AM$4*AM16/100,0)</f>
        <v>13617176.776633</v>
      </c>
      <c r="AN101" s="10" t="n">
        <f aca="false">MAX(-Flows!AN71*AN$4*AN16/100,0)</f>
        <v>10952745.7591293</v>
      </c>
      <c r="AO101" s="10" t="n">
        <f aca="false">MAX(-Flows!AO71*AO$4*AO16/100,0)</f>
        <v>7529645.41648854</v>
      </c>
      <c r="AP101" s="10" t="n">
        <f aca="false">MAX(-Flows!AP71*AP$4*AP16/100,0)</f>
        <v>9865363.37799877</v>
      </c>
      <c r="AQ101" s="10" t="n">
        <f aca="false">MAX(-Flows!AQ71*AQ$4*AQ16/100,0)</f>
        <v>0</v>
      </c>
      <c r="AR101" s="10" t="n">
        <f aca="false">MAX(-Flows!AR71*AR$4*AR16/100,0)</f>
        <v>0</v>
      </c>
      <c r="AS101" s="10" t="n">
        <f aca="false">MAX(-Flows!AS71*AS$4*AS16/100,0)</f>
        <v>6929169.19398395</v>
      </c>
      <c r="AT101" s="10" t="n">
        <f aca="false">MAX(-Flows!AT71*AT$4*AT16/100,0)</f>
        <v>378540.472603321</v>
      </c>
      <c r="AU101" s="10" t="n">
        <f aca="false">MAX(-Flows!AU71*AU$4*AU16/100,0)</f>
        <v>0</v>
      </c>
      <c r="AV101" s="10" t="n">
        <f aca="false">MAX(-Flows!AV71*AV$4*AV16/100,0)</f>
        <v>2378875.56723497</v>
      </c>
      <c r="AW101" s="10" t="n">
        <f aca="false">MAX(-Flows!AW71*AW$4*AW16/100,0)</f>
        <v>3659289.12186143</v>
      </c>
      <c r="AX101" s="10" t="n">
        <f aca="false">MAX(-Flows!AX71*AX$4*AX16/100,0)</f>
        <v>0</v>
      </c>
      <c r="AY101" s="10" t="n">
        <f aca="false">MAX(-Flows!AY71*AY$4*AY16/100,0)</f>
        <v>6546045.62336983</v>
      </c>
      <c r="AZ101" s="10" t="n">
        <f aca="false">MAX(-Flows!AZ71*AZ$4*AZ16/100,0)</f>
        <v>10593799.9487734</v>
      </c>
      <c r="BA101" s="10" t="n">
        <f aca="false">MAX(-Flows!BA71*BA$4*BA16/100,0)</f>
        <v>0</v>
      </c>
      <c r="BB101" s="10" t="n">
        <f aca="false">MAX(-Flows!BB71*BB$4*BB16/100,0)</f>
        <v>8495960.51775308</v>
      </c>
      <c r="BC101" s="10" t="n">
        <f aca="false">MAX(-Flows!BC71*BC$4*BC16/100,0)</f>
        <v>0</v>
      </c>
      <c r="BD101" s="10" t="n">
        <f aca="false">MAX(-Flows!BD71*BD$4*BD16/100,0)</f>
        <v>11661316.3072887</v>
      </c>
      <c r="BE101" s="10" t="n">
        <f aca="false">MAX(-Flows!BE71*BE$4*BE16/100,0)</f>
        <v>1353546.80753433</v>
      </c>
      <c r="BF101" s="10" t="n">
        <f aca="false">MAX(-Flows!BF71*BF$4*BF16/100,0)</f>
        <v>26006867.0629173</v>
      </c>
      <c r="BG101" s="10" t="n">
        <f aca="false">MAX(-Flows!BG71*BG$4*BG16/100,0)</f>
        <v>23761159.8606378</v>
      </c>
      <c r="BH101" s="10" t="n">
        <f aca="false">MAX(-Flows!BH71*BH$4*BH16/100,0)</f>
        <v>27847529.4535327</v>
      </c>
      <c r="BI101" s="10" t="n">
        <f aca="false">MAX(-Flows!BI71*BI$4*BI16/100,0)</f>
        <v>10901644.4613034</v>
      </c>
      <c r="BJ101" s="10" t="n">
        <f aca="false">MAX(-Flows!BJ71*BJ$4*BJ16/100,0)</f>
        <v>10901644.4613034</v>
      </c>
      <c r="BK101" s="10" t="n">
        <f aca="false">MAX(-Flows!BK71*BK$4*BK16/100,0)</f>
        <v>10901644.4613034</v>
      </c>
      <c r="BL101" s="10" t="n">
        <f aca="false">MAX(-Flows!BL71*BL$4*BL16/100,0)</f>
        <v>1381645.18534934</v>
      </c>
      <c r="BM101" s="10" t="n">
        <f aca="false">MAX(-Flows!BM71*BM$4*BM16/100,0)</f>
        <v>1381645.18534934</v>
      </c>
      <c r="BN101" s="10" t="n">
        <f aca="false">MAX(-Flows!BN71*BN$4*BN16/100,0)</f>
        <v>0</v>
      </c>
      <c r="BO101" s="10" t="n">
        <f aca="false">MAX(-Flows!BO71*BO$4*BO16/100,0)</f>
        <v>11428834872531.3</v>
      </c>
      <c r="BP101" s="10" t="n">
        <f aca="false">MAX(-Flows!BP71*BP$4*BP16/100,0)</f>
        <v>5333456819879550</v>
      </c>
      <c r="BQ101" s="10" t="n">
        <f aca="false">MAX(-Flows!BQ71*BQ$4*BQ16/100,0)</f>
        <v>0</v>
      </c>
      <c r="BR101" s="10" t="n">
        <f aca="false">MAX(-Flows!BR71*BR$4*BR16/100,0)</f>
        <v>3809610837388.08</v>
      </c>
      <c r="BS101" s="10" t="n">
        <f aca="false">MAX(-Flows!BS71*BS$4*BS16/100,0)</f>
        <v>1904804828602.26</v>
      </c>
      <c r="BT101" s="10" t="n">
        <f aca="false">MAX(-Flows!BT71*BT$4*BT16/100,0)</f>
        <v>0</v>
      </c>
      <c r="BU101" s="10" t="n">
        <f aca="false">MAX(-Flows!BU71*BU$4*BU16/100,0)</f>
        <v>0</v>
      </c>
      <c r="BV101" s="10" t="n">
        <f aca="false">MAX(-Flows!BV71*BV$4*BV16/100,0)</f>
        <v>0</v>
      </c>
      <c r="BW101" s="10" t="n">
        <f aca="false">MAX(-Flows!BW71*BW$4*BW16/100,0)</f>
        <v>0</v>
      </c>
      <c r="BX101" s="10" t="n">
        <f aca="false">MAX(-Flows!BX71*BX$4*BX16/100,0)</f>
        <v>2763290.37069868</v>
      </c>
      <c r="BY101" s="10" t="n">
        <f aca="false">MAX(-Flows!BY71*BY$4*BY16/100,0)</f>
        <v>2763290.37069868</v>
      </c>
      <c r="BZ101" s="10" t="n">
        <f aca="false">MAX(-Flows!BZ71*BZ$4*BZ16/100,0)</f>
        <v>0</v>
      </c>
      <c r="CA101" s="10" t="n">
        <f aca="false">MAX(-Flows!CA71*CA$4*CA16/100,0)</f>
        <v>0</v>
      </c>
      <c r="CB101" s="10" t="n">
        <f aca="false">MAX(-Flows!CB71*CB$4*CB16/100,0)</f>
        <v>13816451.8534934</v>
      </c>
      <c r="CC101" s="10" t="n">
        <f aca="false">MAX(-Flows!CC71*CC$4*CC16/100,0)</f>
        <v>545082.223065169</v>
      </c>
      <c r="CD101" s="10" t="n">
        <f aca="false">MAX(-Flows!CD71*CD$4*CD16/100,0)</f>
        <v>0</v>
      </c>
      <c r="CE101" s="10" t="n">
        <f aca="false">MAX(-Flows!CE71*CE$4*CE16/100,0)</f>
        <v>545082.223065172</v>
      </c>
      <c r="CF101" s="10" t="n">
        <f aca="false">MAX(-Flows!CF71*CF$4*CF16/100,0)</f>
        <v>1546089.55169098</v>
      </c>
      <c r="CG101" s="10" t="n">
        <f aca="false">MAX(-Flows!CG71*CG$4*CG16/100,0)</f>
        <v>57143000080.0245</v>
      </c>
      <c r="CH101" s="10" t="n">
        <f aca="false">MAX(-Flows!CH71*CH$4*CH16/100,0)</f>
        <v>57143000080.0245</v>
      </c>
      <c r="CI101" s="10" t="n">
        <f aca="false">MAX(-Flows!CI71*CI$4*CI16/100,0)</f>
        <v>6908225.92674671</v>
      </c>
      <c r="CJ101" s="10" t="n">
        <f aca="false">MAX(-Flows!CJ71*CJ$4*CJ16/100,0)</f>
        <v>690822.592674673</v>
      </c>
      <c r="CK101" s="10" t="n">
        <f aca="false">MAX(-Flows!CK71*CK$4*CK16/100,0)</f>
        <v>690822.592674672</v>
      </c>
      <c r="CL101" s="7" t="s">
        <v>322</v>
      </c>
      <c r="CM101" s="10" t="n">
        <f aca="false">-CM41</f>
        <v>59728764.6403043</v>
      </c>
      <c r="CN101" s="10" t="n">
        <f aca="false">-CN41</f>
        <v>64172930.7580891</v>
      </c>
      <c r="CO101" s="10" t="n">
        <f aca="false">-CO41</f>
        <v>87562719.7421291</v>
      </c>
      <c r="CP101" s="10" t="n">
        <f aca="false">-CP41</f>
        <v>44227958.0816683</v>
      </c>
      <c r="CQ101" s="10" t="n">
        <f aca="false">-CQ41</f>
        <v>54340937.415823</v>
      </c>
      <c r="CR101" s="10" t="n">
        <f aca="false">-CR41</f>
        <v>5350714382596570</v>
      </c>
      <c r="CS101" s="10" t="n">
        <f aca="false">-CS41</f>
        <v>-10236116.0580432</v>
      </c>
      <c r="CT101" s="10" t="n">
        <f aca="false">-CT41</f>
        <v>2927734.73704032</v>
      </c>
      <c r="CU101" s="10" t="n">
        <f aca="false">-CU41</f>
        <v>-34316709.5995826</v>
      </c>
      <c r="CV101" s="10" t="n">
        <f aca="false">-CV41</f>
        <v>1152055.52571613</v>
      </c>
      <c r="CX101" s="0" t="str">
        <f aca="false">INDEX($C$1:$CK$1,MATCH(LARGE($C101:$CK101,1),$C101:$CK101,0))</f>
        <v>Iron (lb)</v>
      </c>
      <c r="CY101" s="0" t="str">
        <f aca="false">INDEX($C$1:$CK$1,MATCH(LARGE($C101:$CK101,2),$C101:$CK101,0))</f>
        <v>Cu (lb)</v>
      </c>
      <c r="CZ101" s="0" t="str">
        <f aca="false">INDEX($C$1:$CK$1,MATCH(LARGE($C101:$CK101,3),$C101:$CK101,0))</f>
        <v>Ag (lb)</v>
      </c>
      <c r="DA101" s="0" t="str">
        <f aca="false">INDEX($C$1:$CK$1,MATCH(LARGE($C101:$CK101,4),$C101:$CK101,0))</f>
        <v>Au (lb)</v>
      </c>
      <c r="DB101" s="0" t="str">
        <f aca="false">INDEX($C$1:$CK$1,MATCH(LARGE($C101:$CK101,5),$C101:$CK101,0))</f>
        <v>Diamonds (lb)</v>
      </c>
      <c r="DD101" s="0" t="str">
        <f aca="false">IF(LARGE($CM101:$CV101,1)&gt;0,INDEX($CM$30:$CV$30,MATCH(LARGE($CM101:$CV101,1),$CM101:$CV101,0)),"N/A")</f>
        <v>Mineral</v>
      </c>
      <c r="DE101" s="0" t="str">
        <f aca="false">IF(LARGE($CM101:$CV101,2)&gt;0,INDEX($CM$30:$CV$30,MATCH(LARGE($CM101:$CV101,2),$CM101:$CV101,0)),"N/A")</f>
        <v>Food Prod</v>
      </c>
      <c r="DF101" s="0" t="str">
        <f aca="false">IF(LARGE($CM101:$CV101,3)&gt;0,INDEX($CM$30:$CV$30,MATCH(LARGE($CM101:$CV101,3),$CM101:$CV101,0)),"N/A")</f>
        <v>Animal</v>
      </c>
      <c r="DG101" s="0" t="str">
        <f aca="false">IF(LARGE($CM101:$CV101,4)&gt;0,INDEX($CM$30:$CV$30,MATCH(LARGE($CM101:$CV101,4),$CM101:$CV101,0)),"N/A")</f>
        <v>Produce</v>
      </c>
      <c r="DH101" s="0" t="str">
        <f aca="false">IF(LARGE($CM101:$CV101,5)&gt;0,INDEX($CM$30:$CV$30,MATCH(LARGE($CM101:$CV101,5),$CM101:$CV101,0)),"N/A")</f>
        <v>Tools</v>
      </c>
    </row>
    <row r="102" customFormat="false" ht="12.8" hidden="false" customHeight="false" outlineLevel="0" collapsed="false">
      <c r="A102" s="7" t="s">
        <v>147</v>
      </c>
      <c r="B102" s="7" t="s">
        <v>39</v>
      </c>
      <c r="C102" s="10" t="n">
        <f aca="false">MAX(-Flows!C72*C$4*C17/100,0)</f>
        <v>54947399.013337</v>
      </c>
      <c r="D102" s="10" t="n">
        <f aca="false">MAX(-Flows!D72*D$4*D17/100,0)</f>
        <v>62420901.4509122</v>
      </c>
      <c r="E102" s="10" t="n">
        <f aca="false">MAX(-Flows!E72*E$4*E17/100,0)</f>
        <v>57234495.2860274</v>
      </c>
      <c r="F102" s="10" t="n">
        <f aca="false">MAX(-Flows!F72*F$4*F17/100,0)</f>
        <v>0</v>
      </c>
      <c r="G102" s="10" t="n">
        <f aca="false">MAX(-Flows!G72*G$4*G17/100,0)</f>
        <v>64140955.2296822</v>
      </c>
      <c r="H102" s="10" t="n">
        <f aca="false">MAX(-Flows!H72*H$4*H17/100,0)</f>
        <v>0</v>
      </c>
      <c r="I102" s="10" t="n">
        <f aca="false">MAX(-Flows!I72*I$4*I17/100,0)</f>
        <v>0</v>
      </c>
      <c r="J102" s="10" t="n">
        <f aca="false">MAX(-Flows!J72*J$4*J17/100,0)</f>
        <v>0</v>
      </c>
      <c r="K102" s="10" t="n">
        <f aca="false">MAX(-Flows!K72*K$4*K17/100,0)</f>
        <v>0</v>
      </c>
      <c r="L102" s="10" t="n">
        <f aca="false">MAX(-Flows!L72*L$4*L17/100,0)</f>
        <v>0</v>
      </c>
      <c r="M102" s="10" t="n">
        <f aca="false">MAX(-Flows!M72*M$4*M17/100,0)</f>
        <v>0</v>
      </c>
      <c r="N102" s="10" t="n">
        <f aca="false">MAX(-Flows!N72*N$4*N17/100,0)</f>
        <v>82204155.166133</v>
      </c>
      <c r="O102" s="10" t="n">
        <f aca="false">MAX(-Flows!O72*O$4*O17/100,0)</f>
        <v>0</v>
      </c>
      <c r="P102" s="10" t="n">
        <f aca="false">MAX(-Flows!P72*P$4*P17/100,0)</f>
        <v>0</v>
      </c>
      <c r="Q102" s="10" t="n">
        <f aca="false">MAX(-Flows!Q72*Q$4*Q17/100,0)</f>
        <v>64930644.2075186</v>
      </c>
      <c r="R102" s="10" t="n">
        <f aca="false">MAX(-Flows!R72*R$4*R17/100,0)</f>
        <v>61664565.3704931</v>
      </c>
      <c r="S102" s="10" t="n">
        <f aca="false">MAX(-Flows!S72*S$4*S17/100,0)</f>
        <v>0</v>
      </c>
      <c r="T102" s="10" t="n">
        <f aca="false">MAX(-Flows!T72*T$4*T17/100,0)</f>
        <v>0</v>
      </c>
      <c r="U102" s="10" t="n">
        <f aca="false">MAX(-Flows!U72*U$4*U17/100,0)</f>
        <v>0</v>
      </c>
      <c r="V102" s="10" t="n">
        <f aca="false">MAX(-Flows!V72*V$4*V17/100,0)</f>
        <v>80298884.4429054</v>
      </c>
      <c r="W102" s="10" t="n">
        <f aca="false">MAX(-Flows!W72*W$4*W17/100,0)</f>
        <v>0</v>
      </c>
      <c r="X102" s="10" t="n">
        <f aca="false">MAX(-Flows!X72*X$4*X17/100,0)</f>
        <v>152219463.803181</v>
      </c>
      <c r="Y102" s="10" t="n">
        <f aca="false">MAX(-Flows!Y72*Y$4*Y17/100,0)</f>
        <v>0</v>
      </c>
      <c r="Z102" s="10" t="n">
        <f aca="false">MAX(-Flows!Z72*Z$4*Z17/100,0)</f>
        <v>0</v>
      </c>
      <c r="AA102" s="10" t="n">
        <f aca="false">MAX(-Flows!AA72*AA$4*AA17/100,0)</f>
        <v>180496.158033944</v>
      </c>
      <c r="AB102" s="10" t="n">
        <f aca="false">MAX(-Flows!AB72*AB$4*AB17/100,0)</f>
        <v>931827.063705305</v>
      </c>
      <c r="AC102" s="10" t="n">
        <f aca="false">MAX(-Flows!AC72*AC$4*AC17/100,0)</f>
        <v>0</v>
      </c>
      <c r="AD102" s="10" t="n">
        <f aca="false">MAX(-Flows!AD72*AD$4*AD17/100,0)</f>
        <v>465913.531852652</v>
      </c>
      <c r="AE102" s="10" t="n">
        <f aca="false">MAX(-Flows!AE72*AE$4*AE17/100,0)</f>
        <v>7169095.06364216</v>
      </c>
      <c r="AF102" s="10" t="n">
        <f aca="false">MAX(-Flows!AF72*AF$4*AF17/100,0)</f>
        <v>3771312.28778685</v>
      </c>
      <c r="AG102" s="10" t="n">
        <f aca="false">MAX(-Flows!AG72*AG$4*AG17/100,0)</f>
        <v>20394549.901313</v>
      </c>
      <c r="AH102" s="10" t="n">
        <f aca="false">MAX(-Flows!AH72*AH$4*AH17/100,0)</f>
        <v>8265242.10576701</v>
      </c>
      <c r="AI102" s="10" t="n">
        <f aca="false">MAX(-Flows!AI72*AI$4*AI17/100,0)</f>
        <v>181073.373054517</v>
      </c>
      <c r="AJ102" s="10" t="n">
        <f aca="false">MAX(-Flows!AJ72*AJ$4*AJ17/100,0)</f>
        <v>425797.690530651</v>
      </c>
      <c r="AK102" s="10" t="n">
        <f aca="false">MAX(-Flows!AK72*AK$4*AK17/100,0)</f>
        <v>25317012.5386472</v>
      </c>
      <c r="AL102" s="10" t="n">
        <f aca="false">MAX(-Flows!AL72*AL$4*AL17/100,0)</f>
        <v>15686252.0444804</v>
      </c>
      <c r="AM102" s="10" t="n">
        <f aca="false">MAX(-Flows!AM72*AM$4*AM17/100,0)</f>
        <v>1862382.72166946</v>
      </c>
      <c r="AN102" s="10" t="n">
        <f aca="false">MAX(-Flows!AN72*AN$4*AN17/100,0)</f>
        <v>28219421.1490587</v>
      </c>
      <c r="AO102" s="10" t="n">
        <f aca="false">MAX(-Flows!AO72*AO$4*AO17/100,0)</f>
        <v>9383245.5393417</v>
      </c>
      <c r="AP102" s="10" t="n">
        <f aca="false">MAX(-Flows!AP72*AP$4*AP17/100,0)</f>
        <v>0</v>
      </c>
      <c r="AQ102" s="10" t="n">
        <f aca="false">MAX(-Flows!AQ72*AQ$4*AQ17/100,0)</f>
        <v>7104593.63426083</v>
      </c>
      <c r="AR102" s="10" t="n">
        <f aca="false">MAX(-Flows!AR72*AR$4*AR17/100,0)</f>
        <v>12573157.8660587</v>
      </c>
      <c r="AS102" s="10" t="n">
        <f aca="false">MAX(-Flows!AS72*AS$4*AS17/100,0)</f>
        <v>37503862.3439137</v>
      </c>
      <c r="AT102" s="10" t="n">
        <f aca="false">MAX(-Flows!AT72*AT$4*AT17/100,0)</f>
        <v>0</v>
      </c>
      <c r="AU102" s="10" t="n">
        <f aca="false">MAX(-Flows!AU72*AU$4*AU17/100,0)</f>
        <v>25689419.5360662</v>
      </c>
      <c r="AV102" s="10" t="n">
        <f aca="false">MAX(-Flows!AV72*AV$4*AV17/100,0)</f>
        <v>0</v>
      </c>
      <c r="AW102" s="10" t="n">
        <f aca="false">MAX(-Flows!AW72*AW$4*AW17/100,0)</f>
        <v>0</v>
      </c>
      <c r="AX102" s="10" t="n">
        <f aca="false">MAX(-Flows!AX72*AX$4*AX17/100,0)</f>
        <v>1072357.16997085</v>
      </c>
      <c r="AY102" s="10" t="n">
        <f aca="false">MAX(-Flows!AY72*AY$4*AY17/100,0)</f>
        <v>1891404.76525382</v>
      </c>
      <c r="AZ102" s="10" t="n">
        <f aca="false">MAX(-Flows!AZ72*AZ$4*AZ17/100,0)</f>
        <v>8448897.48220802</v>
      </c>
      <c r="BA102" s="10" t="n">
        <f aca="false">MAX(-Flows!BA72*BA$4*BA17/100,0)</f>
        <v>0</v>
      </c>
      <c r="BB102" s="10" t="n">
        <f aca="false">MAX(-Flows!BB72*BB$4*BB17/100,0)</f>
        <v>15770465.7414351</v>
      </c>
      <c r="BC102" s="10" t="n">
        <f aca="false">MAX(-Flows!BC72*BC$4*BC17/100,0)</f>
        <v>3122894.57334353</v>
      </c>
      <c r="BD102" s="10" t="n">
        <f aca="false">MAX(-Flows!BD72*BD$4*BD17/100,0)</f>
        <v>19165639.7662062</v>
      </c>
      <c r="BE102" s="10" t="n">
        <f aca="false">MAX(-Flows!BE72*BE$4*BE17/100,0)</f>
        <v>5798825.46753402</v>
      </c>
      <c r="BF102" s="10" t="n">
        <f aca="false">MAX(-Flows!BF72*BF$4*BF17/100,0)</f>
        <v>60485122.8233896</v>
      </c>
      <c r="BG102" s="10" t="n">
        <f aca="false">MAX(-Flows!BG72*BG$4*BG17/100,0)</f>
        <v>14583072.6528349</v>
      </c>
      <c r="BH102" s="10" t="n">
        <f aca="false">MAX(-Flows!BH72*BH$4*BH17/100,0)</f>
        <v>15570316.4957598</v>
      </c>
      <c r="BI102" s="10" t="n">
        <f aca="false">MAX(-Flows!BI72*BI$4*BI17/100,0)</f>
        <v>41997125.9450945</v>
      </c>
      <c r="BJ102" s="10" t="n">
        <f aca="false">MAX(-Flows!BJ72*BJ$4*BJ17/100,0)</f>
        <v>41997125.9450946</v>
      </c>
      <c r="BK102" s="10" t="n">
        <f aca="false">MAX(-Flows!BK72*BK$4*BK17/100,0)</f>
        <v>41997125.9450945</v>
      </c>
      <c r="BL102" s="10" t="n">
        <f aca="false">MAX(-Flows!BL72*BL$4*BL17/100,0)</f>
        <v>6493064.42075187</v>
      </c>
      <c r="BM102" s="10" t="n">
        <f aca="false">MAX(-Flows!BM72*BM$4*BM17/100,0)</f>
        <v>6493064.42075187</v>
      </c>
      <c r="BN102" s="10" t="n">
        <f aca="false">MAX(-Flows!BN72*BN$4*BN17/100,0)</f>
        <v>0</v>
      </c>
      <c r="BO102" s="10" t="n">
        <f aca="false">MAX(-Flows!BO72*BO$4*BO17/100,0)</f>
        <v>5329375392682.21</v>
      </c>
      <c r="BP102" s="10" t="n">
        <f aca="false">MAX(-Flows!BP72*BP$4*BP17/100,0)</f>
        <v>2487042192292820</v>
      </c>
      <c r="BQ102" s="10" t="n">
        <f aca="false">MAX(-Flows!BQ72*BQ$4*BQ17/100,0)</f>
        <v>0</v>
      </c>
      <c r="BR102" s="10" t="n">
        <f aca="false">MAX(-Flows!BR72*BR$4*BR17/100,0)</f>
        <v>1776457970892.44</v>
      </c>
      <c r="BS102" s="10" t="n">
        <f aca="false">MAX(-Flows!BS72*BS$4*BS17/100,0)</f>
        <v>888228615445.001</v>
      </c>
      <c r="BT102" s="10" t="n">
        <f aca="false">MAX(-Flows!BT72*BT$4*BT17/100,0)</f>
        <v>0</v>
      </c>
      <c r="BU102" s="10" t="n">
        <f aca="false">MAX(-Flows!BU72*BU$4*BU17/100,0)</f>
        <v>0</v>
      </c>
      <c r="BV102" s="10" t="n">
        <f aca="false">MAX(-Flows!BV72*BV$4*BV17/100,0)</f>
        <v>0</v>
      </c>
      <c r="BW102" s="10" t="n">
        <f aca="false">MAX(-Flows!BW72*BW$4*BW17/100,0)</f>
        <v>0</v>
      </c>
      <c r="BX102" s="10" t="n">
        <f aca="false">MAX(-Flows!BX72*BX$4*BX17/100,0)</f>
        <v>12986128.8415037</v>
      </c>
      <c r="BY102" s="10" t="n">
        <f aca="false">MAX(-Flows!BY72*BY$4*BY17/100,0)</f>
        <v>12986128.8415037</v>
      </c>
      <c r="BZ102" s="10" t="n">
        <f aca="false">MAX(-Flows!BZ72*BZ$4*BZ17/100,0)</f>
        <v>18015503.3665459</v>
      </c>
      <c r="CA102" s="10" t="n">
        <f aca="false">MAX(-Flows!CA72*CA$4*CA17/100,0)</f>
        <v>18015503.3665459</v>
      </c>
      <c r="CB102" s="10" t="n">
        <f aca="false">MAX(-Flows!CB72*CB$4*CB17/100,0)</f>
        <v>64930644.2075187</v>
      </c>
      <c r="CC102" s="10" t="n">
        <f aca="false">MAX(-Flows!CC72*CC$4*CC17/100,0)</f>
        <v>2099856.29725473</v>
      </c>
      <c r="CD102" s="10" t="n">
        <f aca="false">MAX(-Flows!CD72*CD$4*CD17/100,0)</f>
        <v>0</v>
      </c>
      <c r="CE102" s="10" t="n">
        <f aca="false">MAX(-Flows!CE72*CE$4*CE17/100,0)</f>
        <v>2099856.29725473</v>
      </c>
      <c r="CF102" s="10" t="n">
        <f aca="false">MAX(-Flows!CF72*CF$4*CF17/100,0)</f>
        <v>5711094.12804771</v>
      </c>
      <c r="CG102" s="10" t="n">
        <f aca="false">MAX(-Flows!CG72*CG$4*CG17/100,0)</f>
        <v>26646140660.983</v>
      </c>
      <c r="CH102" s="10" t="n">
        <f aca="false">MAX(-Flows!CH72*CH$4*CH17/100,0)</f>
        <v>26646140660.9829</v>
      </c>
      <c r="CI102" s="10" t="n">
        <f aca="false">MAX(-Flows!CI72*CI$4*CI17/100,0)</f>
        <v>32465322.1037593</v>
      </c>
      <c r="CJ102" s="10" t="n">
        <f aca="false">MAX(-Flows!CJ72*CJ$4*CJ17/100,0)</f>
        <v>3246532.21037593</v>
      </c>
      <c r="CK102" s="10" t="n">
        <f aca="false">MAX(-Flows!CK72*CK$4*CK17/100,0)</f>
        <v>3246532.21037593</v>
      </c>
      <c r="CL102" s="7" t="s">
        <v>322</v>
      </c>
      <c r="CM102" s="10" t="n">
        <f aca="false">-CM42</f>
        <v>418219970.935936</v>
      </c>
      <c r="CN102" s="10" t="n">
        <f aca="false">-CN42</f>
        <v>168040519.850779</v>
      </c>
      <c r="CO102" s="10" t="n">
        <f aca="false">-CO42</f>
        <v>317934789.480508</v>
      </c>
      <c r="CP102" s="10" t="n">
        <f aca="false">-CP42</f>
        <v>79586191.9915179</v>
      </c>
      <c r="CQ102" s="10" t="n">
        <f aca="false">-CQ42</f>
        <v>193959951.451995</v>
      </c>
      <c r="CR102" s="10" t="n">
        <f aca="false">-CR42</f>
        <v>2495089606944370</v>
      </c>
      <c r="CS102" s="10" t="n">
        <f aca="false">-CS42</f>
        <v>31355132.0423653</v>
      </c>
      <c r="CT102" s="10" t="n">
        <f aca="false">-CT42</f>
        <v>12204158.5487996</v>
      </c>
      <c r="CU102" s="10" t="n">
        <f aca="false">-CU42</f>
        <v>-67704854.9831098</v>
      </c>
      <c r="CV102" s="10" t="n">
        <f aca="false">-CV42</f>
        <v>1397740.59555796</v>
      </c>
      <c r="CX102" s="0" t="str">
        <f aca="false">INDEX($C$1:$CK$1,MATCH(LARGE($C102:$CK102,1),$C102:$CK102,0))</f>
        <v>Iron (lb)</v>
      </c>
      <c r="CY102" s="0" t="str">
        <f aca="false">INDEX($C$1:$CK$1,MATCH(LARGE($C102:$CK102,2),$C102:$CK102,0))</f>
        <v>Cu (lb)</v>
      </c>
      <c r="CZ102" s="0" t="str">
        <f aca="false">INDEX($C$1:$CK$1,MATCH(LARGE($C102:$CK102,3),$C102:$CK102,0))</f>
        <v>Ag (lb)</v>
      </c>
      <c r="DA102" s="0" t="str">
        <f aca="false">INDEX($C$1:$CK$1,MATCH(LARGE($C102:$CK102,4),$C102:$CK102,0))</f>
        <v>Au (lb)</v>
      </c>
      <c r="DB102" s="0" t="str">
        <f aca="false">INDEX($C$1:$CK$1,MATCH(LARGE($C102:$CK102,5),$C102:$CK102,0))</f>
        <v>Diamonds (lb)</v>
      </c>
      <c r="DD102" s="0" t="str">
        <f aca="false">IF(LARGE($CM102:$CV102,1)&gt;0,INDEX($CM$30:$CV$30,MATCH(LARGE($CM102:$CV102,1),$CM102:$CV102,0)),"N/A")</f>
        <v>Mineral</v>
      </c>
      <c r="DE102" s="0" t="str">
        <f aca="false">IF(LARGE($CM102:$CV102,2)&gt;0,INDEX($CM$30:$CV$30,MATCH(LARGE($CM102:$CV102,2),$CM102:$CV102,0)),"N/A")</f>
        <v>Produce</v>
      </c>
      <c r="DF102" s="0" t="str">
        <f aca="false">IF(LARGE($CM102:$CV102,3)&gt;0,INDEX($CM$30:$CV$30,MATCH(LARGE($CM102:$CV102,3),$CM102:$CV102,0)),"N/A")</f>
        <v>Food Prod</v>
      </c>
      <c r="DG102" s="0" t="str">
        <f aca="false">IF(LARGE($CM102:$CV102,4)&gt;0,INDEX($CM$30:$CV$30,MATCH(LARGE($CM102:$CV102,4),$CM102:$CV102,0)),"N/A")</f>
        <v>Tools</v>
      </c>
      <c r="DH102" s="0" t="str">
        <f aca="false">IF(LARGE($CM102:$CV102,5)&gt;0,INDEX($CM$30:$CV$30,MATCH(LARGE($CM102:$CV102,5),$CM102:$CV102,0)),"N/A")</f>
        <v>Animal</v>
      </c>
    </row>
    <row r="103" customFormat="false" ht="12.8" hidden="false" customHeight="false" outlineLevel="0" collapsed="false">
      <c r="A103" s="7" t="s">
        <v>148</v>
      </c>
      <c r="B103" s="7" t="s">
        <v>39</v>
      </c>
      <c r="C103" s="10" t="n">
        <f aca="false">MAX(-Flows!C73*C$4*C18/100,0)</f>
        <v>0</v>
      </c>
      <c r="D103" s="10" t="n">
        <f aca="false">MAX(-Flows!D73*D$4*D18/100,0)</f>
        <v>0</v>
      </c>
      <c r="E103" s="10" t="n">
        <f aca="false">MAX(-Flows!E73*E$4*E18/100,0)</f>
        <v>0</v>
      </c>
      <c r="F103" s="10" t="n">
        <f aca="false">MAX(-Flows!F73*F$4*F18/100,0)</f>
        <v>0</v>
      </c>
      <c r="G103" s="10" t="n">
        <f aca="false">MAX(-Flows!G73*G$4*G18/100,0)</f>
        <v>0</v>
      </c>
      <c r="H103" s="10" t="n">
        <f aca="false">MAX(-Flows!H73*H$4*H18/100,0)</f>
        <v>0</v>
      </c>
      <c r="I103" s="10" t="n">
        <f aca="false">MAX(-Flows!I73*I$4*I18/100,0)</f>
        <v>0</v>
      </c>
      <c r="J103" s="10" t="n">
        <f aca="false">MAX(-Flows!J73*J$4*J18/100,0)</f>
        <v>0</v>
      </c>
      <c r="K103" s="10" t="n">
        <f aca="false">MAX(-Flows!K73*K$4*K18/100,0)</f>
        <v>0</v>
      </c>
      <c r="L103" s="10" t="n">
        <f aca="false">MAX(-Flows!L73*L$4*L18/100,0)</f>
        <v>0</v>
      </c>
      <c r="M103" s="10" t="n">
        <f aca="false">MAX(-Flows!M73*M$4*M18/100,0)</f>
        <v>0</v>
      </c>
      <c r="N103" s="10" t="n">
        <f aca="false">MAX(-Flows!N73*N$4*N18/100,0)</f>
        <v>1826302.50603041</v>
      </c>
      <c r="O103" s="10" t="n">
        <f aca="false">MAX(-Flows!O73*O$4*O18/100,0)</f>
        <v>0</v>
      </c>
      <c r="P103" s="10" t="n">
        <f aca="false">MAX(-Flows!P73*P$4*P18/100,0)</f>
        <v>0</v>
      </c>
      <c r="Q103" s="10" t="n">
        <f aca="false">MAX(-Flows!Q73*Q$4*Q18/100,0)</f>
        <v>19250682.4139145</v>
      </c>
      <c r="R103" s="10" t="n">
        <f aca="false">MAX(-Flows!R73*R$4*R18/100,0)</f>
        <v>0</v>
      </c>
      <c r="S103" s="10" t="n">
        <f aca="false">MAX(-Flows!S73*S$4*S18/100,0)</f>
        <v>0</v>
      </c>
      <c r="T103" s="10" t="n">
        <f aca="false">MAX(-Flows!T73*T$4*T18/100,0)</f>
        <v>0</v>
      </c>
      <c r="U103" s="10" t="n">
        <f aca="false">MAX(-Flows!U73*U$4*U18/100,0)</f>
        <v>0</v>
      </c>
      <c r="V103" s="10" t="n">
        <f aca="false">MAX(-Flows!V73*V$4*V18/100,0)</f>
        <v>28334471.1191644</v>
      </c>
      <c r="W103" s="10" t="n">
        <f aca="false">MAX(-Flows!W73*W$4*W18/100,0)</f>
        <v>0</v>
      </c>
      <c r="X103" s="10" t="n">
        <f aca="false">MAX(-Flows!X73*X$4*X18/100,0)</f>
        <v>0</v>
      </c>
      <c r="Y103" s="10" t="n">
        <f aca="false">MAX(-Flows!Y73*Y$4*Y18/100,0)</f>
        <v>0</v>
      </c>
      <c r="Z103" s="10" t="n">
        <f aca="false">MAX(-Flows!Z73*Z$4*Z18/100,0)</f>
        <v>803898.481121915</v>
      </c>
      <c r="AA103" s="10" t="n">
        <f aca="false">MAX(-Flows!AA73*AA$4*AA18/100,0)</f>
        <v>195135.232449588</v>
      </c>
      <c r="AB103" s="10" t="n">
        <f aca="false">MAX(-Flows!AB73*AB$4*AB18/100,0)</f>
        <v>535909.808395363</v>
      </c>
      <c r="AC103" s="10" t="n">
        <f aca="false">MAX(-Flows!AC73*AC$4*AC18/100,0)</f>
        <v>0</v>
      </c>
      <c r="AD103" s="10" t="n">
        <f aca="false">MAX(-Flows!AD73*AD$4*AD18/100,0)</f>
        <v>267954.904197681</v>
      </c>
      <c r="AE103" s="10" t="n">
        <f aca="false">MAX(-Flows!AE73*AE$4*AE18/100,0)</f>
        <v>783294.310951807</v>
      </c>
      <c r="AF103" s="10" t="n">
        <f aca="false">MAX(-Flows!AF73*AF$4*AF18/100,0)</f>
        <v>775213.397826986</v>
      </c>
      <c r="AG103" s="10" t="n">
        <f aca="false">MAX(-Flows!AG73*AG$4*AG18/100,0)</f>
        <v>10355323.388159</v>
      </c>
      <c r="AH103" s="10" t="n">
        <f aca="false">MAX(-Flows!AH73*AH$4*AH18/100,0)</f>
        <v>7291641.92497998</v>
      </c>
      <c r="AI103" s="10" t="n">
        <f aca="false">MAX(-Flows!AI73*AI$4*AI18/100,0)</f>
        <v>9170529.82112964</v>
      </c>
      <c r="AJ103" s="10" t="n">
        <f aca="false">MAX(-Flows!AJ73*AJ$4*AJ18/100,0)</f>
        <v>0</v>
      </c>
      <c r="AK103" s="10" t="n">
        <f aca="false">MAX(-Flows!AK73*AK$4*AK18/100,0)</f>
        <v>0</v>
      </c>
      <c r="AL103" s="10" t="n">
        <f aca="false">MAX(-Flows!AL73*AL$4*AL18/100,0)</f>
        <v>0</v>
      </c>
      <c r="AM103" s="10" t="n">
        <f aca="false">MAX(-Flows!AM73*AM$4*AM18/100,0)</f>
        <v>0</v>
      </c>
      <c r="AN103" s="10" t="n">
        <f aca="false">MAX(-Flows!AN73*AN$4*AN18/100,0)</f>
        <v>5868356.60211191</v>
      </c>
      <c r="AO103" s="10" t="n">
        <f aca="false">MAX(-Flows!AO73*AO$4*AO18/100,0)</f>
        <v>0</v>
      </c>
      <c r="AP103" s="10" t="n">
        <f aca="false">MAX(-Flows!AP73*AP$4*AP18/100,0)</f>
        <v>8886554.8308304</v>
      </c>
      <c r="AQ103" s="10" t="n">
        <f aca="false">MAX(-Flows!AQ73*AQ$4*AQ18/100,0)</f>
        <v>0</v>
      </c>
      <c r="AR103" s="10" t="n">
        <f aca="false">MAX(-Flows!AR73*AR$4*AR18/100,0)</f>
        <v>12144746.5324576</v>
      </c>
      <c r="AS103" s="10" t="n">
        <f aca="false">MAX(-Flows!AS73*AS$4*AS18/100,0)</f>
        <v>0</v>
      </c>
      <c r="AT103" s="10" t="n">
        <f aca="false">MAX(-Flows!AT73*AT$4*AT18/100,0)</f>
        <v>9101818.63009377</v>
      </c>
      <c r="AU103" s="10" t="n">
        <f aca="false">MAX(-Flows!AU73*AU$4*AU18/100,0)</f>
        <v>0</v>
      </c>
      <c r="AV103" s="10" t="n">
        <f aca="false">MAX(-Flows!AV73*AV$4*AV18/100,0)</f>
        <v>2534899.39533725</v>
      </c>
      <c r="AW103" s="10" t="n">
        <f aca="false">MAX(-Flows!AW73*AW$4*AW18/100,0)</f>
        <v>0</v>
      </c>
      <c r="AX103" s="10" t="n">
        <f aca="false">MAX(-Flows!AX73*AX$4*AX18/100,0)</f>
        <v>0</v>
      </c>
      <c r="AY103" s="10" t="n">
        <f aca="false">MAX(-Flows!AY73*AY$4*AY18/100,0)</f>
        <v>2704271.76263546</v>
      </c>
      <c r="AZ103" s="10" t="n">
        <f aca="false">MAX(-Flows!AZ73*AZ$4*AZ18/100,0)</f>
        <v>5175934.75785929</v>
      </c>
      <c r="BA103" s="10" t="n">
        <f aca="false">MAX(-Flows!BA73*BA$4*BA18/100,0)</f>
        <v>0</v>
      </c>
      <c r="BB103" s="10" t="n">
        <f aca="false">MAX(-Flows!BB73*BB$4*BB18/100,0)</f>
        <v>7807992.99843172</v>
      </c>
      <c r="BC103" s="10" t="n">
        <f aca="false">MAX(-Flows!BC73*BC$4*BC18/100,0)</f>
        <v>1551946.85366469</v>
      </c>
      <c r="BD103" s="10" t="n">
        <f aca="false">MAX(-Flows!BD73*BD$4*BD18/100,0)</f>
        <v>11286294.5991357</v>
      </c>
      <c r="BE103" s="10" t="n">
        <f aca="false">MAX(-Flows!BE73*BE$4*BE18/100,0)</f>
        <v>2426463.63902262</v>
      </c>
      <c r="BF103" s="10" t="n">
        <f aca="false">MAX(-Flows!BF73*BF$4*BF18/100,0)</f>
        <v>0</v>
      </c>
      <c r="BG103" s="10" t="n">
        <f aca="false">MAX(-Flows!BG73*BG$4*BG18/100,0)</f>
        <v>8216070.98649155</v>
      </c>
      <c r="BH103" s="10" t="n">
        <f aca="false">MAX(-Flows!BH73*BH$4*BH18/100,0)</f>
        <v>59815507.3963991</v>
      </c>
      <c r="BI103" s="10" t="n">
        <f aca="false">MAX(-Flows!BI73*BI$4*BI18/100,0)</f>
        <v>0</v>
      </c>
      <c r="BJ103" s="10" t="n">
        <f aca="false">MAX(-Flows!BJ73*BJ$4*BJ18/100,0)</f>
        <v>0</v>
      </c>
      <c r="BK103" s="10" t="n">
        <f aca="false">MAX(-Flows!BK73*BK$4*BK18/100,0)</f>
        <v>0</v>
      </c>
      <c r="BL103" s="10" t="n">
        <f aca="false">MAX(-Flows!BL73*BL$4*BL18/100,0)</f>
        <v>1925068.24139145</v>
      </c>
      <c r="BM103" s="10" t="n">
        <f aca="false">MAX(-Flows!BM73*BM$4*BM18/100,0)</f>
        <v>1925068.24139145</v>
      </c>
      <c r="BN103" s="10" t="n">
        <f aca="false">MAX(-Flows!BN73*BN$4*BN18/100,0)</f>
        <v>0</v>
      </c>
      <c r="BO103" s="10" t="n">
        <f aca="false">MAX(-Flows!BO73*BO$4*BO18/100,0)</f>
        <v>6206483884046.92</v>
      </c>
      <c r="BP103" s="10" t="n">
        <f aca="false">MAX(-Flows!BP73*BP$4*BP18/100,0)</f>
        <v>2896359456192210</v>
      </c>
      <c r="BQ103" s="10" t="n">
        <f aca="false">MAX(-Flows!BQ73*BQ$4*BQ18/100,0)</f>
        <v>0</v>
      </c>
      <c r="BR103" s="10" t="n">
        <f aca="false">MAX(-Flows!BR73*BR$4*BR18/100,0)</f>
        <v>2068827514225.56</v>
      </c>
      <c r="BS103" s="10" t="n">
        <f aca="false">MAX(-Flows!BS73*BS$4*BS18/100,0)</f>
        <v>1034413421770.22</v>
      </c>
      <c r="BT103" s="10" t="n">
        <f aca="false">MAX(-Flows!BT73*BT$4*BT18/100,0)</f>
        <v>0</v>
      </c>
      <c r="BU103" s="10" t="n">
        <f aca="false">MAX(-Flows!BU73*BU$4*BU18/100,0)</f>
        <v>0</v>
      </c>
      <c r="BV103" s="10" t="n">
        <f aca="false">MAX(-Flows!BV73*BV$4*BV18/100,0)</f>
        <v>0</v>
      </c>
      <c r="BW103" s="10" t="n">
        <f aca="false">MAX(-Flows!BW73*BW$4*BW18/100,0)</f>
        <v>0</v>
      </c>
      <c r="BX103" s="10" t="n">
        <f aca="false">MAX(-Flows!BX73*BX$4*BX18/100,0)</f>
        <v>3850136.4827829</v>
      </c>
      <c r="BY103" s="10" t="n">
        <f aca="false">MAX(-Flows!BY73*BY$4*BY18/100,0)</f>
        <v>3850136.48278291</v>
      </c>
      <c r="BZ103" s="10" t="n">
        <f aca="false">MAX(-Flows!BZ73*BZ$4*BZ18/100,0)</f>
        <v>0</v>
      </c>
      <c r="CA103" s="10" t="n">
        <f aca="false">MAX(-Flows!CA73*CA$4*CA18/100,0)</f>
        <v>0</v>
      </c>
      <c r="CB103" s="10" t="n">
        <f aca="false">MAX(-Flows!CB73*CB$4*CB18/100,0)</f>
        <v>19250682.4139145</v>
      </c>
      <c r="CC103" s="10" t="n">
        <f aca="false">MAX(-Flows!CC73*CC$4*CC18/100,0)</f>
        <v>0</v>
      </c>
      <c r="CD103" s="10" t="n">
        <f aca="false">MAX(-Flows!CD73*CD$4*CD18/100,0)</f>
        <v>0</v>
      </c>
      <c r="CE103" s="10" t="n">
        <f aca="false">MAX(-Flows!CE73*CE$4*CE18/100,0)</f>
        <v>0</v>
      </c>
      <c r="CF103" s="10" t="n">
        <f aca="false">MAX(-Flows!CF73*CF$4*CF18/100,0)</f>
        <v>0</v>
      </c>
      <c r="CG103" s="10" t="n">
        <f aca="false">MAX(-Flows!CG73*CG$4*CG18/100,0)</f>
        <v>31031752088.5363</v>
      </c>
      <c r="CH103" s="10" t="n">
        <f aca="false">MAX(-Flows!CH73*CH$4*CH18/100,0)</f>
        <v>31031752088.5363</v>
      </c>
      <c r="CI103" s="10" t="n">
        <f aca="false">MAX(-Flows!CI73*CI$4*CI18/100,0)</f>
        <v>9625341.20695724</v>
      </c>
      <c r="CJ103" s="10" t="n">
        <f aca="false">MAX(-Flows!CJ73*CJ$4*CJ18/100,0)</f>
        <v>962534.120695724</v>
      </c>
      <c r="CK103" s="10" t="n">
        <f aca="false">MAX(-Flows!CK73*CK$4*CK18/100,0)</f>
        <v>962534.120695723</v>
      </c>
      <c r="CL103" s="7" t="s">
        <v>322</v>
      </c>
      <c r="CM103" s="10" t="n">
        <f aca="false">-CM43</f>
        <v>-82284947.0994841</v>
      </c>
      <c r="CN103" s="10" t="n">
        <f aca="false">-CN43</f>
        <v>56162470.2929072</v>
      </c>
      <c r="CO103" s="10" t="n">
        <f aca="false">-CO43</f>
        <v>24178378.2238392</v>
      </c>
      <c r="CP103" s="10" t="n">
        <f aca="false">-CP43</f>
        <v>33617842.0559531</v>
      </c>
      <c r="CQ103" s="10" t="n">
        <f aca="false">-CQ43</f>
        <v>38706362.1394955</v>
      </c>
      <c r="CR103" s="10" t="n">
        <f aca="false">-CR43</f>
        <v>2905731240436100</v>
      </c>
      <c r="CS103" s="10" t="n">
        <f aca="false">-CS43</f>
        <v>1613809.25457164</v>
      </c>
      <c r="CT103" s="10" t="n">
        <f aca="false">-CT43</f>
        <v>1477361.21993389</v>
      </c>
      <c r="CU103" s="10" t="n">
        <f aca="false">-CU43</f>
        <v>-74641376.5929313</v>
      </c>
      <c r="CV103" s="10" t="n">
        <f aca="false">-CV43</f>
        <v>803864.712593044</v>
      </c>
      <c r="CX103" s="0" t="str">
        <f aca="false">INDEX($C$1:$CK$1,MATCH(LARGE($C103:$CK103,1),$C103:$CK103,0))</f>
        <v>Iron (lb)</v>
      </c>
      <c r="CY103" s="0" t="str">
        <f aca="false">INDEX($C$1:$CK$1,MATCH(LARGE($C103:$CK103,2),$C103:$CK103,0))</f>
        <v>Cu (lb)</v>
      </c>
      <c r="CZ103" s="0" t="str">
        <f aca="false">INDEX($C$1:$CK$1,MATCH(LARGE($C103:$CK103,3),$C103:$CK103,0))</f>
        <v>Ag (lb)</v>
      </c>
      <c r="DA103" s="0" t="str">
        <f aca="false">INDEX($C$1:$CK$1,MATCH(LARGE($C103:$CK103,4),$C103:$CK103,0))</f>
        <v>Au (lb)</v>
      </c>
      <c r="DB103" s="0" t="str">
        <f aca="false">INDEX($C$1:$CK$1,MATCH(LARGE($C103:$CK103,5),$C103:$CK103,0))</f>
        <v>Diamonds (lb)</v>
      </c>
      <c r="DD103" s="0" t="str">
        <f aca="false">IF(LARGE($CM103:$CV103,1)&gt;0,INDEX($CM$30:$CV$30,MATCH(LARGE($CM103:$CV103,1),$CM103:$CV103,0)),"N/A")</f>
        <v>Mineral</v>
      </c>
      <c r="DE103" s="0" t="str">
        <f aca="false">IF(LARGE($CM103:$CV103,2)&gt;0,INDEX($CM$30:$CV$30,MATCH(LARGE($CM103:$CV103,2),$CM103:$CV103,0)),"N/A")</f>
        <v>Animal</v>
      </c>
      <c r="DF103" s="0" t="str">
        <f aca="false">IF(LARGE($CM103:$CV103,3)&gt;0,INDEX($CM$30:$CV$30,MATCH(LARGE($CM103:$CV103,3),$CM103:$CV103,0)),"N/A")</f>
        <v>Tools</v>
      </c>
      <c r="DG103" s="0" t="str">
        <f aca="false">IF(LARGE($CM103:$CV103,4)&gt;0,INDEX($CM$30:$CV$30,MATCH(LARGE($CM103:$CV103,4),$CM103:$CV103,0)),"N/A")</f>
        <v>Textile</v>
      </c>
      <c r="DH103" s="0" t="str">
        <f aca="false">IF(LARGE($CM103:$CV103,5)&gt;0,INDEX($CM$30:$CV$30,MATCH(LARGE($CM103:$CV103,5),$CM103:$CV103,0)),"N/A")</f>
        <v>Food Prod</v>
      </c>
    </row>
    <row r="104" customFormat="false" ht="12.8" hidden="false" customHeight="false" outlineLevel="0" collapsed="false">
      <c r="A104" s="7" t="s">
        <v>150</v>
      </c>
      <c r="B104" s="7" t="s">
        <v>39</v>
      </c>
      <c r="C104" s="10" t="n">
        <f aca="false">MAX(-Flows!C74*C$4*C19/100,0)</f>
        <v>37398528.1871731</v>
      </c>
      <c r="D104" s="10" t="n">
        <f aca="false">MAX(-Flows!D74*D$4*D19/100,0)</f>
        <v>45203648.4480048</v>
      </c>
      <c r="E104" s="10" t="n">
        <f aca="false">MAX(-Flows!E74*E$4*E19/100,0)</f>
        <v>41723431.4861221</v>
      </c>
      <c r="F104" s="10" t="n">
        <f aca="false">MAX(-Flows!F74*F$4*F19/100,0)</f>
        <v>0</v>
      </c>
      <c r="G104" s="10" t="n">
        <f aca="false">MAX(-Flows!G74*G$4*G19/100,0)</f>
        <v>46999977.0830957</v>
      </c>
      <c r="H104" s="10" t="n">
        <f aca="false">MAX(-Flows!H74*H$4*H19/100,0)</f>
        <v>0</v>
      </c>
      <c r="I104" s="10" t="n">
        <f aca="false">MAX(-Flows!I74*I$4*I19/100,0)</f>
        <v>0</v>
      </c>
      <c r="J104" s="10" t="n">
        <f aca="false">MAX(-Flows!J74*J$4*J19/100,0)</f>
        <v>0</v>
      </c>
      <c r="K104" s="10" t="n">
        <f aca="false">MAX(-Flows!K74*K$4*K19/100,0)</f>
        <v>0</v>
      </c>
      <c r="L104" s="10" t="n">
        <f aca="false">MAX(-Flows!L74*L$4*L19/100,0)</f>
        <v>0</v>
      </c>
      <c r="M104" s="10" t="n">
        <f aca="false">MAX(-Flows!M74*M$4*M19/100,0)</f>
        <v>0</v>
      </c>
      <c r="N104" s="10" t="n">
        <f aca="false">MAX(-Flows!N74*N$4*N19/100,0)</f>
        <v>62316089.0995736</v>
      </c>
      <c r="O104" s="10" t="n">
        <f aca="false">MAX(-Flows!O74*O$4*O19/100,0)</f>
        <v>0</v>
      </c>
      <c r="P104" s="10" t="n">
        <f aca="false">MAX(-Flows!P74*P$4*P19/100,0)</f>
        <v>0</v>
      </c>
      <c r="Q104" s="10" t="n">
        <f aca="false">MAX(-Flows!Q74*Q$4*Q19/100,0)</f>
        <v>42445966.7182912</v>
      </c>
      <c r="R104" s="10" t="n">
        <f aca="false">MAX(-Flows!R74*R$4*R19/100,0)</f>
        <v>45803919.9351617</v>
      </c>
      <c r="S104" s="10" t="n">
        <f aca="false">MAX(-Flows!S74*S$4*S19/100,0)</f>
        <v>0</v>
      </c>
      <c r="T104" s="10" t="n">
        <f aca="false">MAX(-Flows!T74*T$4*T19/100,0)</f>
        <v>0</v>
      </c>
      <c r="U104" s="10" t="n">
        <f aca="false">MAX(-Flows!U74*U$4*U19/100,0)</f>
        <v>0</v>
      </c>
      <c r="V104" s="10" t="n">
        <f aca="false">MAX(-Flows!V74*V$4*V19/100,0)</f>
        <v>41102990.031647</v>
      </c>
      <c r="W104" s="10" t="n">
        <f aca="false">MAX(-Flows!W74*W$4*W19/100,0)</f>
        <v>25415319.8948118</v>
      </c>
      <c r="X104" s="10" t="n">
        <f aca="false">MAX(-Flows!X74*X$4*X19/100,0)</f>
        <v>160652143.670704</v>
      </c>
      <c r="Y104" s="10" t="n">
        <f aca="false">MAX(-Flows!Y74*Y$4*Y19/100,0)</f>
        <v>0</v>
      </c>
      <c r="Z104" s="10" t="n">
        <f aca="false">MAX(-Flows!Z74*Z$4*Z19/100,0)</f>
        <v>0</v>
      </c>
      <c r="AA104" s="10" t="n">
        <f aca="false">MAX(-Flows!AA74*AA$4*AA19/100,0)</f>
        <v>0</v>
      </c>
      <c r="AB104" s="10" t="n">
        <f aca="false">MAX(-Flows!AB74*AB$4*AB19/100,0)</f>
        <v>303039.180973465</v>
      </c>
      <c r="AC104" s="10" t="n">
        <f aca="false">MAX(-Flows!AC74*AC$4*AC19/100,0)</f>
        <v>164539.09387449</v>
      </c>
      <c r="AD104" s="10" t="n">
        <f aca="false">MAX(-Flows!AD74*AD$4*AD19/100,0)</f>
        <v>151519.590486732</v>
      </c>
      <c r="AE104" s="10" t="n">
        <f aca="false">MAX(-Flows!AE74*AE$4*AE19/100,0)</f>
        <v>1335997.31426633</v>
      </c>
      <c r="AF104" s="10" t="n">
        <f aca="false">MAX(-Flows!AF74*AF$4*AF19/100,0)</f>
        <v>0</v>
      </c>
      <c r="AG104" s="10" t="n">
        <f aca="false">MAX(-Flows!AG74*AG$4*AG19/100,0)</f>
        <v>17717358.4957465</v>
      </c>
      <c r="AH104" s="10" t="n">
        <f aca="false">MAX(-Flows!AH74*AH$4*AH19/100,0)</f>
        <v>14774504.1927147</v>
      </c>
      <c r="AI104" s="10" t="n">
        <f aca="false">MAX(-Flows!AI74*AI$4*AI19/100,0)</f>
        <v>12252647.0679251</v>
      </c>
      <c r="AJ104" s="10" t="n">
        <f aca="false">MAX(-Flows!AJ74*AJ$4*AJ19/100,0)</f>
        <v>6986297.29437015</v>
      </c>
      <c r="AK104" s="10" t="n">
        <f aca="false">MAX(-Flows!AK74*AK$4*AK19/100,0)</f>
        <v>9203128.12363712</v>
      </c>
      <c r="AL104" s="10" t="n">
        <f aca="false">MAX(-Flows!AL74*AL$4*AL19/100,0)</f>
        <v>11610948.0606028</v>
      </c>
      <c r="AM104" s="10" t="n">
        <f aca="false">MAX(-Flows!AM74*AM$4*AM19/100,0)</f>
        <v>29635270.1526593</v>
      </c>
      <c r="AN104" s="10" t="n">
        <f aca="false">MAX(-Flows!AN74*AN$4*AN19/100,0)</f>
        <v>0</v>
      </c>
      <c r="AO104" s="10" t="n">
        <f aca="false">MAX(-Flows!AO74*AO$4*AO19/100,0)</f>
        <v>14982690.556016</v>
      </c>
      <c r="AP104" s="10" t="n">
        <f aca="false">MAX(-Flows!AP74*AP$4*AP19/100,0)</f>
        <v>16498641.6089049</v>
      </c>
      <c r="AQ104" s="10" t="n">
        <f aca="false">MAX(-Flows!AQ74*AQ$4*AQ19/100,0)</f>
        <v>5751397.7965355</v>
      </c>
      <c r="AR104" s="10" t="n">
        <f aca="false">MAX(-Flows!AR74*AR$4*AR19/100,0)</f>
        <v>2002917.84569124</v>
      </c>
      <c r="AS104" s="10" t="n">
        <f aca="false">MAX(-Flows!AS74*AS$4*AS19/100,0)</f>
        <v>2482637.55509989</v>
      </c>
      <c r="AT104" s="10" t="n">
        <f aca="false">MAX(-Flows!AT74*AT$4*AT19/100,0)</f>
        <v>11060163.735572</v>
      </c>
      <c r="AU104" s="10" t="n">
        <f aca="false">MAX(-Flows!AU74*AU$4*AU19/100,0)</f>
        <v>7066929.88901699</v>
      </c>
      <c r="AV104" s="10" t="n">
        <f aca="false">MAX(-Flows!AV74*AV$4*AV19/100,0)</f>
        <v>22470520.6213253</v>
      </c>
      <c r="AW104" s="10" t="n">
        <f aca="false">MAX(-Flows!AW74*AW$4*AW19/100,0)</f>
        <v>2735348.56209859</v>
      </c>
      <c r="AX104" s="10" t="n">
        <f aca="false">MAX(-Flows!AX74*AX$4*AX19/100,0)</f>
        <v>0</v>
      </c>
      <c r="AY104" s="10" t="n">
        <f aca="false">MAX(-Flows!AY74*AY$4*AY19/100,0)</f>
        <v>2626738.57143829</v>
      </c>
      <c r="AZ104" s="10" t="n">
        <f aca="false">MAX(-Flows!AZ74*AZ$4*AZ19/100,0)</f>
        <v>5310852.52044889</v>
      </c>
      <c r="BA104" s="10" t="n">
        <f aca="false">MAX(-Flows!BA74*BA$4*BA19/100,0)</f>
        <v>0</v>
      </c>
      <c r="BB104" s="10" t="n">
        <f aca="false">MAX(-Flows!BB74*BB$4*BB19/100,0)</f>
        <v>12742060.5154872</v>
      </c>
      <c r="BC104" s="10" t="n">
        <f aca="false">MAX(-Flows!BC74*BC$4*BC19/100,0)</f>
        <v>9922963.95414845</v>
      </c>
      <c r="BD104" s="10" t="n">
        <f aca="false">MAX(-Flows!BD74*BD$4*BD19/100,0)</f>
        <v>19989224.8825089</v>
      </c>
      <c r="BE104" s="10" t="n">
        <f aca="false">MAX(-Flows!BE74*BE$4*BE19/100,0)</f>
        <v>7159377.13830917</v>
      </c>
      <c r="BF104" s="10" t="n">
        <f aca="false">MAX(-Flows!BF74*BF$4*BF19/100,0)</f>
        <v>189163374.407932</v>
      </c>
      <c r="BG104" s="10" t="n">
        <f aca="false">MAX(-Flows!BG74*BG$4*BG19/100,0)</f>
        <v>16331072.1176286</v>
      </c>
      <c r="BH104" s="10" t="n">
        <f aca="false">MAX(-Flows!BH74*BH$4*BH19/100,0)</f>
        <v>15783403.5006077</v>
      </c>
      <c r="BI104" s="10" t="n">
        <f aca="false">MAX(-Flows!BI74*BI$4*BI19/100,0)</f>
        <v>46063439.8858791</v>
      </c>
      <c r="BJ104" s="10" t="n">
        <f aca="false">MAX(-Flows!BJ74*BJ$4*BJ19/100,0)</f>
        <v>46063439.8858791</v>
      </c>
      <c r="BK104" s="10" t="n">
        <f aca="false">MAX(-Flows!BK74*BK$4*BK19/100,0)</f>
        <v>46063439.8858791</v>
      </c>
      <c r="BL104" s="10" t="n">
        <f aca="false">MAX(-Flows!BL74*BL$4*BL19/100,0)</f>
        <v>4244596.67182912</v>
      </c>
      <c r="BM104" s="10" t="n">
        <f aca="false">MAX(-Flows!BM74*BM$4*BM19/100,0)</f>
        <v>4244596.67182912</v>
      </c>
      <c r="BN104" s="10" t="n">
        <f aca="false">MAX(-Flows!BN74*BN$4*BN19/100,0)</f>
        <v>0</v>
      </c>
      <c r="BO104" s="10" t="n">
        <f aca="false">MAX(-Flows!BO74*BO$4*BO19/100,0)</f>
        <v>16033173865920.6</v>
      </c>
      <c r="BP104" s="10" t="n">
        <f aca="false">MAX(-Flows!BP74*BP$4*BP19/100,0)</f>
        <v>7482148386680270</v>
      </c>
      <c r="BQ104" s="10" t="n">
        <f aca="false">MAX(-Flows!BQ74*BQ$4*BQ19/100,0)</f>
        <v>0</v>
      </c>
      <c r="BR104" s="10" t="n">
        <f aca="false">MAX(-Flows!BR74*BR$4*BR19/100,0)</f>
        <v>5344390449182.03</v>
      </c>
      <c r="BS104" s="10" t="n">
        <f aca="false">MAX(-Flows!BS74*BS$4*BS19/100,0)</f>
        <v>2672194594997.37</v>
      </c>
      <c r="BT104" s="10" t="n">
        <f aca="false">MAX(-Flows!BT74*BT$4*BT19/100,0)</f>
        <v>0</v>
      </c>
      <c r="BU104" s="10" t="n">
        <f aca="false">MAX(-Flows!BU74*BU$4*BU19/100,0)</f>
        <v>0</v>
      </c>
      <c r="BV104" s="10" t="n">
        <f aca="false">MAX(-Flows!BV74*BV$4*BV19/100,0)</f>
        <v>0</v>
      </c>
      <c r="BW104" s="10" t="n">
        <f aca="false">MAX(-Flows!BW74*BW$4*BW19/100,0)</f>
        <v>0</v>
      </c>
      <c r="BX104" s="10" t="n">
        <f aca="false">MAX(-Flows!BX74*BX$4*BX19/100,0)</f>
        <v>8489193.34365825</v>
      </c>
      <c r="BY104" s="10" t="n">
        <f aca="false">MAX(-Flows!BY74*BY$4*BY19/100,0)</f>
        <v>8489193.34365824</v>
      </c>
      <c r="BZ104" s="10" t="n">
        <f aca="false">MAX(-Flows!BZ74*BZ$4*BZ19/100,0)</f>
        <v>19671960.7534387</v>
      </c>
      <c r="CA104" s="10" t="n">
        <f aca="false">MAX(-Flows!CA74*CA$4*CA19/100,0)</f>
        <v>19671960.7534387</v>
      </c>
      <c r="CB104" s="10" t="n">
        <f aca="false">MAX(-Flows!CB74*CB$4*CB19/100,0)</f>
        <v>42445966.7182913</v>
      </c>
      <c r="CC104" s="10" t="n">
        <f aca="false">MAX(-Flows!CC74*CC$4*CC19/100,0)</f>
        <v>2303171.99429395</v>
      </c>
      <c r="CD104" s="10" t="n">
        <f aca="false">MAX(-Flows!CD74*CD$4*CD19/100,0)</f>
        <v>0</v>
      </c>
      <c r="CE104" s="10" t="n">
        <f aca="false">MAX(-Flows!CE74*CE$4*CE19/100,0)</f>
        <v>2303171.99429395</v>
      </c>
      <c r="CF104" s="10" t="n">
        <f aca="false">MAX(-Flows!CF74*CF$4*CF19/100,0)</f>
        <v>4606343.98858791</v>
      </c>
      <c r="CG104" s="10" t="n">
        <f aca="false">MAX(-Flows!CG74*CG$4*CG19/100,0)</f>
        <v>80164616438.2621</v>
      </c>
      <c r="CH104" s="10" t="n">
        <f aca="false">MAX(-Flows!CH74*CH$4*CH19/100,0)</f>
        <v>80164616438.2621</v>
      </c>
      <c r="CI104" s="10" t="n">
        <f aca="false">MAX(-Flows!CI74*CI$4*CI19/100,0)</f>
        <v>21222983.3591456</v>
      </c>
      <c r="CJ104" s="10" t="n">
        <f aca="false">MAX(-Flows!CJ74*CJ$4*CJ19/100,0)</f>
        <v>2122298.33591456</v>
      </c>
      <c r="CK104" s="10" t="n">
        <f aca="false">MAX(-Flows!CK74*CK$4*CK19/100,0)</f>
        <v>2122298.33591456</v>
      </c>
      <c r="CL104" s="7" t="s">
        <v>322</v>
      </c>
      <c r="CM104" s="10" t="n">
        <f aca="false">-CM44</f>
        <v>356895289.7875</v>
      </c>
      <c r="CN104" s="10" t="n">
        <f aca="false">-CN44</f>
        <v>173772214.871555</v>
      </c>
      <c r="CO104" s="10" t="n">
        <f aca="false">-CO44</f>
        <v>280676131.371255</v>
      </c>
      <c r="CP104" s="10" t="n">
        <f aca="false">-CP44</f>
        <v>73798746.4467428</v>
      </c>
      <c r="CQ104" s="10" t="n">
        <f aca="false">-CQ44</f>
        <v>182645829.288826</v>
      </c>
      <c r="CR104" s="10" t="n">
        <f aca="false">-CR44</f>
        <v>7506358664151160</v>
      </c>
      <c r="CS104" s="10" t="n">
        <f aca="false">-CS44</f>
        <v>21952124.3738357</v>
      </c>
      <c r="CT104" s="10" t="n">
        <f aca="false">-CT44</f>
        <v>8850940.66041703</v>
      </c>
      <c r="CU104" s="10" t="n">
        <f aca="false">-CU44</f>
        <v>-49176252.7727677</v>
      </c>
      <c r="CV104" s="10" t="n">
        <f aca="false">-CV44</f>
        <v>454558.771460197</v>
      </c>
      <c r="CX104" s="0" t="str">
        <f aca="false">INDEX($C$1:$CK$1,MATCH(LARGE($C104:$CK104,1),$C104:$CK104,0))</f>
        <v>Iron (lb)</v>
      </c>
      <c r="CY104" s="0" t="str">
        <f aca="false">INDEX($C$1:$CK$1,MATCH(LARGE($C104:$CK104,2),$C104:$CK104,0))</f>
        <v>Cu (lb)</v>
      </c>
      <c r="CZ104" s="0" t="str">
        <f aca="false">INDEX($C$1:$CK$1,MATCH(LARGE($C104:$CK104,3),$C104:$CK104,0))</f>
        <v>Ag (lb)</v>
      </c>
      <c r="DA104" s="0" t="str">
        <f aca="false">INDEX($C$1:$CK$1,MATCH(LARGE($C104:$CK104,4),$C104:$CK104,0))</f>
        <v>Au (lb)</v>
      </c>
      <c r="DB104" s="0" t="str">
        <f aca="false">INDEX($C$1:$CK$1,MATCH(LARGE($C104:$CK104,5),$C104:$CK104,0))</f>
        <v>Diamonds (lb)</v>
      </c>
      <c r="DD104" s="0" t="str">
        <f aca="false">IF(LARGE($CM104:$CV104,1)&gt;0,INDEX($CM$30:$CV$30,MATCH(LARGE($CM104:$CV104,1),$CM104:$CV104,0)),"N/A")</f>
        <v>Mineral</v>
      </c>
      <c r="DE104" s="0" t="str">
        <f aca="false">IF(LARGE($CM104:$CV104,2)&gt;0,INDEX($CM$30:$CV$30,MATCH(LARGE($CM104:$CV104,2),$CM104:$CV104,0)),"N/A")</f>
        <v>Produce</v>
      </c>
      <c r="DF104" s="0" t="str">
        <f aca="false">IF(LARGE($CM104:$CV104,3)&gt;0,INDEX($CM$30:$CV$30,MATCH(LARGE($CM104:$CV104,3),$CM104:$CV104,0)),"N/A")</f>
        <v>Food Prod</v>
      </c>
      <c r="DG104" s="0" t="str">
        <f aca="false">IF(LARGE($CM104:$CV104,4)&gt;0,INDEX($CM$30:$CV$30,MATCH(LARGE($CM104:$CV104,4),$CM104:$CV104,0)),"N/A")</f>
        <v>Tools</v>
      </c>
      <c r="DH104" s="0" t="str">
        <f aca="false">IF(LARGE($CM104:$CV104,5)&gt;0,INDEX($CM$30:$CV$30,MATCH(LARGE($CM104:$CV104,5),$CM104:$CV104,0)),"N/A")</f>
        <v>Animal</v>
      </c>
    </row>
    <row r="105" customFormat="false" ht="12.8" hidden="false" customHeight="false" outlineLevel="0" collapsed="false">
      <c r="A105" s="7" t="s">
        <v>151</v>
      </c>
      <c r="B105" s="7" t="s">
        <v>39</v>
      </c>
      <c r="C105" s="10" t="n">
        <f aca="false">MAX(-Flows!C75*C$4*C20/100,0)</f>
        <v>0</v>
      </c>
      <c r="D105" s="10" t="n">
        <f aca="false">MAX(-Flows!D75*D$4*D20/100,0)</f>
        <v>0</v>
      </c>
      <c r="E105" s="10" t="n">
        <f aca="false">MAX(-Flows!E75*E$4*E20/100,0)</f>
        <v>0</v>
      </c>
      <c r="F105" s="10" t="n">
        <f aca="false">MAX(-Flows!F75*F$4*F20/100,0)</f>
        <v>0</v>
      </c>
      <c r="G105" s="10" t="n">
        <f aca="false">MAX(-Flows!G75*G$4*G20/100,0)</f>
        <v>0</v>
      </c>
      <c r="H105" s="10" t="n">
        <f aca="false">MAX(-Flows!H75*H$4*H20/100,0)</f>
        <v>0</v>
      </c>
      <c r="I105" s="10" t="n">
        <f aca="false">MAX(-Flows!I75*I$4*I20/100,0)</f>
        <v>2427469.76097357</v>
      </c>
      <c r="J105" s="10" t="n">
        <f aca="false">MAX(-Flows!J75*J$4*J20/100,0)</f>
        <v>0</v>
      </c>
      <c r="K105" s="10" t="n">
        <f aca="false">MAX(-Flows!K75*K$4*K20/100,0)</f>
        <v>0</v>
      </c>
      <c r="L105" s="10" t="n">
        <f aca="false">MAX(-Flows!L75*L$4*L20/100,0)</f>
        <v>0</v>
      </c>
      <c r="M105" s="10" t="n">
        <f aca="false">MAX(-Flows!M75*M$4*M20/100,0)</f>
        <v>0</v>
      </c>
      <c r="N105" s="10" t="n">
        <f aca="false">MAX(-Flows!N75*N$4*N20/100,0)</f>
        <v>0</v>
      </c>
      <c r="O105" s="10" t="n">
        <f aca="false">MAX(-Flows!O75*O$4*O20/100,0)</f>
        <v>0</v>
      </c>
      <c r="P105" s="10" t="n">
        <f aca="false">MAX(-Flows!P75*P$4*P20/100,0)</f>
        <v>0</v>
      </c>
      <c r="Q105" s="10" t="n">
        <f aca="false">MAX(-Flows!Q75*Q$4*Q20/100,0)</f>
        <v>0</v>
      </c>
      <c r="R105" s="10" t="n">
        <f aca="false">MAX(-Flows!R75*R$4*R20/100,0)</f>
        <v>0</v>
      </c>
      <c r="S105" s="10" t="n">
        <f aca="false">MAX(-Flows!S75*S$4*S20/100,0)</f>
        <v>0</v>
      </c>
      <c r="T105" s="10" t="n">
        <f aca="false">MAX(-Flows!T75*T$4*T20/100,0)</f>
        <v>0</v>
      </c>
      <c r="U105" s="10" t="n">
        <f aca="false">MAX(-Flows!U75*U$4*U20/100,0)</f>
        <v>0</v>
      </c>
      <c r="V105" s="10" t="n">
        <f aca="false">MAX(-Flows!V75*V$4*V20/100,0)</f>
        <v>0</v>
      </c>
      <c r="W105" s="10" t="n">
        <f aca="false">MAX(-Flows!W75*W$4*W20/100,0)</f>
        <v>0</v>
      </c>
      <c r="X105" s="10" t="n">
        <f aca="false">MAX(-Flows!X75*X$4*X20/100,0)</f>
        <v>0</v>
      </c>
      <c r="Y105" s="10" t="n">
        <f aca="false">MAX(-Flows!Y75*Y$4*Y20/100,0)</f>
        <v>0</v>
      </c>
      <c r="Z105" s="10" t="n">
        <f aca="false">MAX(-Flows!Z75*Z$4*Z20/100,0)</f>
        <v>0</v>
      </c>
      <c r="AA105" s="10" t="n">
        <f aca="false">MAX(-Flows!AA75*AA$4*AA20/100,0)</f>
        <v>27273.3397561558</v>
      </c>
      <c r="AB105" s="10" t="n">
        <f aca="false">MAX(-Flows!AB75*AB$4*AB20/100,0)</f>
        <v>0</v>
      </c>
      <c r="AC105" s="10" t="n">
        <f aca="false">MAX(-Flows!AC75*AC$4*AC20/100,0)</f>
        <v>105188.469245917</v>
      </c>
      <c r="AD105" s="10" t="n">
        <f aca="false">MAX(-Flows!AD75*AD$4*AD20/100,0)</f>
        <v>0</v>
      </c>
      <c r="AE105" s="10" t="n">
        <f aca="false">MAX(-Flows!AE75*AE$4*AE20/100,0)</f>
        <v>0</v>
      </c>
      <c r="AF105" s="10" t="n">
        <f aca="false">MAX(-Flows!AF75*AF$4*AF20/100,0)</f>
        <v>0</v>
      </c>
      <c r="AG105" s="10" t="n">
        <f aca="false">MAX(-Flows!AG75*AG$4*AG20/100,0)</f>
        <v>0</v>
      </c>
      <c r="AH105" s="10" t="n">
        <f aca="false">MAX(-Flows!AH75*AH$4*AH20/100,0)</f>
        <v>0</v>
      </c>
      <c r="AI105" s="10" t="n">
        <f aca="false">MAX(-Flows!AI75*AI$4*AI20/100,0)</f>
        <v>2776362.31350937</v>
      </c>
      <c r="AJ105" s="10" t="n">
        <f aca="false">MAX(-Flows!AJ75*AJ$4*AJ20/100,0)</f>
        <v>0</v>
      </c>
      <c r="AK105" s="10" t="n">
        <f aca="false">MAX(-Flows!AK75*AK$4*AK20/100,0)</f>
        <v>0</v>
      </c>
      <c r="AL105" s="10" t="n">
        <f aca="false">MAX(-Flows!AL75*AL$4*AL20/100,0)</f>
        <v>0</v>
      </c>
      <c r="AM105" s="10" t="n">
        <f aca="false">MAX(-Flows!AM75*AM$4*AM20/100,0)</f>
        <v>0</v>
      </c>
      <c r="AN105" s="10" t="n">
        <f aca="false">MAX(-Flows!AN75*AN$4*AN20/100,0)</f>
        <v>0</v>
      </c>
      <c r="AO105" s="10" t="n">
        <f aca="false">MAX(-Flows!AO75*AO$4*AO20/100,0)</f>
        <v>0</v>
      </c>
      <c r="AP105" s="10" t="n">
        <f aca="false">MAX(-Flows!AP75*AP$4*AP20/100,0)</f>
        <v>0</v>
      </c>
      <c r="AQ105" s="10" t="n">
        <f aca="false">MAX(-Flows!AQ75*AQ$4*AQ20/100,0)</f>
        <v>0</v>
      </c>
      <c r="AR105" s="10" t="n">
        <f aca="false">MAX(-Flows!AR75*AR$4*AR20/100,0)</f>
        <v>2194927.68022424</v>
      </c>
      <c r="AS105" s="10" t="n">
        <f aca="false">MAX(-Flows!AS75*AS$4*AS20/100,0)</f>
        <v>0</v>
      </c>
      <c r="AT105" s="10" t="n">
        <f aca="false">MAX(-Flows!AT75*AT$4*AT20/100,0)</f>
        <v>2024536.22732271</v>
      </c>
      <c r="AU105" s="10" t="n">
        <f aca="false">MAX(-Flows!AU75*AU$4*AU20/100,0)</f>
        <v>3294239.12020573</v>
      </c>
      <c r="AV105" s="10" t="n">
        <f aca="false">MAX(-Flows!AV75*AV$4*AV20/100,0)</f>
        <v>0</v>
      </c>
      <c r="AW105" s="10" t="n">
        <f aca="false">MAX(-Flows!AW75*AW$4*AW20/100,0)</f>
        <v>1986455.98443473</v>
      </c>
      <c r="AX105" s="10" t="n">
        <f aca="false">MAX(-Flows!AX75*AX$4*AX20/100,0)</f>
        <v>0</v>
      </c>
      <c r="AY105" s="10" t="n">
        <f aca="false">MAX(-Flows!AY75*AY$4*AY20/100,0)</f>
        <v>311026.965800587</v>
      </c>
      <c r="AZ105" s="10" t="n">
        <f aca="false">MAX(-Flows!AZ75*AZ$4*AZ20/100,0)</f>
        <v>0</v>
      </c>
      <c r="BA105" s="10" t="n">
        <f aca="false">MAX(-Flows!BA75*BA$4*BA20/100,0)</f>
        <v>0</v>
      </c>
      <c r="BB105" s="10" t="n">
        <f aca="false">MAX(-Flows!BB75*BB$4*BB20/100,0)</f>
        <v>0</v>
      </c>
      <c r="BC105" s="10" t="n">
        <f aca="false">MAX(-Flows!BC75*BC$4*BC20/100,0)</f>
        <v>0</v>
      </c>
      <c r="BD105" s="10" t="n">
        <f aca="false">MAX(-Flows!BD75*BD$4*BD20/100,0)</f>
        <v>0</v>
      </c>
      <c r="BE105" s="10" t="n">
        <f aca="false">MAX(-Flows!BE75*BE$4*BE20/100,0)</f>
        <v>0</v>
      </c>
      <c r="BF105" s="10" t="n">
        <f aca="false">MAX(-Flows!BF75*BF$4*BF20/100,0)</f>
        <v>32777512.5852255</v>
      </c>
      <c r="BG105" s="10" t="n">
        <f aca="false">MAX(-Flows!BG75*BG$4*BG20/100,0)</f>
        <v>0</v>
      </c>
      <c r="BH105" s="10" t="n">
        <f aca="false">MAX(-Flows!BH75*BH$4*BH20/100,0)</f>
        <v>0</v>
      </c>
      <c r="BI105" s="10" t="n">
        <f aca="false">MAX(-Flows!BI75*BI$4*BI20/100,0)</f>
        <v>0</v>
      </c>
      <c r="BJ105" s="10" t="n">
        <f aca="false">MAX(-Flows!BJ75*BJ$4*BJ20/100,0)</f>
        <v>0</v>
      </c>
      <c r="BK105" s="10" t="n">
        <f aca="false">MAX(-Flows!BK75*BK$4*BK20/100,0)</f>
        <v>0</v>
      </c>
      <c r="BL105" s="10" t="n">
        <f aca="false">MAX(-Flows!BL75*BL$4*BL20/100,0)</f>
        <v>0</v>
      </c>
      <c r="BM105" s="10" t="n">
        <f aca="false">MAX(-Flows!BM75*BM$4*BM20/100,0)</f>
        <v>0</v>
      </c>
      <c r="BN105" s="10" t="n">
        <f aca="false">MAX(-Flows!BN75*BN$4*BN20/100,0)</f>
        <v>0</v>
      </c>
      <c r="BO105" s="10" t="n">
        <f aca="false">MAX(-Flows!BO75*BO$4*BO20/100,0)</f>
        <v>9540972064941.73</v>
      </c>
      <c r="BP105" s="10" t="n">
        <f aca="false">MAX(-Flows!BP75*BP$4*BP20/100,0)</f>
        <v>4452453749917710</v>
      </c>
      <c r="BQ105" s="10" t="n">
        <f aca="false">MAX(-Flows!BQ75*BQ$4*BQ20/100,0)</f>
        <v>0</v>
      </c>
      <c r="BR105" s="10" t="n">
        <f aca="false">MAX(-Flows!BR75*BR$4*BR20/100,0)</f>
        <v>3180323849296.28</v>
      </c>
      <c r="BS105" s="10" t="n">
        <f aca="false">MAX(-Flows!BS75*BS$4*BS20/100,0)</f>
        <v>1590161795384.92</v>
      </c>
      <c r="BT105" s="10" t="n">
        <f aca="false">MAX(-Flows!BT75*BT$4*BT20/100,0)</f>
        <v>0</v>
      </c>
      <c r="BU105" s="10" t="n">
        <f aca="false">MAX(-Flows!BU75*BU$4*BU20/100,0)</f>
        <v>0</v>
      </c>
      <c r="BV105" s="10" t="n">
        <f aca="false">MAX(-Flows!BV75*BV$4*BV20/100,0)</f>
        <v>0</v>
      </c>
      <c r="BW105" s="10" t="n">
        <f aca="false">MAX(-Flows!BW75*BW$4*BW20/100,0)</f>
        <v>0</v>
      </c>
      <c r="BX105" s="10" t="n">
        <f aca="false">MAX(-Flows!BX75*BX$4*BX20/100,0)</f>
        <v>0</v>
      </c>
      <c r="BY105" s="10" t="n">
        <f aca="false">MAX(-Flows!BY75*BY$4*BY20/100,0)</f>
        <v>0</v>
      </c>
      <c r="BZ105" s="10" t="n">
        <f aca="false">MAX(-Flows!BZ75*BZ$4*BZ20/100,0)</f>
        <v>0</v>
      </c>
      <c r="CA105" s="10" t="n">
        <f aca="false">MAX(-Flows!CA75*CA$4*CA20/100,0)</f>
        <v>0</v>
      </c>
      <c r="CB105" s="10" t="n">
        <f aca="false">MAX(-Flows!CB75*CB$4*CB20/100,0)</f>
        <v>0</v>
      </c>
      <c r="CC105" s="10" t="n">
        <f aca="false">MAX(-Flows!CC75*CC$4*CC20/100,0)</f>
        <v>0</v>
      </c>
      <c r="CD105" s="10" t="n">
        <f aca="false">MAX(-Flows!CD75*CD$4*CD20/100,0)</f>
        <v>0</v>
      </c>
      <c r="CE105" s="10" t="n">
        <f aca="false">MAX(-Flows!CE75*CE$4*CE20/100,0)</f>
        <v>0</v>
      </c>
      <c r="CF105" s="10" t="n">
        <f aca="false">MAX(-Flows!CF75*CF$4*CF20/100,0)</f>
        <v>0</v>
      </c>
      <c r="CG105" s="10" t="n">
        <f aca="false">MAX(-Flows!CG75*CG$4*CG20/100,0)</f>
        <v>47704603090.8999</v>
      </c>
      <c r="CH105" s="10" t="n">
        <f aca="false">MAX(-Flows!CH75*CH$4*CH20/100,0)</f>
        <v>47704603090.8999</v>
      </c>
      <c r="CI105" s="10" t="n">
        <f aca="false">MAX(-Flows!CI75*CI$4*CI20/100,0)</f>
        <v>0</v>
      </c>
      <c r="CJ105" s="10" t="n">
        <f aca="false">MAX(-Flows!CJ75*CJ$4*CJ20/100,0)</f>
        <v>0</v>
      </c>
      <c r="CK105" s="10" t="n">
        <f aca="false">MAX(-Flows!CK75*CK$4*CK20/100,0)</f>
        <v>0</v>
      </c>
      <c r="CL105" s="7" t="s">
        <v>322</v>
      </c>
      <c r="CM105" s="10" t="n">
        <f aca="false">-CM45</f>
        <v>-191130649.518998</v>
      </c>
      <c r="CN105" s="10" t="n">
        <f aca="false">-CN45</f>
        <v>-95505206.719567</v>
      </c>
      <c r="CO105" s="10" t="n">
        <f aca="false">-CO45</f>
        <v>-204772850.729251</v>
      </c>
      <c r="CP105" s="10" t="n">
        <f aca="false">-CP45</f>
        <v>-35618868.7228252</v>
      </c>
      <c r="CQ105" s="10" t="n">
        <f aca="false">-CQ45</f>
        <v>-91336528.5721072</v>
      </c>
      <c r="CR105" s="10" t="n">
        <f aca="false">-CR45</f>
        <v>4466860649716220</v>
      </c>
      <c r="CS105" s="10" t="n">
        <f aca="false">-CS45</f>
        <v>2439617.51312752</v>
      </c>
      <c r="CT105" s="10" t="n">
        <f aca="false">-CT45</f>
        <v>-5430195.31272912</v>
      </c>
      <c r="CU105" s="10" t="n">
        <f aca="false">-CU45</f>
        <v>-2546024.02241231</v>
      </c>
      <c r="CV105" s="10" t="n">
        <f aca="false">-CV45</f>
        <v>-138527.325794485</v>
      </c>
      <c r="CX105" s="0" t="str">
        <f aca="false">INDEX($C$1:$CK$1,MATCH(LARGE($C105:$CK105,1),$C105:$CK105,0))</f>
        <v>Iron (lb)</v>
      </c>
      <c r="CY105" s="0" t="str">
        <f aca="false">INDEX($C$1:$CK$1,MATCH(LARGE($C105:$CK105,2),$C105:$CK105,0))</f>
        <v>Cu (lb)</v>
      </c>
      <c r="CZ105" s="0" t="str">
        <f aca="false">INDEX($C$1:$CK$1,MATCH(LARGE($C105:$CK105,3),$C105:$CK105,0))</f>
        <v>Ag (lb)</v>
      </c>
      <c r="DA105" s="0" t="str">
        <f aca="false">INDEX($C$1:$CK$1,MATCH(LARGE($C105:$CK105,4),$C105:$CK105,0))</f>
        <v>Au (lb)</v>
      </c>
      <c r="DB105" s="0" t="str">
        <f aca="false">INDEX($C$1:$CK$1,MATCH(LARGE($C105:$CK105,5),$C105:$CK105,0))</f>
        <v>Diamonds (lb)</v>
      </c>
      <c r="DD105" s="0" t="str">
        <f aca="false">IF(LARGE($CM105:$CV105,1)&gt;0,INDEX($CM$30:$CV$30,MATCH(LARGE($CM105:$CV105,1),$CM105:$CV105,0)),"N/A")</f>
        <v>Mineral</v>
      </c>
      <c r="DE105" s="0" t="str">
        <f aca="false">IF(LARGE($CM105:$CV105,2)&gt;0,INDEX($CM$30:$CV$30,MATCH(LARGE($CM105:$CV105,2),$CM105:$CV105,0)),"N/A")</f>
        <v>Wood</v>
      </c>
      <c r="DF105" s="0" t="str">
        <f aca="false">IF(LARGE($CM105:$CV105,3)&gt;0,INDEX($CM$30:$CV$30,MATCH(LARGE($CM105:$CV105,3),$CM105:$CV105,0)),"N/A")</f>
        <v>N/A</v>
      </c>
      <c r="DG105" s="0" t="str">
        <f aca="false">IF(LARGE($CM105:$CV105,4)&gt;0,INDEX($CM$30:$CV$30,MATCH(LARGE($CM105:$CV105,4),$CM105:$CV105,0)),"N/A")</f>
        <v>N/A</v>
      </c>
      <c r="DH105" s="0" t="str">
        <f aca="false">IF(LARGE($CM105:$CV105,5)&gt;0,INDEX($CM$30:$CV$30,MATCH(LARGE($CM105:$CV105,5),$CM105:$CV105,0)),"N/A")</f>
        <v>N/A</v>
      </c>
    </row>
    <row r="106" s="17" customFormat="true" ht="12.8" hidden="false" customHeight="false" outlineLevel="0" collapsed="false">
      <c r="A106" s="21" t="s">
        <v>152</v>
      </c>
      <c r="B106" s="21" t="s">
        <v>39</v>
      </c>
      <c r="C106" s="25" t="n">
        <f aca="false">MAX(-Flows!C76*C$4*C21/100,0)</f>
        <v>5416544.98743151</v>
      </c>
      <c r="D106" s="25" t="n">
        <f aca="false">MAX(-Flows!D76*D$4*D21/100,0)</f>
        <v>0</v>
      </c>
      <c r="E106" s="25" t="n">
        <f aca="false">MAX(-Flows!E76*E$4*E21/100,0)</f>
        <v>9698023.38314213</v>
      </c>
      <c r="F106" s="25" t="n">
        <f aca="false">MAX(-Flows!F76*F$4*F21/100,0)</f>
        <v>0</v>
      </c>
      <c r="G106" s="25" t="n">
        <f aca="false">MAX(-Flows!G76*G$4*G21/100,0)</f>
        <v>0</v>
      </c>
      <c r="H106" s="25" t="n">
        <f aca="false">MAX(-Flows!H76*H$4*H21/100,0)</f>
        <v>0</v>
      </c>
      <c r="I106" s="25" t="n">
        <f aca="false">MAX(-Flows!I76*I$4*I21/100,0)</f>
        <v>18978252.0673137</v>
      </c>
      <c r="J106" s="25" t="n">
        <f aca="false">MAX(-Flows!J76*J$4*J21/100,0)</f>
        <v>0</v>
      </c>
      <c r="K106" s="25" t="n">
        <f aca="false">MAX(-Flows!K76*K$4*K21/100,0)</f>
        <v>0</v>
      </c>
      <c r="L106" s="25" t="n">
        <f aca="false">MAX(-Flows!L76*L$4*L21/100,0)</f>
        <v>0</v>
      </c>
      <c r="M106" s="25" t="n">
        <f aca="false">MAX(-Flows!M76*M$4*M21/100,0)</f>
        <v>0</v>
      </c>
      <c r="N106" s="25" t="n">
        <f aca="false">MAX(-Flows!N76*N$4*N21/100,0)</f>
        <v>0</v>
      </c>
      <c r="O106" s="25" t="n">
        <f aca="false">MAX(-Flows!O76*O$4*O21/100,0)</f>
        <v>0</v>
      </c>
      <c r="P106" s="25" t="n">
        <f aca="false">MAX(-Flows!P76*P$4*P21/100,0)</f>
        <v>0</v>
      </c>
      <c r="Q106" s="25" t="n">
        <f aca="false">MAX(-Flows!Q76*Q$4*Q21/100,0)</f>
        <v>0</v>
      </c>
      <c r="R106" s="25" t="n">
        <f aca="false">MAX(-Flows!R76*R$4*R21/100,0)</f>
        <v>3575762.35798619</v>
      </c>
      <c r="S106" s="25" t="n">
        <f aca="false">MAX(-Flows!S76*S$4*S21/100,0)</f>
        <v>0</v>
      </c>
      <c r="T106" s="25" t="n">
        <f aca="false">MAX(-Flows!T76*T$4*T21/100,0)</f>
        <v>0</v>
      </c>
      <c r="U106" s="25" t="n">
        <f aca="false">MAX(-Flows!U76*U$4*U21/100,0)</f>
        <v>0</v>
      </c>
      <c r="V106" s="25" t="n">
        <f aca="false">MAX(-Flows!V76*V$4*V21/100,0)</f>
        <v>25070893.2255368</v>
      </c>
      <c r="W106" s="25" t="n">
        <f aca="false">MAX(-Flows!W76*W$4*W21/100,0)</f>
        <v>0</v>
      </c>
      <c r="X106" s="25" t="n">
        <f aca="false">MAX(-Flows!X76*X$4*X21/100,0)</f>
        <v>12394717.6655493</v>
      </c>
      <c r="Y106" s="25" t="n">
        <f aca="false">MAX(-Flows!Y76*Y$4*Y21/100,0)</f>
        <v>0</v>
      </c>
      <c r="Z106" s="25" t="n">
        <f aca="false">MAX(-Flows!Z76*Z$4*Z21/100,0)</f>
        <v>0</v>
      </c>
      <c r="AA106" s="25" t="n">
        <f aca="false">MAX(-Flows!AA76*AA$4*AA21/100,0)</f>
        <v>0</v>
      </c>
      <c r="AB106" s="25" t="n">
        <f aca="false">MAX(-Flows!AB76*AB$4*AB21/100,0)</f>
        <v>0</v>
      </c>
      <c r="AC106" s="25" t="n">
        <f aca="false">MAX(-Flows!AC76*AC$4*AC21/100,0)</f>
        <v>0</v>
      </c>
      <c r="AD106" s="25" t="n">
        <f aca="false">MAX(-Flows!AD76*AD$4*AD21/100,0)</f>
        <v>0</v>
      </c>
      <c r="AE106" s="25" t="n">
        <f aca="false">MAX(-Flows!AE76*AE$4*AE21/100,0)</f>
        <v>0</v>
      </c>
      <c r="AF106" s="25" t="n">
        <f aca="false">MAX(-Flows!AF76*AF$4*AF21/100,0)</f>
        <v>0</v>
      </c>
      <c r="AG106" s="25" t="n">
        <f aca="false">MAX(-Flows!AG76*AG$4*AG21/100,0)</f>
        <v>0</v>
      </c>
      <c r="AH106" s="25" t="n">
        <f aca="false">MAX(-Flows!AH76*AH$4*AH21/100,0)</f>
        <v>0</v>
      </c>
      <c r="AI106" s="25" t="n">
        <f aca="false">MAX(-Flows!AI76*AI$4*AI21/100,0)</f>
        <v>0</v>
      </c>
      <c r="AJ106" s="25" t="n">
        <f aca="false">MAX(-Flows!AJ76*AJ$4*AJ21/100,0)</f>
        <v>0</v>
      </c>
      <c r="AK106" s="25" t="n">
        <f aca="false">MAX(-Flows!AK76*AK$4*AK21/100,0)</f>
        <v>0</v>
      </c>
      <c r="AL106" s="25" t="n">
        <f aca="false">MAX(-Flows!AL76*AL$4*AL21/100,0)</f>
        <v>0</v>
      </c>
      <c r="AM106" s="25" t="n">
        <f aca="false">MAX(-Flows!AM76*AM$4*AM21/100,0)</f>
        <v>0</v>
      </c>
      <c r="AN106" s="25" t="n">
        <f aca="false">MAX(-Flows!AN76*AN$4*AN21/100,0)</f>
        <v>0</v>
      </c>
      <c r="AO106" s="25" t="n">
        <f aca="false">MAX(-Flows!AO76*AO$4*AO21/100,0)</f>
        <v>0</v>
      </c>
      <c r="AP106" s="25" t="n">
        <f aca="false">MAX(-Flows!AP76*AP$4*AP21/100,0)</f>
        <v>0</v>
      </c>
      <c r="AQ106" s="25" t="n">
        <f aca="false">MAX(-Flows!AQ76*AQ$4*AQ21/100,0)</f>
        <v>2089896.1035185</v>
      </c>
      <c r="AR106" s="25" t="n">
        <f aca="false">MAX(-Flows!AR76*AR$4*AR21/100,0)</f>
        <v>0</v>
      </c>
      <c r="AS106" s="25" t="n">
        <f aca="false">MAX(-Flows!AS76*AS$4*AS21/100,0)</f>
        <v>0</v>
      </c>
      <c r="AT106" s="25" t="n">
        <f aca="false">MAX(-Flows!AT76*AT$4*AT21/100,0)</f>
        <v>0</v>
      </c>
      <c r="AU106" s="25" t="n">
        <f aca="false">MAX(-Flows!AU76*AU$4*AU21/100,0)</f>
        <v>0</v>
      </c>
      <c r="AV106" s="25" t="n">
        <f aca="false">MAX(-Flows!AV76*AV$4*AV21/100,0)</f>
        <v>0</v>
      </c>
      <c r="AW106" s="25" t="n">
        <f aca="false">MAX(-Flows!AW76*AW$4*AW21/100,0)</f>
        <v>0</v>
      </c>
      <c r="AX106" s="25" t="n">
        <f aca="false">MAX(-Flows!AX76*AX$4*AX21/100,0)</f>
        <v>0</v>
      </c>
      <c r="AY106" s="25" t="n">
        <f aca="false">MAX(-Flows!AY76*AY$4*AY21/100,0)</f>
        <v>0</v>
      </c>
      <c r="AZ106" s="25" t="n">
        <f aca="false">MAX(-Flows!AZ76*AZ$4*AZ21/100,0)</f>
        <v>0</v>
      </c>
      <c r="BA106" s="25" t="n">
        <f aca="false">MAX(-Flows!BA76*BA$4*BA21/100,0)</f>
        <v>0</v>
      </c>
      <c r="BB106" s="25" t="n">
        <f aca="false">MAX(-Flows!BB76*BB$4*BB21/100,0)</f>
        <v>0</v>
      </c>
      <c r="BC106" s="25" t="n">
        <f aca="false">MAX(-Flows!BC76*BC$4*BC21/100,0)</f>
        <v>0</v>
      </c>
      <c r="BD106" s="25" t="n">
        <f aca="false">MAX(-Flows!BD76*BD$4*BD21/100,0)</f>
        <v>0</v>
      </c>
      <c r="BE106" s="25" t="n">
        <f aca="false">MAX(-Flows!BE76*BE$4*BE21/100,0)</f>
        <v>0</v>
      </c>
      <c r="BF106" s="25" t="n">
        <f aca="false">MAX(-Flows!BF76*BF$4*BF21/100,0)</f>
        <v>0</v>
      </c>
      <c r="BG106" s="25" t="n">
        <f aca="false">MAX(-Flows!BG76*BG$4*BG21/100,0)</f>
        <v>707254.041670899</v>
      </c>
      <c r="BH106" s="25" t="n">
        <f aca="false">MAX(-Flows!BH76*BH$4*BH21/100,0)</f>
        <v>0</v>
      </c>
      <c r="BI106" s="25" t="n">
        <f aca="false">MAX(-Flows!BI76*BI$4*BI21/100,0)</f>
        <v>0</v>
      </c>
      <c r="BJ106" s="25" t="n">
        <f aca="false">MAX(-Flows!BJ76*BJ$4*BJ21/100,0)</f>
        <v>0</v>
      </c>
      <c r="BK106" s="25" t="n">
        <f aca="false">MAX(-Flows!BK76*BK$4*BK21/100,0)</f>
        <v>0</v>
      </c>
      <c r="BL106" s="25" t="n">
        <f aca="false">MAX(-Flows!BL76*BL$4*BL21/100,0)</f>
        <v>0</v>
      </c>
      <c r="BM106" s="25" t="n">
        <f aca="false">MAX(-Flows!BM76*BM$4*BM21/100,0)</f>
        <v>0</v>
      </c>
      <c r="BN106" s="25" t="n">
        <f aca="false">MAX(-Flows!BN76*BN$4*BN21/100,0)</f>
        <v>0</v>
      </c>
      <c r="BO106" s="25" t="n">
        <f aca="false">MAX(-Flows!BO76*BO$4*BO21/100,0)</f>
        <v>0</v>
      </c>
      <c r="BP106" s="25" t="n">
        <f aca="false">MAX(-Flows!BP76*BP$4*BP21/100,0)</f>
        <v>0</v>
      </c>
      <c r="BQ106" s="25" t="n">
        <f aca="false">MAX(-Flows!BQ76*BQ$4*BQ21/100,0)</f>
        <v>0</v>
      </c>
      <c r="BR106" s="25" t="n">
        <f aca="false">MAX(-Flows!BR76*BR$4*BR21/100,0)</f>
        <v>0</v>
      </c>
      <c r="BS106" s="25" t="n">
        <f aca="false">MAX(-Flows!BS76*BS$4*BS21/100,0)</f>
        <v>0</v>
      </c>
      <c r="BT106" s="25" t="n">
        <f aca="false">MAX(-Flows!BT76*BT$4*BT21/100,0)</f>
        <v>0</v>
      </c>
      <c r="BU106" s="25" t="n">
        <f aca="false">MAX(-Flows!BU76*BU$4*BU21/100,0)</f>
        <v>0</v>
      </c>
      <c r="BV106" s="25" t="n">
        <f aca="false">MAX(-Flows!BV76*BV$4*BV21/100,0)</f>
        <v>0</v>
      </c>
      <c r="BW106" s="25" t="n">
        <f aca="false">MAX(-Flows!BW76*BW$4*BW21/100,0)</f>
        <v>0</v>
      </c>
      <c r="BX106" s="25" t="n">
        <f aca="false">MAX(-Flows!BX76*BX$4*BX21/100,0)</f>
        <v>0</v>
      </c>
      <c r="BY106" s="25" t="n">
        <f aca="false">MAX(-Flows!BY76*BY$4*BY21/100,0)</f>
        <v>0</v>
      </c>
      <c r="BZ106" s="25" t="n">
        <f aca="false">MAX(-Flows!BZ76*BZ$4*BZ21/100,0)</f>
        <v>0</v>
      </c>
      <c r="CA106" s="25" t="n">
        <f aca="false">MAX(-Flows!CA76*CA$4*CA21/100,0)</f>
        <v>0</v>
      </c>
      <c r="CB106" s="25" t="n">
        <f aca="false">MAX(-Flows!CB76*CB$4*CB21/100,0)</f>
        <v>0</v>
      </c>
      <c r="CC106" s="25" t="n">
        <f aca="false">MAX(-Flows!CC76*CC$4*CC21/100,0)</f>
        <v>0</v>
      </c>
      <c r="CD106" s="25" t="n">
        <f aca="false">MAX(-Flows!CD76*CD$4*CD21/100,0)</f>
        <v>0</v>
      </c>
      <c r="CE106" s="25" t="n">
        <f aca="false">MAX(-Flows!CE76*CE$4*CE21/100,0)</f>
        <v>0</v>
      </c>
      <c r="CF106" s="25" t="n">
        <f aca="false">MAX(-Flows!CF76*CF$4*CF21/100,0)</f>
        <v>0</v>
      </c>
      <c r="CG106" s="25" t="n">
        <f aca="false">MAX(-Flows!CG76*CG$4*CG21/100,0)</f>
        <v>0</v>
      </c>
      <c r="CH106" s="25" t="n">
        <f aca="false">MAX(-Flows!CH76*CH$4*CH21/100,0)</f>
        <v>0</v>
      </c>
      <c r="CI106" s="25" t="n">
        <f aca="false">MAX(-Flows!CI76*CI$4*CI21/100,0)</f>
        <v>0</v>
      </c>
      <c r="CJ106" s="25" t="n">
        <f aca="false">MAX(-Flows!CJ76*CJ$4*CJ21/100,0)</f>
        <v>0</v>
      </c>
      <c r="CK106" s="25" t="n">
        <f aca="false">MAX(-Flows!CK76*CK$4*CK21/100,0)</f>
        <v>0</v>
      </c>
      <c r="CL106" s="21" t="s">
        <v>322</v>
      </c>
      <c r="CM106" s="25" t="n">
        <f aca="false">-CM46</f>
        <v>14200633.8427848</v>
      </c>
      <c r="CN106" s="25" t="n">
        <f aca="false">-CN46</f>
        <v>-58244804.7542942</v>
      </c>
      <c r="CO106" s="25" t="n">
        <f aca="false">-CO46</f>
        <v>-63137370.4337793</v>
      </c>
      <c r="CP106" s="25" t="n">
        <f aca="false">-CP46</f>
        <v>-49371683.0618105</v>
      </c>
      <c r="CQ106" s="25" t="n">
        <f aca="false">-CQ46</f>
        <v>-95626065.8549151</v>
      </c>
      <c r="CR106" s="25" t="n">
        <f aca="false">-CR46</f>
        <v>-53955746.3175096</v>
      </c>
      <c r="CS106" s="25" t="n">
        <f aca="false">-CS46</f>
        <v>-24691961.397168</v>
      </c>
      <c r="CT106" s="25" t="n">
        <f aca="false">-CT46</f>
        <v>-5320514.41036348</v>
      </c>
      <c r="CU106" s="25" t="n">
        <f aca="false">-CU46</f>
        <v>-33748562.6776278</v>
      </c>
      <c r="CV106" s="25" t="n">
        <f aca="false">-CV46</f>
        <v>-409014.199925672</v>
      </c>
      <c r="CX106" s="17" t="str">
        <f aca="false">INDEX($C$1:$CK$1,MATCH(LARGE($C106:$CK106,1),$C106:$CK106,0))</f>
        <v>Cider (gal)</v>
      </c>
      <c r="CY106" s="17" t="str">
        <f aca="false">INDEX($C$1:$CK$1,MATCH(LARGE($C106:$CK106,2),$C106:$CK106,0))</f>
        <v>Honey (lb)</v>
      </c>
      <c r="CZ106" s="17" t="str">
        <f aca="false">INDEX($C$1:$CK$1,MATCH(LARGE($C106:$CK106,3),$C106:$CK106,0))</f>
        <v>Chipak (lb)</v>
      </c>
      <c r="DA106" s="17" t="str">
        <f aca="false">INDEX($C$1:$CK$1,MATCH(LARGE($C106:$CK106,4),$C106:$CK106,0))</f>
        <v>Nye (lb)</v>
      </c>
      <c r="DB106" s="17" t="str">
        <f aca="false">INDEX($C$1:$CK$1,MATCH(LARGE($C106:$CK106,5),$C106:$CK106,0))</f>
        <v>Sugar (oz)</v>
      </c>
      <c r="DD106" s="17" t="str">
        <f aca="false">IF(LARGE($CM106:$CV106,1)&gt;0,INDEX($CM$30:$CV$30,MATCH(LARGE($CM106:$CV106,1),$CM106:$CV106,0)),"N/A")</f>
        <v>Produce</v>
      </c>
      <c r="DE106" s="17" t="str">
        <f aca="false">IF(LARGE($CM106:$CV106,2)&gt;0,INDEX($CM$30:$CV$30,MATCH(LARGE($CM106:$CV106,2),$CM106:$CV106,0)),"N/A")</f>
        <v>N/A</v>
      </c>
      <c r="DF106" s="17" t="str">
        <f aca="false">IF(LARGE($CM106:$CV106,3)&gt;0,INDEX($CM$30:$CV$30,MATCH(LARGE($CM106:$CV106,3),$CM106:$CV106,0)),"N/A")</f>
        <v>N/A</v>
      </c>
      <c r="DG106" s="17" t="str">
        <f aca="false">IF(LARGE($CM106:$CV106,4)&gt;0,INDEX($CM$30:$CV$30,MATCH(LARGE($CM106:$CV106,4),$CM106:$CV106,0)),"N/A")</f>
        <v>N/A</v>
      </c>
      <c r="DH106" s="17" t="str">
        <f aca="false">IF(LARGE($CM106:$CV106,5)&gt;0,INDEX($CM$30:$CV$30,MATCH(LARGE($CM106:$CV106,5),$CM106:$CV106,0)),"N/A")</f>
        <v>N/A</v>
      </c>
    </row>
    <row r="107" customFormat="false" ht="12.8" hidden="false" customHeight="false" outlineLevel="0" collapsed="false">
      <c r="A107" s="7" t="s">
        <v>153</v>
      </c>
      <c r="B107" s="7" t="s">
        <v>39</v>
      </c>
      <c r="C107" s="10" t="n">
        <f aca="false">MAX(-Flows!C77*C$4*C22/100,0)</f>
        <v>34472759.7536623</v>
      </c>
      <c r="D107" s="10" t="n">
        <f aca="false">MAX(-Flows!D77*D$4*D22/100,0)</f>
        <v>14235137.1315637</v>
      </c>
      <c r="E107" s="10" t="n">
        <f aca="false">MAX(-Flows!E77*E$4*E22/100,0)</f>
        <v>42274339.0923558</v>
      </c>
      <c r="F107" s="10" t="n">
        <f aca="false">MAX(-Flows!F77*F$4*F22/100,0)</f>
        <v>0</v>
      </c>
      <c r="G107" s="10" t="n">
        <f aca="false">MAX(-Flows!G77*G$4*G22/100,0)</f>
        <v>10881340.0099742</v>
      </c>
      <c r="H107" s="10" t="n">
        <f aca="false">MAX(-Flows!H77*H$4*H22/100,0)</f>
        <v>0</v>
      </c>
      <c r="I107" s="10" t="n">
        <f aca="false">MAX(-Flows!I77*I$4*I22/100,0)</f>
        <v>0</v>
      </c>
      <c r="J107" s="10" t="n">
        <f aca="false">MAX(-Flows!J77*J$4*J22/100,0)</f>
        <v>0</v>
      </c>
      <c r="K107" s="10" t="n">
        <f aca="false">MAX(-Flows!K77*K$4*K22/100,0)</f>
        <v>0</v>
      </c>
      <c r="L107" s="10" t="n">
        <f aca="false">MAX(-Flows!L77*L$4*L22/100,0)</f>
        <v>0</v>
      </c>
      <c r="M107" s="10" t="n">
        <f aca="false">MAX(-Flows!M77*M$4*M22/100,0)</f>
        <v>0</v>
      </c>
      <c r="N107" s="10" t="n">
        <f aca="false">MAX(-Flows!N77*N$4*N22/100,0)</f>
        <v>37983004.3965713</v>
      </c>
      <c r="O107" s="10" t="n">
        <f aca="false">MAX(-Flows!O77*O$4*O22/100,0)</f>
        <v>0</v>
      </c>
      <c r="P107" s="10" t="n">
        <f aca="false">MAX(-Flows!P77*P$4*P22/100,0)</f>
        <v>0</v>
      </c>
      <c r="Q107" s="10" t="n">
        <f aca="false">MAX(-Flows!Q77*Q$4*Q22/100,0)</f>
        <v>3304584.53622943</v>
      </c>
      <c r="R107" s="10" t="n">
        <f aca="false">MAX(-Flows!R77*R$4*R22/100,0)</f>
        <v>23987669.7921911</v>
      </c>
      <c r="S107" s="10" t="n">
        <f aca="false">MAX(-Flows!S77*S$4*S22/100,0)</f>
        <v>0</v>
      </c>
      <c r="T107" s="10" t="n">
        <f aca="false">MAX(-Flows!T77*T$4*T22/100,0)</f>
        <v>0</v>
      </c>
      <c r="U107" s="10" t="n">
        <f aca="false">MAX(-Flows!U77*U$4*U22/100,0)</f>
        <v>0</v>
      </c>
      <c r="V107" s="10" t="n">
        <f aca="false">MAX(-Flows!V77*V$4*V22/100,0)</f>
        <v>0</v>
      </c>
      <c r="W107" s="10" t="n">
        <f aca="false">MAX(-Flows!W77*W$4*W22/100,0)</f>
        <v>0</v>
      </c>
      <c r="X107" s="10" t="n">
        <f aca="false">MAX(-Flows!X77*X$4*X22/100,0)</f>
        <v>0</v>
      </c>
      <c r="Y107" s="10" t="n">
        <f aca="false">MAX(-Flows!Y77*Y$4*Y22/100,0)</f>
        <v>0</v>
      </c>
      <c r="Z107" s="10" t="n">
        <f aca="false">MAX(-Flows!Z77*Z$4*Z22/100,0)</f>
        <v>1460678.68313784</v>
      </c>
      <c r="AA107" s="10" t="n">
        <f aca="false">MAX(-Flows!AA77*AA$4*AA22/100,0)</f>
        <v>0</v>
      </c>
      <c r="AB107" s="10" t="n">
        <f aca="false">MAX(-Flows!AB77*AB$4*AB22/100,0)</f>
        <v>0</v>
      </c>
      <c r="AC107" s="10" t="n">
        <f aca="false">MAX(-Flows!AC77*AC$4*AC22/100,0)</f>
        <v>351565.647405179</v>
      </c>
      <c r="AD107" s="10" t="n">
        <f aca="false">MAX(-Flows!AD77*AD$4*AD22/100,0)</f>
        <v>0</v>
      </c>
      <c r="AE107" s="10" t="n">
        <f aca="false">MAX(-Flows!AE77*AE$4*AE22/100,0)</f>
        <v>1782805.04650099</v>
      </c>
      <c r="AF107" s="10" t="n">
        <f aca="false">MAX(-Flows!AF77*AF$4*AF22/100,0)</f>
        <v>2292442.78737302</v>
      </c>
      <c r="AG107" s="10" t="n">
        <f aca="false">MAX(-Flows!AG77*AG$4*AG22/100,0)</f>
        <v>0</v>
      </c>
      <c r="AH107" s="10" t="n">
        <f aca="false">MAX(-Flows!AH77*AH$4*AH22/100,0)</f>
        <v>10154565.2617628</v>
      </c>
      <c r="AI107" s="10" t="n">
        <f aca="false">MAX(-Flows!AI77*AI$4*AI22/100,0)</f>
        <v>7885231.9181888</v>
      </c>
      <c r="AJ107" s="10" t="n">
        <f aca="false">MAX(-Flows!AJ77*AJ$4*AJ22/100,0)</f>
        <v>0</v>
      </c>
      <c r="AK107" s="10" t="n">
        <f aca="false">MAX(-Flows!AK77*AK$4*AK22/100,0)</f>
        <v>6180787.27052432</v>
      </c>
      <c r="AL107" s="10" t="n">
        <f aca="false">MAX(-Flows!AL77*AL$4*AL22/100,0)</f>
        <v>3746145.21105078</v>
      </c>
      <c r="AM107" s="10" t="n">
        <f aca="false">MAX(-Flows!AM77*AM$4*AM22/100,0)</f>
        <v>0</v>
      </c>
      <c r="AN107" s="10" t="n">
        <f aca="false">MAX(-Flows!AN77*AN$4*AN22/100,0)</f>
        <v>1752873.71052701</v>
      </c>
      <c r="AO107" s="10" t="n">
        <f aca="false">MAX(-Flows!AO77*AO$4*AO22/100,0)</f>
        <v>7054909.80515528</v>
      </c>
      <c r="AP107" s="10" t="n">
        <f aca="false">MAX(-Flows!AP77*AP$4*AP22/100,0)</f>
        <v>0</v>
      </c>
      <c r="AQ107" s="10" t="n">
        <f aca="false">MAX(-Flows!AQ77*AQ$4*AQ22/100,0)</f>
        <v>399587.012736963</v>
      </c>
      <c r="AR107" s="10" t="n">
        <f aca="false">MAX(-Flows!AR77*AR$4*AR22/100,0)</f>
        <v>0</v>
      </c>
      <c r="AS107" s="10" t="n">
        <f aca="false">MAX(-Flows!AS77*AS$4*AS22/100,0)</f>
        <v>0</v>
      </c>
      <c r="AT107" s="10" t="n">
        <f aca="false">MAX(-Flows!AT77*AT$4*AT22/100,0)</f>
        <v>13132850.732695</v>
      </c>
      <c r="AU107" s="10" t="n">
        <f aca="false">MAX(-Flows!AU77*AU$4*AU22/100,0)</f>
        <v>0</v>
      </c>
      <c r="AV107" s="10" t="n">
        <f aca="false">MAX(-Flows!AV77*AV$4*AV22/100,0)</f>
        <v>0</v>
      </c>
      <c r="AW107" s="10" t="n">
        <f aca="false">MAX(-Flows!AW77*AW$4*AW22/100,0)</f>
        <v>6827095.76548208</v>
      </c>
      <c r="AX107" s="10" t="n">
        <f aca="false">MAX(-Flows!AX77*AX$4*AX22/100,0)</f>
        <v>4554887.77410565</v>
      </c>
      <c r="AY107" s="10" t="n">
        <f aca="false">MAX(-Flows!AY77*AY$4*AY22/100,0)</f>
        <v>2063996.18193625</v>
      </c>
      <c r="AZ107" s="10" t="n">
        <f aca="false">MAX(-Flows!AZ77*AZ$4*AZ22/100,0)</f>
        <v>0</v>
      </c>
      <c r="BA107" s="10" t="n">
        <f aca="false">MAX(-Flows!BA77*BA$4*BA22/100,0)</f>
        <v>0</v>
      </c>
      <c r="BB107" s="10" t="n">
        <f aca="false">MAX(-Flows!BB77*BB$4*BB22/100,0)</f>
        <v>0</v>
      </c>
      <c r="BC107" s="10" t="n">
        <f aca="false">MAX(-Flows!BC77*BC$4*BC22/100,0)</f>
        <v>4880107.08802193</v>
      </c>
      <c r="BD107" s="10" t="n">
        <f aca="false">MAX(-Flows!BD77*BD$4*BD22/100,0)</f>
        <v>4675279.17840867</v>
      </c>
      <c r="BE107" s="10" t="n">
        <f aca="false">MAX(-Flows!BE77*BE$4*BE22/100,0)</f>
        <v>0</v>
      </c>
      <c r="BF107" s="10" t="n">
        <f aca="false">MAX(-Flows!BF77*BF$4*BF22/100,0)</f>
        <v>0</v>
      </c>
      <c r="BG107" s="10" t="n">
        <f aca="false">MAX(-Flows!BG77*BG$4*BG22/100,0)</f>
        <v>3879281.34956362</v>
      </c>
      <c r="BH107" s="10" t="n">
        <f aca="false">MAX(-Flows!BH77*BH$4*BH22/100,0)</f>
        <v>3808810.41104956</v>
      </c>
      <c r="BI107" s="10" t="n">
        <f aca="false">MAX(-Flows!BI77*BI$4*BI22/100,0)</f>
        <v>23775023.3524828</v>
      </c>
      <c r="BJ107" s="10" t="n">
        <f aca="false">MAX(-Flows!BJ77*BJ$4*BJ22/100,0)</f>
        <v>23775023.3524829</v>
      </c>
      <c r="BK107" s="10" t="n">
        <f aca="false">MAX(-Flows!BK77*BK$4*BK22/100,0)</f>
        <v>23775023.3524828</v>
      </c>
      <c r="BL107" s="10" t="n">
        <f aca="false">MAX(-Flows!BL77*BL$4*BL22/100,0)</f>
        <v>330458.453622944</v>
      </c>
      <c r="BM107" s="10" t="n">
        <f aca="false">MAX(-Flows!BM77*BM$4*BM22/100,0)</f>
        <v>330458.45362294</v>
      </c>
      <c r="BN107" s="10" t="n">
        <f aca="false">MAX(-Flows!BN77*BN$4*BN22/100,0)</f>
        <v>0</v>
      </c>
      <c r="BO107" s="10" t="n">
        <f aca="false">MAX(-Flows!BO77*BO$4*BO22/100,0)</f>
        <v>13519459717175.6</v>
      </c>
      <c r="BP107" s="10" t="n">
        <f aca="false">MAX(-Flows!BP77*BP$4*BP22/100,0)</f>
        <v>6309081648064700</v>
      </c>
      <c r="BQ107" s="10" t="n">
        <f aca="false">MAX(-Flows!BQ77*BQ$4*BQ22/100,0)</f>
        <v>0</v>
      </c>
      <c r="BR107" s="10" t="n">
        <f aca="false">MAX(-Flows!BR77*BR$4*BR22/100,0)</f>
        <v>4506485928708.7</v>
      </c>
      <c r="BS107" s="10" t="n">
        <f aca="false">MAX(-Flows!BS77*BS$4*BS22/100,0)</f>
        <v>2253242481591.99</v>
      </c>
      <c r="BT107" s="10" t="n">
        <f aca="false">MAX(-Flows!BT77*BT$4*BT22/100,0)</f>
        <v>0</v>
      </c>
      <c r="BU107" s="10" t="n">
        <f aca="false">MAX(-Flows!BU77*BU$4*BU22/100,0)</f>
        <v>0</v>
      </c>
      <c r="BV107" s="10" t="n">
        <f aca="false">MAX(-Flows!BV77*BV$4*BV22/100,0)</f>
        <v>0</v>
      </c>
      <c r="BW107" s="10" t="n">
        <f aca="false">MAX(-Flows!BW77*BW$4*BW22/100,0)</f>
        <v>0</v>
      </c>
      <c r="BX107" s="10" t="n">
        <f aca="false">MAX(-Flows!BX77*BX$4*BX22/100,0)</f>
        <v>660916.907245887</v>
      </c>
      <c r="BY107" s="10" t="n">
        <f aca="false">MAX(-Flows!BY77*BY$4*BY22/100,0)</f>
        <v>660916.907245883</v>
      </c>
      <c r="BZ107" s="10" t="n">
        <f aca="false">MAX(-Flows!BZ77*BZ$4*BZ22/100,0)</f>
        <v>22692827.7980997</v>
      </c>
      <c r="CA107" s="10" t="n">
        <f aca="false">MAX(-Flows!CA77*CA$4*CA22/100,0)</f>
        <v>22692827.7980997</v>
      </c>
      <c r="CB107" s="10" t="n">
        <f aca="false">MAX(-Flows!CB77*CB$4*CB22/100,0)</f>
        <v>3304584.53622944</v>
      </c>
      <c r="CC107" s="10" t="n">
        <f aca="false">MAX(-Flows!CC77*CC$4*CC22/100,0)</f>
        <v>1188751.16762414</v>
      </c>
      <c r="CD107" s="10" t="n">
        <f aca="false">MAX(-Flows!CD77*CD$4*CD22/100,0)</f>
        <v>0</v>
      </c>
      <c r="CE107" s="10" t="n">
        <f aca="false">MAX(-Flows!CE77*CE$4*CE22/100,0)</f>
        <v>1188751.16762414</v>
      </c>
      <c r="CF107" s="10" t="n">
        <f aca="false">MAX(-Flows!CF77*CF$4*CF22/100,0)</f>
        <v>3813773.93126648</v>
      </c>
      <c r="CG107" s="10" t="n">
        <f aca="false">MAX(-Flows!CG77*CG$4*CG22/100,0)</f>
        <v>67596337888.7796</v>
      </c>
      <c r="CH107" s="10" t="n">
        <f aca="false">MAX(-Flows!CH77*CH$4*CH22/100,0)</f>
        <v>67596337888.7796</v>
      </c>
      <c r="CI107" s="10" t="n">
        <f aca="false">MAX(-Flows!CI77*CI$4*CI22/100,0)</f>
        <v>1652292.26811471</v>
      </c>
      <c r="CJ107" s="10" t="n">
        <f aca="false">MAX(-Flows!CJ77*CJ$4*CJ22/100,0)</f>
        <v>165229.22681147</v>
      </c>
      <c r="CK107" s="10" t="n">
        <f aca="false">MAX(-Flows!CK77*CK$4*CK22/100,0)</f>
        <v>165229.226811472</v>
      </c>
      <c r="CL107" s="7" t="s">
        <v>322</v>
      </c>
      <c r="CM107" s="10" t="n">
        <f aca="false">-CM47</f>
        <v>104590200.883195</v>
      </c>
      <c r="CN107" s="10" t="n">
        <f aca="false">-CN47</f>
        <v>105114559.897151</v>
      </c>
      <c r="CO107" s="10" t="n">
        <f aca="false">-CO47</f>
        <v>13501862.4686773</v>
      </c>
      <c r="CP107" s="10" t="n">
        <f aca="false">-CP47</f>
        <v>15201152.5245</v>
      </c>
      <c r="CQ107" s="10" t="n">
        <f aca="false">-CQ47</f>
        <v>-4110756.91709941</v>
      </c>
      <c r="CR107" s="10" t="n">
        <f aca="false">-CR47</f>
        <v>6329495973736810</v>
      </c>
      <c r="CS107" s="10" t="n">
        <f aca="false">-CS47</f>
        <v>9849522.4871596</v>
      </c>
      <c r="CT107" s="10" t="n">
        <f aca="false">-CT47</f>
        <v>4144232.38488942</v>
      </c>
      <c r="CU107" s="10" t="n">
        <f aca="false">-CU47</f>
        <v>-80186789.8043396</v>
      </c>
      <c r="CV107" s="10" t="n">
        <f aca="false">-CV47</f>
        <v>-355312.548765746</v>
      </c>
      <c r="CX107" s="0" t="str">
        <f aca="false">INDEX($C$1:$CK$1,MATCH(LARGE($C107:$CK107,1),$C107:$CK107,0))</f>
        <v>Iron (lb)</v>
      </c>
      <c r="CY107" s="0" t="str">
        <f aca="false">INDEX($C$1:$CK$1,MATCH(LARGE($C107:$CK107,2),$C107:$CK107,0))</f>
        <v>Cu (lb)</v>
      </c>
      <c r="CZ107" s="0" t="str">
        <f aca="false">INDEX($C$1:$CK$1,MATCH(LARGE($C107:$CK107,3),$C107:$CK107,0))</f>
        <v>Ag (lb)</v>
      </c>
      <c r="DA107" s="0" t="str">
        <f aca="false">INDEX($C$1:$CK$1,MATCH(LARGE($C107:$CK107,4),$C107:$CK107,0))</f>
        <v>Au (lb)</v>
      </c>
      <c r="DB107" s="0" t="str">
        <f aca="false">INDEX($C$1:$CK$1,MATCH(LARGE($C107:$CK107,5),$C107:$CK107,0))</f>
        <v>Diamonds (lb)</v>
      </c>
      <c r="DD107" s="0" t="str">
        <f aca="false">IF(LARGE($CM107:$CV107,1)&gt;0,INDEX($CM$30:$CV$30,MATCH(LARGE($CM107:$CV107,1),$CM107:$CV107,0)),"N/A")</f>
        <v>Mineral</v>
      </c>
      <c r="DE107" s="0" t="str">
        <f aca="false">IF(LARGE($CM107:$CV107,2)&gt;0,INDEX($CM$30:$CV$30,MATCH(LARGE($CM107:$CV107,2),$CM107:$CV107,0)),"N/A")</f>
        <v>Animal</v>
      </c>
      <c r="DF107" s="0" t="str">
        <f aca="false">IF(LARGE($CM107:$CV107,3)&gt;0,INDEX($CM$30:$CV$30,MATCH(LARGE($CM107:$CV107,3),$CM107:$CV107,0)),"N/A")</f>
        <v>Produce</v>
      </c>
      <c r="DG107" s="0" t="str">
        <f aca="false">IF(LARGE($CM107:$CV107,4)&gt;0,INDEX($CM$30:$CV$30,MATCH(LARGE($CM107:$CV107,4),$CM107:$CV107,0)),"N/A")</f>
        <v>Textile</v>
      </c>
      <c r="DH107" s="0" t="str">
        <f aca="false">IF(LARGE($CM107:$CV107,5)&gt;0,INDEX($CM$30:$CV$30,MATCH(LARGE($CM107:$CV107,5),$CM107:$CV107,0)),"N/A")</f>
        <v>Food Prod</v>
      </c>
    </row>
    <row r="108" customFormat="false" ht="12.8" hidden="false" customHeight="false" outlineLevel="0" collapsed="false">
      <c r="A108" s="7" t="s">
        <v>155</v>
      </c>
      <c r="B108" s="7" t="s">
        <v>39</v>
      </c>
      <c r="C108" s="10" t="n">
        <f aca="false">MAX(-Flows!C78*C$4*C23/100,0)</f>
        <v>202306095.362475</v>
      </c>
      <c r="D108" s="10" t="n">
        <f aca="false">MAX(-Flows!D78*D$4*D23/100,0)</f>
        <v>307316664.873935</v>
      </c>
      <c r="E108" s="10" t="n">
        <f aca="false">MAX(-Flows!E78*E$4*E23/100,0)</f>
        <v>131834602.161751</v>
      </c>
      <c r="F108" s="10" t="n">
        <f aca="false">MAX(-Flows!F78*F$4*F23/100,0)</f>
        <v>0</v>
      </c>
      <c r="G108" s="10" t="n">
        <f aca="false">MAX(-Flows!G78*G$4*G23/100,0)</f>
        <v>342829852.536681</v>
      </c>
      <c r="H108" s="10" t="n">
        <f aca="false">MAX(-Flows!H78*H$4*H23/100,0)</f>
        <v>0</v>
      </c>
      <c r="I108" s="10" t="n">
        <f aca="false">MAX(-Flows!I78*I$4*I23/100,0)</f>
        <v>0</v>
      </c>
      <c r="J108" s="10" t="n">
        <f aca="false">MAX(-Flows!J78*J$4*J23/100,0)</f>
        <v>0</v>
      </c>
      <c r="K108" s="10" t="n">
        <f aca="false">MAX(-Flows!K78*K$4*K23/100,0)</f>
        <v>0</v>
      </c>
      <c r="L108" s="10" t="n">
        <f aca="false">MAX(-Flows!L78*L$4*L23/100,0)</f>
        <v>0</v>
      </c>
      <c r="M108" s="10" t="n">
        <f aca="false">MAX(-Flows!M78*M$4*M23/100,0)</f>
        <v>0</v>
      </c>
      <c r="N108" s="10" t="n">
        <f aca="false">MAX(-Flows!N78*N$4*N23/100,0)</f>
        <v>253425544.856175</v>
      </c>
      <c r="O108" s="10" t="n">
        <f aca="false">MAX(-Flows!O78*O$4*O23/100,0)</f>
        <v>0</v>
      </c>
      <c r="P108" s="10" t="n">
        <f aca="false">MAX(-Flows!P78*P$4*P23/100,0)</f>
        <v>0</v>
      </c>
      <c r="Q108" s="10" t="n">
        <f aca="false">MAX(-Flows!Q78*Q$4*Q23/100,0)</f>
        <v>507665347.053522</v>
      </c>
      <c r="R108" s="10" t="n">
        <f aca="false">MAX(-Flows!R78*R$4*R23/100,0)</f>
        <v>183181412.543303</v>
      </c>
      <c r="S108" s="10" t="n">
        <f aca="false">MAX(-Flows!S78*S$4*S23/100,0)</f>
        <v>0</v>
      </c>
      <c r="T108" s="10" t="n">
        <f aca="false">MAX(-Flows!T78*T$4*T23/100,0)</f>
        <v>0</v>
      </c>
      <c r="U108" s="10" t="n">
        <f aca="false">MAX(-Flows!U78*U$4*U23/100,0)</f>
        <v>0</v>
      </c>
      <c r="V108" s="10" t="n">
        <f aca="false">MAX(-Flows!V78*V$4*V23/100,0)</f>
        <v>1097922877.85847</v>
      </c>
      <c r="W108" s="10" t="n">
        <f aca="false">MAX(-Flows!W78*W$4*W23/100,0)</f>
        <v>1076758533.33682</v>
      </c>
      <c r="X108" s="10" t="n">
        <f aca="false">MAX(-Flows!X78*X$4*X23/100,0)</f>
        <v>414955484.626367</v>
      </c>
      <c r="Y108" s="10" t="n">
        <f aca="false">MAX(-Flows!Y78*Y$4*Y23/100,0)</f>
        <v>0</v>
      </c>
      <c r="Z108" s="10" t="n">
        <f aca="false">MAX(-Flows!Z78*Z$4*Z23/100,0)</f>
        <v>7160443.8154092</v>
      </c>
      <c r="AA108" s="10" t="n">
        <f aca="false">MAX(-Flows!AA78*AA$4*AA23/100,0)</f>
        <v>83186.0204554259</v>
      </c>
      <c r="AB108" s="10" t="n">
        <f aca="false">MAX(-Flows!AB78*AB$4*AB23/100,0)</f>
        <v>1880078.59927833</v>
      </c>
      <c r="AC108" s="10" t="n">
        <f aca="false">MAX(-Flows!AC78*AC$4*AC23/100,0)</f>
        <v>0</v>
      </c>
      <c r="AD108" s="10" t="n">
        <f aca="false">MAX(-Flows!AD78*AD$4*AD23/100,0)</f>
        <v>940039.299639164</v>
      </c>
      <c r="AE108" s="10" t="n">
        <f aca="false">MAX(-Flows!AE78*AE$4*AE23/100,0)</f>
        <v>16870246.7870548</v>
      </c>
      <c r="AF108" s="10" t="n">
        <f aca="false">MAX(-Flows!AF78*AF$4*AF23/100,0)</f>
        <v>37570917.3331717</v>
      </c>
      <c r="AG108" s="10" t="n">
        <f aca="false">MAX(-Flows!AG78*AG$4*AG23/100,0)</f>
        <v>113459921.133832</v>
      </c>
      <c r="AH108" s="10" t="n">
        <f aca="false">MAX(-Flows!AH78*AH$4*AH23/100,0)</f>
        <v>39495232.6078498</v>
      </c>
      <c r="AI108" s="10" t="n">
        <f aca="false">MAX(-Flows!AI78*AI$4*AI23/100,0)</f>
        <v>152285430.779031</v>
      </c>
      <c r="AJ108" s="10" t="n">
        <f aca="false">MAX(-Flows!AJ78*AJ$4*AJ23/100,0)</f>
        <v>39010692.9446595</v>
      </c>
      <c r="AK108" s="10" t="n">
        <f aca="false">MAX(-Flows!AK78*AK$4*AK23/100,0)</f>
        <v>136648404.683471</v>
      </c>
      <c r="AL108" s="10" t="n">
        <f aca="false">MAX(-Flows!AL78*AL$4*AL23/100,0)</f>
        <v>122463521.033791</v>
      </c>
      <c r="AM108" s="10" t="n">
        <f aca="false">MAX(-Flows!AM78*AM$4*AM23/100,0)</f>
        <v>158493688.943285</v>
      </c>
      <c r="AN108" s="10" t="n">
        <f aca="false">MAX(-Flows!AN78*AN$4*AN23/100,0)</f>
        <v>93143320.0177779</v>
      </c>
      <c r="AO108" s="10" t="n">
        <f aca="false">MAX(-Flows!AO78*AO$4*AO23/100,0)</f>
        <v>68098882.0863235</v>
      </c>
      <c r="AP108" s="10" t="n">
        <f aca="false">MAX(-Flows!AP78*AP$4*AP23/100,0)</f>
        <v>49085212.518157</v>
      </c>
      <c r="AQ108" s="10" t="n">
        <f aca="false">MAX(-Flows!AQ78*AQ$4*AQ23/100,0)</f>
        <v>140932000.139841</v>
      </c>
      <c r="AR108" s="10" t="n">
        <f aca="false">MAX(-Flows!AR78*AR$4*AR23/100,0)</f>
        <v>169066814.973141</v>
      </c>
      <c r="AS108" s="10" t="n">
        <f aca="false">MAX(-Flows!AS78*AS$4*AS23/100,0)</f>
        <v>112340066.17262</v>
      </c>
      <c r="AT108" s="10" t="n">
        <f aca="false">MAX(-Flows!AT78*AT$4*AT23/100,0)</f>
        <v>67634997.7371406</v>
      </c>
      <c r="AU108" s="10" t="n">
        <f aca="false">MAX(-Flows!AU78*AU$4*AU23/100,0)</f>
        <v>115265999.559597</v>
      </c>
      <c r="AV108" s="10" t="n">
        <f aca="false">MAX(-Flows!AV78*AV$4*AV23/100,0)</f>
        <v>139803835.583588</v>
      </c>
      <c r="AW108" s="10" t="n">
        <f aca="false">MAX(-Flows!AW78*AW$4*AW23/100,0)</f>
        <v>0</v>
      </c>
      <c r="AX108" s="10" t="n">
        <f aca="false">MAX(-Flows!AX78*AX$4*AX23/100,0)</f>
        <v>29416432.0780373</v>
      </c>
      <c r="AY108" s="10" t="n">
        <f aca="false">MAX(-Flows!AY78*AY$4*AY23/100,0)</f>
        <v>0</v>
      </c>
      <c r="AZ108" s="10" t="n">
        <f aca="false">MAX(-Flows!AZ78*AZ$4*AZ23/100,0)</f>
        <v>5047209.01064864</v>
      </c>
      <c r="BA108" s="10" t="n">
        <f aca="false">MAX(-Flows!BA78*BA$4*BA23/100,0)</f>
        <v>0</v>
      </c>
      <c r="BB108" s="10" t="n">
        <f aca="false">MAX(-Flows!BB78*BB$4*BB23/100,0)</f>
        <v>123027350.268555</v>
      </c>
      <c r="BC108" s="10" t="n">
        <f aca="false">MAX(-Flows!BC78*BC$4*BC23/100,0)</f>
        <v>78912928.4834253</v>
      </c>
      <c r="BD108" s="10" t="n">
        <f aca="false">MAX(-Flows!BD78*BD$4*BD23/100,0)</f>
        <v>154132356.883279</v>
      </c>
      <c r="BE108" s="10" t="n">
        <f aca="false">MAX(-Flows!BE78*BE$4*BE23/100,0)</f>
        <v>53265792.3915643</v>
      </c>
      <c r="BF108" s="10" t="n">
        <f aca="false">MAX(-Flows!BF78*BF$4*BF23/100,0)</f>
        <v>271993487.915187</v>
      </c>
      <c r="BG108" s="10" t="n">
        <f aca="false">MAX(-Flows!BG78*BG$4*BG23/100,0)</f>
        <v>18978645.140049</v>
      </c>
      <c r="BH108" s="10" t="n">
        <f aca="false">MAX(-Flows!BH78*BH$4*BH23/100,0)</f>
        <v>34316163.9824032</v>
      </c>
      <c r="BI108" s="10" t="n">
        <f aca="false">MAX(-Flows!BI78*BI$4*BI23/100,0)</f>
        <v>187298768.372581</v>
      </c>
      <c r="BJ108" s="10" t="n">
        <f aca="false">MAX(-Flows!BJ78*BJ$4*BJ23/100,0)</f>
        <v>187298768.372581</v>
      </c>
      <c r="BK108" s="10" t="n">
        <f aca="false">MAX(-Flows!BK78*BK$4*BK23/100,0)</f>
        <v>187298768.372581</v>
      </c>
      <c r="BL108" s="10" t="n">
        <f aca="false">MAX(-Flows!BL78*BL$4*BL23/100,0)</f>
        <v>50766534.7053522</v>
      </c>
      <c r="BM108" s="10" t="n">
        <f aca="false">MAX(-Flows!BM78*BM$4*BM23/100,0)</f>
        <v>50766534.7053522</v>
      </c>
      <c r="BN108" s="10" t="n">
        <f aca="false">MAX(-Flows!BN78*BN$4*BN23/100,0)</f>
        <v>0</v>
      </c>
      <c r="BO108" s="10" t="n">
        <f aca="false">MAX(-Flows!BO78*BO$4*BO23/100,0)</f>
        <v>0</v>
      </c>
      <c r="BP108" s="10" t="n">
        <f aca="false">MAX(-Flows!BP78*BP$4*BP23/100,0)</f>
        <v>0</v>
      </c>
      <c r="BQ108" s="10" t="n">
        <f aca="false">MAX(-Flows!BQ78*BQ$4*BQ23/100,0)</f>
        <v>0</v>
      </c>
      <c r="BR108" s="10" t="n">
        <f aca="false">MAX(-Flows!BR78*BR$4*BR23/100,0)</f>
        <v>0</v>
      </c>
      <c r="BS108" s="10" t="n">
        <f aca="false">MAX(-Flows!BS78*BS$4*BS23/100,0)</f>
        <v>0</v>
      </c>
      <c r="BT108" s="10" t="n">
        <f aca="false">MAX(-Flows!BT78*BT$4*BT23/100,0)</f>
        <v>0</v>
      </c>
      <c r="BU108" s="10" t="n">
        <f aca="false">MAX(-Flows!BU78*BU$4*BU23/100,0)</f>
        <v>0</v>
      </c>
      <c r="BV108" s="10" t="n">
        <f aca="false">MAX(-Flows!BV78*BV$4*BV23/100,0)</f>
        <v>0</v>
      </c>
      <c r="BW108" s="10" t="n">
        <f aca="false">MAX(-Flows!BW78*BW$4*BW23/100,0)</f>
        <v>0</v>
      </c>
      <c r="BX108" s="10" t="n">
        <f aca="false">MAX(-Flows!BX78*BX$4*BX23/100,0)</f>
        <v>101533069.410705</v>
      </c>
      <c r="BY108" s="10" t="n">
        <f aca="false">MAX(-Flows!BY78*BY$4*BY23/100,0)</f>
        <v>101533069.410704</v>
      </c>
      <c r="BZ108" s="10" t="n">
        <f aca="false">MAX(-Flows!BZ78*BZ$4*BZ23/100,0)</f>
        <v>221048386.950288</v>
      </c>
      <c r="CA108" s="10" t="n">
        <f aca="false">MAX(-Flows!CA78*CA$4*CA23/100,0)</f>
        <v>221048386.950288</v>
      </c>
      <c r="CB108" s="10" t="n">
        <f aca="false">MAX(-Flows!CB78*CB$4*CB23/100,0)</f>
        <v>507665347.053522</v>
      </c>
      <c r="CC108" s="10" t="n">
        <f aca="false">MAX(-Flows!CC78*CC$4*CC23/100,0)</f>
        <v>9364938.41862905</v>
      </c>
      <c r="CD108" s="10" t="n">
        <f aca="false">MAX(-Flows!CD78*CD$4*CD23/100,0)</f>
        <v>0</v>
      </c>
      <c r="CE108" s="10" t="n">
        <f aca="false">MAX(-Flows!CE78*CE$4*CE23/100,0)</f>
        <v>9364938.41862905</v>
      </c>
      <c r="CF108" s="10" t="n">
        <f aca="false">MAX(-Flows!CF78*CF$4*CF23/100,0)</f>
        <v>18729876.8372581</v>
      </c>
      <c r="CG108" s="10" t="n">
        <f aca="false">MAX(-Flows!CG78*CG$4*CG23/100,0)</f>
        <v>0</v>
      </c>
      <c r="CH108" s="10" t="n">
        <f aca="false">MAX(-Flows!CH78*CH$4*CH23/100,0)</f>
        <v>0</v>
      </c>
      <c r="CI108" s="10" t="n">
        <f aca="false">MAX(-Flows!CI78*CI$4*CI23/100,0)</f>
        <v>253832673.526761</v>
      </c>
      <c r="CJ108" s="10" t="n">
        <f aca="false">MAX(-Flows!CJ78*CJ$4*CJ23/100,0)</f>
        <v>25383267.3526761</v>
      </c>
      <c r="CK108" s="10" t="n">
        <f aca="false">MAX(-Flows!CK78*CK$4*CK23/100,0)</f>
        <v>25383267.3526761</v>
      </c>
      <c r="CL108" s="7" t="s">
        <v>322</v>
      </c>
      <c r="CM108" s="10" t="n">
        <f aca="false">-CM48</f>
        <v>1450362149.05491</v>
      </c>
      <c r="CN108" s="10" t="n">
        <f aca="false">-CN48</f>
        <v>956355778.097855</v>
      </c>
      <c r="CO108" s="10" t="n">
        <f aca="false">-CO48</f>
        <v>3762798381.58069</v>
      </c>
      <c r="CP108" s="10" t="n">
        <f aca="false">-CP48</f>
        <v>635122691.217991</v>
      </c>
      <c r="CQ108" s="10" t="n">
        <f aca="false">-CQ48</f>
        <v>1825730614.4773</v>
      </c>
      <c r="CR108" s="10" t="n">
        <f aca="false">-CR48</f>
        <v>267890227.339946</v>
      </c>
      <c r="CS108" s="10" t="n">
        <f aca="false">-CS48</f>
        <v>240911161.837954</v>
      </c>
      <c r="CT108" s="10" t="n">
        <f aca="false">-CT48</f>
        <v>69496411.5426104</v>
      </c>
      <c r="CU108" s="10" t="n">
        <f aca="false">-CU48</f>
        <v>-106930982.644905</v>
      </c>
      <c r="CV108" s="10" t="n">
        <f aca="false">-CV48</f>
        <v>2820117.89891749</v>
      </c>
      <c r="CX108" s="0" t="str">
        <f aca="false">INDEX($C$1:$CK$1,MATCH(LARGE($C108:$CK108,1),$C108:$CK108,0))</f>
        <v>Cider (gal)</v>
      </c>
      <c r="CY108" s="0" t="str">
        <f aca="false">INDEX($C$1:$CK$1,MATCH(LARGE($C108:$CK108,2),$C108:$CK108,0))</f>
        <v>Sauce (lb)</v>
      </c>
      <c r="CZ108" s="0" t="str">
        <f aca="false">INDEX($C$1:$CK$1,MATCH(LARGE($C108:$CK108,3),$C108:$CK108,0))</f>
        <v>Veg Oil (lb)</v>
      </c>
      <c r="DA108" s="0" t="str">
        <f aca="false">INDEX($C$1:$CK$1,MATCH(LARGE($C108:$CK108,4),$C108:$CK108,0))</f>
        <v>Veg Oil (lb)</v>
      </c>
      <c r="DB108" s="23" t="s">
        <v>401</v>
      </c>
      <c r="DD108" s="0" t="str">
        <f aca="false">IF(LARGE($CM108:$CV108,1)&gt;0,INDEX($CM$30:$CV$30,MATCH(LARGE($CM108:$CV108,1),$CM108:$CV108,0)),"N/A")</f>
        <v>Food Prod</v>
      </c>
      <c r="DE108" s="0" t="str">
        <f aca="false">IF(LARGE($CM108:$CV108,2)&gt;0,INDEX($CM$30:$CV$30,MATCH(LARGE($CM108:$CV108,2),$CM108:$CV108,0)),"N/A")</f>
        <v>Tools</v>
      </c>
      <c r="DF108" s="0" t="str">
        <f aca="false">IF(LARGE($CM108:$CV108,3)&gt;0,INDEX($CM$30:$CV$30,MATCH(LARGE($CM108:$CV108,3),$CM108:$CV108,0)),"N/A")</f>
        <v>Produce</v>
      </c>
      <c r="DG108" s="0" t="str">
        <f aca="false">IF(LARGE($CM108:$CV108,4)&gt;0,INDEX($CM$30:$CV$30,MATCH(LARGE($CM108:$CV108,4),$CM108:$CV108,0)),"N/A")</f>
        <v>Animal</v>
      </c>
      <c r="DH108" s="0" t="str">
        <f aca="false">IF(LARGE($CM108:$CV108,5)&gt;0,INDEX($CM$30:$CV$30,MATCH(LARGE($CM108:$CV108,5),$CM108:$CV108,0)),"N/A")</f>
        <v>Textile</v>
      </c>
    </row>
    <row r="109" customFormat="false" ht="12.8" hidden="false" customHeight="false" outlineLevel="0" collapsed="false">
      <c r="A109" s="7" t="s">
        <v>156</v>
      </c>
      <c r="B109" s="7" t="s">
        <v>39</v>
      </c>
      <c r="C109" s="10" t="n">
        <f aca="false">MAX(-Flows!C79*C$4*C24/100,0)</f>
        <v>0</v>
      </c>
      <c r="D109" s="10" t="n">
        <f aca="false">MAX(-Flows!D79*D$4*D24/100,0)</f>
        <v>0</v>
      </c>
      <c r="E109" s="10" t="n">
        <f aca="false">MAX(-Flows!E79*E$4*E24/100,0)</f>
        <v>0</v>
      </c>
      <c r="F109" s="10" t="n">
        <f aca="false">MAX(-Flows!F79*F$4*F24/100,0)</f>
        <v>0</v>
      </c>
      <c r="G109" s="10" t="n">
        <f aca="false">MAX(-Flows!G79*G$4*G24/100,0)</f>
        <v>0</v>
      </c>
      <c r="H109" s="10" t="n">
        <f aca="false">MAX(-Flows!H79*H$4*H24/100,0)</f>
        <v>0</v>
      </c>
      <c r="I109" s="10" t="n">
        <f aca="false">MAX(-Flows!I79*I$4*I24/100,0)</f>
        <v>0</v>
      </c>
      <c r="J109" s="10" t="n">
        <f aca="false">MAX(-Flows!J79*J$4*J24/100,0)</f>
        <v>52048794.0790972</v>
      </c>
      <c r="K109" s="10" t="n">
        <f aca="false">MAX(-Flows!K79*K$4*K24/100,0)</f>
        <v>0</v>
      </c>
      <c r="L109" s="10" t="n">
        <f aca="false">MAX(-Flows!L79*L$4*L24/100,0)</f>
        <v>0</v>
      </c>
      <c r="M109" s="10" t="n">
        <f aca="false">MAX(-Flows!M79*M$4*M24/100,0)</f>
        <v>0</v>
      </c>
      <c r="N109" s="10" t="n">
        <f aca="false">MAX(-Flows!N79*N$4*N24/100,0)</f>
        <v>0</v>
      </c>
      <c r="O109" s="10" t="n">
        <f aca="false">MAX(-Flows!O79*O$4*O24/100,0)</f>
        <v>0</v>
      </c>
      <c r="P109" s="10" t="n">
        <f aca="false">MAX(-Flows!P79*P$4*P24/100,0)</f>
        <v>0</v>
      </c>
      <c r="Q109" s="10" t="n">
        <f aca="false">MAX(-Flows!Q79*Q$4*Q24/100,0)</f>
        <v>0</v>
      </c>
      <c r="R109" s="10" t="n">
        <f aca="false">MAX(-Flows!R79*R$4*R24/100,0)</f>
        <v>0</v>
      </c>
      <c r="S109" s="10" t="n">
        <f aca="false">MAX(-Flows!S79*S$4*S24/100,0)</f>
        <v>0</v>
      </c>
      <c r="T109" s="10" t="n">
        <f aca="false">MAX(-Flows!T79*T$4*T24/100,0)</f>
        <v>0</v>
      </c>
      <c r="U109" s="10" t="n">
        <f aca="false">MAX(-Flows!U79*U$4*U24/100,0)</f>
        <v>0</v>
      </c>
      <c r="V109" s="10" t="n">
        <f aca="false">MAX(-Flows!V79*V$4*V24/100,0)</f>
        <v>0</v>
      </c>
      <c r="W109" s="10" t="n">
        <f aca="false">MAX(-Flows!W79*W$4*W24/100,0)</f>
        <v>0</v>
      </c>
      <c r="X109" s="10" t="n">
        <f aca="false">MAX(-Flows!X79*X$4*X24/100,0)</f>
        <v>0</v>
      </c>
      <c r="Y109" s="10" t="n">
        <f aca="false">MAX(-Flows!Y79*Y$4*Y24/100,0)</f>
        <v>0</v>
      </c>
      <c r="Z109" s="10" t="n">
        <f aca="false">MAX(-Flows!Z79*Z$4*Z24/100,0)</f>
        <v>1510017.16392144</v>
      </c>
      <c r="AA109" s="10" t="n">
        <f aca="false">MAX(-Flows!AA79*AA$4*AA24/100,0)</f>
        <v>0</v>
      </c>
      <c r="AB109" s="10" t="n">
        <f aca="false">MAX(-Flows!AB79*AB$4*AB24/100,0)</f>
        <v>0</v>
      </c>
      <c r="AC109" s="10" t="n">
        <f aca="false">MAX(-Flows!AC79*AC$4*AC24/100,0)</f>
        <v>379977.402233244</v>
      </c>
      <c r="AD109" s="10" t="n">
        <f aca="false">MAX(-Flows!AD79*AD$4*AD24/100,0)</f>
        <v>0</v>
      </c>
      <c r="AE109" s="10" t="n">
        <f aca="false">MAX(-Flows!AE79*AE$4*AE24/100,0)</f>
        <v>0</v>
      </c>
      <c r="AF109" s="10" t="n">
        <f aca="false">MAX(-Flows!AF79*AF$4*AF24/100,0)</f>
        <v>0</v>
      </c>
      <c r="AG109" s="10" t="n">
        <f aca="false">MAX(-Flows!AG79*AG$4*AG24/100,0)</f>
        <v>0</v>
      </c>
      <c r="AH109" s="10" t="n">
        <f aca="false">MAX(-Flows!AH79*AH$4*AH24/100,0)</f>
        <v>0</v>
      </c>
      <c r="AI109" s="10" t="n">
        <f aca="false">MAX(-Flows!AI79*AI$4*AI24/100,0)</f>
        <v>0</v>
      </c>
      <c r="AJ109" s="10" t="n">
        <f aca="false">MAX(-Flows!AJ79*AJ$4*AJ24/100,0)</f>
        <v>0</v>
      </c>
      <c r="AK109" s="10" t="n">
        <f aca="false">MAX(-Flows!AK79*AK$4*AK24/100,0)</f>
        <v>0</v>
      </c>
      <c r="AL109" s="10" t="n">
        <f aca="false">MAX(-Flows!AL79*AL$4*AL24/100,0)</f>
        <v>0</v>
      </c>
      <c r="AM109" s="10" t="n">
        <f aca="false">MAX(-Flows!AM79*AM$4*AM24/100,0)</f>
        <v>0</v>
      </c>
      <c r="AN109" s="10" t="n">
        <f aca="false">MAX(-Flows!AN79*AN$4*AN24/100,0)</f>
        <v>0</v>
      </c>
      <c r="AO109" s="10" t="n">
        <f aca="false">MAX(-Flows!AO79*AO$4*AO24/100,0)</f>
        <v>0</v>
      </c>
      <c r="AP109" s="10" t="n">
        <f aca="false">MAX(-Flows!AP79*AP$4*AP24/100,0)</f>
        <v>0</v>
      </c>
      <c r="AQ109" s="10" t="n">
        <f aca="false">MAX(-Flows!AQ79*AQ$4*AQ24/100,0)</f>
        <v>0</v>
      </c>
      <c r="AR109" s="10" t="n">
        <f aca="false">MAX(-Flows!AR79*AR$4*AR24/100,0)</f>
        <v>0</v>
      </c>
      <c r="AS109" s="10" t="n">
        <f aca="false">MAX(-Flows!AS79*AS$4*AS24/100,0)</f>
        <v>0</v>
      </c>
      <c r="AT109" s="10" t="n">
        <f aca="false">MAX(-Flows!AT79*AT$4*AT24/100,0)</f>
        <v>0</v>
      </c>
      <c r="AU109" s="10" t="n">
        <f aca="false">MAX(-Flows!AU79*AU$4*AU24/100,0)</f>
        <v>2106384.69661845</v>
      </c>
      <c r="AV109" s="10" t="n">
        <f aca="false">MAX(-Flows!AV79*AV$4*AV24/100,0)</f>
        <v>0</v>
      </c>
      <c r="AW109" s="10" t="n">
        <f aca="false">MAX(-Flows!AW79*AW$4*AW24/100,0)</f>
        <v>7280270.89404796</v>
      </c>
      <c r="AX109" s="10" t="n">
        <f aca="false">MAX(-Flows!AX79*AX$4*AX24/100,0)</f>
        <v>1406954.21734848</v>
      </c>
      <c r="AY109" s="10" t="n">
        <f aca="false">MAX(-Flows!AY79*AY$4*AY24/100,0)</f>
        <v>582802.454069151</v>
      </c>
      <c r="AZ109" s="10" t="n">
        <f aca="false">MAX(-Flows!AZ79*AZ$4*AZ24/100,0)</f>
        <v>0</v>
      </c>
      <c r="BA109" s="10" t="n">
        <f aca="false">MAX(-Flows!BA79*BA$4*BA24/100,0)</f>
        <v>0</v>
      </c>
      <c r="BB109" s="10" t="n">
        <f aca="false">MAX(-Flows!BB79*BB$4*BB24/100,0)</f>
        <v>0</v>
      </c>
      <c r="BC109" s="10" t="n">
        <f aca="false">MAX(-Flows!BC79*BC$4*BC24/100,0)</f>
        <v>0</v>
      </c>
      <c r="BD109" s="10" t="n">
        <f aca="false">MAX(-Flows!BD79*BD$4*BD24/100,0)</f>
        <v>0</v>
      </c>
      <c r="BE109" s="10" t="n">
        <f aca="false">MAX(-Flows!BE79*BE$4*BE24/100,0)</f>
        <v>0</v>
      </c>
      <c r="BF109" s="10" t="n">
        <f aca="false">MAX(-Flows!BF79*BF$4*BF24/100,0)</f>
        <v>0</v>
      </c>
      <c r="BG109" s="10" t="n">
        <f aca="false">MAX(-Flows!BG79*BG$4*BG24/100,0)</f>
        <v>2078876.47599727</v>
      </c>
      <c r="BH109" s="10" t="n">
        <f aca="false">MAX(-Flows!BH79*BH$4*BH24/100,0)</f>
        <v>0</v>
      </c>
      <c r="BI109" s="10" t="n">
        <f aca="false">MAX(-Flows!BI79*BI$4*BI24/100,0)</f>
        <v>0</v>
      </c>
      <c r="BJ109" s="10" t="n">
        <f aca="false">MAX(-Flows!BJ79*BJ$4*BJ24/100,0)</f>
        <v>0</v>
      </c>
      <c r="BK109" s="10" t="n">
        <f aca="false">MAX(-Flows!BK79*BK$4*BK24/100,0)</f>
        <v>0</v>
      </c>
      <c r="BL109" s="10" t="n">
        <f aca="false">MAX(-Flows!BL79*BL$4*BL24/100,0)</f>
        <v>0</v>
      </c>
      <c r="BM109" s="10" t="n">
        <f aca="false">MAX(-Flows!BM79*BM$4*BM24/100,0)</f>
        <v>0</v>
      </c>
      <c r="BN109" s="10" t="n">
        <f aca="false">MAX(-Flows!BN79*BN$4*BN24/100,0)</f>
        <v>0</v>
      </c>
      <c r="BO109" s="10" t="n">
        <f aca="false">MAX(-Flows!BO79*BO$4*BO24/100,0)</f>
        <v>14780397733267.6</v>
      </c>
      <c r="BP109" s="10" t="n">
        <f aca="false">MAX(-Flows!BP79*BP$4*BP24/100,0)</f>
        <v>6897519148274180</v>
      </c>
      <c r="BQ109" s="10" t="n">
        <f aca="false">MAX(-Flows!BQ79*BQ$4*BQ24/100,0)</f>
        <v>0</v>
      </c>
      <c r="BR109" s="10" t="n">
        <f aca="false">MAX(-Flows!BR79*BR$4*BR24/100,0)</f>
        <v>4926798947473.51</v>
      </c>
      <c r="BS109" s="10" t="n">
        <f aca="false">MAX(-Flows!BS79*BS$4*BS24/100,0)</f>
        <v>2463399251024.98</v>
      </c>
      <c r="BT109" s="10" t="n">
        <f aca="false">MAX(-Flows!BT79*BT$4*BT24/100,0)</f>
        <v>0</v>
      </c>
      <c r="BU109" s="10" t="n">
        <f aca="false">MAX(-Flows!BU79*BU$4*BU24/100,0)</f>
        <v>0</v>
      </c>
      <c r="BV109" s="10" t="n">
        <f aca="false">MAX(-Flows!BV79*BV$4*BV24/100,0)</f>
        <v>0</v>
      </c>
      <c r="BW109" s="10" t="n">
        <f aca="false">MAX(-Flows!BW79*BW$4*BW24/100,0)</f>
        <v>0</v>
      </c>
      <c r="BX109" s="10" t="n">
        <f aca="false">MAX(-Flows!BX79*BX$4*BX24/100,0)</f>
        <v>0</v>
      </c>
      <c r="BY109" s="10" t="n">
        <f aca="false">MAX(-Flows!BY79*BY$4*BY24/100,0)</f>
        <v>0</v>
      </c>
      <c r="BZ109" s="10" t="n">
        <f aca="false">MAX(-Flows!BZ79*BZ$4*BZ24/100,0)</f>
        <v>0</v>
      </c>
      <c r="CA109" s="10" t="n">
        <f aca="false">MAX(-Flows!CA79*CA$4*CA24/100,0)</f>
        <v>0</v>
      </c>
      <c r="CB109" s="10" t="n">
        <f aca="false">MAX(-Flows!CB79*CB$4*CB24/100,0)</f>
        <v>0</v>
      </c>
      <c r="CC109" s="10" t="n">
        <f aca="false">MAX(-Flows!CC79*CC$4*CC24/100,0)</f>
        <v>0</v>
      </c>
      <c r="CD109" s="10" t="n">
        <f aca="false">MAX(-Flows!CD79*CD$4*CD24/100,0)</f>
        <v>0</v>
      </c>
      <c r="CE109" s="10" t="n">
        <f aca="false">MAX(-Flows!CE79*CE$4*CE24/100,0)</f>
        <v>0</v>
      </c>
      <c r="CF109" s="10" t="n">
        <f aca="false">MAX(-Flows!CF79*CF$4*CF24/100,0)</f>
        <v>0</v>
      </c>
      <c r="CG109" s="10" t="n">
        <f aca="false">MAX(-Flows!CG79*CG$4*CG24/100,0)</f>
        <v>73901545469.9116</v>
      </c>
      <c r="CH109" s="10" t="n">
        <f aca="false">MAX(-Flows!CH79*CH$4*CH24/100,0)</f>
        <v>73901545469.9116</v>
      </c>
      <c r="CI109" s="10" t="n">
        <f aca="false">MAX(-Flows!CI79*CI$4*CI24/100,0)</f>
        <v>0</v>
      </c>
      <c r="CJ109" s="10" t="n">
        <f aca="false">MAX(-Flows!CJ79*CJ$4*CJ24/100,0)</f>
        <v>0</v>
      </c>
      <c r="CK109" s="10" t="n">
        <f aca="false">MAX(-Flows!CK79*CK$4*CK24/100,0)</f>
        <v>0</v>
      </c>
      <c r="CL109" s="7" t="s">
        <v>322</v>
      </c>
      <c r="CM109" s="10" t="n">
        <f aca="false">-CM49</f>
        <v>-162743624.169614</v>
      </c>
      <c r="CN109" s="10" t="n">
        <f aca="false">-CN49</f>
        <v>-95968710.9217258</v>
      </c>
      <c r="CO109" s="10" t="n">
        <f aca="false">-CO49</f>
        <v>-247434369.17774</v>
      </c>
      <c r="CP109" s="10" t="n">
        <f aca="false">-CP49</f>
        <v>-30544733.4444503</v>
      </c>
      <c r="CQ109" s="10" t="n">
        <f aca="false">-CQ49</f>
        <v>-112327616.404579</v>
      </c>
      <c r="CR109" s="10" t="n">
        <f aca="false">-CR49</f>
        <v>6919837508713010</v>
      </c>
      <c r="CS109" s="10" t="n">
        <f aca="false">-CS49</f>
        <v>-11700105.4401459</v>
      </c>
      <c r="CT109" s="10" t="n">
        <f aca="false">-CT49</f>
        <v>-5819588.27351514</v>
      </c>
      <c r="CU109" s="10" t="n">
        <f aca="false">-CU49</f>
        <v>20182177.1621317</v>
      </c>
      <c r="CV109" s="10" t="n">
        <f aca="false">-CV49</f>
        <v>-522648.833818927</v>
      </c>
      <c r="CX109" s="0" t="str">
        <f aca="false">INDEX($C$1:$CK$1,MATCH(LARGE($C109:$CK109,1),$C109:$CK109,0))</f>
        <v>Iron (lb)</v>
      </c>
      <c r="CY109" s="0" t="str">
        <f aca="false">INDEX($C$1:$CK$1,MATCH(LARGE($C109:$CK109,2),$C109:$CK109,0))</f>
        <v>Cu (lb)</v>
      </c>
      <c r="CZ109" s="0" t="str">
        <f aca="false">INDEX($C$1:$CK$1,MATCH(LARGE($C109:$CK109,3),$C109:$CK109,0))</f>
        <v>Ag (lb)</v>
      </c>
      <c r="DA109" s="0" t="str">
        <f aca="false">INDEX($C$1:$CK$1,MATCH(LARGE($C109:$CK109,4),$C109:$CK109,0))</f>
        <v>Au (lb)</v>
      </c>
      <c r="DB109" s="0" t="str">
        <f aca="false">INDEX($C$1:$CK$1,MATCH(LARGE($C109:$CK109,5),$C109:$CK109,0))</f>
        <v>Diamonds (lb)</v>
      </c>
      <c r="DD109" s="0" t="str">
        <f aca="false">IF(LARGE($CM109:$CV109,1)&gt;0,INDEX($CM$30:$CV$30,MATCH(LARGE($CM109:$CV109,1),$CM109:$CV109,0)),"N/A")</f>
        <v>Mineral</v>
      </c>
      <c r="DE109" s="0" t="str">
        <f aca="false">IF(LARGE($CM109:$CV109,2)&gt;0,INDEX($CM$30:$CV$30,MATCH(LARGE($CM109:$CV109,2),$CM109:$CV109,0)),"N/A")</f>
        <v>Honey</v>
      </c>
      <c r="DF109" s="0" t="str">
        <f aca="false">IF(LARGE($CM109:$CV109,3)&gt;0,INDEX($CM$30:$CV$30,MATCH(LARGE($CM109:$CV109,3),$CM109:$CV109,0)),"N/A")</f>
        <v>N/A</v>
      </c>
      <c r="DG109" s="0" t="str">
        <f aca="false">IF(LARGE($CM109:$CV109,4)&gt;0,INDEX($CM$30:$CV$30,MATCH(LARGE($CM109:$CV109,4),$CM109:$CV109,0)),"N/A")</f>
        <v>N/A</v>
      </c>
      <c r="DH109" s="0" t="str">
        <f aca="false">IF(LARGE($CM109:$CV109,5)&gt;0,INDEX($CM$30:$CV$30,MATCH(LARGE($CM109:$CV109,5),$CM109:$CV109,0)),"N/A")</f>
        <v>N/A</v>
      </c>
    </row>
    <row r="110" customFormat="false" ht="12.8" hidden="false" customHeight="false" outlineLevel="0" collapsed="false">
      <c r="A110" s="7" t="s">
        <v>157</v>
      </c>
      <c r="B110" s="7" t="s">
        <v>39</v>
      </c>
      <c r="C110" s="10" t="n">
        <f aca="false">MAX(-Flows!C80*C$4*C25/100,0)</f>
        <v>70242055.2479063</v>
      </c>
      <c r="D110" s="10" t="n">
        <f aca="false">MAX(-Flows!D80*D$4*D25/100,0)</f>
        <v>124159649.714605</v>
      </c>
      <c r="E110" s="10" t="n">
        <f aca="false">MAX(-Flows!E80*E$4*E25/100,0)</f>
        <v>33797270.5879732</v>
      </c>
      <c r="F110" s="10" t="n">
        <f aca="false">MAX(-Flows!F80*F$4*F25/100,0)</f>
        <v>0</v>
      </c>
      <c r="G110" s="10" t="n">
        <f aca="false">MAX(-Flows!G80*G$4*G25/100,0)</f>
        <v>142393825.620554</v>
      </c>
      <c r="H110" s="10" t="n">
        <f aca="false">MAX(-Flows!H80*H$4*H25/100,0)</f>
        <v>0</v>
      </c>
      <c r="I110" s="10" t="n">
        <f aca="false">MAX(-Flows!I80*I$4*I25/100,0)</f>
        <v>0</v>
      </c>
      <c r="J110" s="10" t="n">
        <f aca="false">MAX(-Flows!J80*J$4*J25/100,0)</f>
        <v>0</v>
      </c>
      <c r="K110" s="10" t="n">
        <f aca="false">MAX(-Flows!K80*K$4*K25/100,0)</f>
        <v>0</v>
      </c>
      <c r="L110" s="10" t="n">
        <f aca="false">MAX(-Flows!L80*L$4*L25/100,0)</f>
        <v>0</v>
      </c>
      <c r="M110" s="10" t="n">
        <f aca="false">MAX(-Flows!M80*M$4*M25/100,0)</f>
        <v>0</v>
      </c>
      <c r="N110" s="10" t="n">
        <f aca="false">MAX(-Flows!N80*N$4*N25/100,0)</f>
        <v>95184509.9527593</v>
      </c>
      <c r="O110" s="10" t="n">
        <f aca="false">MAX(-Flows!O80*O$4*O25/100,0)</f>
        <v>0</v>
      </c>
      <c r="P110" s="10" t="n">
        <f aca="false">MAX(-Flows!P80*P$4*P25/100,0)</f>
        <v>0</v>
      </c>
      <c r="Q110" s="10" t="n">
        <f aca="false">MAX(-Flows!Q80*Q$4*Q25/100,0)</f>
        <v>167166435.900961</v>
      </c>
      <c r="R110" s="10" t="n">
        <f aca="false">MAX(-Flows!R80*R$4*R25/100,0)</f>
        <v>60184777.346372</v>
      </c>
      <c r="S110" s="10" t="n">
        <f aca="false">MAX(-Flows!S80*S$4*S25/100,0)</f>
        <v>0</v>
      </c>
      <c r="T110" s="10" t="n">
        <f aca="false">MAX(-Flows!T80*T$4*T25/100,0)</f>
        <v>0</v>
      </c>
      <c r="U110" s="10" t="n">
        <f aca="false">MAX(-Flows!U80*U$4*U25/100,0)</f>
        <v>0</v>
      </c>
      <c r="V110" s="10" t="n">
        <f aca="false">MAX(-Flows!V80*V$4*V25/100,0)</f>
        <v>0</v>
      </c>
      <c r="W110" s="10" t="n">
        <f aca="false">MAX(-Flows!W80*W$4*W25/100,0)</f>
        <v>141326880.560249</v>
      </c>
      <c r="X110" s="10" t="n">
        <f aca="false">MAX(-Flows!X80*X$4*X25/100,0)</f>
        <v>147382570.748204</v>
      </c>
      <c r="Y110" s="10" t="n">
        <f aca="false">MAX(-Flows!Y80*Y$4*Y25/100,0)</f>
        <v>0</v>
      </c>
      <c r="Z110" s="10" t="n">
        <f aca="false">MAX(-Flows!Z80*Z$4*Z25/100,0)</f>
        <v>10698780.1636452</v>
      </c>
      <c r="AA110" s="10" t="n">
        <f aca="false">MAX(-Flows!AA80*AA$4*AA25/100,0)</f>
        <v>128444.905385038</v>
      </c>
      <c r="AB110" s="10" t="n">
        <f aca="false">MAX(-Flows!AB80*AB$4*AB25/100,0)</f>
        <v>767171.859310181</v>
      </c>
      <c r="AC110" s="10" t="n">
        <f aca="false">MAX(-Flows!AC80*AC$4*AC25/100,0)</f>
        <v>0</v>
      </c>
      <c r="AD110" s="10" t="n">
        <f aca="false">MAX(-Flows!AD80*AD$4*AD25/100,0)</f>
        <v>383585.92965509</v>
      </c>
      <c r="AE110" s="10" t="n">
        <f aca="false">MAX(-Flows!AE80*AE$4*AE25/100,0)</f>
        <v>5689177.61951456</v>
      </c>
      <c r="AF110" s="10" t="n">
        <f aca="false">MAX(-Flows!AF80*AF$4*AF25/100,0)</f>
        <v>15809873.97968</v>
      </c>
      <c r="AG110" s="10" t="n">
        <f aca="false">MAX(-Flows!AG80*AG$4*AG25/100,0)</f>
        <v>35464177.8210979</v>
      </c>
      <c r="AH110" s="10" t="n">
        <f aca="false">MAX(-Flows!AH80*AH$4*AH25/100,0)</f>
        <v>31252738.7926268</v>
      </c>
      <c r="AI110" s="10" t="n">
        <f aca="false">MAX(-Flows!AI80*AI$4*AI25/100,0)</f>
        <v>26607622.4886715</v>
      </c>
      <c r="AJ110" s="10" t="n">
        <f aca="false">MAX(-Flows!AJ80*AJ$4*AJ25/100,0)</f>
        <v>0</v>
      </c>
      <c r="AK110" s="10" t="n">
        <f aca="false">MAX(-Flows!AK80*AK$4*AK25/100,0)</f>
        <v>0</v>
      </c>
      <c r="AL110" s="10" t="n">
        <f aca="false">MAX(-Flows!AL80*AL$4*AL25/100,0)</f>
        <v>20155811.385311</v>
      </c>
      <c r="AM110" s="10" t="n">
        <f aca="false">MAX(-Flows!AM80*AM$4*AM25/100,0)</f>
        <v>19477231.0840048</v>
      </c>
      <c r="AN110" s="10" t="n">
        <f aca="false">MAX(-Flows!AN80*AN$4*AN25/100,0)</f>
        <v>0</v>
      </c>
      <c r="AO110" s="10" t="n">
        <f aca="false">MAX(-Flows!AO80*AO$4*AO25/100,0)</f>
        <v>12919738.4715969</v>
      </c>
      <c r="AP110" s="10" t="n">
        <f aca="false">MAX(-Flows!AP80*AP$4*AP25/100,0)</f>
        <v>10230692.3434792</v>
      </c>
      <c r="AQ110" s="10" t="n">
        <f aca="false">MAX(-Flows!AQ80*AQ$4*AQ25/100,0)</f>
        <v>29560471.9402408</v>
      </c>
      <c r="AR110" s="10" t="n">
        <f aca="false">MAX(-Flows!AR80*AR$4*AR25/100,0)</f>
        <v>44336037.1704235</v>
      </c>
      <c r="AS110" s="10" t="n">
        <f aca="false">MAX(-Flows!AS80*AS$4*AS25/100,0)</f>
        <v>54781796.6109523</v>
      </c>
      <c r="AT110" s="10" t="n">
        <f aca="false">MAX(-Flows!AT80*AT$4*AT25/100,0)</f>
        <v>35603314.6113024</v>
      </c>
      <c r="AU110" s="10" t="n">
        <f aca="false">MAX(-Flows!AU80*AU$4*AU25/100,0)</f>
        <v>6025339.49010017</v>
      </c>
      <c r="AV110" s="10" t="n">
        <f aca="false">MAX(-Flows!AV80*AV$4*AV25/100,0)</f>
        <v>47610301.2399484</v>
      </c>
      <c r="AW110" s="10" t="n">
        <f aca="false">MAX(-Flows!AW80*AW$4*AW25/100,0)</f>
        <v>0</v>
      </c>
      <c r="AX110" s="10" t="n">
        <f aca="false">MAX(-Flows!AX80*AX$4*AX25/100,0)</f>
        <v>8102269.17394641</v>
      </c>
      <c r="AY110" s="10" t="n">
        <f aca="false">MAX(-Flows!AY80*AY$4*AY25/100,0)</f>
        <v>0</v>
      </c>
      <c r="AZ110" s="10" t="n">
        <f aca="false">MAX(-Flows!AZ80*AZ$4*AZ25/100,0)</f>
        <v>0</v>
      </c>
      <c r="BA110" s="10" t="n">
        <f aca="false">MAX(-Flows!BA80*BA$4*BA25/100,0)</f>
        <v>0</v>
      </c>
      <c r="BB110" s="10" t="n">
        <f aca="false">MAX(-Flows!BB80*BB$4*BB25/100,0)</f>
        <v>56639145.2976594</v>
      </c>
      <c r="BC110" s="10" t="n">
        <f aca="false">MAX(-Flows!BC80*BC$4*BC25/100,0)</f>
        <v>37827835.6824292</v>
      </c>
      <c r="BD110" s="10" t="n">
        <f aca="false">MAX(-Flows!BD80*BD$4*BD25/100,0)</f>
        <v>36003697.9370002</v>
      </c>
      <c r="BE110" s="10" t="n">
        <f aca="false">MAX(-Flows!BE80*BE$4*BE25/100,0)</f>
        <v>2532746.07961332</v>
      </c>
      <c r="BF110" s="10" t="n">
        <f aca="false">MAX(-Flows!BF80*BF$4*BF25/100,0)</f>
        <v>84808286.1724269</v>
      </c>
      <c r="BG110" s="10" t="n">
        <f aca="false">MAX(-Flows!BG80*BG$4*BG25/100,0)</f>
        <v>11079016.4813858</v>
      </c>
      <c r="BH110" s="10" t="n">
        <f aca="false">MAX(-Flows!BH80*BH$4*BH25/100,0)</f>
        <v>18901497.5422199</v>
      </c>
      <c r="BI110" s="10" t="n">
        <f aca="false">MAX(-Flows!BI80*BI$4*BI25/100,0)</f>
        <v>70632562.4692842</v>
      </c>
      <c r="BJ110" s="10" t="n">
        <f aca="false">MAX(-Flows!BJ80*BJ$4*BJ25/100,0)</f>
        <v>70632562.4692842</v>
      </c>
      <c r="BK110" s="10" t="n">
        <f aca="false">MAX(-Flows!BK80*BK$4*BK25/100,0)</f>
        <v>70632562.4692842</v>
      </c>
      <c r="BL110" s="10" t="n">
        <f aca="false">MAX(-Flows!BL80*BL$4*BL25/100,0)</f>
        <v>16716643.5900961</v>
      </c>
      <c r="BM110" s="10" t="n">
        <f aca="false">MAX(-Flows!BM80*BM$4*BM25/100,0)</f>
        <v>16716643.5900961</v>
      </c>
      <c r="BN110" s="10" t="n">
        <f aca="false">MAX(-Flows!BN80*BN$4*BN25/100,0)</f>
        <v>0</v>
      </c>
      <c r="BO110" s="10" t="n">
        <f aca="false">MAX(-Flows!BO80*BO$4*BO25/100,0)</f>
        <v>0</v>
      </c>
      <c r="BP110" s="10" t="n">
        <f aca="false">MAX(-Flows!BP80*BP$4*BP25/100,0)</f>
        <v>0</v>
      </c>
      <c r="BQ110" s="10" t="n">
        <f aca="false">MAX(-Flows!BQ80*BQ$4*BQ25/100,0)</f>
        <v>0</v>
      </c>
      <c r="BR110" s="10" t="n">
        <f aca="false">MAX(-Flows!BR80*BR$4*BR25/100,0)</f>
        <v>0</v>
      </c>
      <c r="BS110" s="10" t="n">
        <f aca="false">MAX(-Flows!BS80*BS$4*BS25/100,0)</f>
        <v>0</v>
      </c>
      <c r="BT110" s="10" t="n">
        <f aca="false">MAX(-Flows!BT80*BT$4*BT25/100,0)</f>
        <v>0</v>
      </c>
      <c r="BU110" s="10" t="n">
        <f aca="false">MAX(-Flows!BU80*BU$4*BU25/100,0)</f>
        <v>0</v>
      </c>
      <c r="BV110" s="10" t="n">
        <f aca="false">MAX(-Flows!BV80*BV$4*BV25/100,0)</f>
        <v>0</v>
      </c>
      <c r="BW110" s="10" t="n">
        <f aca="false">MAX(-Flows!BW80*BW$4*BW25/100,0)</f>
        <v>0</v>
      </c>
      <c r="BX110" s="10" t="n">
        <f aca="false">MAX(-Flows!BX80*BX$4*BX25/100,0)</f>
        <v>33433287.1801921</v>
      </c>
      <c r="BY110" s="10" t="n">
        <f aca="false">MAX(-Flows!BY80*BY$4*BY25/100,0)</f>
        <v>33433287.1801922</v>
      </c>
      <c r="BZ110" s="10" t="n">
        <f aca="false">MAX(-Flows!BZ80*BZ$4*BZ25/100,0)</f>
        <v>92638243.9256962</v>
      </c>
      <c r="CA110" s="10" t="n">
        <f aca="false">MAX(-Flows!CA80*CA$4*CA25/100,0)</f>
        <v>92638243.9256962</v>
      </c>
      <c r="CB110" s="10" t="n">
        <f aca="false">MAX(-Flows!CB80*CB$4*CB25/100,0)</f>
        <v>167166435.900961</v>
      </c>
      <c r="CC110" s="10" t="n">
        <f aca="false">MAX(-Flows!CC80*CC$4*CC25/100,0)</f>
        <v>3531628.12346421</v>
      </c>
      <c r="CD110" s="10" t="n">
        <f aca="false">MAX(-Flows!CD80*CD$4*CD25/100,0)</f>
        <v>0</v>
      </c>
      <c r="CE110" s="10" t="n">
        <f aca="false">MAX(-Flows!CE80*CE$4*CE25/100,0)</f>
        <v>3531628.12346421</v>
      </c>
      <c r="CF110" s="10" t="n">
        <f aca="false">MAX(-Flows!CF80*CF$4*CF25/100,0)</f>
        <v>10436428.2928706</v>
      </c>
      <c r="CG110" s="10" t="n">
        <f aca="false">MAX(-Flows!CG80*CG$4*CG25/100,0)</f>
        <v>0</v>
      </c>
      <c r="CH110" s="10" t="n">
        <f aca="false">MAX(-Flows!CH80*CH$4*CH25/100,0)</f>
        <v>0</v>
      </c>
      <c r="CI110" s="10" t="n">
        <f aca="false">MAX(-Flows!CI80*CI$4*CI25/100,0)</f>
        <v>83583217.9504804</v>
      </c>
      <c r="CJ110" s="10" t="n">
        <f aca="false">MAX(-Flows!CJ80*CJ$4*CJ25/100,0)</f>
        <v>8358321.79504804</v>
      </c>
      <c r="CK110" s="10" t="n">
        <f aca="false">MAX(-Flows!CK80*CK$4*CK25/100,0)</f>
        <v>8358321.79504804</v>
      </c>
      <c r="CL110" s="7" t="s">
        <v>322</v>
      </c>
      <c r="CM110" s="10" t="n">
        <f aca="false">-CM50</f>
        <v>542917826.624095</v>
      </c>
      <c r="CN110" s="10" t="n">
        <f aca="false">-CN50</f>
        <v>385991204.270106</v>
      </c>
      <c r="CO110" s="10" t="n">
        <f aca="false">-CO50</f>
        <v>650982286.630935</v>
      </c>
      <c r="CP110" s="10" t="n">
        <f aca="false">-CP50</f>
        <v>194040738.679949</v>
      </c>
      <c r="CQ110" s="10" t="n">
        <f aca="false">-CQ50</f>
        <v>421724858.848791</v>
      </c>
      <c r="CR110" s="10" t="n">
        <f aca="false">-CR50</f>
        <v>66935093.5739286</v>
      </c>
      <c r="CS110" s="10" t="n">
        <f aca="false">-CS50</f>
        <v>69172522.7605289</v>
      </c>
      <c r="CT110" s="10" t="n">
        <f aca="false">-CT50</f>
        <v>27153071.8829666</v>
      </c>
      <c r="CU110" s="10" t="n">
        <f aca="false">-CU50</f>
        <v>-30378697.0306675</v>
      </c>
      <c r="CV110" s="10" t="n">
        <f aca="false">-CV50</f>
        <v>1150757.78896527</v>
      </c>
      <c r="CX110" s="0" t="str">
        <f aca="false">INDEX($C$1:$CK$1,MATCH(LARGE($C110:$CK110,1),$C110:$CK110,0))</f>
        <v>Veg Oil (lb)</v>
      </c>
      <c r="CY110" s="0" t="str">
        <f aca="false">INDEX($C$1:$CK$1,MATCH(LARGE($C110:$CK110,2),$C110:$CK110,0))</f>
        <v>Veg Oil (lb)</v>
      </c>
      <c r="CZ110" s="23" t="s">
        <v>401</v>
      </c>
      <c r="DA110" s="0" t="str">
        <f aca="false">INDEX($C$1:$CK$1,MATCH(LARGE($C110:$CK110,4),$C110:$CK110,0))</f>
        <v>Nunives (lb)</v>
      </c>
      <c r="DB110" s="0" t="str">
        <f aca="false">INDEX($C$1:$CK$1,MATCH(LARGE($C110:$CK110,5),$C110:$CK110,0))</f>
        <v>Sauce (lb)</v>
      </c>
      <c r="DD110" s="0" t="str">
        <f aca="false">IF(LARGE($CM110:$CV110,1)&gt;0,INDEX($CM$30:$CV$30,MATCH(LARGE($CM110:$CV110,1),$CM110:$CV110,0)),"N/A")</f>
        <v>Food Prod</v>
      </c>
      <c r="DE110" s="0" t="str">
        <f aca="false">IF(LARGE($CM110:$CV110,2)&gt;0,INDEX($CM$30:$CV$30,MATCH(LARGE($CM110:$CV110,2),$CM110:$CV110,0)),"N/A")</f>
        <v>Produce</v>
      </c>
      <c r="DF110" s="0" t="str">
        <f aca="false">IF(LARGE($CM110:$CV110,3)&gt;0,INDEX($CM$30:$CV$30,MATCH(LARGE($CM110:$CV110,3),$CM110:$CV110,0)),"N/A")</f>
        <v>Tools</v>
      </c>
      <c r="DG110" s="0" t="str">
        <f aca="false">IF(LARGE($CM110:$CV110,4)&gt;0,INDEX($CM$30:$CV$30,MATCH(LARGE($CM110:$CV110,4),$CM110:$CV110,0)),"N/A")</f>
        <v>Animal</v>
      </c>
      <c r="DH110" s="0" t="str">
        <f aca="false">IF(LARGE($CM110:$CV110,5)&gt;0,INDEX($CM$30:$CV$30,MATCH(LARGE($CM110:$CV110,5),$CM110:$CV110,0)),"N/A")</f>
        <v>Textile</v>
      </c>
    </row>
    <row r="111" customFormat="false" ht="12.8" hidden="false" customHeight="false" outlineLevel="0" collapsed="false">
      <c r="A111" s="7" t="s">
        <v>158</v>
      </c>
      <c r="B111" s="7" t="s">
        <v>39</v>
      </c>
      <c r="C111" s="10" t="n">
        <f aca="false">MAX(-Flows!C81*C$4*C26/100,0)</f>
        <v>0</v>
      </c>
      <c r="D111" s="10" t="n">
        <f aca="false">MAX(-Flows!D81*D$4*D26/100,0)</f>
        <v>0</v>
      </c>
      <c r="E111" s="10" t="n">
        <f aca="false">MAX(-Flows!E81*E$4*E26/100,0)</f>
        <v>0</v>
      </c>
      <c r="F111" s="10" t="n">
        <f aca="false">MAX(-Flows!F81*F$4*F26/100,0)</f>
        <v>0</v>
      </c>
      <c r="G111" s="10" t="n">
        <f aca="false">MAX(-Flows!G81*G$4*G26/100,0)</f>
        <v>0</v>
      </c>
      <c r="H111" s="10" t="n">
        <f aca="false">MAX(-Flows!H81*H$4*H26/100,0)</f>
        <v>0</v>
      </c>
      <c r="I111" s="10" t="n">
        <f aca="false">MAX(-Flows!I81*I$4*I26/100,0)</f>
        <v>0</v>
      </c>
      <c r="J111" s="10" t="n">
        <f aca="false">MAX(-Flows!J81*J$4*J26/100,0)</f>
        <v>8168651.77992505</v>
      </c>
      <c r="K111" s="10" t="n">
        <f aca="false">MAX(-Flows!K81*K$4*K26/100,0)</f>
        <v>0</v>
      </c>
      <c r="L111" s="10" t="n">
        <f aca="false">MAX(-Flows!L81*L$4*L26/100,0)</f>
        <v>0</v>
      </c>
      <c r="M111" s="10" t="n">
        <f aca="false">MAX(-Flows!M81*M$4*M26/100,0)</f>
        <v>0</v>
      </c>
      <c r="N111" s="10" t="n">
        <f aca="false">MAX(-Flows!N81*N$4*N26/100,0)</f>
        <v>0</v>
      </c>
      <c r="O111" s="10" t="n">
        <f aca="false">MAX(-Flows!O81*O$4*O26/100,0)</f>
        <v>0</v>
      </c>
      <c r="P111" s="10" t="n">
        <f aca="false">MAX(-Flows!P81*P$4*P26/100,0)</f>
        <v>0</v>
      </c>
      <c r="Q111" s="10" t="n">
        <f aca="false">MAX(-Flows!Q81*Q$4*Q26/100,0)</f>
        <v>6003572.29013121</v>
      </c>
      <c r="R111" s="10" t="n">
        <f aca="false">MAX(-Flows!R81*R$4*R26/100,0)</f>
        <v>0</v>
      </c>
      <c r="S111" s="10" t="n">
        <f aca="false">MAX(-Flows!S81*S$4*S26/100,0)</f>
        <v>0</v>
      </c>
      <c r="T111" s="10" t="n">
        <f aca="false">MAX(-Flows!T81*T$4*T26/100,0)</f>
        <v>0</v>
      </c>
      <c r="U111" s="10" t="n">
        <f aca="false">MAX(-Flows!U81*U$4*U26/100,0)</f>
        <v>0</v>
      </c>
      <c r="V111" s="10" t="n">
        <f aca="false">MAX(-Flows!V81*V$4*V26/100,0)</f>
        <v>0</v>
      </c>
      <c r="W111" s="10" t="n">
        <f aca="false">MAX(-Flows!W81*W$4*W26/100,0)</f>
        <v>21251521.7809074</v>
      </c>
      <c r="X111" s="10" t="n">
        <f aca="false">MAX(-Flows!X81*X$4*X26/100,0)</f>
        <v>0</v>
      </c>
      <c r="Y111" s="10" t="n">
        <f aca="false">MAX(-Flows!Y81*Y$4*Y26/100,0)</f>
        <v>0</v>
      </c>
      <c r="Z111" s="10" t="n">
        <f aca="false">MAX(-Flows!Z81*Z$4*Z26/100,0)</f>
        <v>1249541.48975479</v>
      </c>
      <c r="AA111" s="10" t="n">
        <f aca="false">MAX(-Flows!AA81*AA$4*AA26/100,0)</f>
        <v>0</v>
      </c>
      <c r="AB111" s="10" t="n">
        <f aca="false">MAX(-Flows!AB81*AB$4*AB26/100,0)</f>
        <v>51509.7397288005</v>
      </c>
      <c r="AC111" s="10" t="n">
        <f aca="false">MAX(-Flows!AC81*AC$4*AC26/100,0)</f>
        <v>0</v>
      </c>
      <c r="AD111" s="10" t="n">
        <f aca="false">MAX(-Flows!AD81*AD$4*AD26/100,0)</f>
        <v>25754.8698644001</v>
      </c>
      <c r="AE111" s="10" t="n">
        <f aca="false">MAX(-Flows!AE81*AE$4*AE26/100,0)</f>
        <v>2132373.23020181</v>
      </c>
      <c r="AF111" s="10" t="n">
        <f aca="false">MAX(-Flows!AF81*AF$4*AF26/100,0)</f>
        <v>677940.549219555</v>
      </c>
      <c r="AG111" s="10" t="n">
        <f aca="false">MAX(-Flows!AG81*AG$4*AG26/100,0)</f>
        <v>7938303.58304324</v>
      </c>
      <c r="AH111" s="10" t="n">
        <f aca="false">MAX(-Flows!AH81*AH$4*AH26/100,0)</f>
        <v>0</v>
      </c>
      <c r="AI111" s="10" t="n">
        <f aca="false">MAX(-Flows!AI81*AI$4*AI26/100,0)</f>
        <v>3700197.87094974</v>
      </c>
      <c r="AJ111" s="10" t="n">
        <f aca="false">MAX(-Flows!AJ81*AJ$4*AJ26/100,0)</f>
        <v>11020203.8165116</v>
      </c>
      <c r="AK111" s="10" t="n">
        <f aca="false">MAX(-Flows!AK81*AK$4*AK26/100,0)</f>
        <v>0</v>
      </c>
      <c r="AL111" s="10" t="n">
        <f aca="false">MAX(-Flows!AL81*AL$4*AL26/100,0)</f>
        <v>6426930.57027031</v>
      </c>
      <c r="AM111" s="10" t="n">
        <f aca="false">MAX(-Flows!AM81*AM$4*AM26/100,0)</f>
        <v>8972974.43870099</v>
      </c>
      <c r="AN111" s="10" t="n">
        <f aca="false">MAX(-Flows!AN81*AN$4*AN26/100,0)</f>
        <v>7154452.94145677</v>
      </c>
      <c r="AO111" s="10" t="n">
        <f aca="false">MAX(-Flows!AO81*AO$4*AO26/100,0)</f>
        <v>6061328.32791271</v>
      </c>
      <c r="AP111" s="10" t="n">
        <f aca="false">MAX(-Flows!AP81*AP$4*AP26/100,0)</f>
        <v>8105274.42280427</v>
      </c>
      <c r="AQ111" s="10" t="n">
        <f aca="false">MAX(-Flows!AQ81*AQ$4*AQ26/100,0)</f>
        <v>5665149.43801824</v>
      </c>
      <c r="AR111" s="10" t="n">
        <f aca="false">MAX(-Flows!AR81*AR$4*AR26/100,0)</f>
        <v>4886341.14204711</v>
      </c>
      <c r="AS111" s="10" t="n">
        <f aca="false">MAX(-Flows!AS81*AS$4*AS26/100,0)</f>
        <v>0</v>
      </c>
      <c r="AT111" s="10" t="n">
        <f aca="false">MAX(-Flows!AT81*AT$4*AT26/100,0)</f>
        <v>0</v>
      </c>
      <c r="AU111" s="10" t="n">
        <f aca="false">MAX(-Flows!AU81*AU$4*AU26/100,0)</f>
        <v>0</v>
      </c>
      <c r="AV111" s="10" t="n">
        <f aca="false">MAX(-Flows!AV81*AV$4*AV26/100,0)</f>
        <v>1072728.69692312</v>
      </c>
      <c r="AW111" s="10" t="n">
        <f aca="false">MAX(-Flows!AW81*AW$4*AW26/100,0)</f>
        <v>0</v>
      </c>
      <c r="AX111" s="10" t="n">
        <f aca="false">MAX(-Flows!AX81*AX$4*AX26/100,0)</f>
        <v>751807.818790316</v>
      </c>
      <c r="AY111" s="10" t="n">
        <f aca="false">MAX(-Flows!AY81*AY$4*AY26/100,0)</f>
        <v>0</v>
      </c>
      <c r="AZ111" s="10" t="n">
        <f aca="false">MAX(-Flows!AZ81*AZ$4*AZ26/100,0)</f>
        <v>550269.832503697</v>
      </c>
      <c r="BA111" s="10" t="n">
        <f aca="false">MAX(-Flows!BA81*BA$4*BA26/100,0)</f>
        <v>0</v>
      </c>
      <c r="BB111" s="10" t="n">
        <f aca="false">MAX(-Flows!BB81*BB$4*BB26/100,0)</f>
        <v>0</v>
      </c>
      <c r="BC111" s="10" t="n">
        <f aca="false">MAX(-Flows!BC81*BC$4*BC26/100,0)</f>
        <v>0</v>
      </c>
      <c r="BD111" s="10" t="n">
        <f aca="false">MAX(-Flows!BD81*BD$4*BD26/100,0)</f>
        <v>0</v>
      </c>
      <c r="BE111" s="10" t="n">
        <f aca="false">MAX(-Flows!BE81*BE$4*BE26/100,0)</f>
        <v>0</v>
      </c>
      <c r="BF111" s="10" t="n">
        <f aca="false">MAX(-Flows!BF81*BF$4*BF26/100,0)</f>
        <v>0</v>
      </c>
      <c r="BG111" s="10" t="n">
        <f aca="false">MAX(-Flows!BG81*BG$4*BG26/100,0)</f>
        <v>0</v>
      </c>
      <c r="BH111" s="10" t="n">
        <f aca="false">MAX(-Flows!BH81*BH$4*BH26/100,0)</f>
        <v>0</v>
      </c>
      <c r="BI111" s="10" t="n">
        <f aca="false">MAX(-Flows!BI81*BI$4*BI26/100,0)</f>
        <v>0</v>
      </c>
      <c r="BJ111" s="10" t="n">
        <f aca="false">MAX(-Flows!BJ81*BJ$4*BJ26/100,0)</f>
        <v>0</v>
      </c>
      <c r="BK111" s="10" t="n">
        <f aca="false">MAX(-Flows!BK81*BK$4*BK26/100,0)</f>
        <v>0</v>
      </c>
      <c r="BL111" s="10" t="n">
        <f aca="false">MAX(-Flows!BL81*BL$4*BL26/100,0)</f>
        <v>600357.229013123</v>
      </c>
      <c r="BM111" s="10" t="n">
        <f aca="false">MAX(-Flows!BM81*BM$4*BM26/100,0)</f>
        <v>600357.229013121</v>
      </c>
      <c r="BN111" s="10" t="n">
        <f aca="false">MAX(-Flows!BN81*BN$4*BN26/100,0)</f>
        <v>0</v>
      </c>
      <c r="BO111" s="10" t="n">
        <f aca="false">MAX(-Flows!BO81*BO$4*BO26/100,0)</f>
        <v>10681856348582.8</v>
      </c>
      <c r="BP111" s="10" t="n">
        <f aca="false">MAX(-Flows!BP81*BP$4*BP26/100,0)</f>
        <v>4984866588176310</v>
      </c>
      <c r="BQ111" s="10" t="n">
        <f aca="false">MAX(-Flows!BQ81*BQ$4*BQ26/100,0)</f>
        <v>0</v>
      </c>
      <c r="BR111" s="10" t="n">
        <f aca="false">MAX(-Flows!BR81*BR$4*BR26/100,0)</f>
        <v>3560618361865.22</v>
      </c>
      <c r="BS111" s="10" t="n">
        <f aca="false">MAX(-Flows!BS81*BS$4*BS26/100,0)</f>
        <v>1780308865185.84</v>
      </c>
      <c r="BT111" s="10" t="n">
        <f aca="false">MAX(-Flows!BT81*BT$4*BT26/100,0)</f>
        <v>0</v>
      </c>
      <c r="BU111" s="10" t="n">
        <f aca="false">MAX(-Flows!BU81*BU$4*BU26/100,0)</f>
        <v>0</v>
      </c>
      <c r="BV111" s="10" t="n">
        <f aca="false">MAX(-Flows!BV81*BV$4*BV26/100,0)</f>
        <v>0</v>
      </c>
      <c r="BW111" s="10" t="n">
        <f aca="false">MAX(-Flows!BW81*BW$4*BW26/100,0)</f>
        <v>0</v>
      </c>
      <c r="BX111" s="10" t="n">
        <f aca="false">MAX(-Flows!BX81*BX$4*BX26/100,0)</f>
        <v>1200714.45802624</v>
      </c>
      <c r="BY111" s="10" t="n">
        <f aca="false">MAX(-Flows!BY81*BY$4*BY26/100,0)</f>
        <v>1200714.45802625</v>
      </c>
      <c r="BZ111" s="10" t="n">
        <f aca="false">MAX(-Flows!BZ81*BZ$4*BZ26/100,0)</f>
        <v>0</v>
      </c>
      <c r="CA111" s="10" t="n">
        <f aca="false">MAX(-Flows!CA81*CA$4*CA26/100,0)</f>
        <v>0</v>
      </c>
      <c r="CB111" s="10" t="n">
        <f aca="false">MAX(-Flows!CB81*CB$4*CB26/100,0)</f>
        <v>6003572.29013123</v>
      </c>
      <c r="CC111" s="10" t="n">
        <f aca="false">MAX(-Flows!CC81*CC$4*CC26/100,0)</f>
        <v>0</v>
      </c>
      <c r="CD111" s="10" t="n">
        <f aca="false">MAX(-Flows!CD81*CD$4*CD26/100,0)</f>
        <v>0</v>
      </c>
      <c r="CE111" s="10" t="n">
        <f aca="false">MAX(-Flows!CE81*CE$4*CE26/100,0)</f>
        <v>0</v>
      </c>
      <c r="CF111" s="10" t="n">
        <f aca="false">MAX(-Flows!CF81*CF$4*CF26/100,0)</f>
        <v>0</v>
      </c>
      <c r="CG111" s="10" t="n">
        <f aca="false">MAX(-Flows!CG81*CG$4*CG26/100,0)</f>
        <v>53408653406.8318</v>
      </c>
      <c r="CH111" s="10" t="n">
        <f aca="false">MAX(-Flows!CH81*CH$4*CH26/100,0)</f>
        <v>53408653406.8319</v>
      </c>
      <c r="CI111" s="10" t="n">
        <f aca="false">MAX(-Flows!CI81*CI$4*CI26/100,0)</f>
        <v>3001786.14506562</v>
      </c>
      <c r="CJ111" s="10" t="n">
        <f aca="false">MAX(-Flows!CJ81*CJ$4*CJ26/100,0)</f>
        <v>300178.614506561</v>
      </c>
      <c r="CK111" s="10" t="n">
        <f aca="false">MAX(-Flows!CK81*CK$4*CK26/100,0)</f>
        <v>300178.614506561</v>
      </c>
      <c r="CL111" s="7" t="s">
        <v>322</v>
      </c>
      <c r="CM111" s="10" t="n">
        <f aca="false">-CM51</f>
        <v>-79053969.7211379</v>
      </c>
      <c r="CN111" s="10" t="n">
        <f aca="false">-CN51</f>
        <v>-63145112.1611781</v>
      </c>
      <c r="CO111" s="10" t="n">
        <f aca="false">-CO51</f>
        <v>-26895943.2336578</v>
      </c>
      <c r="CP111" s="10" t="n">
        <f aca="false">-CP51</f>
        <v>-12151886.4997195</v>
      </c>
      <c r="CQ111" s="10" t="n">
        <f aca="false">-CQ51</f>
        <v>48641578.0596397</v>
      </c>
      <c r="CR111" s="10" t="n">
        <f aca="false">-CR51</f>
        <v>5000996132397540</v>
      </c>
      <c r="CS111" s="10" t="n">
        <f aca="false">-CS51</f>
        <v>-11975347.6388303</v>
      </c>
      <c r="CT111" s="10" t="n">
        <f aca="false">-CT51</f>
        <v>-1801691.67962795</v>
      </c>
      <c r="CU111" s="10" t="n">
        <f aca="false">-CU51</f>
        <v>-55257501.483446</v>
      </c>
      <c r="CV111" s="10" t="n">
        <f aca="false">-CV51</f>
        <v>77264.6095932006</v>
      </c>
      <c r="CX111" s="0" t="str">
        <f aca="false">INDEX($C$1:$CK$1,MATCH(LARGE($C111:$CK111,1),$C111:$CK111,0))</f>
        <v>Iron (lb)</v>
      </c>
      <c r="CY111" s="0" t="str">
        <f aca="false">INDEX($C$1:$CK$1,MATCH(LARGE($C111:$CK111,2),$C111:$CK111,0))</f>
        <v>Cu (lb)</v>
      </c>
      <c r="CZ111" s="0" t="str">
        <f aca="false">INDEX($C$1:$CK$1,MATCH(LARGE($C111:$CK111,3),$C111:$CK111,0))</f>
        <v>Ag (lb)</v>
      </c>
      <c r="DA111" s="0" t="str">
        <f aca="false">INDEX($C$1:$CK$1,MATCH(LARGE($C111:$CK111,4),$C111:$CK111,0))</f>
        <v>Au (lb)</v>
      </c>
      <c r="DB111" s="0" t="str">
        <f aca="false">INDEX($C$1:$CK$1,MATCH(LARGE($C111:$CK111,5),$C111:$CK111,0))</f>
        <v>Diamonds (lb)</v>
      </c>
      <c r="DD111" s="0" t="str">
        <f aca="false">IF(LARGE($CM111:$CV111,1)&gt;0,INDEX($CM$30:$CV$30,MATCH(LARGE($CM111:$CV111,1),$CM111:$CV111,0)),"N/A")</f>
        <v>Mineral</v>
      </c>
      <c r="DE111" s="0" t="str">
        <f aca="false">IF(LARGE($CM111:$CV111,2)&gt;0,INDEX($CM$30:$CV$30,MATCH(LARGE($CM111:$CV111,2),$CM111:$CV111,0)),"N/A")</f>
        <v>Tools</v>
      </c>
      <c r="DF111" s="0" t="str">
        <f aca="false">IF(LARGE($CM111:$CV111,3)&gt;0,INDEX($CM$30:$CV$30,MATCH(LARGE($CM111:$CV111,3),$CM111:$CV111,0)),"N/A")</f>
        <v>Service</v>
      </c>
      <c r="DG111" s="0" t="str">
        <f aca="false">IF(LARGE($CM111:$CV111,4)&gt;0,INDEX($CM$30:$CV$30,MATCH(LARGE($CM111:$CV111,4),$CM111:$CV111,0)),"N/A")</f>
        <v>N/A</v>
      </c>
      <c r="DH111" s="0" t="str">
        <f aca="false">IF(LARGE($CM111:$CV111,5)&gt;0,INDEX($CM$30:$CV$30,MATCH(LARGE($CM111:$CV111,5),$CM111:$CV111,0)),"N/A")</f>
        <v>N/A</v>
      </c>
    </row>
    <row r="112" customFormat="false" ht="12.8" hidden="false" customHeight="false" outlineLevel="0" collapsed="false">
      <c r="A112" s="7" t="s">
        <v>159</v>
      </c>
      <c r="B112" s="7" t="s">
        <v>39</v>
      </c>
      <c r="C112" s="10" t="n">
        <f aca="false">MAX(-Flows!C82*C$4*C27/100,0)</f>
        <v>31195705.3069753</v>
      </c>
      <c r="D112" s="10" t="n">
        <f aca="false">MAX(-Flows!D82*D$4*D27/100,0)</f>
        <v>34336446.8076309</v>
      </c>
      <c r="E112" s="10" t="n">
        <f aca="false">MAX(-Flows!E82*E$4*E27/100,0)</f>
        <v>44141884.787869</v>
      </c>
      <c r="F112" s="10" t="n">
        <f aca="false">MAX(-Flows!F82*F$4*F27/100,0)</f>
        <v>0</v>
      </c>
      <c r="G112" s="10" t="n">
        <f aca="false">MAX(-Flows!G82*G$4*G27/100,0)</f>
        <v>35033850.877838</v>
      </c>
      <c r="H112" s="10" t="n">
        <f aca="false">MAX(-Flows!H82*H$4*H27/100,0)</f>
        <v>0</v>
      </c>
      <c r="I112" s="10" t="n">
        <f aca="false">MAX(-Flows!I82*I$4*I27/100,0)</f>
        <v>0</v>
      </c>
      <c r="J112" s="10" t="n">
        <f aca="false">MAX(-Flows!J82*J$4*J27/100,0)</f>
        <v>0</v>
      </c>
      <c r="K112" s="10" t="n">
        <f aca="false">MAX(-Flows!K82*K$4*K27/100,0)</f>
        <v>0</v>
      </c>
      <c r="L112" s="10" t="n">
        <f aca="false">MAX(-Flows!L82*L$4*L27/100,0)</f>
        <v>0</v>
      </c>
      <c r="M112" s="10" t="n">
        <f aca="false">MAX(-Flows!M82*M$4*M27/100,0)</f>
        <v>0</v>
      </c>
      <c r="N112" s="10" t="n">
        <f aca="false">MAX(-Flows!N82*N$4*N27/100,0)</f>
        <v>29070047.7282129</v>
      </c>
      <c r="O112" s="10" t="n">
        <f aca="false">MAX(-Flows!O82*O$4*O27/100,0)</f>
        <v>0</v>
      </c>
      <c r="P112" s="10" t="n">
        <f aca="false">MAX(-Flows!P82*P$4*P27/100,0)</f>
        <v>0</v>
      </c>
      <c r="Q112" s="10" t="n">
        <f aca="false">MAX(-Flows!Q82*Q$4*Q27/100,0)</f>
        <v>275853072.206004</v>
      </c>
      <c r="R112" s="10" t="n">
        <f aca="false">MAX(-Flows!R82*R$4*R27/100,0)</f>
        <v>42359964.5936946</v>
      </c>
      <c r="S112" s="10" t="n">
        <f aca="false">MAX(-Flows!S82*S$4*S27/100,0)</f>
        <v>0</v>
      </c>
      <c r="T112" s="10" t="n">
        <f aca="false">MAX(-Flows!T82*T$4*T27/100,0)</f>
        <v>0</v>
      </c>
      <c r="U112" s="10" t="n">
        <f aca="false">MAX(-Flows!U82*U$4*U27/100,0)</f>
        <v>0</v>
      </c>
      <c r="V112" s="10" t="n">
        <f aca="false">MAX(-Flows!V82*V$4*V27/100,0)</f>
        <v>316184055.007502</v>
      </c>
      <c r="W112" s="10" t="n">
        <f aca="false">MAX(-Flows!W82*W$4*W27/100,0)</f>
        <v>76577621.5057265</v>
      </c>
      <c r="X112" s="10" t="n">
        <f aca="false">MAX(-Flows!X82*X$4*X27/100,0)</f>
        <v>0</v>
      </c>
      <c r="Y112" s="10" t="n">
        <f aca="false">MAX(-Flows!Y82*Y$4*Y27/100,0)</f>
        <v>0</v>
      </c>
      <c r="Z112" s="10" t="n">
        <f aca="false">MAX(-Flows!Z82*Z$4*Z27/100,0)</f>
        <v>0</v>
      </c>
      <c r="AA112" s="10" t="n">
        <f aca="false">MAX(-Flows!AA82*AA$4*AA27/100,0)</f>
        <v>29892.3177633859</v>
      </c>
      <c r="AB112" s="10" t="n">
        <f aca="false">MAX(-Flows!AB82*AB$4*AB27/100,0)</f>
        <v>565621.555813278</v>
      </c>
      <c r="AC112" s="10" t="n">
        <f aca="false">MAX(-Flows!AC82*AC$4*AC27/100,0)</f>
        <v>0</v>
      </c>
      <c r="AD112" s="10" t="n">
        <f aca="false">MAX(-Flows!AD82*AD$4*AD27/100,0)</f>
        <v>282810.777906639</v>
      </c>
      <c r="AE112" s="10" t="n">
        <f aca="false">MAX(-Flows!AE82*AE$4*AE27/100,0)</f>
        <v>0</v>
      </c>
      <c r="AF112" s="10" t="n">
        <f aca="false">MAX(-Flows!AF82*AF$4*AF27/100,0)</f>
        <v>14869399.733335</v>
      </c>
      <c r="AG112" s="10" t="n">
        <f aca="false">MAX(-Flows!AG82*AG$4*AG27/100,0)</f>
        <v>77773806.8452708</v>
      </c>
      <c r="AH112" s="10" t="n">
        <f aca="false">MAX(-Flows!AH82*AH$4*AH27/100,0)</f>
        <v>72395366.0247514</v>
      </c>
      <c r="AI112" s="10" t="n">
        <f aca="false">MAX(-Flows!AI82*AI$4*AI27/100,0)</f>
        <v>0</v>
      </c>
      <c r="AJ112" s="10" t="n">
        <f aca="false">MAX(-Flows!AJ82*AJ$4*AJ27/100,0)</f>
        <v>24848869.8895224</v>
      </c>
      <c r="AK112" s="10" t="n">
        <f aca="false">MAX(-Flows!AK82*AK$4*AK27/100,0)</f>
        <v>3000263.27229749</v>
      </c>
      <c r="AL112" s="10" t="n">
        <f aca="false">MAX(-Flows!AL82*AL$4*AL27/100,0)</f>
        <v>13921129.1165826</v>
      </c>
      <c r="AM112" s="10" t="n">
        <f aca="false">MAX(-Flows!AM82*AM$4*AM27/100,0)</f>
        <v>0</v>
      </c>
      <c r="AN112" s="10" t="n">
        <f aca="false">MAX(-Flows!AN82*AN$4*AN27/100,0)</f>
        <v>87651881.2663144</v>
      </c>
      <c r="AO112" s="10" t="n">
        <f aca="false">MAX(-Flows!AO82*AO$4*AO27/100,0)</f>
        <v>43853547.8421381</v>
      </c>
      <c r="AP112" s="10" t="n">
        <f aca="false">MAX(-Flows!AP82*AP$4*AP27/100,0)</f>
        <v>62424663.6447535</v>
      </c>
      <c r="AQ112" s="10" t="n">
        <f aca="false">MAX(-Flows!AQ82*AQ$4*AQ27/100,0)</f>
        <v>45009176.111906</v>
      </c>
      <c r="AR112" s="10" t="n">
        <f aca="false">MAX(-Flows!AR82*AR$4*AR27/100,0)</f>
        <v>10233740.8102257</v>
      </c>
      <c r="AS112" s="10" t="n">
        <f aca="false">MAX(-Flows!AS82*AS$4*AS27/100,0)</f>
        <v>63805965.2496726</v>
      </c>
      <c r="AT112" s="10" t="n">
        <f aca="false">MAX(-Flows!AT82*AT$4*AT27/100,0)</f>
        <v>71618665.1929896</v>
      </c>
      <c r="AU112" s="10" t="n">
        <f aca="false">MAX(-Flows!AU82*AU$4*AU27/100,0)</f>
        <v>121533469.057373</v>
      </c>
      <c r="AV112" s="10" t="n">
        <f aca="false">MAX(-Flows!AV82*AV$4*AV27/100,0)</f>
        <v>7310141.61485966</v>
      </c>
      <c r="AW112" s="10" t="n">
        <f aca="false">MAX(-Flows!AW82*AW$4*AW27/100,0)</f>
        <v>0</v>
      </c>
      <c r="AX112" s="10" t="n">
        <f aca="false">MAX(-Flows!AX82*AX$4*AX27/100,0)</f>
        <v>25642929.938724</v>
      </c>
      <c r="AY112" s="10" t="n">
        <f aca="false">MAX(-Flows!AY82*AY$4*AY27/100,0)</f>
        <v>465551.370860527</v>
      </c>
      <c r="AZ112" s="10" t="n">
        <f aca="false">MAX(-Flows!AZ82*AZ$4*AZ27/100,0)</f>
        <v>3992019.19593375</v>
      </c>
      <c r="BA112" s="10" t="n">
        <f aca="false">MAX(-Flows!BA82*BA$4*BA27/100,0)</f>
        <v>0</v>
      </c>
      <c r="BB112" s="10" t="n">
        <f aca="false">MAX(-Flows!BB82*BB$4*BB27/100,0)</f>
        <v>16916149.3482225</v>
      </c>
      <c r="BC112" s="10" t="n">
        <f aca="false">MAX(-Flows!BC82*BC$4*BC27/100,0)</f>
        <v>30056401.823518</v>
      </c>
      <c r="BD112" s="10" t="n">
        <f aca="false">MAX(-Flows!BD82*BD$4*BD27/100,0)</f>
        <v>17108178.4151789</v>
      </c>
      <c r="BE112" s="10" t="n">
        <f aca="false">MAX(-Flows!BE82*BE$4*BE27/100,0)</f>
        <v>39306377.5540746</v>
      </c>
      <c r="BF112" s="10" t="n">
        <f aca="false">MAX(-Flows!BF82*BF$4*BF27/100,0)</f>
        <v>0</v>
      </c>
      <c r="BG112" s="10" t="n">
        <f aca="false">MAX(-Flows!BG82*BG$4*BG27/100,0)</f>
        <v>0</v>
      </c>
      <c r="BH112" s="10" t="n">
        <f aca="false">MAX(-Flows!BH82*BH$4*BH27/100,0)</f>
        <v>0</v>
      </c>
      <c r="BI112" s="10" t="n">
        <f aca="false">MAX(-Flows!BI82*BI$4*BI27/100,0)</f>
        <v>171226465.024043</v>
      </c>
      <c r="BJ112" s="10" t="n">
        <f aca="false">MAX(-Flows!BJ82*BJ$4*BJ27/100,0)</f>
        <v>171226465.024043</v>
      </c>
      <c r="BK112" s="10" t="n">
        <f aca="false">MAX(-Flows!BK82*BK$4*BK27/100,0)</f>
        <v>171226465.024043</v>
      </c>
      <c r="BL112" s="10" t="n">
        <f aca="false">MAX(-Flows!BL82*BL$4*BL27/100,0)</f>
        <v>27585307.2206004</v>
      </c>
      <c r="BM112" s="10" t="n">
        <f aca="false">MAX(-Flows!BM82*BM$4*BM27/100,0)</f>
        <v>27585307.2206004</v>
      </c>
      <c r="BN112" s="10" t="n">
        <f aca="false">MAX(-Flows!BN82*BN$4*BN27/100,0)</f>
        <v>0</v>
      </c>
      <c r="BO112" s="10" t="n">
        <f aca="false">MAX(-Flows!BO82*BO$4*BO27/100,0)</f>
        <v>6143756577049.06</v>
      </c>
      <c r="BP112" s="10" t="n">
        <f aca="false">MAX(-Flows!BP82*BP$4*BP27/100,0)</f>
        <v>2867087066517640</v>
      </c>
      <c r="BQ112" s="10" t="n">
        <f aca="false">MAX(-Flows!BQ82*BQ$4*BQ27/100,0)</f>
        <v>0</v>
      </c>
      <c r="BR112" s="10" t="n">
        <f aca="false">MAX(-Flows!BR82*BR$4*BR27/100,0)</f>
        <v>2047917902395.68</v>
      </c>
      <c r="BS112" s="10" t="n">
        <f aca="false">MAX(-Flows!BS82*BS$4*BS27/100,0)</f>
        <v>1023958233732.34</v>
      </c>
      <c r="BT112" s="10" t="n">
        <f aca="false">MAX(-Flows!BT82*BT$4*BT27/100,0)</f>
        <v>0</v>
      </c>
      <c r="BU112" s="10" t="n">
        <f aca="false">MAX(-Flows!BU82*BU$4*BU27/100,0)</f>
        <v>0</v>
      </c>
      <c r="BV112" s="10" t="n">
        <f aca="false">MAX(-Flows!BV82*BV$4*BV27/100,0)</f>
        <v>0</v>
      </c>
      <c r="BW112" s="10" t="n">
        <f aca="false">MAX(-Flows!BW82*BW$4*BW27/100,0)</f>
        <v>0</v>
      </c>
      <c r="BX112" s="10" t="n">
        <f aca="false">MAX(-Flows!BX82*BX$4*BX27/100,0)</f>
        <v>55170614.4412009</v>
      </c>
      <c r="BY112" s="10" t="n">
        <f aca="false">MAX(-Flows!BY82*BY$4*BY27/100,0)</f>
        <v>55170614.4412009</v>
      </c>
      <c r="BZ112" s="10" t="n">
        <f aca="false">MAX(-Flows!BZ82*BZ$4*BZ27/100,0)</f>
        <v>202934915.086328</v>
      </c>
      <c r="CA112" s="10" t="n">
        <f aca="false">MAX(-Flows!CA82*CA$4*CA27/100,0)</f>
        <v>202934915.086327</v>
      </c>
      <c r="CB112" s="10" t="n">
        <f aca="false">MAX(-Flows!CB82*CB$4*CB27/100,0)</f>
        <v>275853072.206004</v>
      </c>
      <c r="CC112" s="10" t="n">
        <f aca="false">MAX(-Flows!CC82*CC$4*CC27/100,0)</f>
        <v>8561323.25120216</v>
      </c>
      <c r="CD112" s="10" t="n">
        <f aca="false">MAX(-Flows!CD82*CD$4*CD27/100,0)</f>
        <v>0</v>
      </c>
      <c r="CE112" s="10" t="n">
        <f aca="false">MAX(-Flows!CE82*CE$4*CE27/100,0)</f>
        <v>8561323.25120216</v>
      </c>
      <c r="CF112" s="10" t="n">
        <f aca="false">MAX(-Flows!CF82*CF$4*CF27/100,0)</f>
        <v>23254069.0104009</v>
      </c>
      <c r="CG112" s="10" t="n">
        <f aca="false">MAX(-Flows!CG82*CG$4*CG27/100,0)</f>
        <v>30717355128.8922</v>
      </c>
      <c r="CH112" s="10" t="n">
        <f aca="false">MAX(-Flows!CH82*CH$4*CH27/100,0)</f>
        <v>30717355128.8922</v>
      </c>
      <c r="CI112" s="10" t="n">
        <f aca="false">MAX(-Flows!CI82*CI$4*CI27/100,0)</f>
        <v>137926536.103002</v>
      </c>
      <c r="CJ112" s="10" t="n">
        <f aca="false">MAX(-Flows!CJ82*CJ$4*CJ27/100,0)</f>
        <v>13792653.6103002</v>
      </c>
      <c r="CK112" s="10" t="n">
        <f aca="false">MAX(-Flows!CK82*CK$4*CK27/100,0)</f>
        <v>13792653.6103002</v>
      </c>
      <c r="CL112" s="7" t="s">
        <v>322</v>
      </c>
      <c r="CM112" s="10" t="n">
        <f aca="false">-CM52</f>
        <v>130689116.12211</v>
      </c>
      <c r="CN112" s="10" t="n">
        <f aca="false">-CN52</f>
        <v>777277683.365205</v>
      </c>
      <c r="CO112" s="10" t="n">
        <f aca="false">-CO52</f>
        <v>1189249955.84995</v>
      </c>
      <c r="CP112" s="10" t="n">
        <f aca="false">-CP52</f>
        <v>239109292.669162</v>
      </c>
      <c r="CQ112" s="10" t="n">
        <f aca="false">-CQ52</f>
        <v>649863746.577753</v>
      </c>
      <c r="CR112" s="10" t="n">
        <f aca="false">-CR52</f>
        <v>2876364125712420</v>
      </c>
      <c r="CS112" s="10" t="n">
        <f aca="false">-CS52</f>
        <v>220200688.759415</v>
      </c>
      <c r="CT112" s="10" t="n">
        <f aca="false">-CT52</f>
        <v>50839376.2310013</v>
      </c>
      <c r="CU112" s="10" t="n">
        <f aca="false">-CU52</f>
        <v>-55624711.7444975</v>
      </c>
      <c r="CV112" s="10" t="n">
        <f aca="false">-CV52</f>
        <v>848432.333719916</v>
      </c>
      <c r="CX112" s="0" t="str">
        <f aca="false">INDEX($C$1:$CK$1,MATCH(LARGE($C112:$CK112,1),$C112:$CK112,0))</f>
        <v>Iron (lb)</v>
      </c>
      <c r="CY112" s="0" t="str">
        <f aca="false">INDEX($C$1:$CK$1,MATCH(LARGE($C112:$CK112,2),$C112:$CK112,0))</f>
        <v>Cu (lb)</v>
      </c>
      <c r="CZ112" s="0" t="str">
        <f aca="false">INDEX($C$1:$CK$1,MATCH(LARGE($C112:$CK112,3),$C112:$CK112,0))</f>
        <v>Ag (lb)</v>
      </c>
      <c r="DA112" s="0" t="str">
        <f aca="false">INDEX($C$1:$CK$1,MATCH(LARGE($C112:$CK112,4),$C112:$CK112,0))</f>
        <v>Au (lb)</v>
      </c>
      <c r="DB112" s="0" t="str">
        <f aca="false">INDEX($C$1:$CK$1,MATCH(LARGE($C112:$CK112,5),$C112:$CK112,0))</f>
        <v>Diamonds (lb)</v>
      </c>
      <c r="DD112" s="0" t="str">
        <f aca="false">IF(LARGE($CM112:$CV112,1)&gt;0,INDEX($CM$30:$CV$30,MATCH(LARGE($CM112:$CV112,1),$CM112:$CV112,0)),"N/A")</f>
        <v>Mineral</v>
      </c>
      <c r="DE112" s="0" t="str">
        <f aca="false">IF(LARGE($CM112:$CV112,2)&gt;0,INDEX($CM$30:$CV$30,MATCH(LARGE($CM112:$CV112,2),$CM112:$CV112,0)),"N/A")</f>
        <v>Food Prod</v>
      </c>
      <c r="DF112" s="0" t="str">
        <f aca="false">IF(LARGE($CM112:$CV112,3)&gt;0,INDEX($CM$30:$CV$30,MATCH(LARGE($CM112:$CV112,3),$CM112:$CV112,0)),"N/A")</f>
        <v>Animal</v>
      </c>
      <c r="DG112" s="0" t="str">
        <f aca="false">IF(LARGE($CM112:$CV112,4)&gt;0,INDEX($CM$30:$CV$30,MATCH(LARGE($CM112:$CV112,4),$CM112:$CV112,0)),"N/A")</f>
        <v>Tools</v>
      </c>
      <c r="DH112" s="0" t="str">
        <f aca="false">IF(LARGE($CM112:$CV112,5)&gt;0,INDEX($CM$30:$CV$30,MATCH(LARGE($CM112:$CV112,5),$CM112:$CV112,0)),"N/A")</f>
        <v>Textile</v>
      </c>
    </row>
    <row r="113" customFormat="false" ht="12.8" hidden="false" customHeight="false" outlineLevel="0" collapsed="false">
      <c r="A113" s="7" t="s">
        <v>160</v>
      </c>
      <c r="B113" s="7" t="s">
        <v>39</v>
      </c>
      <c r="C113" s="10" t="n">
        <f aca="false">MAX(-Flows!C83*C$4*C28/100,0)</f>
        <v>448580.343851168</v>
      </c>
      <c r="D113" s="10" t="n">
        <f aca="false">MAX(-Flows!D83*D$4*D28/100,0)</f>
        <v>1984831.09492056</v>
      </c>
      <c r="E113" s="10" t="n">
        <f aca="false">MAX(-Flows!E83*E$4*E28/100,0)</f>
        <v>10720983.1076306</v>
      </c>
      <c r="F113" s="10" t="n">
        <f aca="false">MAX(-Flows!F83*F$4*F28/100,0)</f>
        <v>0</v>
      </c>
      <c r="G113" s="10" t="n">
        <f aca="false">MAX(-Flows!G83*G$4*G28/100,0)</f>
        <v>2325926.80378326</v>
      </c>
      <c r="H113" s="10" t="n">
        <f aca="false">MAX(-Flows!H83*H$4*H28/100,0)</f>
        <v>0</v>
      </c>
      <c r="I113" s="10" t="n">
        <f aca="false">MAX(-Flows!I83*I$4*I28/100,0)</f>
        <v>0</v>
      </c>
      <c r="J113" s="10" t="n">
        <f aca="false">MAX(-Flows!J83*J$4*J28/100,0)</f>
        <v>42785254.7303541</v>
      </c>
      <c r="K113" s="10" t="n">
        <f aca="false">MAX(-Flows!K83*K$4*K28/100,0)</f>
        <v>0</v>
      </c>
      <c r="L113" s="10" t="n">
        <f aca="false">MAX(-Flows!L83*L$4*L28/100,0)</f>
        <v>0</v>
      </c>
      <c r="M113" s="10" t="n">
        <f aca="false">MAX(-Flows!M83*M$4*M28/100,0)</f>
        <v>0</v>
      </c>
      <c r="N113" s="10" t="n">
        <f aca="false">MAX(-Flows!N83*N$4*N28/100,0)</f>
        <v>0</v>
      </c>
      <c r="O113" s="10" t="n">
        <f aca="false">MAX(-Flows!O83*O$4*O28/100,0)</f>
        <v>0</v>
      </c>
      <c r="P113" s="10" t="n">
        <f aca="false">MAX(-Flows!P83*P$4*P28/100,0)</f>
        <v>0</v>
      </c>
      <c r="Q113" s="10" t="n">
        <f aca="false">MAX(-Flows!Q83*Q$4*Q28/100,0)</f>
        <v>150344388.026647</v>
      </c>
      <c r="R113" s="10" t="n">
        <f aca="false">MAX(-Flows!R83*R$4*R28/100,0)</f>
        <v>8611792.04621002</v>
      </c>
      <c r="S113" s="10" t="n">
        <f aca="false">MAX(-Flows!S83*S$4*S28/100,0)</f>
        <v>0</v>
      </c>
      <c r="T113" s="10" t="n">
        <f aca="false">MAX(-Flows!T83*T$4*T28/100,0)</f>
        <v>0</v>
      </c>
      <c r="U113" s="10" t="n">
        <f aca="false">MAX(-Flows!U83*U$4*U28/100,0)</f>
        <v>0</v>
      </c>
      <c r="V113" s="10" t="n">
        <f aca="false">MAX(-Flows!V83*V$4*V28/100,0)</f>
        <v>182589176.987794</v>
      </c>
      <c r="W113" s="10" t="n">
        <f aca="false">MAX(-Flows!W83*W$4*W28/100,0)</f>
        <v>143579741.670426</v>
      </c>
      <c r="X113" s="10" t="n">
        <f aca="false">MAX(-Flows!X83*X$4*X28/100,0)</f>
        <v>0</v>
      </c>
      <c r="Y113" s="10" t="n">
        <f aca="false">MAX(-Flows!Y83*Y$4*Y28/100,0)</f>
        <v>0</v>
      </c>
      <c r="Z113" s="10" t="n">
        <f aca="false">MAX(-Flows!Z83*Z$4*Z28/100,0)</f>
        <v>0</v>
      </c>
      <c r="AA113" s="10" t="n">
        <f aca="false">MAX(-Flows!AA83*AA$4*AA28/100,0)</f>
        <v>126449.727705904</v>
      </c>
      <c r="AB113" s="10" t="n">
        <f aca="false">MAX(-Flows!AB83*AB$4*AB28/100,0)</f>
        <v>328828.45927202</v>
      </c>
      <c r="AC113" s="10" t="n">
        <f aca="false">MAX(-Flows!AC83*AC$4*AC28/100,0)</f>
        <v>0</v>
      </c>
      <c r="AD113" s="10" t="n">
        <f aca="false">MAX(-Flows!AD83*AD$4*AD28/100,0)</f>
        <v>164414.229636009</v>
      </c>
      <c r="AE113" s="10" t="n">
        <f aca="false">MAX(-Flows!AE83*AE$4*AE28/100,0)</f>
        <v>6351275.31666513</v>
      </c>
      <c r="AF113" s="10" t="n">
        <f aca="false">MAX(-Flows!AF83*AF$4*AF28/100,0)</f>
        <v>2514176.37987441</v>
      </c>
      <c r="AG113" s="10" t="n">
        <f aca="false">MAX(-Flows!AG83*AG$4*AG28/100,0)</f>
        <v>46081512.7109209</v>
      </c>
      <c r="AH113" s="10" t="n">
        <f aca="false">MAX(-Flows!AH83*AH$4*AH28/100,0)</f>
        <v>53863283.8528925</v>
      </c>
      <c r="AI113" s="10" t="n">
        <f aca="false">MAX(-Flows!AI83*AI$4*AI28/100,0)</f>
        <v>4348636.34108461</v>
      </c>
      <c r="AJ113" s="10" t="n">
        <f aca="false">MAX(-Flows!AJ83*AJ$4*AJ28/100,0)</f>
        <v>59567544.8842697</v>
      </c>
      <c r="AK113" s="10" t="n">
        <f aca="false">MAX(-Flows!AK83*AK$4*AK28/100,0)</f>
        <v>56949304.8591246</v>
      </c>
      <c r="AL113" s="10" t="n">
        <f aca="false">MAX(-Flows!AL83*AL$4*AL28/100,0)</f>
        <v>863996.314447576</v>
      </c>
      <c r="AM113" s="10" t="n">
        <f aca="false">MAX(-Flows!AM83*AM$4*AM28/100,0)</f>
        <v>44843057.8505108</v>
      </c>
      <c r="AN113" s="10" t="n">
        <f aca="false">MAX(-Flows!AN83*AN$4*AN28/100,0)</f>
        <v>60924040.4947851</v>
      </c>
      <c r="AO113" s="10" t="n">
        <f aca="false">MAX(-Flows!AO83*AO$4*AO28/100,0)</f>
        <v>20669807.3158199</v>
      </c>
      <c r="AP113" s="10" t="n">
        <f aca="false">MAX(-Flows!AP83*AP$4*AP28/100,0)</f>
        <v>3255938.32409668</v>
      </c>
      <c r="AQ113" s="10" t="n">
        <f aca="false">MAX(-Flows!AQ83*AQ$4*AQ28/100,0)</f>
        <v>63097076.2917387</v>
      </c>
      <c r="AR113" s="10" t="n">
        <f aca="false">MAX(-Flows!AR83*AR$4*AR28/100,0)</f>
        <v>0</v>
      </c>
      <c r="AS113" s="10" t="n">
        <f aca="false">MAX(-Flows!AS83*AS$4*AS28/100,0)</f>
        <v>37987963.964006</v>
      </c>
      <c r="AT113" s="10" t="n">
        <f aca="false">MAX(-Flows!AT83*AT$4*AT28/100,0)</f>
        <v>49820681.3157528</v>
      </c>
      <c r="AU113" s="10" t="n">
        <f aca="false">MAX(-Flows!AU83*AU$4*AU28/100,0)</f>
        <v>37155941.0131121</v>
      </c>
      <c r="AV113" s="10" t="n">
        <f aca="false">MAX(-Flows!AV83*AV$4*AV28/100,0)</f>
        <v>71739195.3001522</v>
      </c>
      <c r="AW113" s="10" t="n">
        <f aca="false">MAX(-Flows!AW83*AW$4*AW28/100,0)</f>
        <v>0</v>
      </c>
      <c r="AX113" s="10" t="n">
        <f aca="false">MAX(-Flows!AX83*AX$4*AX28/100,0)</f>
        <v>17241451.8795764</v>
      </c>
      <c r="AY113" s="10" t="n">
        <f aca="false">MAX(-Flows!AY83*AY$4*AY28/100,0)</f>
        <v>2609438.69337476</v>
      </c>
      <c r="AZ113" s="10" t="n">
        <f aca="false">MAX(-Flows!AZ83*AZ$4*AZ28/100,0)</f>
        <v>2915643.82099808</v>
      </c>
      <c r="BA113" s="10" t="n">
        <f aca="false">MAX(-Flows!BA83*BA$4*BA28/100,0)</f>
        <v>0</v>
      </c>
      <c r="BB113" s="10" t="n">
        <f aca="false">MAX(-Flows!BB83*BB$4*BB28/100,0)</f>
        <v>53529050.585936</v>
      </c>
      <c r="BC113" s="10" t="n">
        <f aca="false">MAX(-Flows!BC83*BC$4*BC28/100,0)</f>
        <v>17362400.8631224</v>
      </c>
      <c r="BD113" s="10" t="n">
        <f aca="false">MAX(-Flows!BD83*BD$4*BD28/100,0)</f>
        <v>36501.1020271104</v>
      </c>
      <c r="BE113" s="10" t="n">
        <f aca="false">MAX(-Flows!BE83*BE$4*BE28/100,0)</f>
        <v>18173388.3062908</v>
      </c>
      <c r="BF113" s="10" t="n">
        <f aca="false">MAX(-Flows!BF83*BF$4*BF28/100,0)</f>
        <v>0</v>
      </c>
      <c r="BG113" s="10" t="n">
        <f aca="false">MAX(-Flows!BG83*BG$4*BG28/100,0)</f>
        <v>0</v>
      </c>
      <c r="BH113" s="10" t="n">
        <f aca="false">MAX(-Flows!BH83*BH$4*BH28/100,0)</f>
        <v>0</v>
      </c>
      <c r="BI113" s="10" t="n">
        <f aca="false">MAX(-Flows!BI83*BI$4*BI28/100,0)</f>
        <v>103962509.023469</v>
      </c>
      <c r="BJ113" s="10" t="n">
        <f aca="false">MAX(-Flows!BJ83*BJ$4*BJ28/100,0)</f>
        <v>103962509.023469</v>
      </c>
      <c r="BK113" s="10" t="n">
        <f aca="false">MAX(-Flows!BK83*BK$4*BK28/100,0)</f>
        <v>103962509.023469</v>
      </c>
      <c r="BL113" s="10" t="n">
        <f aca="false">MAX(-Flows!BL83*BL$4*BL28/100,0)</f>
        <v>15034438.8026647</v>
      </c>
      <c r="BM113" s="10" t="n">
        <f aca="false">MAX(-Flows!BM83*BM$4*BM28/100,0)</f>
        <v>15034438.8026647</v>
      </c>
      <c r="BN113" s="10" t="n">
        <f aca="false">MAX(-Flows!BN83*BN$4*BN28/100,0)</f>
        <v>0</v>
      </c>
      <c r="BO113" s="10" t="n">
        <f aca="false">MAX(-Flows!BO83*BO$4*BO28/100,0)</f>
        <v>6534475976870.15</v>
      </c>
      <c r="BP113" s="10" t="n">
        <f aca="false">MAX(-Flows!BP83*BP$4*BP28/100,0)</f>
        <v>3049422726489650</v>
      </c>
      <c r="BQ113" s="10" t="n">
        <f aca="false">MAX(-Flows!BQ83*BQ$4*BQ28/100,0)</f>
        <v>0</v>
      </c>
      <c r="BR113" s="10" t="n">
        <f aca="false">MAX(-Flows!BR83*BR$4*BR28/100,0)</f>
        <v>2178157788711.4</v>
      </c>
      <c r="BS113" s="10" t="n">
        <f aca="false">MAX(-Flows!BS83*BS$4*BS28/100,0)</f>
        <v>1089078241671.71</v>
      </c>
      <c r="BT113" s="10" t="n">
        <f aca="false">MAX(-Flows!BT83*BT$4*BT28/100,0)</f>
        <v>0</v>
      </c>
      <c r="BU113" s="10" t="n">
        <f aca="false">MAX(-Flows!BU83*BU$4*BU28/100,0)</f>
        <v>0</v>
      </c>
      <c r="BV113" s="10" t="n">
        <f aca="false">MAX(-Flows!BV83*BV$4*BV28/100,0)</f>
        <v>0</v>
      </c>
      <c r="BW113" s="10" t="n">
        <f aca="false">MAX(-Flows!BW83*BW$4*BW28/100,0)</f>
        <v>0</v>
      </c>
      <c r="BX113" s="10" t="n">
        <f aca="false">MAX(-Flows!BX83*BX$4*BX28/100,0)</f>
        <v>30068877.6053294</v>
      </c>
      <c r="BY113" s="10" t="n">
        <f aca="false">MAX(-Flows!BY83*BY$4*BY28/100,0)</f>
        <v>30068877.6053294</v>
      </c>
      <c r="BZ113" s="10" t="n">
        <f aca="false">MAX(-Flows!BZ83*BZ$4*BZ28/100,0)</f>
        <v>130484604.209037</v>
      </c>
      <c r="CA113" s="10" t="n">
        <f aca="false">MAX(-Flows!CA83*CA$4*CA28/100,0)</f>
        <v>130484604.209037</v>
      </c>
      <c r="CB113" s="10" t="n">
        <f aca="false">MAX(-Flows!CB83*CB$4*CB28/100,0)</f>
        <v>150344388.026647</v>
      </c>
      <c r="CC113" s="10" t="n">
        <f aca="false">MAX(-Flows!CC83*CC$4*CC28/100,0)</f>
        <v>5198125.45117346</v>
      </c>
      <c r="CD113" s="10" t="n">
        <f aca="false">MAX(-Flows!CD83*CD$4*CD28/100,0)</f>
        <v>0</v>
      </c>
      <c r="CE113" s="10" t="n">
        <f aca="false">MAX(-Flows!CE83*CE$4*CE28/100,0)</f>
        <v>5198125.45117346</v>
      </c>
      <c r="CF113" s="10" t="n">
        <f aca="false">MAX(-Flows!CF83*CF$4*CF28/100,0)</f>
        <v>13923295.9668441</v>
      </c>
      <c r="CG113" s="10" t="n">
        <f aca="false">MAX(-Flows!CG83*CG$4*CG28/100,0)</f>
        <v>32671081043.2149</v>
      </c>
      <c r="CH113" s="10" t="n">
        <f aca="false">MAX(-Flows!CH83*CH$4*CH28/100,0)</f>
        <v>32671081043.2149</v>
      </c>
      <c r="CI113" s="10" t="n">
        <f aca="false">MAX(-Flows!CI83*CI$4*CI28/100,0)</f>
        <v>75172194.0133234</v>
      </c>
      <c r="CJ113" s="10" t="n">
        <f aca="false">MAX(-Flows!CJ83*CJ$4*CJ28/100,0)</f>
        <v>7517219.40133234</v>
      </c>
      <c r="CK113" s="10" t="n">
        <f aca="false">MAX(-Flows!CK83*CK$4*CK28/100,0)</f>
        <v>7517219.40133235</v>
      </c>
      <c r="CL113" s="7" t="s">
        <v>39</v>
      </c>
      <c r="CM113" s="10" t="n">
        <f aca="false">-CM53</f>
        <v>-37267390.6837467</v>
      </c>
      <c r="CN113" s="10" t="n">
        <f aca="false">-CN53</f>
        <v>484569143.086582</v>
      </c>
      <c r="CO113" s="10" t="n">
        <f aca="false">-CO53</f>
        <v>739880576.125044</v>
      </c>
      <c r="CP113" s="10" t="n">
        <f aca="false">-CP53</f>
        <v>169342758.523717</v>
      </c>
      <c r="CQ113" s="10" t="n">
        <f aca="false">-CQ53</f>
        <v>594188723.74577</v>
      </c>
      <c r="CR113" s="10" t="n">
        <f aca="false">-CR53</f>
        <v>3059289705761530</v>
      </c>
      <c r="CS113" s="10" t="n">
        <f aca="false">-CS53</f>
        <v>101808466.736829</v>
      </c>
      <c r="CT113" s="10" t="n">
        <f aca="false">-CT53</f>
        <v>28957734.7695088</v>
      </c>
      <c r="CU113" s="10" t="n">
        <f aca="false">-CU53</f>
        <v>-27483946.5203305</v>
      </c>
      <c r="CV113" s="10" t="n">
        <f aca="false">-CV53</f>
        <v>493242.688908029</v>
      </c>
      <c r="CX113" s="0" t="str">
        <f aca="false">INDEX($C$1:$CK$1,MATCH(LARGE($C113:$CK113,1),$C113:$CK113,0))</f>
        <v>Iron (lb)</v>
      </c>
      <c r="CY113" s="0" t="str">
        <f aca="false">INDEX($C$1:$CK$1,MATCH(LARGE($C113:$CK113,2),$C113:$CK113,0))</f>
        <v>Cu (lb)</v>
      </c>
      <c r="CZ113" s="0" t="str">
        <f aca="false">INDEX($C$1:$CK$1,MATCH(LARGE($C113:$CK113,3),$C113:$CK113,0))</f>
        <v>Ag (lb)</v>
      </c>
      <c r="DA113" s="0" t="str">
        <f aca="false">INDEX($C$1:$CK$1,MATCH(LARGE($C113:$CK113,4),$C113:$CK113,0))</f>
        <v>Au (lb)</v>
      </c>
      <c r="DB113" s="0" t="str">
        <f aca="false">INDEX($C$1:$CK$1,MATCH(LARGE($C113:$CK113,5),$C113:$CK113,0))</f>
        <v>Diamonds (lb)</v>
      </c>
      <c r="DD113" s="0" t="str">
        <f aca="false">IF(LARGE($CM113:$CV113,1)&gt;0,INDEX($CM$30:$CV$30,MATCH(LARGE($CM113:$CV113,1),$CM113:$CV113,0)),"N/A")</f>
        <v>Mineral</v>
      </c>
      <c r="DE113" s="0" t="str">
        <f aca="false">IF(LARGE($CM113:$CV113,2)&gt;0,INDEX($CM$30:$CV$30,MATCH(LARGE($CM113:$CV113,2),$CM113:$CV113,0)),"N/A")</f>
        <v>Food Prod</v>
      </c>
      <c r="DF113" s="0" t="str">
        <f aca="false">IF(LARGE($CM113:$CV113,3)&gt;0,INDEX($CM$30:$CV$30,MATCH(LARGE($CM113:$CV113,3),$CM113:$CV113,0)),"N/A")</f>
        <v>Tools</v>
      </c>
      <c r="DG113" s="0" t="str">
        <f aca="false">IF(LARGE($CM113:$CV113,4)&gt;0,INDEX($CM$30:$CV$30,MATCH(LARGE($CM113:$CV113,4),$CM113:$CV113,0)),"N/A")</f>
        <v>Animal</v>
      </c>
      <c r="DH113" s="0" t="str">
        <f aca="false">IF(LARGE($CM113:$CV113,5)&gt;0,INDEX($CM$30:$CV$30,MATCH(LARGE($CM113:$CV113,5),$CM113:$CV113,0)),"N/A")</f>
        <v>Textile</v>
      </c>
    </row>
    <row r="114" customFormat="false" ht="12.8" hidden="false" customHeight="false" outlineLevel="0" collapsed="false">
      <c r="B114" s="7" t="s">
        <v>39</v>
      </c>
      <c r="CL114" s="7" t="s">
        <v>39</v>
      </c>
    </row>
    <row r="115" customFormat="false" ht="12.8" hidden="false" customHeight="false" outlineLevel="0" collapsed="false">
      <c r="B115" s="7" t="s">
        <v>39</v>
      </c>
      <c r="CL115" s="7" t="s">
        <v>39</v>
      </c>
    </row>
    <row r="116" customFormat="false" ht="12.8" hidden="false" customHeight="false" outlineLevel="0" collapsed="false">
      <c r="B116" s="7" t="s">
        <v>39</v>
      </c>
      <c r="CL116" s="7" t="s">
        <v>39</v>
      </c>
    </row>
    <row r="117" customFormat="false" ht="12.8" hidden="false" customHeight="false" outlineLevel="0" collapsed="false">
      <c r="B117" s="7" t="s">
        <v>39</v>
      </c>
      <c r="CL117" s="7" t="s">
        <v>39</v>
      </c>
    </row>
    <row r="118" customFormat="false" ht="12.8" hidden="false" customHeight="false" outlineLevel="0" collapsed="false">
      <c r="B118" s="7" t="s">
        <v>39</v>
      </c>
      <c r="CL118" s="7" t="s">
        <v>39</v>
      </c>
    </row>
    <row r="119" customFormat="false" ht="12.8" hidden="false" customHeight="false" outlineLevel="0" collapsed="false">
      <c r="B119" s="7" t="s">
        <v>39</v>
      </c>
      <c r="CL119" s="7" t="s">
        <v>39</v>
      </c>
    </row>
    <row r="120" customFormat="false" ht="12.8" hidden="false" customHeight="false" outlineLevel="0" collapsed="false">
      <c r="A120" s="18" t="s">
        <v>434</v>
      </c>
      <c r="B120" s="7" t="s">
        <v>39</v>
      </c>
      <c r="C120" s="7" t="s">
        <v>327</v>
      </c>
      <c r="D120" s="7" t="s">
        <v>328</v>
      </c>
      <c r="E120" s="7" t="s">
        <v>329</v>
      </c>
      <c r="F120" s="1" t="s">
        <v>330</v>
      </c>
      <c r="G120" s="1" t="s">
        <v>331</v>
      </c>
      <c r="H120" s="1" t="s">
        <v>332</v>
      </c>
      <c r="I120" s="1" t="s">
        <v>333</v>
      </c>
      <c r="J120" s="1" t="s">
        <v>334</v>
      </c>
      <c r="K120" s="1" t="s">
        <v>52</v>
      </c>
      <c r="L120" s="2" t="s">
        <v>53</v>
      </c>
      <c r="M120" s="1" t="s">
        <v>54</v>
      </c>
      <c r="N120" s="1" t="s">
        <v>335</v>
      </c>
      <c r="O120" s="1" t="s">
        <v>336</v>
      </c>
      <c r="P120" s="1" t="s">
        <v>337</v>
      </c>
      <c r="Q120" s="1" t="s">
        <v>338</v>
      </c>
      <c r="R120" s="1" t="s">
        <v>339</v>
      </c>
      <c r="S120" s="1" t="s">
        <v>340</v>
      </c>
      <c r="T120" s="1" t="s">
        <v>341</v>
      </c>
      <c r="U120" s="1" t="s">
        <v>342</v>
      </c>
      <c r="V120" s="1" t="s">
        <v>343</v>
      </c>
      <c r="W120" s="1" t="s">
        <v>344</v>
      </c>
      <c r="X120" s="1" t="s">
        <v>345</v>
      </c>
      <c r="Y120" s="1" t="s">
        <v>346</v>
      </c>
      <c r="Z120" s="1" t="s">
        <v>347</v>
      </c>
      <c r="AA120" s="1" t="s">
        <v>348</v>
      </c>
      <c r="AB120" s="1" t="s">
        <v>349</v>
      </c>
      <c r="AC120" s="1" t="s">
        <v>350</v>
      </c>
      <c r="AD120" s="1" t="s">
        <v>351</v>
      </c>
      <c r="AE120" s="1" t="s">
        <v>352</v>
      </c>
      <c r="AF120" s="1" t="s">
        <v>353</v>
      </c>
      <c r="AG120" s="1" t="s">
        <v>354</v>
      </c>
      <c r="AH120" s="1" t="s">
        <v>355</v>
      </c>
      <c r="AI120" s="1" t="s">
        <v>356</v>
      </c>
      <c r="AJ120" s="1" t="s">
        <v>357</v>
      </c>
      <c r="AK120" s="1" t="s">
        <v>358</v>
      </c>
      <c r="AL120" s="1" t="s">
        <v>359</v>
      </c>
      <c r="AM120" s="1" t="s">
        <v>360</v>
      </c>
      <c r="AN120" s="1" t="s">
        <v>361</v>
      </c>
      <c r="AO120" s="1" t="s">
        <v>362</v>
      </c>
      <c r="AP120" s="1" t="s">
        <v>363</v>
      </c>
      <c r="AQ120" s="1" t="s">
        <v>364</v>
      </c>
      <c r="AR120" s="1" t="s">
        <v>365</v>
      </c>
      <c r="AS120" s="1" t="s">
        <v>366</v>
      </c>
      <c r="AT120" s="1" t="s">
        <v>367</v>
      </c>
      <c r="AU120" s="1" t="s">
        <v>368</v>
      </c>
      <c r="AV120" s="1" t="s">
        <v>369</v>
      </c>
      <c r="AW120" s="1" t="s">
        <v>435</v>
      </c>
      <c r="AX120" s="1" t="s">
        <v>371</v>
      </c>
      <c r="AY120" s="1" t="s">
        <v>372</v>
      </c>
      <c r="AZ120" s="1" t="s">
        <v>373</v>
      </c>
      <c r="BA120" s="1" t="s">
        <v>374</v>
      </c>
      <c r="BB120" s="1" t="s">
        <v>375</v>
      </c>
      <c r="BC120" s="1" t="s">
        <v>376</v>
      </c>
      <c r="BD120" s="1" t="s">
        <v>377</v>
      </c>
      <c r="BE120" s="1" t="s">
        <v>378</v>
      </c>
      <c r="BF120" s="1" t="s">
        <v>379</v>
      </c>
      <c r="BG120" s="1" t="s">
        <v>380</v>
      </c>
      <c r="BH120" s="1" t="s">
        <v>381</v>
      </c>
      <c r="BI120" s="1" t="s">
        <v>382</v>
      </c>
      <c r="BJ120" s="1" t="s">
        <v>383</v>
      </c>
      <c r="BK120" s="1" t="s">
        <v>384</v>
      </c>
      <c r="BL120" s="3" t="s">
        <v>436</v>
      </c>
      <c r="BM120" s="1" t="s">
        <v>437</v>
      </c>
      <c r="BN120" s="1" t="s">
        <v>387</v>
      </c>
      <c r="BO120" s="1" t="s">
        <v>388</v>
      </c>
      <c r="BP120" s="1" t="s">
        <v>389</v>
      </c>
      <c r="BQ120" s="1" t="s">
        <v>390</v>
      </c>
      <c r="BR120" s="1" t="s">
        <v>391</v>
      </c>
      <c r="BS120" s="1" t="s">
        <v>392</v>
      </c>
      <c r="BT120" s="1" t="s">
        <v>393</v>
      </c>
      <c r="BU120" s="1" t="s">
        <v>394</v>
      </c>
      <c r="BV120" s="1" t="s">
        <v>395</v>
      </c>
      <c r="BW120" s="1" t="s">
        <v>396</v>
      </c>
      <c r="BX120" s="1" t="s">
        <v>397</v>
      </c>
      <c r="BY120" s="1" t="s">
        <v>398</v>
      </c>
      <c r="BZ120" s="1" t="s">
        <v>399</v>
      </c>
      <c r="CA120" s="1" t="s">
        <v>400</v>
      </c>
      <c r="CB120" s="1" t="s">
        <v>401</v>
      </c>
      <c r="CC120" s="1" t="s">
        <v>402</v>
      </c>
      <c r="CD120" s="1" t="s">
        <v>403</v>
      </c>
      <c r="CE120" s="1" t="s">
        <v>124</v>
      </c>
      <c r="CF120" s="1" t="s">
        <v>404</v>
      </c>
      <c r="CG120" s="1" t="s">
        <v>405</v>
      </c>
      <c r="CH120" s="1" t="s">
        <v>127</v>
      </c>
      <c r="CI120" s="1" t="s">
        <v>128</v>
      </c>
      <c r="CJ120" s="1" t="s">
        <v>129</v>
      </c>
      <c r="CK120" s="1" t="s">
        <v>130</v>
      </c>
      <c r="CL120" s="7" t="s">
        <v>322</v>
      </c>
    </row>
    <row r="121" customFormat="false" ht="12.8" hidden="false" customHeight="false" outlineLevel="0" collapsed="false">
      <c r="A121" s="7" t="s">
        <v>131</v>
      </c>
      <c r="B121" s="7" t="s">
        <v>39</v>
      </c>
      <c r="C121" s="10" t="n">
        <f aca="false">MIN(C6,C61)</f>
        <v>16113.5934775115</v>
      </c>
      <c r="D121" s="10" t="n">
        <f aca="false">MIN(D6,D61)</f>
        <v>5.53109351589453</v>
      </c>
      <c r="E121" s="10" t="n">
        <f aca="false">MIN(E6,E61)</f>
        <v>53.6076002273248</v>
      </c>
      <c r="F121" s="10" t="n">
        <f aca="false">MIN(F6,F61)</f>
        <v>236.152227990427</v>
      </c>
      <c r="G121" s="10" t="n">
        <f aca="false">MIN(G6,G61)</f>
        <v>4788.66080504853</v>
      </c>
      <c r="H121" s="10" t="n">
        <f aca="false">MIN(H6,H61)</f>
        <v>100</v>
      </c>
      <c r="I121" s="10" t="n">
        <f aca="false">MIN(I6,I61)</f>
        <v>1060.84991987665</v>
      </c>
      <c r="J121" s="10" t="n">
        <f aca="false">MIN(J6,J61)</f>
        <v>1165.91474515582</v>
      </c>
      <c r="K121" s="10" t="n">
        <f aca="false">MIN(K6,K61)</f>
        <v>14530.1698450756</v>
      </c>
      <c r="L121" s="10" t="n">
        <f aca="false">MIN(L6,L61)</f>
        <v>79369.1717927925</v>
      </c>
      <c r="M121" s="10" t="n">
        <f aca="false">MIN(M6,M61)</f>
        <v>57903.3940863881</v>
      </c>
      <c r="N121" s="10" t="n">
        <f aca="false">MIN(N6,N61)</f>
        <v>53.8138961797868</v>
      </c>
      <c r="O121" s="10" t="n">
        <f aca="false">MIN(O6,O61)</f>
        <v>8.29664027384179</v>
      </c>
      <c r="P121" s="10" t="n">
        <f aca="false">MIN(P6,P61)</f>
        <v>15.5562005134533</v>
      </c>
      <c r="Q121" s="10" t="n">
        <f aca="false">MIN(Q6,Q61)</f>
        <v>46694.4187146946</v>
      </c>
      <c r="R121" s="10" t="n">
        <f aca="false">MIN(R6,R61)</f>
        <v>28.4427662067164</v>
      </c>
      <c r="S121" s="10" t="n">
        <f aca="false">MIN(S6,S61)</f>
        <v>680.307186795363</v>
      </c>
      <c r="T121" s="10" t="n">
        <f aca="false">MIN(T6,T61)</f>
        <v>1217.21629009955</v>
      </c>
      <c r="U121" s="10" t="n">
        <f aca="false">MIN(U6,U61)</f>
        <v>241.264142026617</v>
      </c>
      <c r="V121" s="10" t="n">
        <f aca="false">MIN(V6,V61)</f>
        <v>1273.75826908538</v>
      </c>
      <c r="W121" s="10" t="n">
        <f aca="false">MIN(W6,W61)</f>
        <v>53.8970544618781</v>
      </c>
      <c r="X121" s="10" t="n">
        <f aca="false">MIN(X6,X61)</f>
        <v>1.33269846907582</v>
      </c>
      <c r="Y121" s="10" t="n">
        <f aca="false">MIN(Y6,Y61)</f>
        <v>396.845858963963</v>
      </c>
      <c r="Z121" s="10" t="n">
        <f aca="false">MIN(Z6,Z61)</f>
        <v>51259.6374475183</v>
      </c>
      <c r="AA121" s="10" t="n">
        <f aca="false">MIN(AA6,AA61)</f>
        <v>85817.7607168999</v>
      </c>
      <c r="AB121" s="10" t="n">
        <f aca="false">MIN(AB6,AB61)</f>
        <v>57449.5418225646</v>
      </c>
      <c r="AC121" s="10" t="n">
        <f aca="false">MIN(AC6,AC61)</f>
        <v>314895.112118103</v>
      </c>
      <c r="AD121" s="10" t="n">
        <f aca="false">MIN(AD6,AD61)</f>
        <v>361887.486664595</v>
      </c>
      <c r="AE121" s="10" t="n">
        <f aca="false">MIN(AE6,AE61)</f>
        <v>716309.104131596</v>
      </c>
      <c r="AF121" s="10" t="n">
        <f aca="false">MIN(AF6,AF61)</f>
        <v>935.330177562627</v>
      </c>
      <c r="AG121" s="10" t="n">
        <f aca="false">MIN(AG6,AG61)</f>
        <v>2970.13249074566</v>
      </c>
      <c r="AH121" s="10" t="n">
        <f aca="false">MIN(AH6,AH61)</f>
        <v>538.657007677174</v>
      </c>
      <c r="AI121" s="10" t="n">
        <f aca="false">MIN(AI6,AI61)</f>
        <v>2729.13200763442</v>
      </c>
      <c r="AJ121" s="10" t="n">
        <f aca="false">MIN(AJ6,AJ61)</f>
        <v>1581.02341374163</v>
      </c>
      <c r="AK121" s="10" t="n">
        <f aca="false">MIN(AK6,AK61)</f>
        <v>900.453631667069</v>
      </c>
      <c r="AL121" s="10" t="n">
        <f aca="false">MIN(AL6,AL61)</f>
        <v>1348.11644994153</v>
      </c>
      <c r="AM121" s="10" t="n">
        <f aca="false">MIN(AM6,AM61)</f>
        <v>12380.1651772409</v>
      </c>
      <c r="AN121" s="10" t="n">
        <f aca="false">MIN(AN6,AN61)</f>
        <v>16381.8861449474</v>
      </c>
      <c r="AO121" s="10" t="n">
        <f aca="false">MIN(AO6,AO61)</f>
        <v>178214.23932001</v>
      </c>
      <c r="AP121" s="10" t="n">
        <f aca="false">MIN(AP6,AP61)</f>
        <v>68729.8147461273</v>
      </c>
      <c r="AQ121" s="10" t="n">
        <f aca="false">MIN(AQ6,AQ61)</f>
        <v>77481.7623747151</v>
      </c>
      <c r="AR121" s="10" t="n">
        <f aca="false">MIN(AR6,AR61)</f>
        <v>50801.339041751</v>
      </c>
      <c r="AS121" s="10" t="n">
        <f aca="false">MIN(AS6,AS61)</f>
        <v>17471.0132797173</v>
      </c>
      <c r="AT121" s="10" t="n">
        <f aca="false">MIN(AT6,AT61)</f>
        <v>3760.15307201475</v>
      </c>
      <c r="AU121" s="10" t="n">
        <f aca="false">MIN(AU6,AU61)</f>
        <v>1017.16236353763</v>
      </c>
      <c r="AV121" s="10" t="n">
        <f aca="false">MIN(AV6,AV61)</f>
        <v>12878.8742534756</v>
      </c>
      <c r="AW121" s="10" t="n">
        <f aca="false">MIN(AW6,AW61)</f>
        <v>98.4216470646711</v>
      </c>
      <c r="AX121" s="10" t="n">
        <f aca="false">MIN(AX6,AX61)</f>
        <v>3003.65040639714</v>
      </c>
      <c r="AY121" s="10" t="n">
        <f aca="false">MIN(AY6,AY61)</f>
        <v>4068.03793980743</v>
      </c>
      <c r="AZ121" s="10" t="n">
        <f aca="false">MIN(AZ6,AZ61)</f>
        <v>941.878975314561</v>
      </c>
      <c r="BA121" s="10" t="n">
        <f aca="false">MIN(BA6,BA61)</f>
        <v>4047.82776143242</v>
      </c>
      <c r="BB121" s="10" t="n">
        <f aca="false">MIN(BB6,BB61)</f>
        <v>5925.70194510089</v>
      </c>
      <c r="BC121" s="10" t="n">
        <f aca="false">MIN(BC6,BC61)</f>
        <v>1963.26807028542</v>
      </c>
      <c r="BD121" s="10" t="n">
        <f aca="false">MIN(BD6,BD61)</f>
        <v>8040.98859773017</v>
      </c>
      <c r="BE121" s="10" t="n">
        <f aca="false">MIN(BE6,BE61)</f>
        <v>51151.5066597759</v>
      </c>
      <c r="BF121" s="10" t="n">
        <f aca="false">MIN(BF6,BF61)</f>
        <v>2416.9395791643</v>
      </c>
      <c r="BG121" s="10" t="n">
        <f aca="false">MIN(BG6,BG61)</f>
        <v>866.487159234878</v>
      </c>
      <c r="BH121" s="10" t="n">
        <f aca="false">MIN(BH6,BH61)</f>
        <v>468.156107284036</v>
      </c>
      <c r="BI121" s="10" t="n">
        <f aca="false">MIN(BI6,BI61)</f>
        <v>385.572664635034</v>
      </c>
      <c r="BJ121" s="10" t="n">
        <f aca="false">MIN(BJ6,BJ61)</f>
        <v>5.95756042021276</v>
      </c>
      <c r="BK121" s="10" t="n">
        <f aca="false">MIN(BK6,BK61)</f>
        <v>771.145329270068</v>
      </c>
      <c r="BL121" s="10" t="n">
        <f aca="false">MIN(BL6,BL61)</f>
        <v>163.488463393986</v>
      </c>
      <c r="BM121" s="10" t="n">
        <f aca="false">MIN(BM6,BM61)</f>
        <v>261.647127146006</v>
      </c>
      <c r="BN121" s="10" t="n">
        <f aca="false">MIN(BN6,BN61)</f>
        <v>2144018.09896671</v>
      </c>
      <c r="BO121" s="10" t="n">
        <f aca="false">MIN(BO6,BO61)</f>
        <v>264.591798515092</v>
      </c>
      <c r="BP121" s="10" t="n">
        <f aca="false">MIN(BP6,BP61)</f>
        <v>438.464591867707</v>
      </c>
      <c r="BQ121" s="10" t="n">
        <f aca="false">MIN(BQ6,BQ61)</f>
        <v>100</v>
      </c>
      <c r="BR121" s="10" t="n">
        <f aca="false">MIN(BR6,BR61)</f>
        <v>7937.74618159024</v>
      </c>
      <c r="BS121" s="10" t="n">
        <f aca="false">MIN(BS6,BS61)</f>
        <v>79377.4618159024</v>
      </c>
      <c r="BT121" s="10" t="n">
        <f aca="false">MIN(BT6,BT61)</f>
        <v>31.9067544793344</v>
      </c>
      <c r="BU121" s="10" t="n">
        <f aca="false">MIN(BU6,BU61)</f>
        <v>319.067544793344</v>
      </c>
      <c r="BV121" s="10" t="n">
        <f aca="false">MIN(BV6,BV61)</f>
        <v>3190.67544793344</v>
      </c>
      <c r="BW121" s="10" t="n">
        <f aca="false">MIN(BW6,BW61)</f>
        <v>103.278392312956</v>
      </c>
      <c r="BX121" s="10" t="n">
        <f aca="false">MIN(BX6,BX61)</f>
        <v>61.4694924422578</v>
      </c>
      <c r="BY121" s="10" t="n">
        <f aca="false">MIN(BY6,BY61)</f>
        <v>22.6238466554939</v>
      </c>
      <c r="BZ121" s="10" t="n">
        <f aca="false">MIN(BZ6,BZ61)</f>
        <v>42949.2304241409</v>
      </c>
      <c r="CA121" s="10" t="n">
        <f aca="false">MIN(CA6,CA61)</f>
        <v>16654.247535714</v>
      </c>
      <c r="CB121" s="10" t="n">
        <f aca="false">MIN(CB6,CB61)</f>
        <v>126.73345815613</v>
      </c>
      <c r="CC121" s="10" t="n">
        <f aca="false">MIN(CC6,CC61)</f>
        <v>13.6669855100275</v>
      </c>
      <c r="CD121" s="10" t="n">
        <f aca="false">MIN(CD6,CD61)</f>
        <v>388.889320441392</v>
      </c>
      <c r="CE121" s="10" t="n">
        <f aca="false">MIN(CE6,CE61)</f>
        <v>97.3757604768084</v>
      </c>
      <c r="CF121" s="10" t="n">
        <f aca="false">MIN(CF6,CF61)</f>
        <v>2.57149648482949</v>
      </c>
      <c r="CG121" s="10" t="n">
        <f aca="false">MIN(CG6,CG61)</f>
        <v>1651.27662629693</v>
      </c>
      <c r="CH121" s="10" t="n">
        <f aca="false">MIN(CH6,CH61)</f>
        <v>303.017599562904</v>
      </c>
      <c r="CI121" s="10" t="n">
        <f aca="false">MIN(CI6,CI61)</f>
        <v>291.245425602263</v>
      </c>
      <c r="CJ121" s="10" t="n">
        <f aca="false">MIN(CJ6,CJ61)</f>
        <v>2947.90150525669</v>
      </c>
      <c r="CK121" s="10" t="n">
        <f aca="false">MIN(CK6,CK61)</f>
        <v>1173.83835694589</v>
      </c>
      <c r="CL121" s="7" t="s">
        <v>39</v>
      </c>
    </row>
    <row r="122" customFormat="false" ht="12.8" hidden="false" customHeight="false" outlineLevel="0" collapsed="false">
      <c r="A122" s="7" t="s">
        <v>133</v>
      </c>
      <c r="B122" s="7" t="s">
        <v>39</v>
      </c>
      <c r="C122" s="10" t="n">
        <f aca="false">MIN(C7,C62)</f>
        <v>10625.993789728</v>
      </c>
      <c r="D122" s="10" t="n">
        <f aca="false">MIN(D7,D62)</f>
        <v>2.73040145997688</v>
      </c>
      <c r="E122" s="10" t="n">
        <f aca="false">MIN(E7,E62)</f>
        <v>23.2855145425023</v>
      </c>
      <c r="F122" s="10" t="n">
        <f aca="false">MIN(F7,F62)</f>
        <v>45.262277324468</v>
      </c>
      <c r="G122" s="10" t="n">
        <f aca="false">MIN(G7,G62)</f>
        <v>49.4715548276144</v>
      </c>
      <c r="H122" s="10" t="n">
        <f aca="false">MIN(H7,H62)</f>
        <v>100</v>
      </c>
      <c r="I122" s="10" t="n">
        <f aca="false">MIN(I7,I62)</f>
        <v>515.72303581846</v>
      </c>
      <c r="J122" s="10" t="n">
        <f aca="false">MIN(J7,J62)</f>
        <v>562.24077285121</v>
      </c>
      <c r="K122" s="10" t="n">
        <f aca="false">MIN(K7,K62)</f>
        <v>8364.71524904818</v>
      </c>
      <c r="L122" s="10" t="n">
        <f aca="false">MIN(L7,L62)</f>
        <v>30207.9109104842</v>
      </c>
      <c r="M122" s="10" t="n">
        <f aca="false">MIN(M7,M62)</f>
        <v>20644.1390601721</v>
      </c>
      <c r="N122" s="10" t="n">
        <f aca="false">MIN(N7,N62)</f>
        <v>29.3551028268822</v>
      </c>
      <c r="O122" s="10" t="n">
        <f aca="false">MIN(O7,O62)</f>
        <v>4.09560218996532</v>
      </c>
      <c r="P122" s="10" t="n">
        <f aca="false">MIN(P7,P62)</f>
        <v>7.67925410618497</v>
      </c>
      <c r="Q122" s="10" t="n">
        <f aca="false">MIN(Q7,Q62)</f>
        <v>862.867786204507</v>
      </c>
      <c r="R122" s="10" t="n">
        <f aca="false">MIN(R7,R62)</f>
        <v>20.5022652195679</v>
      </c>
      <c r="S122" s="10" t="n">
        <f aca="false">MIN(S7,S62)</f>
        <v>258.924950661293</v>
      </c>
      <c r="T122" s="10" t="n">
        <f aca="false">MIN(T7,T62)</f>
        <v>463.272583291038</v>
      </c>
      <c r="U122" s="10" t="n">
        <f aca="false">MIN(U7,U62)</f>
        <v>86.0172460840506</v>
      </c>
      <c r="V122" s="10" t="n">
        <f aca="false">MIN(V7,V62)</f>
        <v>253.669914506792</v>
      </c>
      <c r="W122" s="10" t="n">
        <f aca="false">MIN(W7,W62)</f>
        <v>10.5230431198664</v>
      </c>
      <c r="X122" s="10" t="n">
        <f aca="false">MIN(X7,X62)</f>
        <v>2.62157780477009</v>
      </c>
      <c r="Y122" s="10" t="n">
        <f aca="false">MIN(Y7,Y62)</f>
        <v>151.039554552421</v>
      </c>
      <c r="Z122" s="10" t="n">
        <f aca="false">MIN(Z7,Z62)</f>
        <v>95028.9242520482</v>
      </c>
      <c r="AA122" s="10" t="n">
        <f aca="false">MIN(AA7,AA62)</f>
        <v>53409.1400784733</v>
      </c>
      <c r="AB122" s="10" t="n">
        <f aca="false">MIN(AB7,AB62)</f>
        <v>27010.2413533867</v>
      </c>
      <c r="AC122" s="10" t="n">
        <f aca="false">MIN(AC7,AC62)</f>
        <v>157296.707183219</v>
      </c>
      <c r="AD122" s="10" t="n">
        <f aca="false">MIN(AD7,AD62)</f>
        <v>170143.538964518</v>
      </c>
      <c r="AE122" s="10" t="n">
        <f aca="false">MIN(AE7,AE62)</f>
        <v>212281.892864832</v>
      </c>
      <c r="AF122" s="10" t="n">
        <f aca="false">MIN(AF7,AF62)</f>
        <v>1963.66472361338</v>
      </c>
      <c r="AG122" s="10" t="n">
        <f aca="false">MIN(AG7,AG62)</f>
        <v>1096.29664123376</v>
      </c>
      <c r="AH122" s="10" t="n">
        <f aca="false">MIN(AH7,AH62)</f>
        <v>1223.08162599298</v>
      </c>
      <c r="AI122" s="10" t="n">
        <f aca="false">MIN(AI7,AI62)</f>
        <v>2672.70073850621</v>
      </c>
      <c r="AJ122" s="10" t="n">
        <f aca="false">MIN(AJ7,AJ62)</f>
        <v>5563.63755471867</v>
      </c>
      <c r="AK122" s="10" t="n">
        <f aca="false">MIN(AK7,AK62)</f>
        <v>1285.55712071499</v>
      </c>
      <c r="AL122" s="10" t="n">
        <f aca="false">MIN(AL7,AL62)</f>
        <v>3716.72677449085</v>
      </c>
      <c r="AM122" s="10" t="n">
        <f aca="false">MIN(AM7,AM62)</f>
        <v>2695.74251333592</v>
      </c>
      <c r="AN122" s="10" t="n">
        <f aca="false">MIN(AN7,AN62)</f>
        <v>2462.08147872665</v>
      </c>
      <c r="AO122" s="10" t="n">
        <f aca="false">MIN(AO7,AO62)</f>
        <v>83870.7267811801</v>
      </c>
      <c r="AP122" s="10" t="n">
        <f aca="false">MIN(AP7,AP62)</f>
        <v>60508.9121691613</v>
      </c>
      <c r="AQ122" s="10" t="n">
        <f aca="false">MIN(AQ7,AQ62)</f>
        <v>17492.0896430435</v>
      </c>
      <c r="AR122" s="10" t="n">
        <f aca="false">MIN(AR7,AR62)</f>
        <v>45168.3419992627</v>
      </c>
      <c r="AS122" s="10" t="n">
        <f aca="false">MIN(AS7,AS62)</f>
        <v>4994.10073504393</v>
      </c>
      <c r="AT122" s="10" t="n">
        <f aca="false">MIN(AT7,AT62)</f>
        <v>1060.8045126756</v>
      </c>
      <c r="AU122" s="10" t="n">
        <f aca="false">MIN(AU7,AU62)</f>
        <v>6200.05239308162</v>
      </c>
      <c r="AV122" s="10" t="n">
        <f aca="false">MIN(AV7,AV62)</f>
        <v>10613.0066607079</v>
      </c>
      <c r="AW122" s="10" t="n">
        <f aca="false">MIN(AW7,AW62)</f>
        <v>49.2550919688429</v>
      </c>
      <c r="AX122" s="10" t="n">
        <f aca="false">MIN(AX7,AX62)</f>
        <v>5442.63129933847</v>
      </c>
      <c r="AY122" s="10" t="n">
        <f aca="false">MIN(AY7,AY62)</f>
        <v>3209.83863570252</v>
      </c>
      <c r="AZ122" s="10" t="n">
        <f aca="false">MIN(AZ7,AZ62)</f>
        <v>691.093246239758</v>
      </c>
      <c r="BA122" s="10" t="n">
        <f aca="false">MIN(BA7,BA62)</f>
        <v>1540.6034564347</v>
      </c>
      <c r="BB122" s="10" t="n">
        <f aca="false">MIN(BB7,BB62)</f>
        <v>18502.2436829614</v>
      </c>
      <c r="BC122" s="10" t="n">
        <f aca="false">MIN(BC7,BC62)</f>
        <v>5348.04941210823</v>
      </c>
      <c r="BD122" s="10" t="n">
        <f aca="false">MIN(BD7,BD62)</f>
        <v>30191.0892482036</v>
      </c>
      <c r="BE122" s="10" t="n">
        <f aca="false">MIN(BE7,BE62)</f>
        <v>20546.9374557599</v>
      </c>
      <c r="BF122" s="10" t="n">
        <f aca="false">MIN(BF7,BF62)</f>
        <v>827.214649605229</v>
      </c>
      <c r="BG122" s="10" t="n">
        <f aca="false">MIN(BG7,BG62)</f>
        <v>345.332001918466</v>
      </c>
      <c r="BH122" s="10" t="n">
        <f aca="false">MIN(BH7,BH62)</f>
        <v>624898.366369768</v>
      </c>
      <c r="BI122" s="10" t="n">
        <f aca="false">MIN(BI7,BI62)</f>
        <v>129.499500719425</v>
      </c>
      <c r="BJ122" s="10" t="n">
        <f aca="false">MIN(BJ7,BJ62)</f>
        <v>6.74216689531228</v>
      </c>
      <c r="BK122" s="10" t="n">
        <f aca="false">MIN(BK7,BK62)</f>
        <v>258.999001438849</v>
      </c>
      <c r="BL122" s="10" t="n">
        <f aca="false">MIN(BL7,BL62)</f>
        <v>256.785683550531</v>
      </c>
      <c r="BM122" s="10" t="n">
        <f aca="false">MIN(BM7,BM62)</f>
        <v>188.542518600099</v>
      </c>
      <c r="BN122" s="10" t="n">
        <f aca="false">MIN(BN7,BN62)</f>
        <v>1</v>
      </c>
      <c r="BO122" s="10" t="n">
        <f aca="false">MIN(BO7,BO62)</f>
        <v>37.7787067564033</v>
      </c>
      <c r="BP122" s="10" t="n">
        <f aca="false">MIN(BP7,BP62)</f>
        <v>137.557029529565</v>
      </c>
      <c r="BQ122" s="10" t="n">
        <f aca="false">MIN(BQ7,BQ62)</f>
        <v>100</v>
      </c>
      <c r="BR122" s="10" t="n">
        <f aca="false">MIN(BR7,BR62)</f>
        <v>1133.3612026921</v>
      </c>
      <c r="BS122" s="10" t="n">
        <f aca="false">MIN(BS7,BS62)</f>
        <v>11333.6170182361</v>
      </c>
      <c r="BT122" s="10" t="n">
        <f aca="false">MIN(BT7,BT62)</f>
        <v>8.80562808400574</v>
      </c>
      <c r="BU122" s="10" t="n">
        <f aca="false">MIN(BU7,BU62)</f>
        <v>88.0562808400575</v>
      </c>
      <c r="BV122" s="10" t="n">
        <f aca="false">MIN(BV7,BV62)</f>
        <v>880.562808400574</v>
      </c>
      <c r="BW122" s="10" t="n">
        <f aca="false">MIN(BW7,BW62)</f>
        <v>48.556946051518</v>
      </c>
      <c r="BX122" s="10" t="n">
        <f aca="false">MIN(BX7,BX62)</f>
        <v>29.2059329385872</v>
      </c>
      <c r="BY122" s="10" t="n">
        <f aca="false">MIN(BY7,BY62)</f>
        <v>65.1486605100601</v>
      </c>
      <c r="BZ122" s="10" t="n">
        <f aca="false">MIN(BZ7,BZ62)</f>
        <v>43150.1394248712</v>
      </c>
      <c r="CA122" s="10" t="n">
        <f aca="false">MIN(CA7,CA62)</f>
        <v>26694.0145639736</v>
      </c>
      <c r="CB122" s="10" t="n">
        <f aca="false">MIN(CB7,CB62)</f>
        <v>390.469602531761</v>
      </c>
      <c r="CC122" s="10" t="n">
        <f aca="false">MIN(CC7,CC62)</f>
        <v>4967.20427129667</v>
      </c>
      <c r="CD122" s="10" t="n">
        <f aca="false">MIN(CD7,CD62)</f>
        <v>118.229290395352</v>
      </c>
      <c r="CE122" s="10" t="n">
        <f aca="false">MIN(CE7,CE62)</f>
        <v>64.2014370699757</v>
      </c>
      <c r="CF122" s="10" t="n">
        <f aca="false">MIN(CF7,CF62)</f>
        <v>1</v>
      </c>
      <c r="CG122" s="10" t="n">
        <f aca="false">MIN(CG7,CG62)</f>
        <v>11.2592894572664</v>
      </c>
      <c r="CH122" s="10" t="n">
        <f aca="false">MIN(CH7,CH62)</f>
        <v>26.3298691476064</v>
      </c>
      <c r="CI122" s="10" t="n">
        <f aca="false">MIN(CI7,CI62)</f>
        <v>571.450553241862</v>
      </c>
      <c r="CJ122" s="10" t="n">
        <f aca="false">MIN(CJ7,CJ62)</f>
        <v>5638.97004827767</v>
      </c>
      <c r="CK122" s="10" t="n">
        <f aca="false">MIN(CK7,CK62)</f>
        <v>916.721146637719</v>
      </c>
      <c r="CL122" s="7" t="s">
        <v>39</v>
      </c>
    </row>
    <row r="123" customFormat="false" ht="12.8" hidden="false" customHeight="false" outlineLevel="0" collapsed="false">
      <c r="A123" s="7" t="s">
        <v>135</v>
      </c>
      <c r="B123" s="7" t="s">
        <v>39</v>
      </c>
      <c r="C123" s="10" t="n">
        <f aca="false">MIN(C8,C63)</f>
        <v>6179.04992415652</v>
      </c>
      <c r="D123" s="10" t="n">
        <f aca="false">MIN(D8,D63)</f>
        <v>1.4613317284469</v>
      </c>
      <c r="E123" s="10" t="n">
        <f aca="false">MIN(E8,E63)</f>
        <v>9.23887238448638</v>
      </c>
      <c r="F123" s="10" t="n">
        <f aca="false">MIN(F8,F63)</f>
        <v>30.5149496621293</v>
      </c>
      <c r="G123" s="10" t="n">
        <f aca="false">MIN(G8,G63)</f>
        <v>7.34622327553481</v>
      </c>
      <c r="H123" s="10" t="n">
        <f aca="false">MIN(H8,H63)</f>
        <v>100</v>
      </c>
      <c r="I123" s="10" t="n">
        <f aca="false">MIN(I8,I63)</f>
        <v>1106.41254974413</v>
      </c>
      <c r="J123" s="10" t="n">
        <f aca="false">MIN(J8,J63)</f>
        <v>1786.89955933833</v>
      </c>
      <c r="K123" s="10" t="n">
        <f aca="false">MIN(K8,K63)</f>
        <v>6473.53377660761</v>
      </c>
      <c r="L123" s="10" t="n">
        <f aca="false">MIN(L8,L63)</f>
        <v>22311.0491223187</v>
      </c>
      <c r="M123" s="10" t="n">
        <f aca="false">MIN(M8,M63)</f>
        <v>15162.0046944655</v>
      </c>
      <c r="N123" s="10" t="n">
        <f aca="false">MIN(N8,N63)</f>
        <v>6.44823081668208</v>
      </c>
      <c r="O123" s="10" t="n">
        <f aca="false">MIN(O8,O63)</f>
        <v>2.19199759267036</v>
      </c>
      <c r="P123" s="10" t="n">
        <f aca="false">MIN(P8,P63)</f>
        <v>4.10999548625691</v>
      </c>
      <c r="Q123" s="10" t="n">
        <f aca="false">MIN(Q8,Q63)</f>
        <v>255.710961900332</v>
      </c>
      <c r="R123" s="10" t="n">
        <f aca="false">MIN(R8,R63)</f>
        <v>16.5099437580742</v>
      </c>
      <c r="S123" s="10" t="n">
        <f aca="false">MIN(S8,S63)</f>
        <v>191.237563905588</v>
      </c>
      <c r="T123" s="10" t="n">
        <f aca="false">MIN(T8,T63)</f>
        <v>342.165249144803</v>
      </c>
      <c r="U123" s="10" t="n">
        <f aca="false">MIN(U8,U63)</f>
        <v>63.1750195602728</v>
      </c>
      <c r="V123" s="10" t="n">
        <f aca="false">MIN(V8,V63)</f>
        <v>363.386713299475</v>
      </c>
      <c r="W123" s="10" t="n">
        <f aca="false">MIN(W8,W63)</f>
        <v>5.21518953113676</v>
      </c>
      <c r="X123" s="10" t="n">
        <f aca="false">MIN(X8,X63)</f>
        <v>1.52746498559956</v>
      </c>
      <c r="Y123" s="10" t="n">
        <f aca="false">MIN(Y8,Y63)</f>
        <v>111.555245611593</v>
      </c>
      <c r="Z123" s="10" t="n">
        <f aca="false">MIN(Z8,Z63)</f>
        <v>4943.71369458471</v>
      </c>
      <c r="AA123" s="10" t="n">
        <f aca="false">MIN(AA8,AA63)</f>
        <v>9823.53299323435</v>
      </c>
      <c r="AB123" s="10" t="n">
        <f aca="false">MIN(AB8,AB63)</f>
        <v>9823.53299323434</v>
      </c>
      <c r="AC123" s="10" t="n">
        <f aca="false">MIN(AC8,AC63)</f>
        <v>51979.4665281773</v>
      </c>
      <c r="AD123" s="10" t="n">
        <f aca="false">MIN(AD8,AD63)</f>
        <v>61880.6269346433</v>
      </c>
      <c r="AE123" s="10" t="n">
        <f aca="false">MIN(AE8,AE63)</f>
        <v>188776.459278031</v>
      </c>
      <c r="AF123" s="10" t="n">
        <f aca="false">MIN(AF8,AF63)</f>
        <v>994.745186218923</v>
      </c>
      <c r="AG123" s="10" t="n">
        <f aca="false">MIN(AG8,AG63)</f>
        <v>491.837966166903</v>
      </c>
      <c r="AH123" s="10" t="n">
        <f aca="false">MIN(AH8,AH63)</f>
        <v>271.008656352546</v>
      </c>
      <c r="AI123" s="10" t="n">
        <f aca="false">MIN(AI8,AI63)</f>
        <v>2789.74516919064</v>
      </c>
      <c r="AJ123" s="10" t="n">
        <f aca="false">MIN(AJ8,AJ63)</f>
        <v>1039.17235417194</v>
      </c>
      <c r="AK123" s="10" t="n">
        <f aca="false">MIN(AK8,AK63)</f>
        <v>482.666466549215</v>
      </c>
      <c r="AL123" s="10" t="n">
        <f aca="false">MIN(AL8,AL63)</f>
        <v>1055.66819523431</v>
      </c>
      <c r="AM123" s="10" t="n">
        <f aca="false">MIN(AM8,AM63)</f>
        <v>1796.66818160169</v>
      </c>
      <c r="AN123" s="10" t="n">
        <f aca="false">MIN(AN8,AN63)</f>
        <v>1604.82169617778</v>
      </c>
      <c r="AO123" s="10" t="n">
        <f aca="false">MIN(AO8,AO63)</f>
        <v>25483.5697121023</v>
      </c>
      <c r="AP123" s="10" t="n">
        <f aca="false">MIN(AP8,AP63)</f>
        <v>24881.2333531614</v>
      </c>
      <c r="AQ123" s="10" t="n">
        <f aca="false">MIN(AQ8,AQ63)</f>
        <v>13264.5153901242</v>
      </c>
      <c r="AR123" s="10" t="n">
        <f aca="false">MIN(AR8,AR63)</f>
        <v>25386.9306478393</v>
      </c>
      <c r="AS123" s="10" t="n">
        <f aca="false">MIN(AS8,AS63)</f>
        <v>978.418880480934</v>
      </c>
      <c r="AT123" s="10" t="n">
        <f aca="false">MIN(AT8,AT63)</f>
        <v>852.940756058394</v>
      </c>
      <c r="AU123" s="10" t="n">
        <f aca="false">MIN(AU8,AU63)</f>
        <v>1079.80355696584</v>
      </c>
      <c r="AV123" s="10" t="n">
        <f aca="false">MIN(AV8,AV63)</f>
        <v>10296.2156243881</v>
      </c>
      <c r="AW123" s="10" t="n">
        <f aca="false">MIN(AW8,AW63)</f>
        <v>16.2176263971887</v>
      </c>
      <c r="AX123" s="10" t="n">
        <f aca="false">MIN(AX8,AX63)</f>
        <v>2019.36609749693</v>
      </c>
      <c r="AY123" s="10" t="n">
        <f aca="false">MIN(AY8,AY63)</f>
        <v>523.893812944644</v>
      </c>
      <c r="AZ123" s="10" t="n">
        <f aca="false">MIN(AZ8,AZ63)</f>
        <v>145.056915957591</v>
      </c>
      <c r="BA123" s="10" t="n">
        <f aca="false">MIN(BA8,BA63)</f>
        <v>1137.86350523825</v>
      </c>
      <c r="BB123" s="10" t="n">
        <f aca="false">MIN(BB8,BB63)</f>
        <v>2363.5651139074</v>
      </c>
      <c r="BC123" s="10" t="n">
        <f aca="false">MIN(BC8,BC63)</f>
        <v>1231.94952806737</v>
      </c>
      <c r="BD123" s="10" t="n">
        <f aca="false">MIN(BD8,BD63)</f>
        <v>5962.71406337842</v>
      </c>
      <c r="BE123" s="10" t="n">
        <f aca="false">MIN(BE8,BE63)</f>
        <v>9120.64632747166</v>
      </c>
      <c r="BF123" s="10" t="n">
        <f aca="false">MIN(BF8,BF63)</f>
        <v>163.541421457532</v>
      </c>
      <c r="BG123" s="10" t="n">
        <f aca="false">MIN(BG8,BG63)</f>
        <v>142.402618097433</v>
      </c>
      <c r="BH123" s="10" t="n">
        <f aca="false">MIN(BH8,BH63)</f>
        <v>86.0915310198811</v>
      </c>
      <c r="BI123" s="10" t="n">
        <f aca="false">MIN(BI8,BI63)</f>
        <v>66.4505896254184</v>
      </c>
      <c r="BJ123" s="10" t="n">
        <f aca="false">MIN(BJ8,BJ63)</f>
        <v>3.21511823320388</v>
      </c>
      <c r="BK123" s="10" t="n">
        <f aca="false">MIN(BK8,BK63)</f>
        <v>132.901179250837</v>
      </c>
      <c r="BL123" s="10" t="n">
        <f aca="false">MIN(BL8,BL63)</f>
        <v>255.774146847191</v>
      </c>
      <c r="BM123" s="10" t="n">
        <f aca="false">MIN(BM8,BM63)</f>
        <v>26.6540523101347</v>
      </c>
      <c r="BN123" s="10" t="n">
        <f aca="false">MIN(BN8,BN63)</f>
        <v>167141.357218797</v>
      </c>
      <c r="BO123" s="10" t="n">
        <f aca="false">MIN(BO8,BO63)</f>
        <v>17.7952020262237</v>
      </c>
      <c r="BP123" s="10" t="n">
        <f aca="false">MIN(BP8,BP63)</f>
        <v>56.6772405521879</v>
      </c>
      <c r="BQ123" s="10" t="n">
        <f aca="false">MIN(BQ8,BQ63)</f>
        <v>100</v>
      </c>
      <c r="BR123" s="10" t="n">
        <f aca="false">MIN(BR8,BR63)</f>
        <v>533.855449149579</v>
      </c>
      <c r="BS123" s="10" t="n">
        <f aca="false">MIN(BS8,BS63)</f>
        <v>5338.55449149578</v>
      </c>
      <c r="BT123" s="10" t="n">
        <f aca="false">MIN(BT8,BT63)</f>
        <v>2.36631396167401</v>
      </c>
      <c r="BU123" s="10" t="n">
        <f aca="false">MIN(BU8,BU63)</f>
        <v>23.6631396167401</v>
      </c>
      <c r="BV123" s="10" t="n">
        <f aca="false">MIN(BV8,BV63)</f>
        <v>236.631396167401</v>
      </c>
      <c r="BW123" s="10" t="n">
        <f aca="false">MIN(BW8,BW63)</f>
        <v>17.7992650782371</v>
      </c>
      <c r="BX123" s="10" t="n">
        <f aca="false">MIN(BX8,BX63)</f>
        <v>13.6989822181359</v>
      </c>
      <c r="BY123" s="10" t="n">
        <f aca="false">MIN(BY8,BY63)</f>
        <v>18.0240499002783</v>
      </c>
      <c r="BZ123" s="10" t="n">
        <f aca="false">MIN(BZ8,BZ63)</f>
        <v>258029.280723047</v>
      </c>
      <c r="CA123" s="10" t="n">
        <f aca="false">MIN(CA8,CA63)</f>
        <v>27008.8456108822</v>
      </c>
      <c r="CB123" s="10" t="n">
        <f aca="false">MIN(CB8,CB63)</f>
        <v>162.490172380869</v>
      </c>
      <c r="CC123" s="10" t="n">
        <f aca="false">MIN(CC8,CC63)</f>
        <v>51.1564027981237</v>
      </c>
      <c r="CD123" s="10" t="n">
        <f aca="false">MIN(CD8,CD63)</f>
        <v>49.8385449077928</v>
      </c>
      <c r="CE123" s="10" t="n">
        <f aca="false">MIN(CE8,CE63)</f>
        <v>14.8508399170195</v>
      </c>
      <c r="CF123" s="10" t="n">
        <f aca="false">MIN(CF8,CF63)</f>
        <v>1</v>
      </c>
      <c r="CG123" s="10" t="n">
        <f aca="false">MIN(CG8,CG63)</f>
        <v>54.6556875545083</v>
      </c>
      <c r="CH123" s="10" t="n">
        <f aca="false">MIN(CH8,CH63)</f>
        <v>363.71272050846</v>
      </c>
      <c r="CI123" s="10" t="n">
        <f aca="false">MIN(CI8,CI63)</f>
        <v>219.616911119669</v>
      </c>
      <c r="CJ123" s="10" t="n">
        <f aca="false">MIN(CJ8,CJ63)</f>
        <v>11069.3541915947</v>
      </c>
      <c r="CK123" s="10" t="n">
        <f aca="false">MIN(CK8,CK63)</f>
        <v>705.28668427556</v>
      </c>
      <c r="CL123" s="7" t="s">
        <v>322</v>
      </c>
    </row>
    <row r="124" customFormat="false" ht="12.8" hidden="false" customHeight="false" outlineLevel="0" collapsed="false">
      <c r="A124" s="7" t="s">
        <v>137</v>
      </c>
      <c r="B124" s="7" t="s">
        <v>39</v>
      </c>
      <c r="C124" s="10" t="n">
        <f aca="false">MIN(C9,C64)</f>
        <v>571.336597237623</v>
      </c>
      <c r="D124" s="10" t="n">
        <f aca="false">MIN(D9,D64)</f>
        <v>1</v>
      </c>
      <c r="E124" s="10" t="n">
        <f aca="false">MIN(E9,E64)</f>
        <v>1.28144692266052</v>
      </c>
      <c r="F124" s="10" t="n">
        <f aca="false">MIN(F9,F64)</f>
        <v>3.69568087122037</v>
      </c>
      <c r="G124" s="10" t="n">
        <f aca="false">MIN(G9,G64)</f>
        <v>1.02911854385632</v>
      </c>
      <c r="H124" s="10" t="n">
        <f aca="false">MIN(H9,H64)</f>
        <v>100</v>
      </c>
      <c r="I124" s="10" t="n">
        <f aca="false">MIN(I9,I64)</f>
        <v>124.259182733423</v>
      </c>
      <c r="J124" s="10" t="n">
        <f aca="false">MIN(J9,J64)</f>
        <v>242.329424160383</v>
      </c>
      <c r="K124" s="10" t="n">
        <f aca="false">MIN(K9,K64)</f>
        <v>2200.53834497448</v>
      </c>
      <c r="L124" s="10" t="n">
        <f aca="false">MIN(L9,L64)</f>
        <v>6656.02957899286</v>
      </c>
      <c r="M124" s="10" t="n">
        <f aca="false">MIN(M9,M64)</f>
        <v>4459.3548411311</v>
      </c>
      <c r="N124" s="10" t="n">
        <f aca="false">MIN(N9,N64)</f>
        <v>1</v>
      </c>
      <c r="O124" s="10" t="n">
        <f aca="false">MIN(O9,O64)</f>
        <v>1</v>
      </c>
      <c r="P124" s="10" t="n">
        <f aca="false">MIN(P9,P64)</f>
        <v>1.66108710850332</v>
      </c>
      <c r="Q124" s="10" t="n">
        <f aca="false">MIN(Q9,Q64)</f>
        <v>109.210692844193</v>
      </c>
      <c r="R124" s="10" t="n">
        <f aca="false">MIN(R9,R64)</f>
        <v>6.02887217801228</v>
      </c>
      <c r="S124" s="10" t="n">
        <f aca="false">MIN(S9,S64)</f>
        <v>57.051682105653</v>
      </c>
      <c r="T124" s="10" t="n">
        <f aca="false">MIN(T9,T64)</f>
        <v>102.077764551781</v>
      </c>
      <c r="U124" s="10" t="n">
        <f aca="false">MIN(U9,U64)</f>
        <v>18.5806451713796</v>
      </c>
      <c r="V124" s="10" t="n">
        <f aca="false">MIN(V9,V64)</f>
        <v>147.230051616082</v>
      </c>
      <c r="W124" s="10" t="n">
        <f aca="false">MIN(W9,W64)</f>
        <v>3.17024897175124</v>
      </c>
      <c r="X124" s="10" t="n">
        <f aca="false">MIN(X9,X64)</f>
        <v>1</v>
      </c>
      <c r="Y124" s="10" t="n">
        <f aca="false">MIN(Y9,Y64)</f>
        <v>33.2801478949643</v>
      </c>
      <c r="Z124" s="10" t="n">
        <f aca="false">MIN(Z9,Z64)</f>
        <v>3991.66149852589</v>
      </c>
      <c r="AA124" s="10" t="n">
        <f aca="false">MIN(AA9,AA64)</f>
        <v>4405.68343394057</v>
      </c>
      <c r="AB124" s="10" t="n">
        <f aca="false">MIN(AB9,AB64)</f>
        <v>4116.32885412576</v>
      </c>
      <c r="AC124" s="10" t="n">
        <f aca="false">MIN(AC9,AC64)</f>
        <v>18100.0119263336</v>
      </c>
      <c r="AD124" s="10" t="n">
        <f aca="false">MIN(AD9,AD64)</f>
        <v>25929.674215773</v>
      </c>
      <c r="AE124" s="10" t="n">
        <f aca="false">MIN(AE9,AE64)</f>
        <v>97787.9526339242</v>
      </c>
      <c r="AF124" s="10" t="n">
        <f aca="false">MIN(AF9,AF64)</f>
        <v>401.18002787702</v>
      </c>
      <c r="AG124" s="10" t="n">
        <f aca="false">MIN(AG9,AG64)</f>
        <v>375.028826604996</v>
      </c>
      <c r="AH124" s="10" t="n">
        <f aca="false">MIN(AH9,AH64)</f>
        <v>192.418054663457</v>
      </c>
      <c r="AI124" s="10" t="n">
        <f aca="false">MIN(AI9,AI64)</f>
        <v>1213.60068012767</v>
      </c>
      <c r="AJ124" s="10" t="n">
        <f aca="false">MIN(AJ9,AJ64)</f>
        <v>492.598717515588</v>
      </c>
      <c r="AK124" s="10" t="n">
        <f aca="false">MIN(AK9,AK64)</f>
        <v>198.487596905728</v>
      </c>
      <c r="AL124" s="10" t="n">
        <f aca="false">MIN(AL9,AL64)</f>
        <v>422.392708339391</v>
      </c>
      <c r="AM124" s="10" t="n">
        <f aca="false">MIN(AM9,AM64)</f>
        <v>812.416418745333</v>
      </c>
      <c r="AN124" s="10" t="n">
        <f aca="false">MIN(AN9,AN64)</f>
        <v>792.277959188055</v>
      </c>
      <c r="AO124" s="10" t="n">
        <f aca="false">MIN(AO9,AO64)</f>
        <v>9270.07574319762</v>
      </c>
      <c r="AP124" s="10" t="n">
        <f aca="false">MIN(AP9,AP64)</f>
        <v>18044.1636034887</v>
      </c>
      <c r="AQ124" s="10" t="n">
        <f aca="false">MIN(AQ9,AQ64)</f>
        <v>6245.47218769968</v>
      </c>
      <c r="AR124" s="10" t="n">
        <f aca="false">MIN(AR9,AR64)</f>
        <v>9786.12074316016</v>
      </c>
      <c r="AS124" s="10" t="n">
        <f aca="false">MIN(AS9,AS64)</f>
        <v>856.591639522723</v>
      </c>
      <c r="AT124" s="10" t="n">
        <f aca="false">MIN(AT9,AT64)</f>
        <v>349.686485474874</v>
      </c>
      <c r="AU124" s="10" t="n">
        <f aca="false">MIN(AU9,AU64)</f>
        <v>503.813248709668</v>
      </c>
      <c r="AV124" s="10" t="n">
        <f aca="false">MIN(AV9,AV64)</f>
        <v>3284.00109860734</v>
      </c>
      <c r="AW124" s="10" t="n">
        <f aca="false">MIN(AW9,AW64)</f>
        <v>5.69214529698751</v>
      </c>
      <c r="AX124" s="10" t="n">
        <f aca="false">MIN(AX9,AX64)</f>
        <v>1042.42355368533</v>
      </c>
      <c r="AY124" s="10" t="n">
        <f aca="false">MIN(AY9,AY64)</f>
        <v>223.131423554628</v>
      </c>
      <c r="AZ124" s="10" t="n">
        <f aca="false">MIN(AZ9,AZ64)</f>
        <v>59.5024505971407</v>
      </c>
      <c r="BA124" s="10" t="n">
        <f aca="false">MIN(BA9,BA64)</f>
        <v>339.457508528636</v>
      </c>
      <c r="BB124" s="10" t="n">
        <f aca="false">MIN(BB9,BB64)</f>
        <v>1485.71760613223</v>
      </c>
      <c r="BC124" s="10" t="n">
        <f aca="false">MIN(BC9,BC64)</f>
        <v>700.833528251839</v>
      </c>
      <c r="BD124" s="10" t="n">
        <f aca="false">MIN(BD9,BD64)</f>
        <v>2669.62320113395</v>
      </c>
      <c r="BE124" s="10" t="n">
        <f aca="false">MIN(BE9,BE64)</f>
        <v>5737.12304518191</v>
      </c>
      <c r="BF124" s="10" t="n">
        <f aca="false">MIN(BF9,BF64)</f>
        <v>170.846065388511</v>
      </c>
      <c r="BG124" s="10" t="n">
        <f aca="false">MIN(BG9,BG64)</f>
        <v>52.2278510828752</v>
      </c>
      <c r="BH124" s="10" t="n">
        <f aca="false">MIN(BH9,BH64)</f>
        <v>273.636338756002</v>
      </c>
      <c r="BI124" s="10" t="n">
        <f aca="false">MIN(BI9,BI64)</f>
        <v>8.48192870629179</v>
      </c>
      <c r="BJ124" s="10" t="n">
        <f aca="false">MIN(BJ9,BJ64)</f>
        <v>1.76279992524298</v>
      </c>
      <c r="BK124" s="10" t="n">
        <f aca="false">MIN(BK9,BK64)</f>
        <v>16.9638574125836</v>
      </c>
      <c r="BL124" s="10" t="n">
        <f aca="false">MIN(BL9,BL64)</f>
        <v>1083.116664286</v>
      </c>
      <c r="BM124" s="10" t="n">
        <f aca="false">MIN(BM9,BM64)</f>
        <v>33.8083675137474</v>
      </c>
      <c r="BN124" s="10" t="n">
        <f aca="false">MIN(BN9,BN64)</f>
        <v>49881.1862978724</v>
      </c>
      <c r="BO124" s="10" t="n">
        <f aca="false">MIN(BO9,BO64)</f>
        <v>3.34147808595572</v>
      </c>
      <c r="BP124" s="10" t="n">
        <f aca="false">MIN(BP9,BP64)</f>
        <v>23.5941070204501</v>
      </c>
      <c r="BQ124" s="10" t="n">
        <f aca="false">MIN(BQ9,BQ64)</f>
        <v>100</v>
      </c>
      <c r="BR124" s="10" t="n">
        <f aca="false">MIN(BR9,BR64)</f>
        <v>100.24426467235</v>
      </c>
      <c r="BS124" s="10" t="n">
        <f aca="false">MIN(BS9,BS64)</f>
        <v>1002.4426467235</v>
      </c>
      <c r="BT124" s="10" t="n">
        <f aca="false">MIN(BT9,BT64)</f>
        <v>1</v>
      </c>
      <c r="BU124" s="10" t="n">
        <f aca="false">MIN(BU9,BU64)</f>
        <v>4.5078377466378</v>
      </c>
      <c r="BV124" s="10" t="n">
        <f aca="false">MIN(BV9,BV64)</f>
        <v>45.078377466378</v>
      </c>
      <c r="BW124" s="10" t="n">
        <f aca="false">MIN(BW9,BW64)</f>
        <v>7.40002118030053</v>
      </c>
      <c r="BX124" s="10" t="n">
        <f aca="false">MIN(BX9,BX64)</f>
        <v>12.232707580227</v>
      </c>
      <c r="BY124" s="10" t="n">
        <f aca="false">MIN(BY9,BY64)</f>
        <v>97.1466751104368</v>
      </c>
      <c r="BZ124" s="10" t="n">
        <f aca="false">MIN(BZ9,BZ64)</f>
        <v>53636.2336018758</v>
      </c>
      <c r="CA124" s="10" t="n">
        <f aca="false">MIN(CA9,CA64)</f>
        <v>46266.8284726562</v>
      </c>
      <c r="CB124" s="10" t="n">
        <f aca="false">MIN(CB9,CB64)</f>
        <v>24.4234965741064</v>
      </c>
      <c r="CC124" s="10" t="n">
        <f aca="false">MIN(CC9,CC64)</f>
        <v>17.5853483698228</v>
      </c>
      <c r="CD124" s="10" t="n">
        <f aca="false">MIN(CD9,CD64)</f>
        <v>15.6157977085344</v>
      </c>
      <c r="CE124" s="10" t="n">
        <f aca="false">MIN(CE9,CE64)</f>
        <v>2.45264600563223</v>
      </c>
      <c r="CF124" s="10" t="n">
        <f aca="false">MIN(CF9,CF64)</f>
        <v>1</v>
      </c>
      <c r="CG124" s="10" t="n">
        <f aca="false">MIN(CG9,CG64)</f>
        <v>2884.85767486619</v>
      </c>
      <c r="CH124" s="10" t="n">
        <f aca="false">MIN(CH9,CH64)</f>
        <v>1746.25009374481</v>
      </c>
      <c r="CI124" s="10" t="n">
        <f aca="false">MIN(CI9,CI64)</f>
        <v>120.403083201673</v>
      </c>
      <c r="CJ124" s="10" t="n">
        <f aca="false">MIN(CJ9,CJ64)</f>
        <v>849.191634956864</v>
      </c>
      <c r="CK124" s="10" t="n">
        <f aca="false">MIN(CK9,CK64)</f>
        <v>329.686068115778</v>
      </c>
      <c r="CL124" s="7" t="s">
        <v>322</v>
      </c>
    </row>
    <row r="125" customFormat="false" ht="12.8" hidden="false" customHeight="false" outlineLevel="0" collapsed="false">
      <c r="A125" s="7" t="s">
        <v>139</v>
      </c>
      <c r="B125" s="7" t="s">
        <v>39</v>
      </c>
      <c r="C125" s="10" t="n">
        <f aca="false">MIN(C10,C65)</f>
        <v>22479.9996472902</v>
      </c>
      <c r="D125" s="10" t="n">
        <f aca="false">MIN(D10,D65)</f>
        <v>5.16393872303322</v>
      </c>
      <c r="E125" s="10" t="n">
        <f aca="false">MIN(E10,E65)</f>
        <v>50.9022905610367</v>
      </c>
      <c r="F125" s="10" t="n">
        <f aca="false">MIN(F10,F65)</f>
        <v>163.283085391049</v>
      </c>
      <c r="G125" s="10" t="n">
        <f aca="false">MIN(G10,G65)</f>
        <v>87.841593866368</v>
      </c>
      <c r="H125" s="10" t="n">
        <f aca="false">MIN(H10,H65)</f>
        <v>100</v>
      </c>
      <c r="I125" s="10" t="n">
        <f aca="false">MIN(I10,I65)</f>
        <v>1356.22976455885</v>
      </c>
      <c r="J125" s="10" t="n">
        <f aca="false">MIN(J10,J65)</f>
        <v>1549.0536314603</v>
      </c>
      <c r="K125" s="10" t="n">
        <f aca="false">MIN(K10,K65)</f>
        <v>15122.6242440034</v>
      </c>
      <c r="L125" s="10" t="n">
        <f aca="false">MIN(L10,L65)</f>
        <v>60720.0751099874</v>
      </c>
      <c r="M125" s="10" t="n">
        <f aca="false">MIN(M10,M65)</f>
        <v>42076.8216609651</v>
      </c>
      <c r="N125" s="10" t="n">
        <f aca="false">MIN(N10,N65)</f>
        <v>57.0977605776683</v>
      </c>
      <c r="O125" s="10" t="n">
        <f aca="false">MIN(O10,O65)</f>
        <v>7.74590808454983</v>
      </c>
      <c r="P125" s="10" t="n">
        <f aca="false">MIN(P10,P65)</f>
        <v>14.5235776585309</v>
      </c>
      <c r="Q125" s="10" t="n">
        <f aca="false">MIN(Q10,Q65)</f>
        <v>1004.0722401176</v>
      </c>
      <c r="R125" s="10" t="n">
        <f aca="false">MIN(R10,R65)</f>
        <v>20.6022191411231</v>
      </c>
      <c r="S125" s="10" t="n">
        <f aca="false">MIN(S10,S65)</f>
        <v>520.457786657033</v>
      </c>
      <c r="T125" s="10" t="n">
        <f aca="false">MIN(T10,T65)</f>
        <v>931.211235930476</v>
      </c>
      <c r="U125" s="10" t="n">
        <f aca="false">MIN(U10,U65)</f>
        <v>175.320090254021</v>
      </c>
      <c r="V125" s="10" t="n">
        <f aca="false">MIN(V10,V65)</f>
        <v>2716.0654236791</v>
      </c>
      <c r="W125" s="10" t="n">
        <f aca="false">MIN(W10,W65)</f>
        <v>15.898903236746</v>
      </c>
      <c r="X125" s="10" t="n">
        <f aca="false">MIN(X10,X65)</f>
        <v>6.87656174631174</v>
      </c>
      <c r="Y125" s="10" t="n">
        <f aca="false">MIN(Y10,Y65)</f>
        <v>303.600375549937</v>
      </c>
      <c r="Z125" s="10" t="n">
        <f aca="false">MIN(Z10,Z65)</f>
        <v>175217.718472207</v>
      </c>
      <c r="AA125" s="10" t="n">
        <f aca="false">MIN(AA10,AA65)</f>
        <v>97715.7530449233</v>
      </c>
      <c r="AB125" s="10" t="n">
        <f aca="false">MIN(AB10,AB65)</f>
        <v>54550.3484216784</v>
      </c>
      <c r="AC125" s="10" t="n">
        <f aca="false">MIN(AC10,AC65)</f>
        <v>333117.578761279</v>
      </c>
      <c r="AD125" s="10" t="n">
        <f aca="false">MIN(AD10,AD65)</f>
        <v>343624.820333126</v>
      </c>
      <c r="AE125" s="10" t="n">
        <f aca="false">MIN(AE10,AE65)</f>
        <v>551731.080300055</v>
      </c>
      <c r="AF125" s="10" t="n">
        <f aca="false">MIN(AF10,AF65)</f>
        <v>5046.37984360955</v>
      </c>
      <c r="AG125" s="10" t="n">
        <f aca="false">MIN(AG10,AG65)</f>
        <v>1590.2662131044</v>
      </c>
      <c r="AH125" s="10" t="n">
        <f aca="false">MIN(AH10,AH65)</f>
        <v>1595.84049738726</v>
      </c>
      <c r="AI125" s="10" t="n">
        <f aca="false">MIN(AI10,AI65)</f>
        <v>3307.77367046038</v>
      </c>
      <c r="AJ125" s="10" t="n">
        <f aca="false">MIN(AJ10,AJ65)</f>
        <v>2060.78606416655</v>
      </c>
      <c r="AK125" s="10" t="n">
        <f aca="false">MIN(AK10,AK65)</f>
        <v>4824.975088412</v>
      </c>
      <c r="AL125" s="10" t="n">
        <f aca="false">MIN(AL10,AL65)</f>
        <v>1717.3546783062</v>
      </c>
      <c r="AM125" s="10" t="n">
        <f aca="false">MIN(AM10,AM65)</f>
        <v>1850.76373117319</v>
      </c>
      <c r="AN125" s="10" t="n">
        <f aca="false">MIN(AN10,AN65)</f>
        <v>12540.8929860716</v>
      </c>
      <c r="AO125" s="10" t="n">
        <f aca="false">MIN(AO10,AO65)</f>
        <v>55112.7447691106</v>
      </c>
      <c r="AP125" s="10" t="n">
        <f aca="false">MIN(AP10,AP65)</f>
        <v>67543.1523023825</v>
      </c>
      <c r="AQ125" s="10" t="n">
        <f aca="false">MIN(AQ10,AQ65)</f>
        <v>87360.4168976366</v>
      </c>
      <c r="AR125" s="10" t="n">
        <f aca="false">MIN(AR10,AR65)</f>
        <v>57578.1548157318</v>
      </c>
      <c r="AS125" s="10" t="n">
        <f aca="false">MIN(AS10,AS65)</f>
        <v>2511.14596240439</v>
      </c>
      <c r="AT125" s="10" t="n">
        <f aca="false">MIN(AT10,AT65)</f>
        <v>5565.68999747465</v>
      </c>
      <c r="AU125" s="10" t="n">
        <f aca="false">MIN(AU10,AU65)</f>
        <v>1021.26720056724</v>
      </c>
      <c r="AV125" s="10" t="n">
        <f aca="false">MIN(AV10,AV65)</f>
        <v>10218.0501903058</v>
      </c>
      <c r="AW125" s="10" t="n">
        <f aca="false">MIN(AW10,AW65)</f>
        <v>104.222302758519</v>
      </c>
      <c r="AX125" s="10" t="n">
        <f aca="false">MIN(AX10,AX65)</f>
        <v>15046.6260352158</v>
      </c>
      <c r="AY125" s="10" t="n">
        <f aca="false">MIN(AY10,AY65)</f>
        <v>5765.20012175252</v>
      </c>
      <c r="AZ125" s="10" t="n">
        <f aca="false">MIN(AZ10,AZ65)</f>
        <v>1397.71853132801</v>
      </c>
      <c r="BA125" s="10" t="n">
        <f aca="false">MIN(BA10,BA65)</f>
        <v>3096.72383060936</v>
      </c>
      <c r="BB125" s="10" t="n">
        <f aca="false">MIN(BB10,BB65)</f>
        <v>7585.10536260378</v>
      </c>
      <c r="BC125" s="10" t="n">
        <f aca="false">MIN(BC10,BC65)</f>
        <v>1832.08314686218</v>
      </c>
      <c r="BD125" s="10" t="n">
        <f aca="false">MIN(BD10,BD65)</f>
        <v>14300.2158363269</v>
      </c>
      <c r="BE125" s="10" t="n">
        <f aca="false">MIN(BE10,BE65)</f>
        <v>26801.5511500318</v>
      </c>
      <c r="BF125" s="10" t="n">
        <f aca="false">MIN(BF10,BF65)</f>
        <v>2028.44611814718</v>
      </c>
      <c r="BG125" s="10" t="n">
        <f aca="false">MIN(BG10,BG65)</f>
        <v>697.520592892869</v>
      </c>
      <c r="BH125" s="10" t="n">
        <f aca="false">MIN(BH10,BH65)</f>
        <v>611038.479906607</v>
      </c>
      <c r="BI125" s="10" t="n">
        <f aca="false">MIN(BI10,BI65)</f>
        <v>261.570222334826</v>
      </c>
      <c r="BJ125" s="10" t="n">
        <f aca="false">MIN(BJ10,BJ65)</f>
        <v>13.1035827677296</v>
      </c>
      <c r="BK125" s="10" t="n">
        <f aca="false">MIN(BK10,BK65)</f>
        <v>523.140444669651</v>
      </c>
      <c r="BL125" s="10" t="n">
        <f aca="false">MIN(BL10,BL65)</f>
        <v>248.728611255321</v>
      </c>
      <c r="BM125" s="10" t="n">
        <f aca="false">MIN(BM10,BM65)</f>
        <v>83.5040565678709</v>
      </c>
      <c r="BN125" s="10" t="n">
        <f aca="false">MIN(BN10,BN65)</f>
        <v>1.04794361962035</v>
      </c>
      <c r="BO125" s="10" t="n">
        <f aca="false">MIN(BO10,BO65)</f>
        <v>174.657269936726</v>
      </c>
      <c r="BP125" s="10" t="n">
        <f aca="false">MIN(BP10,BP65)</f>
        <v>387.789355473037</v>
      </c>
      <c r="BQ125" s="10" t="n">
        <f aca="false">MIN(BQ10,BQ65)</f>
        <v>100</v>
      </c>
      <c r="BR125" s="10" t="n">
        <f aca="false">MIN(BR10,BR65)</f>
        <v>5239.71809810176</v>
      </c>
      <c r="BS125" s="10" t="n">
        <f aca="false">MIN(BS10,BS65)</f>
        <v>52397.2073598453</v>
      </c>
      <c r="BT125" s="10" t="n">
        <f aca="false">MIN(BT10,BT65)</f>
        <v>25.412000435704</v>
      </c>
      <c r="BU125" s="10" t="n">
        <f aca="false">MIN(BU10,BU65)</f>
        <v>254.12000435704</v>
      </c>
      <c r="BV125" s="10" t="n">
        <f aca="false">MIN(BV10,BV65)</f>
        <v>2541.2000435704</v>
      </c>
      <c r="BW125" s="10" t="n">
        <f aca="false">MIN(BW10,BW65)</f>
        <v>98.0664441589974</v>
      </c>
      <c r="BX125" s="10" t="n">
        <f aca="false">MIN(BX10,BX65)</f>
        <v>40.1098387362764</v>
      </c>
      <c r="BY125" s="10" t="n">
        <f aca="false">MIN(BY10,BY65)</f>
        <v>52.4539457628537</v>
      </c>
      <c r="BZ125" s="10" t="n">
        <f aca="false">MIN(BZ10,BZ65)</f>
        <v>73119.7836757571</v>
      </c>
      <c r="CA125" s="10" t="n">
        <f aca="false">MIN(CA10,CA65)</f>
        <v>26519.953545799</v>
      </c>
      <c r="CB125" s="10" t="n">
        <f aca="false">MIN(CB10,CB65)</f>
        <v>360.870784815623</v>
      </c>
      <c r="CC125" s="10" t="n">
        <f aca="false">MIN(CC10,CC65)</f>
        <v>16.8569158825301</v>
      </c>
      <c r="CD125" s="10" t="n">
        <f aca="false">MIN(CD10,CD65)</f>
        <v>239.636240122352</v>
      </c>
      <c r="CE125" s="10" t="n">
        <f aca="false">MIN(CE10,CE65)</f>
        <v>695.841405043711</v>
      </c>
      <c r="CF125" s="10" t="n">
        <f aca="false">MIN(CF10,CF65)</f>
        <v>1</v>
      </c>
      <c r="CG125" s="10" t="n">
        <f aca="false">MIN(CG10,CG65)</f>
        <v>42.37305278617</v>
      </c>
      <c r="CH125" s="10" t="n">
        <f aca="false">MIN(CH10,CH65)</f>
        <v>25.7359093950257</v>
      </c>
      <c r="CI125" s="10" t="n">
        <f aca="false">MIN(CI10,CI65)</f>
        <v>644.902289893828</v>
      </c>
      <c r="CJ125" s="10" t="n">
        <f aca="false">MIN(CJ10,CJ65)</f>
        <v>31595.3908178851</v>
      </c>
      <c r="CK125" s="10" t="n">
        <f aca="false">MIN(CK10,CK65)</f>
        <v>5705.36011967056</v>
      </c>
      <c r="CL125" s="7" t="s">
        <v>322</v>
      </c>
    </row>
    <row r="126" customFormat="false" ht="12.8" hidden="false" customHeight="false" outlineLevel="0" collapsed="false">
      <c r="A126" s="7" t="s">
        <v>140</v>
      </c>
      <c r="B126" s="7" t="s">
        <v>39</v>
      </c>
      <c r="C126" s="10" t="n">
        <f aca="false">MIN(C11,C66)</f>
        <v>12198.1260454927</v>
      </c>
      <c r="D126" s="10" t="n">
        <f aca="false">MIN(D11,D66)</f>
        <v>1.92823879767757</v>
      </c>
      <c r="E126" s="10" t="n">
        <f aca="false">MIN(E11,E66)</f>
        <v>15.0605783968007</v>
      </c>
      <c r="F126" s="10" t="n">
        <f aca="false">MIN(F11,F66)</f>
        <v>44.4000987262241</v>
      </c>
      <c r="G126" s="10" t="n">
        <f aca="false">MIN(G11,G66)</f>
        <v>13.9154597154763</v>
      </c>
      <c r="H126" s="10" t="n">
        <f aca="false">MIN(H11,H66)</f>
        <v>100</v>
      </c>
      <c r="I126" s="10" t="n">
        <f aca="false">MIN(I11,I66)</f>
        <v>2136.97553266699</v>
      </c>
      <c r="J126" s="10" t="n">
        <f aca="false">MIN(J11,J66)</f>
        <v>2316.95428775247</v>
      </c>
      <c r="K126" s="10" t="n">
        <f aca="false">MIN(K11,K66)</f>
        <v>11493.4594714975</v>
      </c>
      <c r="L126" s="10" t="n">
        <f aca="false">MIN(L11,L66)</f>
        <v>36404.0801649862</v>
      </c>
      <c r="M126" s="10" t="n">
        <f aca="false">MIN(M11,M66)</f>
        <v>24506.8262905347</v>
      </c>
      <c r="N126" s="10" t="n">
        <f aca="false">MIN(N11,N66)</f>
        <v>9.39152092154118</v>
      </c>
      <c r="O126" s="10" t="n">
        <f aca="false">MIN(O11,O66)</f>
        <v>3.66563651253199</v>
      </c>
      <c r="P126" s="10" t="n">
        <f aca="false">MIN(P11,P66)</f>
        <v>6.87306846099747</v>
      </c>
      <c r="Q126" s="10" t="n">
        <f aca="false">MIN(Q11,Q66)</f>
        <v>658.643203153754</v>
      </c>
      <c r="R126" s="10" t="n">
        <f aca="false">MIN(R11,R66)</f>
        <v>31.4889300588973</v>
      </c>
      <c r="S126" s="10" t="n">
        <f aca="false">MIN(S11,S66)</f>
        <v>312.034972842738</v>
      </c>
      <c r="T126" s="10" t="n">
        <f aca="false">MIN(T11,T66)</f>
        <v>558.297868076468</v>
      </c>
      <c r="U126" s="10" t="n">
        <f aca="false">MIN(U11,U66)</f>
        <v>102.111776210561</v>
      </c>
      <c r="V126" s="10" t="n">
        <f aca="false">MIN(V11,V66)</f>
        <v>495.526335454072</v>
      </c>
      <c r="W126" s="10" t="n">
        <f aca="false">MIN(W11,W66)</f>
        <v>14.9682107284088</v>
      </c>
      <c r="X126" s="10" t="n">
        <f aca="false">MIN(X11,X66)</f>
        <v>2.72840236654045</v>
      </c>
      <c r="Y126" s="10" t="n">
        <f aca="false">MIN(Y11,Y66)</f>
        <v>182.020400824931</v>
      </c>
      <c r="Z126" s="10" t="n">
        <f aca="false">MIN(Z11,Z66)</f>
        <v>12369.4535864116</v>
      </c>
      <c r="AA126" s="10" t="n">
        <f aca="false">MIN(AA11,AA66)</f>
        <v>20592.3295414846</v>
      </c>
      <c r="AB126" s="10" t="n">
        <f aca="false">MIN(AB11,AB66)</f>
        <v>16139.9377105114</v>
      </c>
      <c r="AC126" s="10" t="n">
        <f aca="false">MIN(AC11,AC66)</f>
        <v>95930.479277043</v>
      </c>
      <c r="AD126" s="10" t="n">
        <f aca="false">MIN(AD11,AD66)</f>
        <v>101669.070068823</v>
      </c>
      <c r="AE126" s="10" t="n">
        <f aca="false">MIN(AE11,AE66)</f>
        <v>444605.947965908</v>
      </c>
      <c r="AF126" s="10" t="n">
        <f aca="false">MIN(AF11,AF66)</f>
        <v>788.318393071036</v>
      </c>
      <c r="AG126" s="10" t="n">
        <f aca="false">MIN(AG11,AG66)</f>
        <v>1637.69180172396</v>
      </c>
      <c r="AH126" s="10" t="n">
        <f aca="false">MIN(AH11,AH66)</f>
        <v>642.060716550731</v>
      </c>
      <c r="AI126" s="10" t="n">
        <f aca="false">MIN(AI11,AI66)</f>
        <v>3774.68457092469</v>
      </c>
      <c r="AJ126" s="10" t="n">
        <f aca="false">MIN(AJ11,AJ66)</f>
        <v>1559.57439252124</v>
      </c>
      <c r="AK126" s="10" t="n">
        <f aca="false">MIN(AK11,AK66)</f>
        <v>1038.40011700773</v>
      </c>
      <c r="AL126" s="10" t="n">
        <f aca="false">MIN(AL11,AL66)</f>
        <v>699.099455458799</v>
      </c>
      <c r="AM126" s="10" t="n">
        <f aca="false">MIN(AM11,AM66)</f>
        <v>2624.17543809265</v>
      </c>
      <c r="AN126" s="10" t="n">
        <f aca="false">MIN(AN11,AN66)</f>
        <v>3943.46260223251</v>
      </c>
      <c r="AO126" s="10" t="n">
        <f aca="false">MIN(AO11,AO66)</f>
        <v>19584.2830385537</v>
      </c>
      <c r="AP126" s="10" t="n">
        <f aca="false">MIN(AP11,AP66)</f>
        <v>73639.9545036236</v>
      </c>
      <c r="AQ126" s="10" t="n">
        <f aca="false">MIN(AQ11,AQ66)</f>
        <v>32919.4222039756</v>
      </c>
      <c r="AR126" s="10" t="n">
        <f aca="false">MIN(AR11,AR66)</f>
        <v>14606.6619955834</v>
      </c>
      <c r="AS126" s="10" t="n">
        <f aca="false">MIN(AS11,AS66)</f>
        <v>3511.45511387426</v>
      </c>
      <c r="AT126" s="10" t="n">
        <f aca="false">MIN(AT11,AT66)</f>
        <v>832.340160784777</v>
      </c>
      <c r="AU126" s="10" t="n">
        <f aca="false">MIN(AU11,AU66)</f>
        <v>2327.05201493398</v>
      </c>
      <c r="AV126" s="10" t="n">
        <f aca="false">MIN(AV11,AV66)</f>
        <v>17529.0193449321</v>
      </c>
      <c r="AW126" s="10" t="n">
        <f aca="false">MIN(AW11,AW66)</f>
        <v>29.7036607283582</v>
      </c>
      <c r="AX126" s="10" t="n">
        <f aca="false">MIN(AX11,AX66)</f>
        <v>4001.3626382249</v>
      </c>
      <c r="AY126" s="10" t="n">
        <f aca="false">MIN(AY11,AY66)</f>
        <v>863.414039438287</v>
      </c>
      <c r="AZ126" s="10" t="n">
        <f aca="false">MIN(AZ11,AZ66)</f>
        <v>204.820542328995</v>
      </c>
      <c r="BA126" s="10" t="n">
        <f aca="false">MIN(BA11,BA66)</f>
        <v>1856.6080884143</v>
      </c>
      <c r="BB126" s="10" t="n">
        <f aca="false">MIN(BB11,BB66)</f>
        <v>7521.8597963128</v>
      </c>
      <c r="BC126" s="10" t="n">
        <f aca="false">MIN(BC11,BC66)</f>
        <v>3025.96174478806</v>
      </c>
      <c r="BD126" s="10" t="n">
        <f aca="false">MIN(BD11,BD66)</f>
        <v>7312.02999916568</v>
      </c>
      <c r="BE126" s="10" t="n">
        <f aca="false">MIN(BE11,BE66)</f>
        <v>29912.0876567179</v>
      </c>
      <c r="BF126" s="10" t="n">
        <f aca="false">MIN(BF11,BF66)</f>
        <v>540.169916402467</v>
      </c>
      <c r="BG126" s="10" t="n">
        <f aca="false">MIN(BG11,BG66)</f>
        <v>288.861893650638</v>
      </c>
      <c r="BH126" s="10" t="n">
        <f aca="false">MIN(BH11,BH66)</f>
        <v>144.430946825319</v>
      </c>
      <c r="BI126" s="10" t="n">
        <f aca="false">MIN(BI11,BI66)</f>
        <v>108.323210118989</v>
      </c>
      <c r="BJ126" s="10" t="n">
        <f aca="false">MIN(BJ11,BJ66)</f>
        <v>9.03408602746005</v>
      </c>
      <c r="BK126" s="10" t="n">
        <f aca="false">MIN(BK11,BK66)</f>
        <v>216.646420237979</v>
      </c>
      <c r="BL126" s="10" t="n">
        <f aca="false">MIN(BL11,BL66)</f>
        <v>206.336320923788</v>
      </c>
      <c r="BM126" s="10" t="n">
        <f aca="false">MIN(BM11,BM66)</f>
        <v>133.921780661968</v>
      </c>
      <c r="BN126" s="10" t="n">
        <f aca="false">MIN(BN11,BN66)</f>
        <v>469386.117970097</v>
      </c>
      <c r="BO126" s="10" t="n">
        <f aca="false">MIN(BO11,BO66)</f>
        <v>23.4362647490566</v>
      </c>
      <c r="BP126" s="10" t="n">
        <f aca="false">MIN(BP11,BP66)</f>
        <v>77.9608209872296</v>
      </c>
      <c r="BQ126" s="10" t="n">
        <f aca="false">MIN(BQ11,BQ66)</f>
        <v>100</v>
      </c>
      <c r="BR126" s="10" t="n">
        <f aca="false">MIN(BR11,BR66)</f>
        <v>703.087668933626</v>
      </c>
      <c r="BS126" s="10" t="n">
        <f aca="false">MIN(BS11,BS66)</f>
        <v>7030.87668933626</v>
      </c>
      <c r="BT126" s="10" t="n">
        <f aca="false">MIN(BT11,BT66)</f>
        <v>3.80281619573118</v>
      </c>
      <c r="BU126" s="10" t="n">
        <f aca="false">MIN(BU11,BU66)</f>
        <v>38.0281619573118</v>
      </c>
      <c r="BV126" s="10" t="n">
        <f aca="false">MIN(BV11,BV66)</f>
        <v>380.281619573118</v>
      </c>
      <c r="BW126" s="10" t="n">
        <f aca="false">MIN(BW11,BW66)</f>
        <v>29.0151455675865</v>
      </c>
      <c r="BX126" s="10" t="n">
        <f aca="false">MIN(BX11,BX66)</f>
        <v>20.928100036785</v>
      </c>
      <c r="BY126" s="10" t="n">
        <f aca="false">MIN(BY11,BY66)</f>
        <v>47.750655976926</v>
      </c>
      <c r="BZ126" s="10" t="n">
        <f aca="false">MIN(BZ11,BZ66)</f>
        <v>47088.3107699657</v>
      </c>
      <c r="CA126" s="10" t="n">
        <f aca="false">MIN(CA11,CA66)</f>
        <v>153060.993929344</v>
      </c>
      <c r="CB126" s="10" t="n">
        <f aca="false">MIN(CB11,CB66)</f>
        <v>97.8469911718512</v>
      </c>
      <c r="CC126" s="10" t="n">
        <f aca="false">MIN(CC11,CC66)</f>
        <v>47.7190462804872</v>
      </c>
      <c r="CD126" s="10" t="n">
        <f aca="false">MIN(CD11,CD66)</f>
        <v>81.2124548337986</v>
      </c>
      <c r="CE126" s="10" t="n">
        <f aca="false">MIN(CE11,CE66)</f>
        <v>14.5890622805781</v>
      </c>
      <c r="CF126" s="10" t="n">
        <f aca="false">MIN(CF11,CF66)</f>
        <v>1</v>
      </c>
      <c r="CG126" s="10" t="n">
        <f aca="false">MIN(CG11,CG66)</f>
        <v>67.6608649708958</v>
      </c>
      <c r="CH126" s="10" t="n">
        <f aca="false">MIN(CH11,CH66)</f>
        <v>874.949483843602</v>
      </c>
      <c r="CI126" s="10" t="n">
        <f aca="false">MIN(CI11,CI66)</f>
        <v>246.981806007446</v>
      </c>
      <c r="CJ126" s="10" t="n">
        <f aca="false">MIN(CJ11,CJ66)</f>
        <v>11243.4309646392</v>
      </c>
      <c r="CK126" s="10" t="n">
        <f aca="false">MIN(CK11,CK66)</f>
        <v>883.365207256868</v>
      </c>
      <c r="CL126" s="7" t="s">
        <v>322</v>
      </c>
    </row>
    <row r="127" customFormat="false" ht="12.8" hidden="false" customHeight="false" outlineLevel="0" collapsed="false">
      <c r="A127" s="7" t="s">
        <v>141</v>
      </c>
      <c r="B127" s="7" t="s">
        <v>39</v>
      </c>
      <c r="C127" s="10" t="n">
        <f aca="false">MIN(C12,C67)</f>
        <v>9807.26339670212</v>
      </c>
      <c r="D127" s="10" t="n">
        <f aca="false">MIN(D12,D67)</f>
        <v>2.04401726784377</v>
      </c>
      <c r="E127" s="10" t="n">
        <f aca="false">MIN(E12,E67)</f>
        <v>12.6245699626398</v>
      </c>
      <c r="F127" s="10" t="n">
        <f aca="false">MIN(F12,F67)</f>
        <v>43.1200929645503</v>
      </c>
      <c r="G127" s="10" t="n">
        <f aca="false">MIN(G12,G67)</f>
        <v>26.0191939398998</v>
      </c>
      <c r="H127" s="10" t="n">
        <f aca="false">MIN(H12,H67)</f>
        <v>100</v>
      </c>
      <c r="I127" s="10" t="n">
        <f aca="false">MIN(I12,I67)</f>
        <v>1549.24857972125</v>
      </c>
      <c r="J127" s="10" t="n">
        <f aca="false">MIN(J12,J67)</f>
        <v>2262.21780910012</v>
      </c>
      <c r="K127" s="10" t="n">
        <f aca="false">MIN(K12,K67)</f>
        <v>9805.65151248811</v>
      </c>
      <c r="L127" s="10" t="n">
        <f aca="false">MIN(L12,L67)</f>
        <v>30704.3915917471</v>
      </c>
      <c r="M127" s="10" t="n">
        <f aca="false">MIN(M12,M67)</f>
        <v>20644.7881887555</v>
      </c>
      <c r="N127" s="10" t="n">
        <f aca="false">MIN(N12,N67)</f>
        <v>9.10611236479425</v>
      </c>
      <c r="O127" s="10" t="n">
        <f aca="false">MIN(O12,O67)</f>
        <v>3.06602590176566</v>
      </c>
      <c r="P127" s="10" t="n">
        <f aca="false">MIN(P12,P67)</f>
        <v>5.7487985658106</v>
      </c>
      <c r="Q127" s="10" t="n">
        <f aca="false">MIN(Q12,Q67)</f>
        <v>777.41719649021</v>
      </c>
      <c r="R127" s="10" t="n">
        <f aca="false">MIN(R12,R67)</f>
        <v>23.7231775977961</v>
      </c>
      <c r="S127" s="10" t="n">
        <f aca="false">MIN(S12,S67)</f>
        <v>263.180499357832</v>
      </c>
      <c r="T127" s="10" t="n">
        <f aca="false">MIN(T12,T67)</f>
        <v>470.886677772591</v>
      </c>
      <c r="U127" s="10" t="n">
        <f aca="false">MIN(U12,U67)</f>
        <v>86.0199507864813</v>
      </c>
      <c r="V127" s="10" t="n">
        <f aca="false">MIN(V12,V67)</f>
        <v>232.316456887114</v>
      </c>
      <c r="W127" s="10" t="n">
        <f aca="false">MIN(W12,W67)</f>
        <v>5.9761657292702</v>
      </c>
      <c r="X127" s="10" t="n">
        <f aca="false">MIN(X12,X67)</f>
        <v>3.11135820666873</v>
      </c>
      <c r="Y127" s="10" t="n">
        <f aca="false">MIN(Y12,Y67)</f>
        <v>153.521957958736</v>
      </c>
      <c r="Z127" s="10" t="n">
        <f aca="false">MIN(Z12,Z67)</f>
        <v>8137.08912367411</v>
      </c>
      <c r="AA127" s="10" t="n">
        <f aca="false">MIN(AA12,AA67)</f>
        <v>16367.0083255887</v>
      </c>
      <c r="AB127" s="10" t="n">
        <f aca="false">MIN(AB12,AB67)</f>
        <v>13529.345782781</v>
      </c>
      <c r="AC127" s="10" t="n">
        <f aca="false">MIN(AC12,AC67)</f>
        <v>81929.1972026593</v>
      </c>
      <c r="AD127" s="10" t="n">
        <f aca="false">MIN(AD12,AD67)</f>
        <v>85224.3688325433</v>
      </c>
      <c r="AE127" s="10" t="n">
        <f aca="false">MIN(AE12,AE67)</f>
        <v>196821.337899416</v>
      </c>
      <c r="AF127" s="10" t="n">
        <f aca="false">MIN(AF12,AF67)</f>
        <v>1496.8454593803</v>
      </c>
      <c r="AG127" s="10" t="n">
        <f aca="false">MIN(AG12,AG67)</f>
        <v>876.259101648793</v>
      </c>
      <c r="AH127" s="10" t="n">
        <f aca="false">MIN(AH12,AH67)</f>
        <v>354.815537776628</v>
      </c>
      <c r="AI127" s="10" t="n">
        <f aca="false">MIN(AI12,AI67)</f>
        <v>4788.27006150518</v>
      </c>
      <c r="AJ127" s="10" t="n">
        <f aca="false">MIN(AJ12,AJ67)</f>
        <v>1992.54222319524</v>
      </c>
      <c r="AK127" s="10" t="n">
        <f aca="false">MIN(AK12,AK67)</f>
        <v>786.709262949252</v>
      </c>
      <c r="AL127" s="10" t="n">
        <f aca="false">MIN(AL12,AL67)</f>
        <v>1692.35662849397</v>
      </c>
      <c r="AM127" s="10" t="n">
        <f aca="false">MIN(AM12,AM67)</f>
        <v>964.95323453437</v>
      </c>
      <c r="AN127" s="10" t="n">
        <f aca="false">MIN(AN12,AN67)</f>
        <v>2993.128783849</v>
      </c>
      <c r="AO127" s="10" t="n">
        <f aca="false">MIN(AO12,AO67)</f>
        <v>44001.3348501886</v>
      </c>
      <c r="AP127" s="10" t="n">
        <f aca="false">MIN(AP12,AP67)</f>
        <v>32815.4158633553</v>
      </c>
      <c r="AQ127" s="10" t="n">
        <f aca="false">MIN(AQ12,AQ67)</f>
        <v>13530.4393555747</v>
      </c>
      <c r="AR127" s="10" t="n">
        <f aca="false">MIN(AR12,AR67)</f>
        <v>21194.7380572423</v>
      </c>
      <c r="AS127" s="10" t="n">
        <f aca="false">MIN(AS12,AS67)</f>
        <v>3224.73270572045</v>
      </c>
      <c r="AT127" s="10" t="n">
        <f aca="false">MIN(AT12,AT67)</f>
        <v>1395.06461506517</v>
      </c>
      <c r="AU127" s="10" t="n">
        <f aca="false">MIN(AU12,AU67)</f>
        <v>822.417005304157</v>
      </c>
      <c r="AV127" s="10" t="n">
        <f aca="false">MIN(AV12,AV67)</f>
        <v>11725.8167292558</v>
      </c>
      <c r="AW127" s="10" t="n">
        <f aca="false">MIN(AW12,AW67)</f>
        <v>25.5169585553202</v>
      </c>
      <c r="AX127" s="10" t="n">
        <f aca="false">MIN(AX12,AX67)</f>
        <v>1726.21954421811</v>
      </c>
      <c r="AY127" s="10" t="n">
        <f aca="false">MIN(AY12,AY67)</f>
        <v>922.242225538249</v>
      </c>
      <c r="AZ127" s="10" t="n">
        <f aca="false">MIN(AZ12,AZ67)</f>
        <v>211.926151366484</v>
      </c>
      <c r="BA127" s="10" t="n">
        <f aca="false">MIN(BA12,BA67)</f>
        <v>1565.9239711791</v>
      </c>
      <c r="BB127" s="10" t="n">
        <f aca="false">MIN(BB12,BB67)</f>
        <v>5296.4772172398</v>
      </c>
      <c r="BC127" s="10" t="n">
        <f aca="false">MIN(BC12,BC67)</f>
        <v>3104.94871525208</v>
      </c>
      <c r="BD127" s="10" t="n">
        <f aca="false">MIN(BD12,BD67)</f>
        <v>10924.9767311834</v>
      </c>
      <c r="BE127" s="10" t="n">
        <f aca="false">MIN(BE12,BE67)</f>
        <v>25371.4575053216</v>
      </c>
      <c r="BF127" s="10" t="n">
        <f aca="false">MIN(BF12,BF67)</f>
        <v>724.065554506142</v>
      </c>
      <c r="BG127" s="10" t="n">
        <f aca="false">MIN(BG12,BG67)</f>
        <v>223.896713195884</v>
      </c>
      <c r="BH127" s="10" t="n">
        <f aca="false">MIN(BH12,BH67)</f>
        <v>113.098639125373</v>
      </c>
      <c r="BI127" s="10" t="n">
        <f aca="false">MIN(BI12,BI67)</f>
        <v>90.8022194562869</v>
      </c>
      <c r="BJ127" s="10" t="n">
        <f aca="false">MIN(BJ12,BJ67)</f>
        <v>3.9953603060976</v>
      </c>
      <c r="BK127" s="10" t="n">
        <f aca="false">MIN(BK12,BK67)</f>
        <v>181.604438912574</v>
      </c>
      <c r="BL127" s="10" t="n">
        <f aca="false">MIN(BL12,BL67)</f>
        <v>171.333753308957</v>
      </c>
      <c r="BM127" s="10" t="n">
        <f aca="false">MIN(BM12,BM67)</f>
        <v>172.601338617489</v>
      </c>
      <c r="BN127" s="10" t="n">
        <f aca="false">MIN(BN12,BN67)</f>
        <v>218712.974952739</v>
      </c>
      <c r="BO127" s="10" t="n">
        <f aca="false">MIN(BO12,BO67)</f>
        <v>29.4556957152375</v>
      </c>
      <c r="BP127" s="10" t="n">
        <f aca="false">MIN(BP12,BP67)</f>
        <v>85.7692748727365</v>
      </c>
      <c r="BQ127" s="10" t="n">
        <f aca="false">MIN(BQ12,BQ67)</f>
        <v>100</v>
      </c>
      <c r="BR127" s="10" t="n">
        <f aca="false">MIN(BR12,BR67)</f>
        <v>883.66961688057</v>
      </c>
      <c r="BS127" s="10" t="n">
        <f aca="false">MIN(BS12,BS67)</f>
        <v>8836.6961688057</v>
      </c>
      <c r="BT127" s="10" t="n">
        <f aca="false">MIN(BT12,BT67)</f>
        <v>3.84810383615247</v>
      </c>
      <c r="BU127" s="10" t="n">
        <f aca="false">MIN(BU12,BU67)</f>
        <v>38.4810383615247</v>
      </c>
      <c r="BV127" s="10" t="n">
        <f aca="false">MIN(BV12,BV67)</f>
        <v>384.810383615247</v>
      </c>
      <c r="BW127" s="10" t="n">
        <f aca="false">MIN(BW12,BW67)</f>
        <v>24.3220230686483</v>
      </c>
      <c r="BX127" s="10" t="n">
        <f aca="false">MIN(BX12,BX67)</f>
        <v>14.2539701898708</v>
      </c>
      <c r="BY127" s="10" t="n">
        <f aca="false">MIN(BY12,BY67)</f>
        <v>31.1291455304619</v>
      </c>
      <c r="BZ127" s="10" t="n">
        <f aca="false">MIN(BZ12,BZ67)</f>
        <v>26132.131768315</v>
      </c>
      <c r="CA127" s="10" t="n">
        <f aca="false">MIN(CA12,CA67)</f>
        <v>43109.5419397207</v>
      </c>
      <c r="CB127" s="10" t="n">
        <f aca="false">MIN(CB12,CB67)</f>
        <v>129.842661746841</v>
      </c>
      <c r="CC127" s="10" t="n">
        <f aca="false">MIN(CC12,CC67)</f>
        <v>7.50779997364259</v>
      </c>
      <c r="CD127" s="10" t="n">
        <f aca="false">MIN(CD12,CD67)</f>
        <v>67.9073420402617</v>
      </c>
      <c r="CE127" s="10" t="n">
        <f aca="false">MIN(CE12,CE67)</f>
        <v>13.1736868123681</v>
      </c>
      <c r="CF127" s="10" t="n">
        <f aca="false">MIN(CF12,CF67)</f>
        <v>1</v>
      </c>
      <c r="CG127" s="10" t="n">
        <f aca="false">MIN(CG12,CG67)</f>
        <v>8157.96866316185</v>
      </c>
      <c r="CH127" s="10" t="n">
        <f aca="false">MIN(CH12,CH67)</f>
        <v>164.639772018489</v>
      </c>
      <c r="CI127" s="10" t="n">
        <f aca="false">MIN(CI12,CI67)</f>
        <v>1026.71267998479</v>
      </c>
      <c r="CJ127" s="10" t="n">
        <f aca="false">MIN(CJ12,CJ67)</f>
        <v>11650.2576367792</v>
      </c>
      <c r="CK127" s="10" t="n">
        <f aca="false">MIN(CK12,CK67)</f>
        <v>531.264700123648</v>
      </c>
      <c r="CL127" s="7" t="s">
        <v>322</v>
      </c>
    </row>
    <row r="128" customFormat="false" ht="12.8" hidden="false" customHeight="false" outlineLevel="0" collapsed="false">
      <c r="A128" s="7" t="s">
        <v>142</v>
      </c>
      <c r="B128" s="7" t="s">
        <v>39</v>
      </c>
      <c r="C128" s="10" t="n">
        <f aca="false">MIN(C13,C68)</f>
        <v>14346.3069361478</v>
      </c>
      <c r="D128" s="10" t="n">
        <f aca="false">MIN(D13,D68)</f>
        <v>3.79329814284536</v>
      </c>
      <c r="E128" s="10" t="n">
        <f aca="false">MIN(E13,E68)</f>
        <v>35.3461036328021</v>
      </c>
      <c r="F128" s="10" t="n">
        <f aca="false">MIN(F13,F68)</f>
        <v>98.1601766953004</v>
      </c>
      <c r="G128" s="10" t="n">
        <f aca="false">MIN(G13,G68)</f>
        <v>984.34194645867</v>
      </c>
      <c r="H128" s="10" t="n">
        <f aca="false">MIN(H13,H68)</f>
        <v>100</v>
      </c>
      <c r="I128" s="10" t="n">
        <f aca="false">MIN(I13,I68)</f>
        <v>671.031261798088</v>
      </c>
      <c r="J128" s="10" t="n">
        <f aca="false">MIN(J13,J68)</f>
        <v>1318.45746011744</v>
      </c>
      <c r="K128" s="10" t="n">
        <f aca="false">MIN(K13,K68)</f>
        <v>12343.6530702335</v>
      </c>
      <c r="L128" s="10" t="n">
        <f aca="false">MIN(L13,L68)</f>
        <v>41723.6772677688</v>
      </c>
      <c r="M128" s="10" t="n">
        <f aca="false">MIN(M13,M68)</f>
        <v>28290.5571839351</v>
      </c>
      <c r="N128" s="10" t="n">
        <f aca="false">MIN(N13,N68)</f>
        <v>25.5876210278182</v>
      </c>
      <c r="O128" s="10" t="n">
        <f aca="false">MIN(O13,O68)</f>
        <v>5.68994721426803</v>
      </c>
      <c r="P128" s="10" t="n">
        <f aca="false">MIN(P13,P68)</f>
        <v>10.6686510267526</v>
      </c>
      <c r="Q128" s="10" t="n">
        <f aca="false">MIN(Q13,Q68)</f>
        <v>13066.6451339751</v>
      </c>
      <c r="R128" s="10" t="n">
        <f aca="false">MIN(R13,R68)</f>
        <v>18.7183089175777</v>
      </c>
      <c r="S128" s="10" t="n">
        <f aca="false">MIN(S13,S68)</f>
        <v>357.631519438017</v>
      </c>
      <c r="T128" s="10" t="n">
        <f aca="false">MIN(T13,T68)</f>
        <v>639.879924484687</v>
      </c>
      <c r="U128" s="10" t="n">
        <f aca="false">MIN(U13,U68)</f>
        <v>117.877321599729</v>
      </c>
      <c r="V128" s="10" t="n">
        <f aca="false">MIN(V13,V68)</f>
        <v>420.786978136478</v>
      </c>
      <c r="W128" s="10" t="n">
        <f aca="false">MIN(W13,W68)</f>
        <v>4.70646307770833</v>
      </c>
      <c r="X128" s="10" t="n">
        <f aca="false">MIN(X13,X68)</f>
        <v>3.68376446300799</v>
      </c>
      <c r="Y128" s="10" t="n">
        <f aca="false">MIN(Y13,Y68)</f>
        <v>208.618386338844</v>
      </c>
      <c r="Z128" s="10" t="n">
        <f aca="false">MIN(Z13,Z68)</f>
        <v>78689.0688783933</v>
      </c>
      <c r="AA128" s="10" t="n">
        <f aca="false">MIN(AA13,AA68)</f>
        <v>50210.4013399725</v>
      </c>
      <c r="AB128" s="10" t="n">
        <f aca="false">MIN(AB13,AB68)</f>
        <v>37879.2829805189</v>
      </c>
      <c r="AC128" s="10" t="n">
        <f aca="false">MIN(AC13,AC68)</f>
        <v>191200.807993446</v>
      </c>
      <c r="AD128" s="10" t="n">
        <f aca="false">MIN(AD13,AD68)</f>
        <v>238610.058141366</v>
      </c>
      <c r="AE128" s="10" t="n">
        <f aca="false">MIN(AE13,AE68)</f>
        <v>742667.220720492</v>
      </c>
      <c r="AF128" s="10" t="n">
        <f aca="false">MIN(AF13,AF68)</f>
        <v>1100.72562553339</v>
      </c>
      <c r="AG128" s="10" t="n">
        <f aca="false">MIN(AG13,AG68)</f>
        <v>3369.67789851247</v>
      </c>
      <c r="AH128" s="10" t="n">
        <f aca="false">MIN(AH13,AH68)</f>
        <v>948.962388700162</v>
      </c>
      <c r="AI128" s="10" t="n">
        <f aca="false">MIN(AI13,AI68)</f>
        <v>12343.0073688211</v>
      </c>
      <c r="AJ128" s="10" t="n">
        <f aca="false">MIN(AJ13,AJ68)</f>
        <v>1256.96691381289</v>
      </c>
      <c r="AK128" s="10" t="n">
        <f aca="false">MIN(AK13,AK68)</f>
        <v>524.952379704854</v>
      </c>
      <c r="AL128" s="10" t="n">
        <f aca="false">MIN(AL13,AL68)</f>
        <v>1194.24903751573</v>
      </c>
      <c r="AM128" s="10" t="n">
        <f aca="false">MIN(AM13,AM68)</f>
        <v>4546.66635807397</v>
      </c>
      <c r="AN128" s="10" t="n">
        <f aca="false">MIN(AN13,AN68)</f>
        <v>7690.0468821553</v>
      </c>
      <c r="AO128" s="10" t="n">
        <f aca="false">MIN(AO13,AO68)</f>
        <v>27358.6565755436</v>
      </c>
      <c r="AP128" s="10" t="n">
        <f aca="false">MIN(AP13,AP68)</f>
        <v>47939.9813896824</v>
      </c>
      <c r="AQ128" s="10" t="n">
        <f aca="false">MIN(AQ13,AQ68)</f>
        <v>10605.4607532276</v>
      </c>
      <c r="AR128" s="10" t="n">
        <f aca="false">MIN(AR13,AR68)</f>
        <v>20552.4192451784</v>
      </c>
      <c r="AS128" s="10" t="n">
        <f aca="false">MIN(AS13,AS68)</f>
        <v>7186.32105625226</v>
      </c>
      <c r="AT128" s="10" t="n">
        <f aca="false">MIN(AT13,AT68)</f>
        <v>1697.66842940709</v>
      </c>
      <c r="AU128" s="10" t="n">
        <f aca="false">MIN(AU13,AU68)</f>
        <v>1187.83703459322</v>
      </c>
      <c r="AV128" s="10" t="n">
        <f aca="false">MIN(AV13,AV68)</f>
        <v>6136.05264174818</v>
      </c>
      <c r="AW128" s="10" t="n">
        <f aca="false">MIN(AW13,AW68)</f>
        <v>60.915642419104</v>
      </c>
      <c r="AX128" s="10" t="n">
        <f aca="false">MIN(AX13,AX68)</f>
        <v>6181.14328689232</v>
      </c>
      <c r="AY128" s="10" t="n">
        <f aca="false">MIN(AY13,AY68)</f>
        <v>2689.70532498811</v>
      </c>
      <c r="AZ128" s="10" t="n">
        <f aca="false">MIN(AZ13,AZ68)</f>
        <v>771.331390693445</v>
      </c>
      <c r="BA128" s="10" t="n">
        <f aca="false">MIN(BA13,BA68)</f>
        <v>2127.90754065621</v>
      </c>
      <c r="BB128" s="10" t="n">
        <f aca="false">MIN(BB13,BB68)</f>
        <v>3211.21436111152</v>
      </c>
      <c r="BC128" s="10" t="n">
        <f aca="false">MIN(BC13,BC68)</f>
        <v>3078.74634319397</v>
      </c>
      <c r="BD128" s="10" t="n">
        <f aca="false">MIN(BD13,BD68)</f>
        <v>25602.4060859581</v>
      </c>
      <c r="BE128" s="10" t="n">
        <f aca="false">MIN(BE13,BE68)</f>
        <v>13573.2828672569</v>
      </c>
      <c r="BF128" s="10" t="n">
        <f aca="false">MIN(BF13,BF68)</f>
        <v>915.980219790427</v>
      </c>
      <c r="BG128" s="10" t="n">
        <f aca="false">MIN(BG13,BG68)</f>
        <v>484.32213184342</v>
      </c>
      <c r="BH128" s="10" t="n">
        <f aca="false">MIN(BH13,BH68)</f>
        <v>582593.198439841</v>
      </c>
      <c r="BI128" s="10" t="n">
        <f aca="false">MIN(BI13,BI68)</f>
        <v>181.620799441283</v>
      </c>
      <c r="BJ128" s="10" t="n">
        <f aca="false">MIN(BJ13,BJ68)</f>
        <v>4.49592969247229</v>
      </c>
      <c r="BK128" s="10" t="n">
        <f aca="false">MIN(BK13,BK68)</f>
        <v>363.241598882565</v>
      </c>
      <c r="BL128" s="10" t="n">
        <f aca="false">MIN(BL13,BL68)</f>
        <v>181.758882750591</v>
      </c>
      <c r="BM128" s="10" t="n">
        <f aca="false">MIN(BM13,BM68)</f>
        <v>55.7425933544818</v>
      </c>
      <c r="BN128" s="10" t="n">
        <f aca="false">MIN(BN13,BN68)</f>
        <v>1</v>
      </c>
      <c r="BO128" s="10" t="n">
        <f aca="false">MIN(BO13,BO68)</f>
        <v>108.352821791252</v>
      </c>
      <c r="BP128" s="10" t="n">
        <f aca="false">MIN(BP13,BP68)</f>
        <v>209.492905276801</v>
      </c>
      <c r="BQ128" s="10" t="n">
        <f aca="false">MIN(BQ13,BQ68)</f>
        <v>100</v>
      </c>
      <c r="BR128" s="10" t="n">
        <f aca="false">MIN(BR13,BR68)</f>
        <v>3250.58465373756</v>
      </c>
      <c r="BS128" s="10" t="n">
        <f aca="false">MIN(BS13,BS68)</f>
        <v>32505.8609375803</v>
      </c>
      <c r="BT128" s="10" t="n">
        <f aca="false">MIN(BT13,BT68)</f>
        <v>16.0739051379857</v>
      </c>
      <c r="BU128" s="10" t="n">
        <f aca="false">MIN(BU13,BU68)</f>
        <v>160.739051379857</v>
      </c>
      <c r="BV128" s="10" t="n">
        <f aca="false">MIN(BV13,BV68)</f>
        <v>1607.39051379857</v>
      </c>
      <c r="BW128" s="10" t="n">
        <f aca="false">MIN(BW13,BW68)</f>
        <v>68.0964777800704</v>
      </c>
      <c r="BX128" s="10" t="n">
        <f aca="false">MIN(BX13,BX68)</f>
        <v>356.229285076223</v>
      </c>
      <c r="BY128" s="10" t="n">
        <f aca="false">MIN(BY13,BY68)</f>
        <v>43.6313181495959</v>
      </c>
      <c r="BZ128" s="10" t="n">
        <f aca="false">MIN(BZ13,BZ68)</f>
        <v>342732.849543423</v>
      </c>
      <c r="CA128" s="10" t="n">
        <f aca="false">MIN(CA13,CA68)</f>
        <v>31040.48661267</v>
      </c>
      <c r="CB128" s="10" t="n">
        <f aca="false">MIN(CB13,CB68)</f>
        <v>103.122195747106</v>
      </c>
      <c r="CC128" s="10" t="n">
        <f aca="false">MIN(CC13,CC68)</f>
        <v>89.3849837341531</v>
      </c>
      <c r="CD128" s="10" t="n">
        <f aca="false">MIN(CD13,CD68)</f>
        <v>167.651897687538</v>
      </c>
      <c r="CE128" s="10" t="n">
        <f aca="false">MIN(CE13,CE68)</f>
        <v>152.778834793236</v>
      </c>
      <c r="CF128" s="10" t="n">
        <f aca="false">MIN(CF13,CF68)</f>
        <v>1</v>
      </c>
      <c r="CG128" s="10" t="n">
        <f aca="false">MIN(CG13,CG68)</f>
        <v>15.2248282568091</v>
      </c>
      <c r="CH128" s="10" t="n">
        <f aca="false">MIN(CH13,CH68)</f>
        <v>12.1495891461112</v>
      </c>
      <c r="CI128" s="10" t="n">
        <f aca="false">MIN(CI13,CI68)</f>
        <v>192.683176566577</v>
      </c>
      <c r="CJ128" s="10" t="n">
        <f aca="false">MIN(CJ13,CJ68)</f>
        <v>2460.19159666504</v>
      </c>
      <c r="CK128" s="10" t="n">
        <f aca="false">MIN(CK13,CK68)</f>
        <v>1596.69433119093</v>
      </c>
      <c r="CL128" s="7" t="s">
        <v>322</v>
      </c>
    </row>
    <row r="129" customFormat="false" ht="12.8" hidden="false" customHeight="false" outlineLevel="0" collapsed="false">
      <c r="A129" s="7" t="s">
        <v>143</v>
      </c>
      <c r="B129" s="7" t="s">
        <v>39</v>
      </c>
      <c r="C129" s="10" t="n">
        <f aca="false">MIN(C14,C69)</f>
        <v>3652.90098284653</v>
      </c>
      <c r="D129" s="10" t="n">
        <f aca="false">MIN(D14,D69)</f>
        <v>1</v>
      </c>
      <c r="E129" s="10" t="n">
        <f aca="false">MIN(E14,E69)</f>
        <v>4.98647751087283</v>
      </c>
      <c r="F129" s="10" t="n">
        <f aca="false">MIN(F14,F69)</f>
        <v>13.904315112756</v>
      </c>
      <c r="G129" s="10" t="n">
        <f aca="false">MIN(G14,G69)</f>
        <v>4.19949072901486</v>
      </c>
      <c r="H129" s="10" t="n">
        <f aca="false">MIN(H14,H69)</f>
        <v>100</v>
      </c>
      <c r="I129" s="10" t="n">
        <f aca="false">MIN(I14,I69)</f>
        <v>902.623189571774</v>
      </c>
      <c r="J129" s="10" t="n">
        <f aca="false">MIN(J14,J69)</f>
        <v>1224.61977667623</v>
      </c>
      <c r="K129" s="10" t="n">
        <f aca="false">MIN(K14,K69)</f>
        <v>5404.20793846093</v>
      </c>
      <c r="L129" s="10" t="n">
        <f aca="false">MIN(L14,L69)</f>
        <v>15775.1002407826</v>
      </c>
      <c r="M129" s="10" t="n">
        <f aca="false">MIN(M14,M69)</f>
        <v>10531.5928252721</v>
      </c>
      <c r="N129" s="10" t="n">
        <f aca="false">MIN(N14,N69)</f>
        <v>2.2716090684249</v>
      </c>
      <c r="O129" s="10" t="n">
        <f aca="false">MIN(O14,O69)</f>
        <v>1.6780301016284</v>
      </c>
      <c r="P129" s="10" t="n">
        <f aca="false">MIN(P14,P69)</f>
        <v>3.14630644055325</v>
      </c>
      <c r="Q129" s="10" t="n">
        <f aca="false">MIN(Q14,Q69)</f>
        <v>266.25379525696</v>
      </c>
      <c r="R129" s="10" t="n">
        <f aca="false">MIN(R14,R69)</f>
        <v>14.8060491464683</v>
      </c>
      <c r="S129" s="10" t="n">
        <f aca="false">MIN(S14,S69)</f>
        <v>135.215144920993</v>
      </c>
      <c r="T129" s="10" t="n">
        <f aca="false">MIN(T14,T69)</f>
        <v>241.929058314522</v>
      </c>
      <c r="U129" s="10" t="n">
        <f aca="false">MIN(U14,U69)</f>
        <v>43.8816367719669</v>
      </c>
      <c r="V129" s="10" t="n">
        <f aca="false">MIN(V14,V69)</f>
        <v>175.74049680428</v>
      </c>
      <c r="W129" s="10" t="n">
        <f aca="false">MIN(W14,W69)</f>
        <v>4.39298995163752</v>
      </c>
      <c r="X129" s="10" t="n">
        <f aca="false">MIN(X14,X69)</f>
        <v>1.49347196184791</v>
      </c>
      <c r="Y129" s="10" t="n">
        <f aca="false">MIN(Y14,Y69)</f>
        <v>78.875501203913</v>
      </c>
      <c r="Z129" s="10" t="n">
        <f aca="false">MIN(Z14,Z69)</f>
        <v>3757.56695259794</v>
      </c>
      <c r="AA129" s="10" t="n">
        <f aca="false">MIN(AA14,AA69)</f>
        <v>6113.55505261226</v>
      </c>
      <c r="AB129" s="10" t="n">
        <f aca="false">MIN(AB14,AB69)</f>
        <v>6216.87055397659</v>
      </c>
      <c r="AC129" s="10" t="n">
        <f aca="false">MIN(AC14,AC69)</f>
        <v>32218.154219273</v>
      </c>
      <c r="AD129" s="10" t="n">
        <f aca="false">MIN(AD14,AD69)</f>
        <v>39161.4552235481</v>
      </c>
      <c r="AE129" s="10" t="n">
        <f aca="false">MIN(AE14,AE69)</f>
        <v>134013.988561689</v>
      </c>
      <c r="AF129" s="10" t="n">
        <f aca="false">MIN(AF14,AF69)</f>
        <v>499.425035530254</v>
      </c>
      <c r="AG129" s="10" t="n">
        <f aca="false">MIN(AG14,AG69)</f>
        <v>528.536386673737</v>
      </c>
      <c r="AH129" s="10" t="n">
        <f aca="false">MIN(AH14,AH69)</f>
        <v>279.73609674385</v>
      </c>
      <c r="AI129" s="10" t="n">
        <f aca="false">MIN(AI14,AI69)</f>
        <v>1591.01584274208</v>
      </c>
      <c r="AJ129" s="10" t="n">
        <f aca="false">MIN(AJ14,AJ69)</f>
        <v>698.163732890947</v>
      </c>
      <c r="AK129" s="10" t="n">
        <f aca="false">MIN(AK14,AK69)</f>
        <v>242.069184849334</v>
      </c>
      <c r="AL129" s="10" t="n">
        <f aca="false">MIN(AL14,AL69)</f>
        <v>507.369154696535</v>
      </c>
      <c r="AM129" s="10" t="n">
        <f aca="false">MIN(AM14,AM69)</f>
        <v>1088.29918295493</v>
      </c>
      <c r="AN129" s="10" t="n">
        <f aca="false">MIN(AN14,AN69)</f>
        <v>898.21667560292</v>
      </c>
      <c r="AO129" s="10" t="n">
        <f aca="false">MIN(AO14,AO69)</f>
        <v>9824.3476447953</v>
      </c>
      <c r="AP129" s="10" t="n">
        <f aca="false">MIN(AP14,AP69)</f>
        <v>28156.0214090928</v>
      </c>
      <c r="AQ129" s="10" t="n">
        <f aca="false">MIN(AQ14,AQ69)</f>
        <v>7722.60592556211</v>
      </c>
      <c r="AR129" s="10" t="n">
        <f aca="false">MIN(AR14,AR69)</f>
        <v>10526.2970544256</v>
      </c>
      <c r="AS129" s="10" t="n">
        <f aca="false">MIN(AS14,AS69)</f>
        <v>1486.85020913072</v>
      </c>
      <c r="AT129" s="10" t="n">
        <f aca="false">MIN(AT14,AT69)</f>
        <v>408.570768859584</v>
      </c>
      <c r="AU129" s="10" t="n">
        <f aca="false">MIN(AU14,AU69)</f>
        <v>806.148972073021</v>
      </c>
      <c r="AV129" s="10" t="n">
        <f aca="false">MIN(AV14,AV69)</f>
        <v>6223.94834842556</v>
      </c>
      <c r="AW129" s="10" t="n">
        <f aca="false">MIN(AW14,AW69)</f>
        <v>10.4057998538029</v>
      </c>
      <c r="AX129" s="10" t="n">
        <f aca="false">MIN(AX14,AX69)</f>
        <v>2843.1552903705</v>
      </c>
      <c r="AY129" s="10" t="n">
        <f aca="false">MIN(AY14,AY69)</f>
        <v>290.477534575205</v>
      </c>
      <c r="AZ129" s="10" t="n">
        <f aca="false">MIN(AZ14,AZ69)</f>
        <v>91.4808790327472</v>
      </c>
      <c r="BA129" s="10" t="n">
        <f aca="false">MIN(BA14,BA69)</f>
        <v>804.530112279912</v>
      </c>
      <c r="BB129" s="10" t="n">
        <f aca="false">MIN(BB14,BB69)</f>
        <v>2240.99190955072</v>
      </c>
      <c r="BC129" s="10" t="n">
        <f aca="false">MIN(BC14,BC69)</f>
        <v>935.526317304506</v>
      </c>
      <c r="BD129" s="10" t="n">
        <f aca="false">MIN(BD14,BD69)</f>
        <v>3567.95803229906</v>
      </c>
      <c r="BE129" s="10" t="n">
        <f aca="false">MIN(BE14,BE69)</f>
        <v>7696.68606741679</v>
      </c>
      <c r="BF129" s="10" t="n">
        <f aca="false">MIN(BF14,BF69)</f>
        <v>482.729077887528</v>
      </c>
      <c r="BG129" s="10" t="n">
        <f aca="false">MIN(BG14,BG69)</f>
        <v>121.580989498419</v>
      </c>
      <c r="BH129" s="10" t="n">
        <f aca="false">MIN(BH14,BH69)</f>
        <v>63.3691922024866</v>
      </c>
      <c r="BI129" s="10" t="n">
        <f aca="false">MIN(BI14,BI69)</f>
        <v>40.5108455260176</v>
      </c>
      <c r="BJ129" s="10" t="n">
        <f aca="false">MIN(BJ14,BJ69)</f>
        <v>55.6026478852672</v>
      </c>
      <c r="BK129" s="10" t="n">
        <f aca="false">MIN(BK14,BK69)</f>
        <v>81.0216910520351</v>
      </c>
      <c r="BL129" s="10" t="n">
        <f aca="false">MIN(BL14,BL69)</f>
        <v>175.810694806551</v>
      </c>
      <c r="BM129" s="10" t="n">
        <f aca="false">MIN(BM14,BM69)</f>
        <v>36.8046434945008</v>
      </c>
      <c r="BN129" s="10" t="n">
        <f aca="false">MIN(BN14,BN69)</f>
        <v>166804.570617838</v>
      </c>
      <c r="BO129" s="10" t="n">
        <f aca="false">MIN(BO14,BO69)</f>
        <v>7.82134790418273</v>
      </c>
      <c r="BP129" s="10" t="n">
        <f aca="false">MIN(BP14,BP69)</f>
        <v>29.371784058393</v>
      </c>
      <c r="BQ129" s="10" t="n">
        <f aca="false">MIN(BQ14,BQ69)</f>
        <v>100</v>
      </c>
      <c r="BR129" s="10" t="n">
        <f aca="false">MIN(BR14,BR69)</f>
        <v>234.640325071283</v>
      </c>
      <c r="BS129" s="10" t="n">
        <f aca="false">MIN(BS14,BS69)</f>
        <v>2346.40325071283</v>
      </c>
      <c r="BT129" s="10" t="n">
        <f aca="false">MIN(BT14,BT69)</f>
        <v>1.1408296727838</v>
      </c>
      <c r="BU129" s="10" t="n">
        <f aca="false">MIN(BU14,BU69)</f>
        <v>11.4082967278381</v>
      </c>
      <c r="BV129" s="10" t="n">
        <f aca="false">MIN(BV14,BV69)</f>
        <v>114.082967278381</v>
      </c>
      <c r="BW129" s="10" t="n">
        <f aca="false">MIN(BW14,BW69)</f>
        <v>12.8983282524171</v>
      </c>
      <c r="BX129" s="10" t="n">
        <f aca="false">MIN(BX14,BX69)</f>
        <v>7.99657287337655</v>
      </c>
      <c r="BY129" s="10" t="n">
        <f aca="false">MIN(BY14,BY69)</f>
        <v>10.2452252904578</v>
      </c>
      <c r="BZ129" s="10" t="n">
        <f aca="false">MIN(BZ14,BZ69)</f>
        <v>85319.9486362593</v>
      </c>
      <c r="CA129" s="10" t="n">
        <f aca="false">MIN(CA14,CA69)</f>
        <v>48269.2560700914</v>
      </c>
      <c r="CB129" s="10" t="n">
        <f aca="false">MIN(CB14,CB69)</f>
        <v>31.345122837754</v>
      </c>
      <c r="CC129" s="10" t="n">
        <f aca="false">MIN(CC14,CC69)</f>
        <v>27.6578988120268</v>
      </c>
      <c r="CD129" s="10" t="n">
        <f aca="false">MIN(CD14,CD69)</f>
        <v>36.484757880953</v>
      </c>
      <c r="CE129" s="10" t="n">
        <f aca="false">MIN(CE14,CE69)</f>
        <v>39.0859715024951</v>
      </c>
      <c r="CF129" s="10" t="n">
        <f aca="false">MIN(CF14,CF69)</f>
        <v>1</v>
      </c>
      <c r="CG129" s="10" t="n">
        <f aca="false">MIN(CG14,CG69)</f>
        <v>40.4616576771857</v>
      </c>
      <c r="CH129" s="10" t="n">
        <f aca="false">MIN(CH14,CH69)</f>
        <v>281.078766070353</v>
      </c>
      <c r="CI129" s="10" t="n">
        <f aca="false">MIN(CI14,CI69)</f>
        <v>247.937305765444</v>
      </c>
      <c r="CJ129" s="10" t="n">
        <f aca="false">MIN(CJ14,CJ69)</f>
        <v>1181.34687850515</v>
      </c>
      <c r="CK129" s="10" t="n">
        <f aca="false">MIN(CK14,CK69)</f>
        <v>2761.79537048649</v>
      </c>
      <c r="CL129" s="7" t="s">
        <v>322</v>
      </c>
    </row>
    <row r="130" customFormat="false" ht="12.8" hidden="false" customHeight="false" outlineLevel="0" collapsed="false">
      <c r="A130" s="7" t="s">
        <v>144</v>
      </c>
      <c r="B130" s="7" t="s">
        <v>39</v>
      </c>
      <c r="C130" s="10" t="n">
        <f aca="false">MIN(C15,C70)</f>
        <v>13446.9349563972</v>
      </c>
      <c r="D130" s="10" t="n">
        <f aca="false">MIN(D15,D70)</f>
        <v>3.48087914991633</v>
      </c>
      <c r="E130" s="10" t="n">
        <f aca="false">MIN(E15,E70)</f>
        <v>32.2531812819607</v>
      </c>
      <c r="F130" s="10" t="n">
        <f aca="false">MIN(F15,F70)</f>
        <v>83.8370666924967</v>
      </c>
      <c r="G130" s="10" t="n">
        <f aca="false">MIN(G15,G70)</f>
        <v>26.9285771447941</v>
      </c>
      <c r="H130" s="10" t="n">
        <f aca="false">MIN(H15,H70)</f>
        <v>100</v>
      </c>
      <c r="I130" s="10" t="n">
        <f aca="false">MIN(I15,I70)</f>
        <v>921.827700387611</v>
      </c>
      <c r="J130" s="10" t="n">
        <f aca="false">MIN(J15,J70)</f>
        <v>958.963563033956</v>
      </c>
      <c r="K130" s="10" t="n">
        <f aca="false">MIN(K15,K70)</f>
        <v>11446.4110685561</v>
      </c>
      <c r="L130" s="10" t="n">
        <f aca="false">MIN(L15,L70)</f>
        <v>37824.7356331624</v>
      </c>
      <c r="M130" s="10" t="n">
        <f aca="false">MIN(M15,M70)</f>
        <v>25581.27411195</v>
      </c>
      <c r="N130" s="10" t="n">
        <f aca="false">MIN(N15,N70)</f>
        <v>20.3619266519613</v>
      </c>
      <c r="O130" s="10" t="n">
        <f aca="false">MIN(O15,O70)</f>
        <v>5.2213187248745</v>
      </c>
      <c r="P130" s="10" t="n">
        <f aca="false">MIN(P15,P70)</f>
        <v>9.78997260913967</v>
      </c>
      <c r="Q130" s="10" t="n">
        <f aca="false">MIN(Q15,Q70)</f>
        <v>426.88236407696</v>
      </c>
      <c r="R130" s="10" t="n">
        <f aca="false">MIN(R15,R70)</f>
        <v>18.4781197185625</v>
      </c>
      <c r="S130" s="10" t="n">
        <f aca="false">MIN(S15,S70)</f>
        <v>324.21201971282</v>
      </c>
      <c r="T130" s="10" t="n">
        <f aca="false">MIN(T15,T70)</f>
        <v>580.085231348918</v>
      </c>
      <c r="U130" s="10" t="n">
        <f aca="false">MIN(U15,U70)</f>
        <v>106.588642133125</v>
      </c>
      <c r="V130" s="10" t="n">
        <f aca="false">MIN(V15,V70)</f>
        <v>165.819698281663</v>
      </c>
      <c r="W130" s="10" t="n">
        <f aca="false">MIN(W15,W70)</f>
        <v>4.67651985229696</v>
      </c>
      <c r="X130" s="10" t="n">
        <f aca="false">MIN(X15,X70)</f>
        <v>2.49498177192561</v>
      </c>
      <c r="Y130" s="10" t="n">
        <f aca="false">MIN(Y15,Y70)</f>
        <v>189.123678165812</v>
      </c>
      <c r="Z130" s="10" t="n">
        <f aca="false">MIN(Z15,Z70)</f>
        <v>64208.9312018867</v>
      </c>
      <c r="AA130" s="10" t="n">
        <f aca="false">MIN(AA15,AA70)</f>
        <v>40696.5561082078</v>
      </c>
      <c r="AB130" s="10" t="n">
        <f aca="false">MIN(AB15,AB70)</f>
        <v>34564.6975263087</v>
      </c>
      <c r="AC130" s="10" t="n">
        <f aca="false">MIN(AC15,AC70)</f>
        <v>173547.752512709</v>
      </c>
      <c r="AD130" s="10" t="n">
        <f aca="false">MIN(AD15,AD70)</f>
        <v>217730.7445506</v>
      </c>
      <c r="AE130" s="10" t="n">
        <f aca="false">MIN(AE15,AE70)</f>
        <v>591858.852637705</v>
      </c>
      <c r="AF130" s="10" t="n">
        <f aca="false">MIN(AF15,AF70)</f>
        <v>630.271761912474</v>
      </c>
      <c r="AG130" s="10" t="n">
        <f aca="false">MIN(AG15,AG70)</f>
        <v>2576.52359040824</v>
      </c>
      <c r="AH130" s="10" t="n">
        <f aca="false">MIN(AH15,AH70)</f>
        <v>1727.01805602107</v>
      </c>
      <c r="AI130" s="10" t="n">
        <f aca="false">MIN(AI15,AI70)</f>
        <v>2878.57246671624</v>
      </c>
      <c r="AJ130" s="10" t="n">
        <f aca="false">MIN(AJ15,AJ70)</f>
        <v>2598.06633872823</v>
      </c>
      <c r="AK130" s="10" t="n">
        <f aca="false">MIN(AK15,AK70)</f>
        <v>479.984737006953</v>
      </c>
      <c r="AL130" s="10" t="n">
        <f aca="false">MIN(AL15,AL70)</f>
        <v>636.202878440385</v>
      </c>
      <c r="AM130" s="10" t="n">
        <f aca="false">MIN(AM15,AM70)</f>
        <v>1589.5679941577</v>
      </c>
      <c r="AN130" s="10" t="n">
        <f aca="false">MIN(AN15,AN70)</f>
        <v>1726.60443405418</v>
      </c>
      <c r="AO130" s="10" t="n">
        <f aca="false">MIN(AO15,AO70)</f>
        <v>13758.0089272054</v>
      </c>
      <c r="AP130" s="10" t="n">
        <f aca="false">MIN(AP15,AP70)</f>
        <v>45728.5776943037</v>
      </c>
      <c r="AQ130" s="10" t="n">
        <f aca="false">MIN(AQ15,AQ70)</f>
        <v>52593.3809816732</v>
      </c>
      <c r="AR130" s="10" t="n">
        <f aca="false">MIN(AR15,AR70)</f>
        <v>70116.2382023318</v>
      </c>
      <c r="AS130" s="10" t="n">
        <f aca="false">MIN(AS15,AS70)</f>
        <v>4417.35639690399</v>
      </c>
      <c r="AT130" s="10" t="n">
        <f aca="false">MIN(AT15,AT70)</f>
        <v>1185.30304982879</v>
      </c>
      <c r="AU130" s="10" t="n">
        <f aca="false">MIN(AU15,AU70)</f>
        <v>1652.9422824613</v>
      </c>
      <c r="AV130" s="10" t="n">
        <f aca="false">MIN(AV15,AV70)</f>
        <v>38051.6298249046</v>
      </c>
      <c r="AW130" s="10" t="n">
        <f aca="false">MIN(AW15,AW70)</f>
        <v>54.9452131868789</v>
      </c>
      <c r="AX130" s="10" t="n">
        <f aca="false">MIN(AX15,AX70)</f>
        <v>5801.78964132435</v>
      </c>
      <c r="AY130" s="10" t="n">
        <f aca="false">MIN(AY15,AY70)</f>
        <v>2108.82552986547</v>
      </c>
      <c r="AZ130" s="10" t="n">
        <f aca="false">MIN(AZ15,AZ70)</f>
        <v>603.565440604831</v>
      </c>
      <c r="BA130" s="10" t="n">
        <f aca="false">MIN(BA15,BA70)</f>
        <v>1929.06151729128</v>
      </c>
      <c r="BB130" s="10" t="n">
        <f aca="false">MIN(BB15,BB70)</f>
        <v>14901.8014071672</v>
      </c>
      <c r="BC130" s="10" t="n">
        <f aca="false">MIN(BC15,BC70)</f>
        <v>1837.17309916567</v>
      </c>
      <c r="BD130" s="10" t="n">
        <f aca="false">MIN(BD15,BD70)</f>
        <v>9965.98399143246</v>
      </c>
      <c r="BE130" s="10" t="n">
        <f aca="false">MIN(BE15,BE70)</f>
        <v>25853.5927365752</v>
      </c>
      <c r="BF130" s="10" t="n">
        <f aca="false">MIN(BF15,BF70)</f>
        <v>1817.82108513375</v>
      </c>
      <c r="BG130" s="10" t="n">
        <f aca="false">MIN(BG15,BG70)</f>
        <v>441.937613656802</v>
      </c>
      <c r="BH130" s="10" t="n">
        <f aca="false">MIN(BH15,BH70)</f>
        <v>565777.434810635</v>
      </c>
      <c r="BI130" s="10" t="n">
        <f aca="false">MIN(BI15,BI70)</f>
        <v>165.726605121301</v>
      </c>
      <c r="BJ130" s="10" t="n">
        <f aca="false">MIN(BJ15,BJ70)</f>
        <v>9.99100539403496</v>
      </c>
      <c r="BK130" s="10" t="n">
        <f aca="false">MIN(BK15,BK70)</f>
        <v>331.453210242601</v>
      </c>
      <c r="BL130" s="10" t="n">
        <f aca="false">MIN(BL15,BL70)</f>
        <v>239.399390524416</v>
      </c>
      <c r="BM130" s="10" t="n">
        <f aca="false">MIN(BM15,BM70)</f>
        <v>84.3440687547318</v>
      </c>
      <c r="BN130" s="10" t="n">
        <f aca="false">MIN(BN15,BN70)</f>
        <v>1</v>
      </c>
      <c r="BO130" s="10" t="n">
        <f aca="false">MIN(BO15,BO70)</f>
        <v>64.0790642227658</v>
      </c>
      <c r="BP130" s="10" t="n">
        <f aca="false">MIN(BP15,BP70)</f>
        <v>128.424835559145</v>
      </c>
      <c r="BQ130" s="10" t="n">
        <f aca="false">MIN(BQ15,BQ70)</f>
        <v>100</v>
      </c>
      <c r="BR130" s="10" t="n">
        <f aca="false">MIN(BR15,BR70)</f>
        <v>1922.37192668297</v>
      </c>
      <c r="BS130" s="10" t="n">
        <f aca="false">MIN(BS15,BS70)</f>
        <v>19223.7308775891</v>
      </c>
      <c r="BT130" s="10" t="n">
        <f aca="false">MIN(BT15,BT70)</f>
        <v>12.3514136369012</v>
      </c>
      <c r="BU130" s="10" t="n">
        <f aca="false">MIN(BU15,BU70)</f>
        <v>123.514136369012</v>
      </c>
      <c r="BV130" s="10" t="n">
        <f aca="false">MIN(BV15,BV70)</f>
        <v>1235.14136369012</v>
      </c>
      <c r="BW130" s="10" t="n">
        <f aca="false">MIN(BW15,BW70)</f>
        <v>62.1377695635275</v>
      </c>
      <c r="BX130" s="10" t="n">
        <f aca="false">MIN(BX15,BX70)</f>
        <v>26.1588863683681</v>
      </c>
      <c r="BY130" s="10" t="n">
        <f aca="false">MIN(BY15,BY70)</f>
        <v>28.6990118089786</v>
      </c>
      <c r="BZ130" s="10" t="n">
        <f aca="false">MIN(BZ15,BZ70)</f>
        <v>45728.7056157371</v>
      </c>
      <c r="CA130" s="10" t="n">
        <f aca="false">MIN(CA15,CA70)</f>
        <v>125506.887802577</v>
      </c>
      <c r="CB130" s="10" t="n">
        <f aca="false">MIN(CB15,CB70)</f>
        <v>70.9601948297925</v>
      </c>
      <c r="CC130" s="10" t="n">
        <f aca="false">MIN(CC15,CC70)</f>
        <v>61.2421097276385</v>
      </c>
      <c r="CD130" s="10" t="n">
        <f aca="false">MIN(CD15,CD70)</f>
        <v>153.715422253788</v>
      </c>
      <c r="CE130" s="10" t="n">
        <f aca="false">MIN(CE15,CE70)</f>
        <v>44.818090677196</v>
      </c>
      <c r="CF130" s="10" t="n">
        <f aca="false">MIN(CF15,CF70)</f>
        <v>1</v>
      </c>
      <c r="CG130" s="10" t="n">
        <f aca="false">MIN(CG15,CG70)</f>
        <v>19.211239397981</v>
      </c>
      <c r="CH130" s="10" t="n">
        <f aca="false">MIN(CH15,CH70)</f>
        <v>14.7260056153856</v>
      </c>
      <c r="CI130" s="10" t="n">
        <f aca="false">MIN(CI15,CI70)</f>
        <v>252.883783105733</v>
      </c>
      <c r="CJ130" s="10" t="n">
        <f aca="false">MIN(CJ15,CJ70)</f>
        <v>1860.82781508666</v>
      </c>
      <c r="CK130" s="10" t="n">
        <f aca="false">MIN(CK15,CK70)</f>
        <v>573.43206370897</v>
      </c>
      <c r="CL130" s="7" t="s">
        <v>322</v>
      </c>
    </row>
    <row r="131" customFormat="false" ht="12.8" hidden="false" customHeight="false" outlineLevel="0" collapsed="false">
      <c r="A131" s="7" t="s">
        <v>145</v>
      </c>
      <c r="B131" s="7" t="s">
        <v>39</v>
      </c>
      <c r="C131" s="10" t="n">
        <f aca="false">MIN(C16,C71)</f>
        <v>14744.0960988051</v>
      </c>
      <c r="D131" s="10" t="n">
        <f aca="false">MIN(D16,D71)</f>
        <v>2.14108542587067</v>
      </c>
      <c r="E131" s="10" t="n">
        <f aca="false">MIN(E16,E71)</f>
        <v>11.6077368885741</v>
      </c>
      <c r="F131" s="10" t="n">
        <f aca="false">MIN(F16,F71)</f>
        <v>38.7218837399135</v>
      </c>
      <c r="G131" s="10" t="n">
        <f aca="false">MIN(G16,G71)</f>
        <v>9.24859836384273</v>
      </c>
      <c r="H131" s="10" t="n">
        <f aca="false">MIN(H16,H71)</f>
        <v>100</v>
      </c>
      <c r="I131" s="10" t="n">
        <f aca="false">MIN(I16,I71)</f>
        <v>1189.77135642509</v>
      </c>
      <c r="J131" s="10" t="n">
        <f aca="false">MIN(J16,J71)</f>
        <v>1156.57257665215</v>
      </c>
      <c r="K131" s="10" t="n">
        <f aca="false">MIN(K16,K71)</f>
        <v>14441.2352313885</v>
      </c>
      <c r="L131" s="10" t="n">
        <f aca="false">MIN(L16,L71)</f>
        <v>33824.8267774197</v>
      </c>
      <c r="M131" s="10" t="n">
        <f aca="false">MIN(M16,M71)</f>
        <v>22155.1730060076</v>
      </c>
      <c r="N131" s="10" t="n">
        <f aca="false">MIN(N16,N71)</f>
        <v>10.2162256978492</v>
      </c>
      <c r="O131" s="10" t="n">
        <f aca="false">MIN(O16,O71)</f>
        <v>3.211628138806</v>
      </c>
      <c r="P131" s="10" t="n">
        <f aca="false">MIN(P16,P71)</f>
        <v>6.02180276026124</v>
      </c>
      <c r="Q131" s="10" t="n">
        <f aca="false">MIN(Q16,Q71)</f>
        <v>312.224133287301</v>
      </c>
      <c r="R131" s="10" t="n">
        <f aca="false">MIN(R16,R71)</f>
        <v>32.9455077168409</v>
      </c>
      <c r="S131" s="10" t="n">
        <f aca="false">MIN(S16,S71)</f>
        <v>289.927086663597</v>
      </c>
      <c r="T131" s="10" t="n">
        <f aca="false">MIN(T16,T71)</f>
        <v>518.742091334377</v>
      </c>
      <c r="U131" s="10" t="n">
        <f aca="false">MIN(U16,U71)</f>
        <v>92.313220858365</v>
      </c>
      <c r="V131" s="10" t="n">
        <f aca="false">MIN(V16,V71)</f>
        <v>381.736969834728</v>
      </c>
      <c r="W131" s="10" t="n">
        <f aca="false">MIN(W16,W71)</f>
        <v>10.8791082490159</v>
      </c>
      <c r="X131" s="10" t="n">
        <f aca="false">MIN(X16,X71)</f>
        <v>5.59397746146494</v>
      </c>
      <c r="Y131" s="10" t="n">
        <f aca="false">MIN(Y16,Y71)</f>
        <v>169.124133887099</v>
      </c>
      <c r="Z131" s="10" t="n">
        <f aca="false">MIN(Z16,Z71)</f>
        <v>10858.3164685636</v>
      </c>
      <c r="AA131" s="10" t="n">
        <f aca="false">MIN(AA16,AA71)</f>
        <v>18831.4173936039</v>
      </c>
      <c r="AB131" s="10" t="n">
        <f aca="false">MIN(AB16,AB71)</f>
        <v>12439.6384657703</v>
      </c>
      <c r="AC131" s="10" t="n">
        <f aca="false">MIN(AC16,AC71)</f>
        <v>88306.4631688998</v>
      </c>
      <c r="AD131" s="10" t="n">
        <f aca="false">MIN(AD16,AD71)</f>
        <v>78360.0592202751</v>
      </c>
      <c r="AE131" s="10" t="n">
        <f aca="false">MIN(AE16,AE71)</f>
        <v>260372.077903348</v>
      </c>
      <c r="AF131" s="10" t="n">
        <f aca="false">MIN(AF16,AF71)</f>
        <v>983.259309666969</v>
      </c>
      <c r="AG131" s="10" t="n">
        <f aca="false">MIN(AG16,AG71)</f>
        <v>1582.75279713715</v>
      </c>
      <c r="AH131" s="10" t="n">
        <f aca="false">MIN(AH16,AH71)</f>
        <v>775.081857736657</v>
      </c>
      <c r="AI131" s="10" t="n">
        <f aca="false">MIN(AI16,AI71)</f>
        <v>4825.00177165214</v>
      </c>
      <c r="AJ131" s="10" t="n">
        <f aca="false">MIN(AJ16,AJ71)</f>
        <v>1088.07116367234</v>
      </c>
      <c r="AK131" s="10" t="n">
        <f aca="false">MIN(AK16,AK71)</f>
        <v>378.742051816072</v>
      </c>
      <c r="AL131" s="10" t="n">
        <f aca="false">MIN(AL16,AL71)</f>
        <v>1147.83955351585</v>
      </c>
      <c r="AM131" s="10" t="n">
        <f aca="false">MIN(AM16,AM71)</f>
        <v>1190.4502205608</v>
      </c>
      <c r="AN131" s="10" t="n">
        <f aca="false">MIN(AN16,AN71)</f>
        <v>1673.76796981031</v>
      </c>
      <c r="AO131" s="10" t="n">
        <f aca="false">MIN(AO16,AO71)</f>
        <v>18085.1309811615</v>
      </c>
      <c r="AP131" s="10" t="n">
        <f aca="false">MIN(AP16,AP71)</f>
        <v>42233.3267657736</v>
      </c>
      <c r="AQ131" s="10" t="n">
        <f aca="false">MIN(AQ16,AQ71)</f>
        <v>27139.3538767138</v>
      </c>
      <c r="AR131" s="10" t="n">
        <f aca="false">MIN(AR16,AR71)</f>
        <v>30836.3964018349</v>
      </c>
      <c r="AS131" s="10" t="n">
        <f aca="false">MIN(AS16,AS71)</f>
        <v>2291.20428281298</v>
      </c>
      <c r="AT131" s="10" t="n">
        <f aca="false">MIN(AT16,AT71)</f>
        <v>1082.06316492798</v>
      </c>
      <c r="AU131" s="10" t="n">
        <f aca="false">MIN(AU16,AU71)</f>
        <v>2138.48342250935</v>
      </c>
      <c r="AV131" s="10" t="n">
        <f aca="false">MIN(AV16,AV71)</f>
        <v>13385.4991223129</v>
      </c>
      <c r="AW131" s="10" t="n">
        <f aca="false">MIN(AW16,AW71)</f>
        <v>27.4328821862783</v>
      </c>
      <c r="AX131" s="10" t="n">
        <f aca="false">MIN(AX16,AX71)</f>
        <v>5253.54730577746</v>
      </c>
      <c r="AY131" s="10" t="n">
        <f aca="false">MIN(AY16,AY71)</f>
        <v>726.720073104135</v>
      </c>
      <c r="AZ131" s="10" t="n">
        <f aca="false">MIN(AZ16,AZ71)</f>
        <v>162.689901704157</v>
      </c>
      <c r="BA131" s="10" t="n">
        <f aca="false">MIN(BA16,BA71)</f>
        <v>1725.06616564841</v>
      </c>
      <c r="BB131" s="10" t="n">
        <f aca="false">MIN(BB16,BB71)</f>
        <v>3777.97581437134</v>
      </c>
      <c r="BC131" s="10" t="n">
        <f aca="false">MIN(BC16,BC71)</f>
        <v>2614.02846862793</v>
      </c>
      <c r="BD131" s="10" t="n">
        <f aca="false">MIN(BD16,BD71)</f>
        <v>5517.01596539614</v>
      </c>
      <c r="BE131" s="10" t="n">
        <f aca="false">MIN(BE16,BE71)</f>
        <v>20928.9388926494</v>
      </c>
      <c r="BF131" s="10" t="n">
        <f aca="false">MIN(BF16,BF71)</f>
        <v>709.432113330125</v>
      </c>
      <c r="BG131" s="10" t="n">
        <f aca="false">MIN(BG16,BG71)</f>
        <v>222.636393522852</v>
      </c>
      <c r="BH131" s="10" t="n">
        <f aca="false">MIN(BH16,BH71)</f>
        <v>111.318196761426</v>
      </c>
      <c r="BI131" s="10" t="n">
        <f aca="false">MIN(BI16,BI71)</f>
        <v>83.4886475710696</v>
      </c>
      <c r="BJ131" s="10" t="n">
        <f aca="false">MIN(BJ16,BJ71)</f>
        <v>10.9369357120064</v>
      </c>
      <c r="BK131" s="10" t="n">
        <f aca="false">MIN(BK16,BK71)</f>
        <v>166.977295142139</v>
      </c>
      <c r="BL131" s="10" t="n">
        <f aca="false">MIN(BL16,BL71)</f>
        <v>197.192777284933</v>
      </c>
      <c r="BM131" s="10" t="n">
        <f aca="false">MIN(BM16,BM71)</f>
        <v>63.8762130125775</v>
      </c>
      <c r="BN131" s="10" t="n">
        <f aca="false">MIN(BN16,BN71)</f>
        <v>406118.321286063</v>
      </c>
      <c r="BO131" s="10" t="n">
        <f aca="false">MIN(BO16,BO71)</f>
        <v>22.13132449252</v>
      </c>
      <c r="BP131" s="10" t="n">
        <f aca="false">MIN(BP16,BP71)</f>
        <v>71.8251655550554</v>
      </c>
      <c r="BQ131" s="10" t="n">
        <f aca="false">MIN(BQ16,BQ71)</f>
        <v>100</v>
      </c>
      <c r="BR131" s="10" t="n">
        <f aca="false">MIN(BR16,BR71)</f>
        <v>663.939437722491</v>
      </c>
      <c r="BS131" s="10" t="n">
        <f aca="false">MIN(BS16,BS71)</f>
        <v>6639.39437722492</v>
      </c>
      <c r="BT131" s="10" t="n">
        <f aca="false">MIN(BT16,BT71)</f>
        <v>3.56751635881319</v>
      </c>
      <c r="BU131" s="10" t="n">
        <f aca="false">MIN(BU16,BU71)</f>
        <v>35.675163588132</v>
      </c>
      <c r="BV131" s="10" t="n">
        <f aca="false">MIN(BV16,BV71)</f>
        <v>356.75163588132</v>
      </c>
      <c r="BW131" s="10" t="n">
        <f aca="false">MIN(BW16,BW71)</f>
        <v>22.3630305993936</v>
      </c>
      <c r="BX131" s="10" t="n">
        <f aca="false">MIN(BX16,BX71)</f>
        <v>122.531815249202</v>
      </c>
      <c r="BY131" s="10" t="n">
        <f aca="false">MIN(BY16,BY71)</f>
        <v>64.6142385463978</v>
      </c>
      <c r="BZ131" s="10" t="n">
        <f aca="false">MIN(BZ16,BZ71)</f>
        <v>115652.105407705</v>
      </c>
      <c r="CA131" s="10" t="n">
        <f aca="false">MIN(CA16,CA71)</f>
        <v>41070.2892113562</v>
      </c>
      <c r="CB131" s="10" t="n">
        <f aca="false">MIN(CB16,CB71)</f>
        <v>66.1560500277667</v>
      </c>
      <c r="CC131" s="10" t="n">
        <f aca="false">MIN(CC16,CC71)</f>
        <v>15.4423956565279</v>
      </c>
      <c r="CD131" s="10" t="n">
        <f aca="false">MIN(CD16,CD71)</f>
        <v>58.5436910146969</v>
      </c>
      <c r="CE131" s="10" t="n">
        <f aca="false">MIN(CE16,CE71)</f>
        <v>18.1906148221937</v>
      </c>
      <c r="CF131" s="10" t="n">
        <f aca="false">MIN(CF16,CF71)</f>
        <v>1</v>
      </c>
      <c r="CG131" s="10" t="n">
        <f aca="false">MIN(CG16,CG71)</f>
        <v>102.736296210309</v>
      </c>
      <c r="CH131" s="10" t="n">
        <f aca="false">MIN(CH16,CH71)</f>
        <v>94.9727920194992</v>
      </c>
      <c r="CI131" s="10" t="n">
        <f aca="false">MIN(CI16,CI71)</f>
        <v>220.644099936021</v>
      </c>
      <c r="CJ131" s="10" t="n">
        <f aca="false">MIN(CJ16,CJ71)</f>
        <v>1365.08561380449</v>
      </c>
      <c r="CK131" s="10" t="n">
        <f aca="false">MIN(CK16,CK71)</f>
        <v>1032.13137356807</v>
      </c>
      <c r="CL131" s="7" t="s">
        <v>322</v>
      </c>
    </row>
    <row r="132" customFormat="false" ht="12.8" hidden="false" customHeight="false" outlineLevel="0" collapsed="false">
      <c r="A132" s="7" t="s">
        <v>147</v>
      </c>
      <c r="B132" s="7" t="s">
        <v>39</v>
      </c>
      <c r="C132" s="10" t="n">
        <f aca="false">MIN(C17,C72)</f>
        <v>17958.1532890592</v>
      </c>
      <c r="D132" s="10" t="n">
        <f aca="false">MIN(D17,D72)</f>
        <v>2.76828776850549</v>
      </c>
      <c r="E132" s="10" t="n">
        <f aca="false">MIN(E17,E72)</f>
        <v>15.3183763366683</v>
      </c>
      <c r="F132" s="10" t="n">
        <f aca="false">MIN(F17,F72)</f>
        <v>73.860917044898</v>
      </c>
      <c r="G132" s="10" t="n">
        <f aca="false">MIN(G17,G72)</f>
        <v>16.670006482051</v>
      </c>
      <c r="H132" s="10" t="n">
        <f aca="false">MIN(H17,H72)</f>
        <v>100</v>
      </c>
      <c r="I132" s="10" t="n">
        <f aca="false">MIN(I17,I72)</f>
        <v>1323.74982993981</v>
      </c>
      <c r="J132" s="10" t="n">
        <f aca="false">MIN(J17,J72)</f>
        <v>1742.89121114086</v>
      </c>
      <c r="K132" s="10" t="n">
        <f aca="false">MIN(K17,K72)</f>
        <v>18250.0114283349</v>
      </c>
      <c r="L132" s="10" t="n">
        <f aca="false">MIN(L17,L72)</f>
        <v>45271.0397934975</v>
      </c>
      <c r="M132" s="10" t="n">
        <f aca="false">MIN(M17,M72)</f>
        <v>29787.3914389248</v>
      </c>
      <c r="N132" s="10" t="n">
        <f aca="false">MIN(N17,N72)</f>
        <v>17.7316822037611</v>
      </c>
      <c r="O132" s="10" t="n">
        <f aca="false">MIN(O17,O72)</f>
        <v>4.15243165275823</v>
      </c>
      <c r="P132" s="10" t="n">
        <f aca="false">MIN(P17,P72)</f>
        <v>7.78580934892168</v>
      </c>
      <c r="Q132" s="10" t="n">
        <f aca="false">MIN(Q17,Q72)</f>
        <v>356.809804336261</v>
      </c>
      <c r="R132" s="10" t="n">
        <f aca="false">MIN(R17,R72)</f>
        <v>27.3960352882875</v>
      </c>
      <c r="S132" s="10" t="n">
        <f aca="false">MIN(S17,S72)</f>
        <v>388.037483944263</v>
      </c>
      <c r="T132" s="10" t="n">
        <f aca="false">MIN(T17,T72)</f>
        <v>694.282753135568</v>
      </c>
      <c r="U132" s="10" t="n">
        <f aca="false">MIN(U17,U72)</f>
        <v>124.11413099552</v>
      </c>
      <c r="V132" s="10" t="n">
        <f aca="false">MIN(V17,V72)</f>
        <v>298.744688852999</v>
      </c>
      <c r="W132" s="10" t="n">
        <f aca="false">MIN(W17,W72)</f>
        <v>23.2891030920476</v>
      </c>
      <c r="X132" s="10" t="n">
        <f aca="false">MIN(X17,X72)</f>
        <v>2.4514208376962</v>
      </c>
      <c r="Y132" s="10" t="n">
        <f aca="false">MIN(Y17,Y72)</f>
        <v>226.355198967487</v>
      </c>
      <c r="Z132" s="10" t="n">
        <f aca="false">MIN(Z17,Z72)</f>
        <v>12970.7281182418</v>
      </c>
      <c r="AA132" s="10" t="n">
        <f aca="false">MIN(AA17,AA72)</f>
        <v>26650.0861129867</v>
      </c>
      <c r="AB132" s="10" t="n">
        <f aca="false">MIN(AB17,AB72)</f>
        <v>16416.2114751527</v>
      </c>
      <c r="AC132" s="10" t="n">
        <f aca="false">MIN(AC17,AC72)</f>
        <v>129426.615867081</v>
      </c>
      <c r="AD132" s="10" t="n">
        <f aca="false">MIN(AD17,AD72)</f>
        <v>103409.380176538</v>
      </c>
      <c r="AE132" s="10" t="n">
        <f aca="false">MIN(AE17,AE72)</f>
        <v>156429.451309332</v>
      </c>
      <c r="AF132" s="10" t="n">
        <f aca="false">MIN(AF17,AF72)</f>
        <v>1020.61757421209</v>
      </c>
      <c r="AG132" s="10" t="n">
        <f aca="false">MIN(AG17,AG72)</f>
        <v>758.909241592171</v>
      </c>
      <c r="AH132" s="10" t="n">
        <f aca="false">MIN(AH17,AH72)</f>
        <v>743.299168616466</v>
      </c>
      <c r="AI132" s="10" t="n">
        <f aca="false">MIN(AI17,AI72)</f>
        <v>7214.11870464142</v>
      </c>
      <c r="AJ132" s="10" t="n">
        <f aca="false">MIN(AJ17,AJ72)</f>
        <v>3176.41264894978</v>
      </c>
      <c r="AK132" s="10" t="n">
        <f aca="false">MIN(AK17,AK72)</f>
        <v>425.174539552522</v>
      </c>
      <c r="AL132" s="10" t="n">
        <f aca="false">MIN(AL17,AL72)</f>
        <v>1164.9452027754</v>
      </c>
      <c r="AM132" s="10" t="n">
        <f aca="false">MIN(AM17,AM72)</f>
        <v>3411.58730734079</v>
      </c>
      <c r="AN132" s="10" t="n">
        <f aca="false">MIN(AN17,AN72)</f>
        <v>1506.80573240372</v>
      </c>
      <c r="AO132" s="10" t="n">
        <f aca="false">MIN(AO17,AO72)</f>
        <v>37270.2770317403</v>
      </c>
      <c r="AP132" s="10" t="n">
        <f aca="false">MIN(AP17,AP72)</f>
        <v>115209.649238793</v>
      </c>
      <c r="AQ132" s="10" t="n">
        <f aca="false">MIN(AQ17,AQ72)</f>
        <v>25358.8503040772</v>
      </c>
      <c r="AR132" s="10" t="n">
        <f aca="false">MIN(AR17,AR72)</f>
        <v>23464.5466277499</v>
      </c>
      <c r="AS132" s="10" t="n">
        <f aca="false">MIN(AS17,AS72)</f>
        <v>1281.61531483969</v>
      </c>
      <c r="AT132" s="10" t="n">
        <f aca="false">MIN(AT17,AT72)</f>
        <v>2076.59227116485</v>
      </c>
      <c r="AU132" s="10" t="n">
        <f aca="false">MIN(AU17,AU72)</f>
        <v>732.272267929361</v>
      </c>
      <c r="AV132" s="10" t="n">
        <f aca="false">MIN(AV17,AV72)</f>
        <v>26665.1497676866</v>
      </c>
      <c r="AW132" s="10" t="n">
        <f aca="false">MIN(AW17,AW72)</f>
        <v>40.4534376224627</v>
      </c>
      <c r="AX132" s="10" t="n">
        <f aca="false">MIN(AX17,AX72)</f>
        <v>5149.15201971532</v>
      </c>
      <c r="AY132" s="10" t="n">
        <f aca="false">MIN(AY17,AY72)</f>
        <v>1380.34989566016</v>
      </c>
      <c r="AZ132" s="10" t="n">
        <f aca="false">MIN(AZ17,AZ72)</f>
        <v>256.171979613596</v>
      </c>
      <c r="BA132" s="10" t="n">
        <f aca="false">MIN(BA17,BA72)</f>
        <v>2308.82302946837</v>
      </c>
      <c r="BB132" s="10" t="n">
        <f aca="false">MIN(BB17,BB72)</f>
        <v>4250.90042226641</v>
      </c>
      <c r="BC132" s="10" t="n">
        <f aca="false">MIN(BC17,BC72)</f>
        <v>3275.54806814205</v>
      </c>
      <c r="BD132" s="10" t="n">
        <f aca="false">MIN(BD17,BD72)</f>
        <v>7500.11980507</v>
      </c>
      <c r="BE132" s="10" t="n">
        <f aca="false">MIN(BE17,BE72)</f>
        <v>21436.2225637915</v>
      </c>
      <c r="BF132" s="10" t="n">
        <f aca="false">MIN(BF17,BF72)</f>
        <v>595.482459807298</v>
      </c>
      <c r="BG132" s="10" t="n">
        <f aca="false">MIN(BG17,BG72)</f>
        <v>293.806458137298</v>
      </c>
      <c r="BH132" s="10" t="n">
        <f aca="false">MIN(BH17,BH72)</f>
        <v>146.903229068649</v>
      </c>
      <c r="BI132" s="10" t="n">
        <f aca="false">MIN(BI17,BI72)</f>
        <v>110.177421801487</v>
      </c>
      <c r="BJ132" s="10" t="n">
        <f aca="false">MIN(BJ17,BJ72)</f>
        <v>5.10158009037067</v>
      </c>
      <c r="BK132" s="10" t="n">
        <f aca="false">MIN(BK17,BK72)</f>
        <v>220.354843602974</v>
      </c>
      <c r="BL132" s="10" t="n">
        <f aca="false">MIN(BL17,BL72)</f>
        <v>2873.39711746929</v>
      </c>
      <c r="BM132" s="10" t="n">
        <f aca="false">MIN(BM17,BM72)</f>
        <v>32.0687031026237</v>
      </c>
      <c r="BN132" s="10" t="n">
        <f aca="false">MIN(BN17,BN72)</f>
        <v>457438.088466581</v>
      </c>
      <c r="BO132" s="10" t="n">
        <f aca="false">MIN(BO17,BO72)</f>
        <v>53.4579905464741</v>
      </c>
      <c r="BP132" s="10" t="n">
        <f aca="false">MIN(BP17,BP72)</f>
        <v>130.675229179868</v>
      </c>
      <c r="BQ132" s="10" t="n">
        <f aca="false">MIN(BQ17,BQ72)</f>
        <v>100</v>
      </c>
      <c r="BR132" s="10" t="n">
        <f aca="false">MIN(BR17,BR72)</f>
        <v>1603.73791273471</v>
      </c>
      <c r="BS132" s="10" t="n">
        <f aca="false">MIN(BS17,BS72)</f>
        <v>16037.3791273471</v>
      </c>
      <c r="BT132" s="10" t="n">
        <f aca="false">MIN(BT17,BT72)</f>
        <v>7.27499585141573</v>
      </c>
      <c r="BU132" s="10" t="n">
        <f aca="false">MIN(BU17,BU72)</f>
        <v>72.7499585141572</v>
      </c>
      <c r="BV132" s="10" t="n">
        <f aca="false">MIN(BV17,BV72)</f>
        <v>727.499585141572</v>
      </c>
      <c r="BW132" s="10" t="n">
        <f aca="false">MIN(BW17,BW72)</f>
        <v>29.5118094111126</v>
      </c>
      <c r="BX132" s="10" t="n">
        <f aca="false">MIN(BX17,BX72)</f>
        <v>277.338514250109</v>
      </c>
      <c r="BY132" s="10" t="n">
        <f aca="false">MIN(BY17,BY72)</f>
        <v>19.0086526091794</v>
      </c>
      <c r="BZ132" s="10" t="n">
        <f aca="false">MIN(BZ17,BZ72)</f>
        <v>30568.6611247926</v>
      </c>
      <c r="CA132" s="10" t="n">
        <f aca="false">MIN(CA17,CA72)</f>
        <v>1165393.02955333</v>
      </c>
      <c r="CB132" s="10" t="n">
        <f aca="false">MIN(CB17,CB72)</f>
        <v>124.431003645634</v>
      </c>
      <c r="CC132" s="10" t="n">
        <f aca="false">MIN(CC17,CC72)</f>
        <v>9.79117337043624</v>
      </c>
      <c r="CD132" s="10" t="n">
        <f aca="false">MIN(CD17,CD72)</f>
        <v>76.9195280476017</v>
      </c>
      <c r="CE132" s="10" t="n">
        <f aca="false">MIN(CE17,CE72)</f>
        <v>169.001290773524</v>
      </c>
      <c r="CF132" s="10" t="n">
        <f aca="false">MIN(CF17,CF72)</f>
        <v>1</v>
      </c>
      <c r="CG132" s="10" t="n">
        <f aca="false">MIN(CG17,CG72)</f>
        <v>1012.57959125506</v>
      </c>
      <c r="CH132" s="10" t="n">
        <f aca="false">MIN(CH17,CH72)</f>
        <v>86.9144237368378</v>
      </c>
      <c r="CI132" s="10" t="n">
        <f aca="false">MIN(CI17,CI72)</f>
        <v>1620.12204592864</v>
      </c>
      <c r="CJ132" s="10" t="n">
        <f aca="false">MIN(CJ17,CJ72)</f>
        <v>1809.93336676434</v>
      </c>
      <c r="CK132" s="10" t="n">
        <f aca="false">MIN(CK17,CK72)</f>
        <v>4996.27084121605</v>
      </c>
      <c r="CL132" s="7" t="s">
        <v>322</v>
      </c>
    </row>
    <row r="133" customFormat="false" ht="12.8" hidden="false" customHeight="false" outlineLevel="0" collapsed="false">
      <c r="A133" s="7" t="s">
        <v>148</v>
      </c>
      <c r="B133" s="7" t="s">
        <v>39</v>
      </c>
      <c r="C133" s="10" t="n">
        <f aca="false">MIN(C18,C73)</f>
        <v>7813.54324196063</v>
      </c>
      <c r="D133" s="10" t="n">
        <f aca="false">MIN(D18,D73)</f>
        <v>1.64248985046928</v>
      </c>
      <c r="E133" s="10" t="n">
        <f aca="false">MIN(E18,E73)</f>
        <v>11.1330711054251</v>
      </c>
      <c r="F133" s="10" t="n">
        <f aca="false">MIN(F18,F73)</f>
        <v>28.9811067201241</v>
      </c>
      <c r="G133" s="10" t="n">
        <f aca="false">MIN(G18,G73)</f>
        <v>9.17434197106633</v>
      </c>
      <c r="H133" s="10" t="n">
        <f aca="false">MIN(H18,H73)</f>
        <v>100</v>
      </c>
      <c r="I133" s="10" t="n">
        <f aca="false">MIN(I18,I73)</f>
        <v>1673.79046626744</v>
      </c>
      <c r="J133" s="10" t="n">
        <f aca="false">MIN(J18,J73)</f>
        <v>2097.99396912658</v>
      </c>
      <c r="K133" s="10" t="n">
        <f aca="false">MIN(K18,K73)</f>
        <v>7991.10060121932</v>
      </c>
      <c r="L133" s="10" t="n">
        <f aca="false">MIN(L18,L73)</f>
        <v>21703.9119026504</v>
      </c>
      <c r="M133" s="10" t="n">
        <f aca="false">MIN(M18,M73)</f>
        <v>14392.179541772</v>
      </c>
      <c r="N133" s="10" t="n">
        <f aca="false">MIN(N18,N73)</f>
        <v>11.8496305661979</v>
      </c>
      <c r="O133" s="10" t="n">
        <f aca="false">MIN(O18,O73)</f>
        <v>2.62124802072227</v>
      </c>
      <c r="P133" s="10" t="n">
        <f aca="false">MIN(P18,P73)</f>
        <v>4.91484003885425</v>
      </c>
      <c r="Q133" s="10" t="n">
        <f aca="false">MIN(Q18,Q73)</f>
        <v>310.907103375763</v>
      </c>
      <c r="R133" s="10" t="n">
        <f aca="false">MIN(R18,R73)</f>
        <v>21.8934263047104</v>
      </c>
      <c r="S133" s="10" t="n">
        <f aca="false">MIN(S18,S73)</f>
        <v>186.033530594146</v>
      </c>
      <c r="T133" s="10" t="n">
        <f aca="false">MIN(T18,T73)</f>
        <v>332.854111112075</v>
      </c>
      <c r="U133" s="10" t="n">
        <f aca="false">MIN(U18,U73)</f>
        <v>59.9674147573832</v>
      </c>
      <c r="V133" s="10" t="n">
        <f aca="false">MIN(V18,V73)</f>
        <v>282.933807796221</v>
      </c>
      <c r="W133" s="10" t="n">
        <f aca="false">MIN(W18,W73)</f>
        <v>15.868696695352</v>
      </c>
      <c r="X133" s="10" t="n">
        <f aca="false">MIN(X18,X73)</f>
        <v>4.63253312001303</v>
      </c>
      <c r="Y133" s="10" t="n">
        <f aca="false">MIN(Y18,Y73)</f>
        <v>108.519559513252</v>
      </c>
      <c r="Z133" s="10" t="n">
        <f aca="false">MIN(Z18,Z73)</f>
        <v>17542.9730049485</v>
      </c>
      <c r="AA133" s="10" t="n">
        <f aca="false">MIN(AA18,AA73)</f>
        <v>17101.2310788318</v>
      </c>
      <c r="AB133" s="10" t="n">
        <f aca="false">MIN(AB18,AB73)</f>
        <v>12588.0558056459</v>
      </c>
      <c r="AC133" s="10" t="n">
        <f aca="false">MIN(AC18,AC73)</f>
        <v>72658.3599844023</v>
      </c>
      <c r="AD133" s="10" t="n">
        <f aca="false">MIN(AD18,AD73)</f>
        <v>79294.9731708672</v>
      </c>
      <c r="AE133" s="10" t="n">
        <f aca="false">MIN(AE18,AE73)</f>
        <v>288402.670390016</v>
      </c>
      <c r="AF133" s="10" t="n">
        <f aca="false">MIN(AF18,AF73)</f>
        <v>1071.32517673207</v>
      </c>
      <c r="AG133" s="10" t="n">
        <f aca="false">MIN(AG18,AG73)</f>
        <v>623.137659157486</v>
      </c>
      <c r="AH133" s="10" t="n">
        <f aca="false">MIN(AH18,AH73)</f>
        <v>481.833269427497</v>
      </c>
      <c r="AI133" s="10" t="n">
        <f aca="false">MIN(AI18,AI73)</f>
        <v>2330.28375635891</v>
      </c>
      <c r="AJ133" s="10" t="n">
        <f aca="false">MIN(AJ18,AJ73)</f>
        <v>2137.53872083616</v>
      </c>
      <c r="AK133" s="10" t="n">
        <f aca="false">MIN(AK18,AK73)</f>
        <v>1003.15715385393</v>
      </c>
      <c r="AL133" s="10" t="n">
        <f aca="false">MIN(AL18,AL73)</f>
        <v>1563.26363031866</v>
      </c>
      <c r="AM133" s="10" t="n">
        <f aca="false">MIN(AM18,AM73)</f>
        <v>2755.41694938599</v>
      </c>
      <c r="AN133" s="10" t="n">
        <f aca="false">MIN(AN18,AN73)</f>
        <v>2086.87080483697</v>
      </c>
      <c r="AO133" s="10" t="n">
        <f aca="false">MIN(AO18,AO73)</f>
        <v>34327.914829333</v>
      </c>
      <c r="AP133" s="10" t="n">
        <f aca="false">MIN(AP18,AP73)</f>
        <v>40810.3180323703</v>
      </c>
      <c r="AQ133" s="10" t="n">
        <f aca="false">MIN(AQ18,AQ73)</f>
        <v>28097.2733871942</v>
      </c>
      <c r="AR133" s="10" t="n">
        <f aca="false">MIN(AR18,AR73)</f>
        <v>12100.4825144291</v>
      </c>
      <c r="AS133" s="10" t="n">
        <f aca="false">MIN(AS18,AS73)</f>
        <v>4533.66121289864</v>
      </c>
      <c r="AT133" s="10" t="n">
        <f aca="false">MIN(AT18,AT73)</f>
        <v>632.198288766271</v>
      </c>
      <c r="AU133" s="10" t="n">
        <f aca="false">MIN(AU18,AU73)</f>
        <v>2017.16330702708</v>
      </c>
      <c r="AV133" s="10" t="n">
        <f aca="false">MIN(AV18,AV73)</f>
        <v>13203.7591566092</v>
      </c>
      <c r="AW133" s="10" t="n">
        <f aca="false">MIN(AW18,AW73)</f>
        <v>22.7704293413042</v>
      </c>
      <c r="AX133" s="10" t="n">
        <f aca="false">MIN(AX18,AX73)</f>
        <v>3798.33778300225</v>
      </c>
      <c r="AY133" s="10" t="n">
        <f aca="false">MIN(AY18,AY73)</f>
        <v>830.007146187267</v>
      </c>
      <c r="AZ133" s="10" t="n">
        <f aca="false">MIN(AZ18,AZ73)</f>
        <v>190.456407230108</v>
      </c>
      <c r="BA133" s="10" t="n">
        <f aca="false">MIN(BA18,BA73)</f>
        <v>1106.89950703517</v>
      </c>
      <c r="BB133" s="10" t="n">
        <f aca="false">MIN(BB18,BB73)</f>
        <v>3460.1958011404</v>
      </c>
      <c r="BC133" s="10" t="n">
        <f aca="false">MIN(BC18,BC73)</f>
        <v>2239.78583727986</v>
      </c>
      <c r="BD133" s="10" t="n">
        <f aca="false">MIN(BD18,BD73)</f>
        <v>5335.23802873354</v>
      </c>
      <c r="BE133" s="10" t="n">
        <f aca="false">MIN(BE18,BE73)</f>
        <v>16483.3379387643</v>
      </c>
      <c r="BF133" s="10" t="n">
        <f aca="false">MIN(BF18,BF73)</f>
        <v>625.319942773843</v>
      </c>
      <c r="BG133" s="10" t="n">
        <f aca="false">MIN(BG18,BG73)</f>
        <v>160.933116929465</v>
      </c>
      <c r="BH133" s="10" t="n">
        <f aca="false">MIN(BH18,BH73)</f>
        <v>529488.296893499</v>
      </c>
      <c r="BI133" s="10" t="n">
        <f aca="false">MIN(BI18,BI73)</f>
        <v>56.7347180318775</v>
      </c>
      <c r="BJ133" s="10" t="n">
        <f aca="false">MIN(BJ18,BJ73)</f>
        <v>43.6353714700516</v>
      </c>
      <c r="BK133" s="10" t="n">
        <f aca="false">MIN(BK18,BK73)</f>
        <v>113.469436063755</v>
      </c>
      <c r="BL133" s="10" t="n">
        <f aca="false">MIN(BL18,BL73)</f>
        <v>204.456448046128</v>
      </c>
      <c r="BM133" s="10" t="n">
        <f aca="false">MIN(BM18,BM73)</f>
        <v>381.635652446326</v>
      </c>
      <c r="BN133" s="10" t="n">
        <f aca="false">MIN(BN18,BN73)</f>
        <v>232867.797811798</v>
      </c>
      <c r="BO133" s="10" t="n">
        <f aca="false">MIN(BO18,BO73)</f>
        <v>23.3679420065541</v>
      </c>
      <c r="BP133" s="10" t="n">
        <f aca="false">MIN(BP18,BP73)</f>
        <v>84.0743270543548</v>
      </c>
      <c r="BQ133" s="10" t="n">
        <f aca="false">MIN(BQ18,BQ73)</f>
        <v>100</v>
      </c>
      <c r="BR133" s="10" t="n">
        <f aca="false">MIN(BR18,BR73)</f>
        <v>701.037567530485</v>
      </c>
      <c r="BS133" s="10" t="n">
        <f aca="false">MIN(BS18,BS73)</f>
        <v>7010.37567530486</v>
      </c>
      <c r="BT133" s="10" t="n">
        <f aca="false">MIN(BT18,BT73)</f>
        <v>3.09039617707113</v>
      </c>
      <c r="BU133" s="10" t="n">
        <f aca="false">MIN(BU18,BU73)</f>
        <v>30.9039617707113</v>
      </c>
      <c r="BV133" s="10" t="n">
        <f aca="false">MIN(BV18,BV73)</f>
        <v>309.039617707113</v>
      </c>
      <c r="BW133" s="10" t="n">
        <f aca="false">MIN(BW18,BW73)</f>
        <v>22.6298439414576</v>
      </c>
      <c r="BX133" s="10" t="n">
        <f aca="false">MIN(BX18,BX73)</f>
        <v>18.2485713204103</v>
      </c>
      <c r="BY133" s="10" t="n">
        <f aca="false">MIN(BY18,BY73)</f>
        <v>32.9427986351319</v>
      </c>
      <c r="BZ133" s="10" t="n">
        <f aca="false">MIN(BZ18,BZ73)</f>
        <v>38732.4572478566</v>
      </c>
      <c r="CA133" s="10" t="n">
        <f aca="false">MIN(CA18,CA73)</f>
        <v>17391.8465072706</v>
      </c>
      <c r="CB133" s="10" t="n">
        <f aca="false">MIN(CB18,CB73)</f>
        <v>31.8317416897474</v>
      </c>
      <c r="CC133" s="10" t="n">
        <f aca="false">MIN(CC18,CC73)</f>
        <v>9.04481420623713</v>
      </c>
      <c r="CD133" s="10" t="n">
        <f aca="false">MIN(CD18,CD73)</f>
        <v>44.0740013930681</v>
      </c>
      <c r="CE133" s="10" t="n">
        <f aca="false">MIN(CE18,CE73)</f>
        <v>35.1171139485946</v>
      </c>
      <c r="CF133" s="10" t="n">
        <f aca="false">MIN(CF18,CF73)</f>
        <v>1.04714665914757</v>
      </c>
      <c r="CG133" s="10" t="n">
        <f aca="false">MIN(CG18,CG73)</f>
        <v>74.9535040224889</v>
      </c>
      <c r="CH133" s="10" t="n">
        <f aca="false">MIN(CH18,CH73)</f>
        <v>7473.76201773257</v>
      </c>
      <c r="CI133" s="10" t="n">
        <f aca="false">MIN(CI18,CI73)</f>
        <v>840.893744167227</v>
      </c>
      <c r="CJ133" s="10" t="n">
        <f aca="false">MIN(CJ18,CJ73)</f>
        <v>6358.1473818779</v>
      </c>
      <c r="CK133" s="10" t="n">
        <f aca="false">MIN(CK18,CK73)</f>
        <v>1585.97639948806</v>
      </c>
      <c r="CL133" s="7" t="s">
        <v>322</v>
      </c>
    </row>
    <row r="134" customFormat="false" ht="12.8" hidden="false" customHeight="false" outlineLevel="0" collapsed="false">
      <c r="A134" s="7" t="s">
        <v>150</v>
      </c>
      <c r="B134" s="7" t="s">
        <v>39</v>
      </c>
      <c r="C134" s="10" t="n">
        <f aca="false">MIN(C19,C74)</f>
        <v>14360.1207732616</v>
      </c>
      <c r="D134" s="10" t="n">
        <f aca="false">MIN(D19,D74)</f>
        <v>2.23042732084581</v>
      </c>
      <c r="E134" s="10" t="n">
        <f aca="false">MIN(E19,E74)</f>
        <v>12.4579013920606</v>
      </c>
      <c r="F134" s="10" t="n">
        <f aca="false">MIN(F19,F74)</f>
        <v>53.0084732857097</v>
      </c>
      <c r="G134" s="10" t="n">
        <f aca="false">MIN(G19,G74)</f>
        <v>20.3046011609796</v>
      </c>
      <c r="H134" s="10" t="n">
        <f aca="false">MIN(H19,H74)</f>
        <v>100</v>
      </c>
      <c r="I134" s="10" t="n">
        <f aca="false">MIN(I19,I74)</f>
        <v>1134.48222782511</v>
      </c>
      <c r="J134" s="10" t="n">
        <f aca="false">MIN(J19,J74)</f>
        <v>1509.3244408583</v>
      </c>
      <c r="K134" s="10" t="n">
        <f aca="false">MIN(K19,K74)</f>
        <v>14133.5374298332</v>
      </c>
      <c r="L134" s="10" t="n">
        <f aca="false">MIN(L19,L74)</f>
        <v>35767.3314088143</v>
      </c>
      <c r="M134" s="10" t="n">
        <f aca="false">MIN(M19,M74)</f>
        <v>23572.9799900481</v>
      </c>
      <c r="N134" s="10" t="n">
        <f aca="false">MIN(N19,N74)</f>
        <v>9.27187480676777</v>
      </c>
      <c r="O134" s="10" t="n">
        <f aca="false">MIN(O19,O74)</f>
        <v>3.34564098126872</v>
      </c>
      <c r="P134" s="10" t="n">
        <f aca="false">MIN(P19,P74)</f>
        <v>6.27307683987884</v>
      </c>
      <c r="Q134" s="10" t="n">
        <f aca="false">MIN(Q19,Q74)</f>
        <v>517.996154052526</v>
      </c>
      <c r="R134" s="10" t="n">
        <f aca="false">MIN(R19,R74)</f>
        <v>24.0082288144976</v>
      </c>
      <c r="S134" s="10" t="n">
        <f aca="false">MIN(S19,S74)</f>
        <v>306.577126361265</v>
      </c>
      <c r="T134" s="10" t="n">
        <f aca="false">MIN(T19,T74)</f>
        <v>548.532603538538</v>
      </c>
      <c r="U134" s="10" t="n">
        <f aca="false">MIN(U19,U74)</f>
        <v>98.2207499585336</v>
      </c>
      <c r="V134" s="10" t="n">
        <f aca="false">MIN(V19,V74)</f>
        <v>270.562719198235</v>
      </c>
      <c r="W134" s="10" t="n">
        <f aca="false">MIN(W19,W74)</f>
        <v>8.48323957391571</v>
      </c>
      <c r="X134" s="10" t="n">
        <f aca="false">MIN(X19,X74)</f>
        <v>1.78621866181322</v>
      </c>
      <c r="Y134" s="10" t="n">
        <f aca="false">MIN(Y19,Y74)</f>
        <v>178.836657044072</v>
      </c>
      <c r="Z134" s="10" t="n">
        <f aca="false">MIN(Z19,Z74)</f>
        <v>8963.97618844892</v>
      </c>
      <c r="AA134" s="10" t="n">
        <f aca="false">MIN(AA19,AA74)</f>
        <v>15531.3655104552</v>
      </c>
      <c r="AB134" s="10" t="n">
        <f aca="false">MIN(AB19,AB74)</f>
        <v>13350.7324336403</v>
      </c>
      <c r="AC134" s="10" t="n">
        <f aca="false">MIN(AC19,AC74)</f>
        <v>77624.1917257008</v>
      </c>
      <c r="AD134" s="10" t="n">
        <f aca="false">MIN(AD19,AD74)</f>
        <v>84099.2434798483</v>
      </c>
      <c r="AE134" s="10" t="n">
        <f aca="false">MIN(AE19,AE74)</f>
        <v>262410.103681337</v>
      </c>
      <c r="AF134" s="10" t="n">
        <f aca="false">MIN(AF19,AF74)</f>
        <v>1274.40547424399</v>
      </c>
      <c r="AG134" s="10" t="n">
        <f aca="false">MIN(AG19,AG74)</f>
        <v>559.10044469204</v>
      </c>
      <c r="AH134" s="10" t="n">
        <f aca="false">MIN(AH19,AH74)</f>
        <v>379.065565785739</v>
      </c>
      <c r="AI134" s="10" t="n">
        <f aca="false">MIN(AI19,AI74)</f>
        <v>2316.42460945868</v>
      </c>
      <c r="AJ134" s="10" t="n">
        <f aca="false">MIN(AJ19,AJ74)</f>
        <v>1160.63040693601</v>
      </c>
      <c r="AK134" s="10" t="n">
        <f aca="false">MIN(AK19,AK74)</f>
        <v>389.070552349717</v>
      </c>
      <c r="AL134" s="10" t="n">
        <f aca="false">MIN(AL19,AL74)</f>
        <v>738.170488564273</v>
      </c>
      <c r="AM134" s="10" t="n">
        <f aca="false">MIN(AM19,AM74)</f>
        <v>890.060951903369</v>
      </c>
      <c r="AN134" s="10" t="n">
        <f aca="false">MIN(AN19,AN74)</f>
        <v>3013.98554363092</v>
      </c>
      <c r="AO134" s="10" t="n">
        <f aca="false">MIN(AO19,AO74)</f>
        <v>12582.3344539465</v>
      </c>
      <c r="AP134" s="10" t="n">
        <f aca="false">MIN(AP19,AP74)</f>
        <v>32945.7049578473</v>
      </c>
      <c r="AQ134" s="10" t="n">
        <f aca="false">MIN(AQ19,AQ74)</f>
        <v>12701.8123658277</v>
      </c>
      <c r="AR134" s="10" t="n">
        <f aca="false">MIN(AR19,AR74)</f>
        <v>24454.1862052246</v>
      </c>
      <c r="AS134" s="10" t="n">
        <f aca="false">MIN(AS19,AS74)</f>
        <v>3379.65563830228</v>
      </c>
      <c r="AT134" s="10" t="n">
        <f aca="false">MIN(AT19,AT74)</f>
        <v>632.362813388088</v>
      </c>
      <c r="AU134" s="10" t="n">
        <f aca="false">MIN(AU19,AU74)</f>
        <v>1326.30540750744</v>
      </c>
      <c r="AV134" s="10" t="n">
        <f aca="false">MIN(AV19,AV74)</f>
        <v>6036.03032205093</v>
      </c>
      <c r="AW134" s="10" t="n">
        <f aca="false">MIN(AW19,AW74)</f>
        <v>25.5986717178849</v>
      </c>
      <c r="AX134" s="10" t="n">
        <f aca="false">MIN(AX19,AX74)</f>
        <v>6867.57087093529</v>
      </c>
      <c r="AY134" s="10" t="n">
        <f aca="false">MIN(AY19,AY74)</f>
        <v>693.83716685325</v>
      </c>
      <c r="AZ134" s="10" t="n">
        <f aca="false">MIN(AZ19,AZ74)</f>
        <v>179.185986367446</v>
      </c>
      <c r="BA134" s="10" t="n">
        <f aca="false">MIN(BA19,BA74)</f>
        <v>1824.13390184953</v>
      </c>
      <c r="BB134" s="10" t="n">
        <f aca="false">MIN(BB19,BB74)</f>
        <v>3068.90800947187</v>
      </c>
      <c r="BC134" s="10" t="n">
        <f aca="false">MIN(BC19,BC74)</f>
        <v>1032.26660868667</v>
      </c>
      <c r="BD134" s="10" t="n">
        <f aca="false">MIN(BD19,BD74)</f>
        <v>4076.84578869143</v>
      </c>
      <c r="BE134" s="10" t="n">
        <f aca="false">MIN(BE19,BE74)</f>
        <v>9694.76953736687</v>
      </c>
      <c r="BF134" s="10" t="n">
        <f aca="false">MIN(BF19,BF74)</f>
        <v>305.927946284246</v>
      </c>
      <c r="BG134" s="10" t="n">
        <f aca="false">MIN(BG19,BG74)</f>
        <v>238.942548699722</v>
      </c>
      <c r="BH134" s="10" t="n">
        <f aca="false">MIN(BH19,BH74)</f>
        <v>119.471274349861</v>
      </c>
      <c r="BI134" s="10" t="n">
        <f aca="false">MIN(BI19,BI74)</f>
        <v>89.6034557623955</v>
      </c>
      <c r="BJ134" s="10" t="n">
        <f aca="false">MIN(BJ19,BJ74)</f>
        <v>3.87098702958593</v>
      </c>
      <c r="BK134" s="10" t="n">
        <f aca="false">MIN(BK19,BK74)</f>
        <v>179.206911524791</v>
      </c>
      <c r="BL134" s="10" t="n">
        <f aca="false">MIN(BL19,BL74)</f>
        <v>145.676794513528</v>
      </c>
      <c r="BM134" s="10" t="n">
        <f aca="false">MIN(BM19,BM74)</f>
        <v>47.3985473013136</v>
      </c>
      <c r="BN134" s="10" t="n">
        <f aca="false">MIN(BN19,BN74)</f>
        <v>809645.364086635</v>
      </c>
      <c r="BO134" s="10" t="n">
        <f aca="false">MIN(BO19,BO74)</f>
        <v>31.4508330793962</v>
      </c>
      <c r="BP134" s="10" t="n">
        <f aca="false">MIN(BP19,BP74)</f>
        <v>68.8917627295747</v>
      </c>
      <c r="BQ134" s="10" t="n">
        <f aca="false">MIN(BQ19,BQ74)</f>
        <v>100</v>
      </c>
      <c r="BR134" s="10" t="n">
        <f aca="false">MIN(BR19,BR74)</f>
        <v>943.524700767035</v>
      </c>
      <c r="BS134" s="10" t="n">
        <f aca="false">MIN(BS19,BS74)</f>
        <v>9435.24700767035</v>
      </c>
      <c r="BT134" s="10" t="n">
        <f aca="false">MIN(BT19,BT74)</f>
        <v>4.91788683330658</v>
      </c>
      <c r="BU134" s="10" t="n">
        <f aca="false">MIN(BU19,BU74)</f>
        <v>49.1788683330658</v>
      </c>
      <c r="BV134" s="10" t="n">
        <f aca="false">MIN(BV19,BV74)</f>
        <v>491.788683330658</v>
      </c>
      <c r="BW134" s="10" t="n">
        <f aca="false">MIN(BW19,BW74)</f>
        <v>24.0009256506417</v>
      </c>
      <c r="BX134" s="10" t="n">
        <f aca="false">MIN(BX19,BX74)</f>
        <v>16.3896914163275</v>
      </c>
      <c r="BY134" s="10" t="n">
        <f aca="false">MIN(BY19,BY74)</f>
        <v>135.38332991301</v>
      </c>
      <c r="BZ134" s="10" t="n">
        <f aca="false">MIN(BZ19,BZ74)</f>
        <v>45878.3177465477</v>
      </c>
      <c r="CA134" s="10" t="n">
        <f aca="false">MIN(CA19,CA74)</f>
        <v>50062.8082229896</v>
      </c>
      <c r="CB134" s="10" t="n">
        <f aca="false">MIN(CB19,CB74)</f>
        <v>109.177525040926</v>
      </c>
      <c r="CC134" s="10" t="n">
        <f aca="false">MIN(CC19,CC74)</f>
        <v>124.246872522433</v>
      </c>
      <c r="CD134" s="10" t="n">
        <f aca="false">MIN(CD19,CD74)</f>
        <v>63.1286645506231</v>
      </c>
      <c r="CE134" s="10" t="n">
        <f aca="false">MIN(CE19,CE74)</f>
        <v>19.4249255109914</v>
      </c>
      <c r="CF134" s="10" t="n">
        <f aca="false">MIN(CF19,CF74)</f>
        <v>1.27017378037528</v>
      </c>
      <c r="CG134" s="10" t="n">
        <f aca="false">MIN(CG19,CG74)</f>
        <v>22.4698910993581</v>
      </c>
      <c r="CH134" s="10" t="n">
        <f aca="false">MIN(CH19,CH74)</f>
        <v>67.3776076947757</v>
      </c>
      <c r="CI134" s="10" t="n">
        <f aca="false">MIN(CI19,CI74)</f>
        <v>241.781111177564</v>
      </c>
      <c r="CJ134" s="10" t="n">
        <f aca="false">MIN(CJ19,CJ74)</f>
        <v>3651.19515226252</v>
      </c>
      <c r="CK134" s="10" t="n">
        <f aca="false">MIN(CK19,CK74)</f>
        <v>799.613061318388</v>
      </c>
      <c r="CL134" s="7" t="s">
        <v>322</v>
      </c>
    </row>
    <row r="135" customFormat="false" ht="12.8" hidden="false" customHeight="false" outlineLevel="0" collapsed="false">
      <c r="A135" s="7" t="s">
        <v>151</v>
      </c>
      <c r="B135" s="7" t="s">
        <v>39</v>
      </c>
      <c r="C135" s="10" t="n">
        <f aca="false">MIN(C20,C75)</f>
        <v>3118.23697464595</v>
      </c>
      <c r="D135" s="10" t="n">
        <f aca="false">MIN(D20,D75)</f>
        <v>1</v>
      </c>
      <c r="E135" s="10" t="n">
        <f aca="false">MIN(E20,E75)</f>
        <v>4.10079804748396</v>
      </c>
      <c r="F135" s="10" t="n">
        <f aca="false">MIN(F20,F75)</f>
        <v>11.4346827277701</v>
      </c>
      <c r="G135" s="10" t="n">
        <f aca="false">MIN(G20,G75)</f>
        <v>3.18672008232694</v>
      </c>
      <c r="H135" s="10" t="n">
        <f aca="false">MIN(H20,H75)</f>
        <v>100</v>
      </c>
      <c r="I135" s="10" t="n">
        <f aca="false">MIN(I20,I75)</f>
        <v>967.764034898189</v>
      </c>
      <c r="J135" s="10" t="n">
        <f aca="false">MIN(J20,J75)</f>
        <v>925.711759405132</v>
      </c>
      <c r="K135" s="10" t="n">
        <f aca="false">MIN(K20,K75)</f>
        <v>5027.94218316605</v>
      </c>
      <c r="L135" s="10" t="n">
        <f aca="false">MIN(L20,L75)</f>
        <v>14891.7931450977</v>
      </c>
      <c r="M135" s="10" t="n">
        <f aca="false">MIN(M20,M75)</f>
        <v>9956.1023922858</v>
      </c>
      <c r="N135" s="10" t="n">
        <f aca="false">MIN(N20,N75)</f>
        <v>2.4270622018845</v>
      </c>
      <c r="O135" s="10" t="n">
        <f aca="false">MIN(O20,O75)</f>
        <v>1.59053550416964</v>
      </c>
      <c r="P135" s="10" t="n">
        <f aca="false">MIN(P20,P75)</f>
        <v>2.98225407031808</v>
      </c>
      <c r="Q135" s="10" t="n">
        <f aca="false">MIN(Q20,Q75)</f>
        <v>221.819037723788</v>
      </c>
      <c r="R135" s="10" t="n">
        <f aca="false">MIN(R20,R75)</f>
        <v>13.7751840634686</v>
      </c>
      <c r="S135" s="10" t="n">
        <f aca="false">MIN(S20,S75)</f>
        <v>127.643941243695</v>
      </c>
      <c r="T135" s="10" t="n">
        <f aca="false">MIN(T20,T75)</f>
        <v>228.38254193112</v>
      </c>
      <c r="U135" s="10" t="n">
        <f aca="false">MIN(U20,U75)</f>
        <v>41.4837599678575</v>
      </c>
      <c r="V135" s="10" t="n">
        <f aca="false">MIN(V20,V75)</f>
        <v>144.924692135307</v>
      </c>
      <c r="W135" s="10" t="n">
        <f aca="false">MIN(W20,W75)</f>
        <v>5.81961153539374</v>
      </c>
      <c r="X135" s="10" t="n">
        <f aca="false">MIN(X20,X75)</f>
        <v>1.66954497275895</v>
      </c>
      <c r="Y135" s="10" t="n">
        <f aca="false">MIN(Y20,Y75)</f>
        <v>74.4589657254887</v>
      </c>
      <c r="Z135" s="10" t="n">
        <f aca="false">MIN(Z20,Z75)</f>
        <v>3768.17149934846</v>
      </c>
      <c r="AA135" s="10" t="n">
        <f aca="false">MIN(AA20,AA75)</f>
        <v>6306.21068496149</v>
      </c>
      <c r="AB135" s="10" t="n">
        <f aca="false">MIN(AB20,AB75)</f>
        <v>6306.21068496149</v>
      </c>
      <c r="AC135" s="10" t="n">
        <f aca="false">MIN(AC20,AC75)</f>
        <v>33298.2555482283</v>
      </c>
      <c r="AD135" s="10" t="n">
        <f aca="false">MIN(AD20,AD75)</f>
        <v>39724.2286493183</v>
      </c>
      <c r="AE135" s="10" t="n">
        <f aca="false">MIN(AE20,AE75)</f>
        <v>127360.516395512</v>
      </c>
      <c r="AF135" s="10" t="n">
        <f aca="false">MIN(AF20,AF75)</f>
        <v>460.465931390703</v>
      </c>
      <c r="AG135" s="10" t="n">
        <f aca="false">MIN(AG20,AG75)</f>
        <v>450.79412691899</v>
      </c>
      <c r="AH135" s="10" t="n">
        <f aca="false">MIN(AH20,AH75)</f>
        <v>306.93738078716</v>
      </c>
      <c r="AI135" s="10" t="n">
        <f aca="false">MIN(AI20,AI75)</f>
        <v>1248.22515182288</v>
      </c>
      <c r="AJ135" s="10" t="n">
        <f aca="false">MIN(AJ20,AJ75)</f>
        <v>710.151318972803</v>
      </c>
      <c r="AK135" s="10" t="n">
        <f aca="false">MIN(AK20,AK75)</f>
        <v>295.009893781747</v>
      </c>
      <c r="AL135" s="10" t="n">
        <f aca="false">MIN(AL20,AL75)</f>
        <v>530.369421277168</v>
      </c>
      <c r="AM135" s="10" t="n">
        <f aca="false">MIN(AM20,AM75)</f>
        <v>836.164417062712</v>
      </c>
      <c r="AN135" s="10" t="n">
        <f aca="false">MIN(AN20,AN75)</f>
        <v>1231.7997646588</v>
      </c>
      <c r="AO135" s="10" t="n">
        <f aca="false">MIN(AO20,AO75)</f>
        <v>12083.0443431499</v>
      </c>
      <c r="AP135" s="10" t="n">
        <f aca="false">MIN(AP20,AP75)</f>
        <v>30114.712388256</v>
      </c>
      <c r="AQ135" s="10" t="n">
        <f aca="false">MIN(AQ20,AQ75)</f>
        <v>8650.93183226987</v>
      </c>
      <c r="AR135" s="10" t="n">
        <f aca="false">MIN(AR20,AR75)</f>
        <v>7986.55632630184</v>
      </c>
      <c r="AS135" s="10" t="n">
        <f aca="false">MIN(AS20,AS75)</f>
        <v>1425.49996151521</v>
      </c>
      <c r="AT135" s="10" t="n">
        <f aca="false">MIN(AT20,AT75)</f>
        <v>352.75812429298</v>
      </c>
      <c r="AU135" s="10" t="n">
        <f aca="false">MIN(AU20,AU75)</f>
        <v>409.746982126283</v>
      </c>
      <c r="AV135" s="10" t="n">
        <f aca="false">MIN(AV20,AV75)</f>
        <v>5312.17257066393</v>
      </c>
      <c r="AW135" s="10" t="n">
        <f aca="false">MIN(AW20,AW75)</f>
        <v>10.5911101979659</v>
      </c>
      <c r="AX135" s="10" t="n">
        <f aca="false">MIN(AX20,AX75)</f>
        <v>2227.09844290341</v>
      </c>
      <c r="AY135" s="10" t="n">
        <f aca="false">MIN(AY20,AY75)</f>
        <v>326.538682404454</v>
      </c>
      <c r="AZ135" s="10" t="n">
        <f aca="false">MIN(AZ20,AZ75)</f>
        <v>93.2192093103501</v>
      </c>
      <c r="BA135" s="10" t="n">
        <f aca="false">MIN(BA20,BA75)</f>
        <v>759.481450399985</v>
      </c>
      <c r="BB135" s="10" t="n">
        <f aca="false">MIN(BB20,BB75)</f>
        <v>2277.88042571423</v>
      </c>
      <c r="BC135" s="10" t="n">
        <f aca="false">MIN(BC20,BC75)</f>
        <v>1012.80417272329</v>
      </c>
      <c r="BD135" s="10" t="n">
        <f aca="false">MIN(BD20,BD75)</f>
        <v>4961.46513073079</v>
      </c>
      <c r="BE135" s="10" t="n">
        <f aca="false">MIN(BE20,BE75)</f>
        <v>8666.23835679889</v>
      </c>
      <c r="BF135" s="10" t="n">
        <f aca="false">MIN(BF20,BF75)</f>
        <v>251.965821464329</v>
      </c>
      <c r="BG135" s="10" t="n">
        <f aca="false">MIN(BG20,BG75)</f>
        <v>117.300213302712</v>
      </c>
      <c r="BH135" s="10" t="n">
        <f aca="false">MIN(BH20,BH75)</f>
        <v>56.4999600019341</v>
      </c>
      <c r="BI135" s="10" t="n">
        <f aca="false">MIN(BI20,BI75)</f>
        <v>32.6002237087004</v>
      </c>
      <c r="BJ135" s="10" t="n">
        <f aca="false">MIN(BJ20,BJ75)</f>
        <v>9.21175129337158</v>
      </c>
      <c r="BK135" s="10" t="n">
        <f aca="false">MIN(BK20,BK75)</f>
        <v>65.2004474174008</v>
      </c>
      <c r="BL135" s="10" t="n">
        <f aca="false">MIN(BL20,BL75)</f>
        <v>133.823635434009</v>
      </c>
      <c r="BM135" s="10" t="n">
        <f aca="false">MIN(BM20,BM75)</f>
        <v>101.893269039177</v>
      </c>
      <c r="BN135" s="10" t="n">
        <f aca="false">MIN(BN20,BN75)</f>
        <v>107083.529891982</v>
      </c>
      <c r="BO135" s="10" t="n">
        <f aca="false">MIN(BO20,BO75)</f>
        <v>6.99015503241648</v>
      </c>
      <c r="BP135" s="10" t="n">
        <f aca="false">MIN(BP20,BP75)</f>
        <v>29.9600086236887</v>
      </c>
      <c r="BQ135" s="10" t="n">
        <f aca="false">MIN(BQ20,BQ75)</f>
        <v>100</v>
      </c>
      <c r="BR135" s="10" t="n">
        <f aca="false">MIN(BR20,BR75)</f>
        <v>209.704498068926</v>
      </c>
      <c r="BS135" s="10" t="n">
        <f aca="false">MIN(BS20,BS75)</f>
        <v>2097.04498068926</v>
      </c>
      <c r="BT135" s="10" t="n">
        <f aca="false">MIN(BT20,BT75)</f>
        <v>1.00069499653098</v>
      </c>
      <c r="BU135" s="10" t="n">
        <f aca="false">MIN(BU20,BU75)</f>
        <v>10.0069499653098</v>
      </c>
      <c r="BV135" s="10" t="n">
        <f aca="false">MIN(BV20,BV75)</f>
        <v>100.069499653099</v>
      </c>
      <c r="BW135" s="10" t="n">
        <f aca="false">MIN(BW20,BW75)</f>
        <v>12.0833829865707</v>
      </c>
      <c r="BX135" s="10" t="n">
        <f aca="false">MIN(BX20,BX75)</f>
        <v>73.3568164627345</v>
      </c>
      <c r="BY135" s="10" t="n">
        <f aca="false">MIN(BY20,BY75)</f>
        <v>18.544719694944</v>
      </c>
      <c r="BZ135" s="10" t="n">
        <f aca="false">MIN(BZ20,BZ75)</f>
        <v>108678.13346085</v>
      </c>
      <c r="CA135" s="10" t="n">
        <f aca="false">MIN(CA20,CA75)</f>
        <v>14541.195845445</v>
      </c>
      <c r="CB135" s="10" t="n">
        <f aca="false">MIN(CB20,CB75)</f>
        <v>24.6101607516545</v>
      </c>
      <c r="CC135" s="10" t="n">
        <f aca="false">MIN(CC20,CC75)</f>
        <v>9.05339657200771</v>
      </c>
      <c r="CD135" s="10" t="n">
        <f aca="false">MIN(CD20,CD75)</f>
        <v>34.0704387676951</v>
      </c>
      <c r="CE135" s="10" t="n">
        <f aca="false">MIN(CE20,CE75)</f>
        <v>60.8092068058097</v>
      </c>
      <c r="CF135" s="10" t="n">
        <f aca="false">MIN(CF20,CF75)</f>
        <v>1</v>
      </c>
      <c r="CG135" s="10" t="n">
        <f aca="false">MIN(CG20,CG75)</f>
        <v>69.057329740324</v>
      </c>
      <c r="CH135" s="10" t="n">
        <f aca="false">MIN(CH20,CH75)</f>
        <v>1036.37591395548</v>
      </c>
      <c r="CI135" s="10" t="n">
        <f aca="false">MIN(CI20,CI75)</f>
        <v>209.378161240622</v>
      </c>
      <c r="CJ135" s="10" t="n">
        <f aca="false">MIN(CJ20,CJ75)</f>
        <v>1184.74165931184</v>
      </c>
      <c r="CK135" s="10" t="n">
        <f aca="false">MIN(CK20,CK75)</f>
        <v>4791.89417275808</v>
      </c>
      <c r="CL135" s="7" t="s">
        <v>322</v>
      </c>
    </row>
    <row r="136" s="17" customFormat="true" ht="12.8" hidden="false" customHeight="false" outlineLevel="0" collapsed="false">
      <c r="A136" s="21" t="s">
        <v>152</v>
      </c>
      <c r="B136" s="21" t="s">
        <v>39</v>
      </c>
      <c r="C136" s="25" t="n">
        <f aca="false">MIN(C21,C76)</f>
        <v>5247.34459578449</v>
      </c>
      <c r="D136" s="25" t="n">
        <f aca="false">MIN(D21,D76)</f>
        <v>1.04051380834605</v>
      </c>
      <c r="E136" s="25" t="n">
        <f aca="false">MIN(E21,E76)</f>
        <v>6.55160360385323</v>
      </c>
      <c r="F136" s="25" t="n">
        <f aca="false">MIN(F21,F76)</f>
        <v>20.6390654818574</v>
      </c>
      <c r="G136" s="25" t="n">
        <f aca="false">MIN(G21,G76)</f>
        <v>156.673455182726</v>
      </c>
      <c r="H136" s="25" t="n">
        <f aca="false">MIN(H21,H76)</f>
        <v>100</v>
      </c>
      <c r="I136" s="25" t="n">
        <f aca="false">MIN(I21,I76)</f>
        <v>757.157631586537</v>
      </c>
      <c r="J136" s="25" t="n">
        <f aca="false">MIN(J21,J76)</f>
        <v>1153.8417028766</v>
      </c>
      <c r="K136" s="25" t="n">
        <f aca="false">MIN(K21,K76)</f>
        <v>5082.69983788</v>
      </c>
      <c r="L136" s="25" t="n">
        <f aca="false">MIN(L21,L76)</f>
        <v>15266.6372328003</v>
      </c>
      <c r="M136" s="25" t="n">
        <f aca="false">MIN(M21,M76)</f>
        <v>10221.0048929881</v>
      </c>
      <c r="N136" s="25" t="n">
        <f aca="false">MIN(N21,N76)</f>
        <v>3.23234879591723</v>
      </c>
      <c r="O136" s="25" t="n">
        <f aca="false">MIN(O21,O76)</f>
        <v>1.58047599579341</v>
      </c>
      <c r="P136" s="25" t="n">
        <f aca="false">MIN(P21,P76)</f>
        <v>2.96339249211264</v>
      </c>
      <c r="Q136" s="25" t="n">
        <f aca="false">MIN(Q21,Q76)</f>
        <v>6451.29641346682</v>
      </c>
      <c r="R136" s="25" t="n">
        <f aca="false">MIN(R21,R76)</f>
        <v>13.2893833887641</v>
      </c>
      <c r="S136" s="25" t="n">
        <f aca="false">MIN(S21,S76)</f>
        <v>130.856890566859</v>
      </c>
      <c r="T136" s="25" t="n">
        <f aca="false">MIN(T21,T76)</f>
        <v>234.131201259332</v>
      </c>
      <c r="U136" s="25" t="n">
        <f aca="false">MIN(U21,U76)</f>
        <v>42.5875203874505</v>
      </c>
      <c r="V136" s="25" t="n">
        <f aca="false">MIN(V21,V76)</f>
        <v>112.521711020935</v>
      </c>
      <c r="W136" s="25" t="n">
        <f aca="false">MIN(W21,W76)</f>
        <v>4.27532016195553</v>
      </c>
      <c r="X136" s="25" t="n">
        <f aca="false">MIN(X21,X76)</f>
        <v>1.27810644519297</v>
      </c>
      <c r="Y136" s="25" t="n">
        <f aca="false">MIN(Y21,Y76)</f>
        <v>76.3331861640014</v>
      </c>
      <c r="Z136" s="25" t="n">
        <f aca="false">MIN(Z21,Z76)</f>
        <v>3785.4761973767</v>
      </c>
      <c r="AA136" s="25" t="n">
        <f aca="false">MIN(AA21,AA76)</f>
        <v>5502.99587956873</v>
      </c>
      <c r="AB136" s="25" t="n">
        <f aca="false">MIN(AB21,AB76)</f>
        <v>5740.32686626575</v>
      </c>
      <c r="AC136" s="25" t="n">
        <f aca="false">MIN(AC21,AC76)</f>
        <v>40298.4639616058</v>
      </c>
      <c r="AD136" s="25" t="n">
        <f aca="false">MIN(AD21,AD76)</f>
        <v>36159.6001702183</v>
      </c>
      <c r="AE136" s="25" t="n">
        <f aca="false">MIN(AE21,AE76)</f>
        <v>123746.710888296</v>
      </c>
      <c r="AF136" s="25" t="n">
        <f aca="false">MIN(AF21,AF76)</f>
        <v>442.581114275483</v>
      </c>
      <c r="AG136" s="25" t="n">
        <f aca="false">MIN(AG21,AG76)</f>
        <v>417.261235992291</v>
      </c>
      <c r="AH136" s="25" t="n">
        <f aca="false">MIN(AH21,AH76)</f>
        <v>272.902528276978</v>
      </c>
      <c r="AI136" s="25" t="n">
        <f aca="false">MIN(AI21,AI76)</f>
        <v>1476.213509812</v>
      </c>
      <c r="AJ136" s="25" t="n">
        <f aca="false">MIN(AJ21,AJ76)</f>
        <v>607.160382064541</v>
      </c>
      <c r="AK136" s="25" t="n">
        <f aca="false">MIN(AK21,AK76)</f>
        <v>229.032943399413</v>
      </c>
      <c r="AL136" s="25" t="n">
        <f aca="false">MIN(AL21,AL76)</f>
        <v>470.964495996407</v>
      </c>
      <c r="AM136" s="25" t="n">
        <f aca="false">MIN(AM21,AM76)</f>
        <v>915.212915970879</v>
      </c>
      <c r="AN136" s="25" t="n">
        <f aca="false">MIN(AN21,AN76)</f>
        <v>1091.88177365389</v>
      </c>
      <c r="AO136" s="25" t="n">
        <f aca="false">MIN(AO21,AO76)</f>
        <v>9122.03074300986</v>
      </c>
      <c r="AP136" s="25" t="n">
        <f aca="false">MIN(AP21,AP76)</f>
        <v>24493.6934564449</v>
      </c>
      <c r="AQ136" s="25" t="n">
        <f aca="false">MIN(AQ21,AQ76)</f>
        <v>5609.73037442402</v>
      </c>
      <c r="AR136" s="25" t="n">
        <f aca="false">MIN(AR21,AR76)</f>
        <v>10023.6133734767</v>
      </c>
      <c r="AS136" s="25" t="n">
        <f aca="false">MIN(AS21,AS76)</f>
        <v>1392.9196917196</v>
      </c>
      <c r="AT136" s="25" t="n">
        <f aca="false">MIN(AT21,AT76)</f>
        <v>401.308087759394</v>
      </c>
      <c r="AU136" s="25" t="n">
        <f aca="false">MIN(AU21,AU76)</f>
        <v>652.281367871255</v>
      </c>
      <c r="AV136" s="25" t="n">
        <f aca="false">MIN(AV21,AV76)</f>
        <v>5540.14354450842</v>
      </c>
      <c r="AW136" s="25" t="n">
        <f aca="false">MIN(AW21,AW76)</f>
        <v>12.8792781181169</v>
      </c>
      <c r="AX136" s="25" t="n">
        <f aca="false">MIN(AX21,AX76)</f>
        <v>2827.60055004536</v>
      </c>
      <c r="AY136" s="25" t="n">
        <f aca="false">MIN(AY21,AY76)</f>
        <v>289.765192017221</v>
      </c>
      <c r="AZ136" s="25" t="n">
        <f aca="false">MIN(AZ21,AZ76)</f>
        <v>86.5331095476425</v>
      </c>
      <c r="BA136" s="25" t="n">
        <f aca="false">MIN(BA21,BA76)</f>
        <v>778.598498872815</v>
      </c>
      <c r="BB136" s="25" t="n">
        <f aca="false">MIN(BB21,BB76)</f>
        <v>2171.02889508004</v>
      </c>
      <c r="BC136" s="25" t="n">
        <f aca="false">MIN(BC21,BC76)</f>
        <v>845.304750278601</v>
      </c>
      <c r="BD136" s="25" t="n">
        <f aca="false">MIN(BD21,BD76)</f>
        <v>3489.53233271164</v>
      </c>
      <c r="BE136" s="25" t="n">
        <f aca="false">MIN(BE21,BE76)</f>
        <v>7004.30226676797</v>
      </c>
      <c r="BF136" s="25" t="n">
        <f aca="false">MIN(BF21,BF76)</f>
        <v>480.651383648154</v>
      </c>
      <c r="BG136" s="25" t="n">
        <f aca="false">MIN(BG21,BG76)</f>
        <v>125.659757121905</v>
      </c>
      <c r="BH136" s="25" t="n">
        <f aca="false">MIN(BH21,BH76)</f>
        <v>61.7278197074709</v>
      </c>
      <c r="BI136" s="25" t="n">
        <f aca="false">MIN(BI21,BI76)</f>
        <v>39.1114455660148</v>
      </c>
      <c r="BJ136" s="25" t="n">
        <f aca="false">MIN(BJ21,BJ76)</f>
        <v>3.20514766778753</v>
      </c>
      <c r="BK136" s="25" t="n">
        <f aca="false">MIN(BK21,BK76)</f>
        <v>78.2228911320295</v>
      </c>
      <c r="BL136" s="25" t="n">
        <f aca="false">MIN(BL21,BL76)</f>
        <v>76.4782160619173</v>
      </c>
      <c r="BM136" s="25" t="n">
        <f aca="false">MIN(BM21,BM76)</f>
        <v>38.0984985595905</v>
      </c>
      <c r="BN136" s="25" t="n">
        <f aca="false">MIN(BN21,BN76)</f>
        <v>1</v>
      </c>
      <c r="BO136" s="25" t="n">
        <f aca="false">MIN(BO21,BO76)</f>
        <v>2.21981995779299</v>
      </c>
      <c r="BP136" s="25" t="n">
        <f aca="false">MIN(BP21,BP76)</f>
        <v>8.4671713864342</v>
      </c>
      <c r="BQ136" s="25" t="n">
        <f aca="false">MIN(BQ21,BQ76)</f>
        <v>100</v>
      </c>
      <c r="BR136" s="25" t="n">
        <f aca="false">MIN(BR21,BR76)</f>
        <v>66.5945987337898</v>
      </c>
      <c r="BS136" s="25" t="n">
        <f aca="false">MIN(BS21,BS76)</f>
        <v>665.946296913424</v>
      </c>
      <c r="BT136" s="25" t="n">
        <f aca="false">MIN(BT21,BT76)</f>
        <v>1</v>
      </c>
      <c r="BU136" s="25" t="n">
        <f aca="false">MIN(BU21,BU76)</f>
        <v>10</v>
      </c>
      <c r="BV136" s="25" t="n">
        <f aca="false">MIN(BV21,BV76)</f>
        <v>100</v>
      </c>
      <c r="BW136" s="25" t="n">
        <f aca="false">MIN(BW21,BW76)</f>
        <v>12.6220738180485</v>
      </c>
      <c r="BX136" s="25" t="n">
        <f aca="false">MIN(BX21,BX76)</f>
        <v>8.6815882484004</v>
      </c>
      <c r="BY136" s="25" t="n">
        <f aca="false">MIN(BY21,BY76)</f>
        <v>15.5280452493006</v>
      </c>
      <c r="BZ136" s="25" t="n">
        <f aca="false">MIN(BZ21,BZ76)</f>
        <v>36538.8533716491</v>
      </c>
      <c r="CA136" s="25" t="n">
        <f aca="false">MIN(CA21,CA76)</f>
        <v>67314.9591133332</v>
      </c>
      <c r="CB136" s="25" t="n">
        <f aca="false">MIN(CB21,CB76)</f>
        <v>34.3595444089017</v>
      </c>
      <c r="CC136" s="25" t="n">
        <f aca="false">MIN(CC21,CC76)</f>
        <v>14.0812778612904</v>
      </c>
      <c r="CD136" s="25" t="n">
        <f aca="false">MIN(CD21,CD76)</f>
        <v>35.871942200509</v>
      </c>
      <c r="CE136" s="25" t="n">
        <f aca="false">MIN(CE21,CE76)</f>
        <v>13.2032073260545</v>
      </c>
      <c r="CF136" s="25" t="n">
        <f aca="false">MIN(CF21,CF76)</f>
        <v>1</v>
      </c>
      <c r="CG136" s="25" t="n">
        <f aca="false">MIN(CG21,CG76)</f>
        <v>7.38516079254991</v>
      </c>
      <c r="CH136" s="25" t="n">
        <f aca="false">MIN(CH21,CH76)</f>
        <v>5.49962619648678</v>
      </c>
      <c r="CI136" s="25" t="n">
        <f aca="false">MIN(CI21,CI76)</f>
        <v>87.4294368559607</v>
      </c>
      <c r="CJ136" s="25" t="n">
        <f aca="false">MIN(CJ21,CJ76)</f>
        <v>1005.57430855617</v>
      </c>
      <c r="CK136" s="25" t="n">
        <f aca="false">MIN(CK21,CK76)</f>
        <v>602.523420968815</v>
      </c>
      <c r="CL136" s="21" t="s">
        <v>322</v>
      </c>
    </row>
    <row r="137" customFormat="false" ht="12.8" hidden="false" customHeight="false" outlineLevel="0" collapsed="false">
      <c r="A137" s="7" t="s">
        <v>153</v>
      </c>
      <c r="B137" s="7" t="s">
        <v>39</v>
      </c>
      <c r="C137" s="10" t="n">
        <f aca="false">MIN(C22,C77)</f>
        <v>14423.2689550634</v>
      </c>
      <c r="D137" s="10" t="n">
        <f aca="false">MIN(D22,D77)</f>
        <v>2.06542824441762</v>
      </c>
      <c r="E137" s="10" t="n">
        <f aca="false">MIN(E22,E77)</f>
        <v>11.7686584176949</v>
      </c>
      <c r="F137" s="10" t="n">
        <f aca="false">MIN(F22,F77)</f>
        <v>51.5632750902248</v>
      </c>
      <c r="G137" s="10" t="n">
        <f aca="false">MIN(G22,G77)</f>
        <v>40.1001619369899</v>
      </c>
      <c r="H137" s="10" t="n">
        <f aca="false">MIN(H22,H77)</f>
        <v>100</v>
      </c>
      <c r="I137" s="10" t="n">
        <f aca="false">MIN(I22,I77)</f>
        <v>1634.40986030682</v>
      </c>
      <c r="J137" s="10" t="n">
        <f aca="false">MIN(J22,J77)</f>
        <v>1938.15309536419</v>
      </c>
      <c r="K137" s="10" t="n">
        <f aca="false">MIN(K22,K77)</f>
        <v>11598.5111041128</v>
      </c>
      <c r="L137" s="10" t="n">
        <f aca="false">MIN(L22,L77)</f>
        <v>34698.2211173806</v>
      </c>
      <c r="M137" s="10" t="n">
        <f aca="false">MIN(M22,M77)</f>
        <v>23221.0823084448</v>
      </c>
      <c r="N137" s="10" t="n">
        <f aca="false">MIN(N22,N77)</f>
        <v>5.79662980732781</v>
      </c>
      <c r="O137" s="10" t="n">
        <f aca="false">MIN(O22,O77)</f>
        <v>3.09814236662643</v>
      </c>
      <c r="P137" s="10" t="n">
        <f aca="false">MIN(P22,P77)</f>
        <v>5.80901693742456</v>
      </c>
      <c r="Q137" s="10" t="n">
        <f aca="false">MIN(Q22,Q77)</f>
        <v>1536.08697389786</v>
      </c>
      <c r="R137" s="10" t="n">
        <f aca="false">MIN(R22,R77)</f>
        <v>24.0558085545487</v>
      </c>
      <c r="S137" s="10" t="n">
        <f aca="false">MIN(S22,S77)</f>
        <v>297.413323863262</v>
      </c>
      <c r="T137" s="10" t="n">
        <f aca="false">MIN(T22,T77)</f>
        <v>532.136584363189</v>
      </c>
      <c r="U137" s="10" t="n">
        <f aca="false">MIN(U22,U77)</f>
        <v>96.7545096185201</v>
      </c>
      <c r="V137" s="10" t="n">
        <f aca="false">MIN(V22,V77)</f>
        <v>286.962637018238</v>
      </c>
      <c r="W137" s="10" t="n">
        <f aca="false">MIN(W22,W77)</f>
        <v>6.97102056813174</v>
      </c>
      <c r="X137" s="10" t="n">
        <f aca="false">MIN(X22,X77)</f>
        <v>5.22024214268083</v>
      </c>
      <c r="Y137" s="10" t="n">
        <f aca="false">MIN(Y22,Y77)</f>
        <v>173.491105586903</v>
      </c>
      <c r="Z137" s="10" t="n">
        <f aca="false">MIN(Z22,Z77)</f>
        <v>7675.53604031271</v>
      </c>
      <c r="AA137" s="10" t="n">
        <f aca="false">MIN(AA22,AA77)</f>
        <v>10206.719916728</v>
      </c>
      <c r="AB137" s="10" t="n">
        <f aca="false">MIN(AB22,AB77)</f>
        <v>10613.435832512</v>
      </c>
      <c r="AC137" s="10" t="n">
        <f aca="false">MIN(AC22,AC77)</f>
        <v>50276.5551830217</v>
      </c>
      <c r="AD137" s="10" t="n">
        <f aca="false">MIN(AD22,AD77)</f>
        <v>66856.4012253817</v>
      </c>
      <c r="AE137" s="10" t="n">
        <f aca="false">MIN(AE22,AE77)</f>
        <v>138259.191430807</v>
      </c>
      <c r="AF137" s="10" t="n">
        <f aca="false">MIN(AF22,AF77)</f>
        <v>431.111281580358</v>
      </c>
      <c r="AG137" s="10" t="n">
        <f aca="false">MIN(AG22,AG77)</f>
        <v>860.011324382348</v>
      </c>
      <c r="AH137" s="10" t="n">
        <f aca="false">MIN(AH22,AH77)</f>
        <v>269.134453136472</v>
      </c>
      <c r="AI137" s="10" t="n">
        <f aca="false">MIN(AI22,AI77)</f>
        <v>1626.27362603757</v>
      </c>
      <c r="AJ137" s="10" t="n">
        <f aca="false">MIN(AJ22,AJ77)</f>
        <v>1152.84126183612</v>
      </c>
      <c r="AK137" s="10" t="n">
        <f aca="false">MIN(AK22,AK77)</f>
        <v>268.971598868244</v>
      </c>
      <c r="AL137" s="10" t="n">
        <f aca="false">MIN(AL22,AL77)</f>
        <v>615.605737850685</v>
      </c>
      <c r="AM137" s="10" t="n">
        <f aca="false">MIN(AM22,AM77)</f>
        <v>1835.69429049464</v>
      </c>
      <c r="AN137" s="10" t="n">
        <f aca="false">MIN(AN22,AN77)</f>
        <v>1516.22277571744</v>
      </c>
      <c r="AO137" s="10" t="n">
        <f aca="false">MIN(AO22,AO77)</f>
        <v>10017.5493211944</v>
      </c>
      <c r="AP137" s="10" t="n">
        <f aca="false">MIN(AP22,AP77)</f>
        <v>45829.2014138463</v>
      </c>
      <c r="AQ137" s="10" t="n">
        <f aca="false">MIN(AQ22,AQ77)</f>
        <v>12320.2229599823</v>
      </c>
      <c r="AR137" s="10" t="n">
        <f aca="false">MIN(AR22,AR77)</f>
        <v>19787.0983213627</v>
      </c>
      <c r="AS137" s="10" t="n">
        <f aca="false">MIN(AS22,AS77)</f>
        <v>2545.13218444273</v>
      </c>
      <c r="AT137" s="10" t="n">
        <f aca="false">MIN(AT22,AT77)</f>
        <v>339.762431564953</v>
      </c>
      <c r="AU137" s="10" t="n">
        <f aca="false">MIN(AU22,AU77)</f>
        <v>1247.82644673852</v>
      </c>
      <c r="AV137" s="10" t="n">
        <f aca="false">MIN(AV22,AV77)</f>
        <v>10907.1464064718</v>
      </c>
      <c r="AW137" s="10" t="n">
        <f aca="false">MIN(AW22,AW77)</f>
        <v>16.167478841998</v>
      </c>
      <c r="AX137" s="10" t="n">
        <f aca="false">MIN(AX22,AX77)</f>
        <v>2948.41633790816</v>
      </c>
      <c r="AY137" s="10" t="n">
        <f aca="false">MIN(AY22,AY77)</f>
        <v>453.937319802303</v>
      </c>
      <c r="AZ137" s="10" t="n">
        <f aca="false">MIN(AZ22,AZ77)</f>
        <v>155.69990107296</v>
      </c>
      <c r="BA137" s="10" t="n">
        <f aca="false">MIN(BA22,BA77)</f>
        <v>1769.60927698641</v>
      </c>
      <c r="BB137" s="10" t="n">
        <f aca="false">MIN(BB22,BB77)</f>
        <v>4152.23705520855</v>
      </c>
      <c r="BC137" s="10" t="n">
        <f aca="false">MIN(BC22,BC77)</f>
        <v>878.656452598329</v>
      </c>
      <c r="BD137" s="10" t="n">
        <f aca="false">MIN(BD22,BD77)</f>
        <v>4578.27465201329</v>
      </c>
      <c r="BE137" s="10" t="n">
        <f aca="false">MIN(BE22,BE77)</f>
        <v>13098.6229741359</v>
      </c>
      <c r="BF137" s="10" t="n">
        <f aca="false">MIN(BF22,BF77)</f>
        <v>1055.04887587675</v>
      </c>
      <c r="BG137" s="10" t="n">
        <f aca="false">MIN(BG22,BG77)</f>
        <v>225.722868451389</v>
      </c>
      <c r="BH137" s="10" t="n">
        <f aca="false">MIN(BH22,BH77)</f>
        <v>112.861434225695</v>
      </c>
      <c r="BI137" s="10" t="n">
        <f aca="false">MIN(BI22,BI77)</f>
        <v>84.6460756692709</v>
      </c>
      <c r="BJ137" s="10" t="n">
        <f aca="false">MIN(BJ22,BJ77)</f>
        <v>83.7726451873437</v>
      </c>
      <c r="BK137" s="10" t="n">
        <f aca="false">MIN(BK22,BK77)</f>
        <v>169.292151338542</v>
      </c>
      <c r="BL137" s="10" t="n">
        <f aca="false">MIN(BL22,BL77)</f>
        <v>185.588455803904</v>
      </c>
      <c r="BM137" s="10" t="n">
        <f aca="false">MIN(BM22,BM77)</f>
        <v>29.3602545051914</v>
      </c>
      <c r="BN137" s="10" t="n">
        <f aca="false">MIN(BN22,BN77)</f>
        <v>412578.830979467</v>
      </c>
      <c r="BO137" s="10" t="n">
        <f aca="false">MIN(BO22,BO77)</f>
        <v>19.0065988363537</v>
      </c>
      <c r="BP137" s="10" t="n">
        <f aca="false">MIN(BP22,BP77)</f>
        <v>42.6806419780826</v>
      </c>
      <c r="BQ137" s="10" t="n">
        <f aca="false">MIN(BQ22,BQ77)</f>
        <v>100</v>
      </c>
      <c r="BR137" s="10" t="n">
        <f aca="false">MIN(BR22,BR77)</f>
        <v>570.197731321615</v>
      </c>
      <c r="BS137" s="10" t="n">
        <f aca="false">MIN(BS22,BS77)</f>
        <v>5701.97731321615</v>
      </c>
      <c r="BT137" s="10" t="n">
        <f aca="false">MIN(BT22,BT77)</f>
        <v>3.03293399193856</v>
      </c>
      <c r="BU137" s="10" t="n">
        <f aca="false">MIN(BU22,BU77)</f>
        <v>30.3293399193855</v>
      </c>
      <c r="BV137" s="10" t="n">
        <f aca="false">MIN(BV22,BV77)</f>
        <v>303.293399193856</v>
      </c>
      <c r="BW137" s="10" t="n">
        <f aca="false">MIN(BW22,BW77)</f>
        <v>22.6730559828404</v>
      </c>
      <c r="BX137" s="10" t="n">
        <f aca="false">MIN(BX22,BX77)</f>
        <v>1248.35153001475</v>
      </c>
      <c r="BY137" s="10" t="n">
        <f aca="false">MIN(BY22,BY77)</f>
        <v>20.8862615485005</v>
      </c>
      <c r="BZ137" s="10" t="n">
        <f aca="false">MIN(BZ22,BZ77)</f>
        <v>65195.3668460917</v>
      </c>
      <c r="CA137" s="10" t="n">
        <f aca="false">MIN(CA22,CA77)</f>
        <v>18742.6569760106</v>
      </c>
      <c r="CB137" s="10" t="n">
        <f aca="false">MIN(CB22,CB77)</f>
        <v>26.2295389544119</v>
      </c>
      <c r="CC137" s="10" t="n">
        <f aca="false">MIN(CC22,CC77)</f>
        <v>10.492965690373</v>
      </c>
      <c r="CD137" s="10" t="n">
        <f aca="false">MIN(CD22,CD77)</f>
        <v>59.1382999115794</v>
      </c>
      <c r="CE137" s="10" t="n">
        <f aca="false">MIN(CE22,CE77)</f>
        <v>17.352696488827</v>
      </c>
      <c r="CF137" s="10" t="n">
        <f aca="false">MIN(CF22,CF77)</f>
        <v>1</v>
      </c>
      <c r="CG137" s="10" t="n">
        <f aca="false">MIN(CG22,CG77)</f>
        <v>59.412821038556</v>
      </c>
      <c r="CH137" s="10" t="n">
        <f aca="false">MIN(CH22,CH77)</f>
        <v>159.101156565248</v>
      </c>
      <c r="CI137" s="10" t="n">
        <f aca="false">MIN(CI22,CI77)</f>
        <v>1076.84373593201</v>
      </c>
      <c r="CJ137" s="10" t="n">
        <f aca="false">MIN(CJ22,CJ77)</f>
        <v>1370.68260115302</v>
      </c>
      <c r="CK137" s="10" t="n">
        <f aca="false">MIN(CK22,CK77)</f>
        <v>1108.31910308115</v>
      </c>
      <c r="CL137" s="7" t="s">
        <v>322</v>
      </c>
    </row>
    <row r="138" customFormat="false" ht="12.8" hidden="false" customHeight="false" outlineLevel="0" collapsed="false">
      <c r="A138" s="7" t="s">
        <v>155</v>
      </c>
      <c r="B138" s="7" t="s">
        <v>39</v>
      </c>
      <c r="C138" s="10" t="n">
        <f aca="false">MIN(C23,C78)</f>
        <v>56372.5182308469</v>
      </c>
      <c r="D138" s="10" t="n">
        <f aca="false">MIN(D23,D78)</f>
        <v>12.6423177079445</v>
      </c>
      <c r="E138" s="10" t="n">
        <f aca="false">MIN(E23,E78)</f>
        <v>120.722917780458</v>
      </c>
      <c r="F138" s="10" t="n">
        <f aca="false">MIN(F23,F78)</f>
        <v>648.595067562106</v>
      </c>
      <c r="G138" s="10" t="n">
        <f aca="false">MIN(G23,G78)</f>
        <v>1014.08468835744</v>
      </c>
      <c r="H138" s="10" t="n">
        <f aca="false">MIN(H23,H78)</f>
        <v>100</v>
      </c>
      <c r="I138" s="10" t="n">
        <f aca="false">MIN(I23,I78)</f>
        <v>3203.37164371916</v>
      </c>
      <c r="J138" s="10" t="n">
        <f aca="false">MIN(J23,J78)</f>
        <v>3589.63838585337</v>
      </c>
      <c r="K138" s="10" t="n">
        <f aca="false">MIN(K23,K78)</f>
        <v>40746.4992214874</v>
      </c>
      <c r="L138" s="10" t="n">
        <f aca="false">MIN(L23,L78)</f>
        <v>144695.043518582</v>
      </c>
      <c r="M138" s="10" t="n">
        <f aca="false">MIN(M23,M78)</f>
        <v>98681.6984937108</v>
      </c>
      <c r="N138" s="10" t="n">
        <f aca="false">MIN(N23,N78)</f>
        <v>110.790651312345</v>
      </c>
      <c r="O138" s="10" t="n">
        <f aca="false">MIN(O23,O78)</f>
        <v>18.9634765619168</v>
      </c>
      <c r="P138" s="10" t="n">
        <f aca="false">MIN(P23,P78)</f>
        <v>35.5565185535939</v>
      </c>
      <c r="Q138" s="10" t="n">
        <f aca="false">MIN(Q23,Q78)</f>
        <v>5205.33815439874</v>
      </c>
      <c r="R138" s="10" t="n">
        <f aca="false">MIN(R23,R78)</f>
        <v>32.3483797553382</v>
      </c>
      <c r="S138" s="10" t="n">
        <f aca="false">MIN(S23,S78)</f>
        <v>1240.24323015927</v>
      </c>
      <c r="T138" s="10" t="n">
        <f aca="false">MIN(T23,T78)</f>
        <v>2219.06264219674</v>
      </c>
      <c r="U138" s="10" t="n">
        <f aca="false">MIN(U23,U78)</f>
        <v>411.173743723795</v>
      </c>
      <c r="V138" s="10" t="n">
        <f aca="false">MIN(V23,V78)</f>
        <v>300.433138175052</v>
      </c>
      <c r="W138" s="10" t="n">
        <f aca="false">MIN(W23,W78)</f>
        <v>8.94397183871135</v>
      </c>
      <c r="X138" s="10" t="n">
        <f aca="false">MIN(X23,X78)</f>
        <v>1.72361558500484</v>
      </c>
      <c r="Y138" s="10" t="n">
        <f aca="false">MIN(Y23,Y78)</f>
        <v>723.47521759291</v>
      </c>
      <c r="Z138" s="10" t="n">
        <f aca="false">MIN(Z23,Z78)</f>
        <v>484645.598306442</v>
      </c>
      <c r="AA138" s="10" t="n">
        <f aca="false">MIN(AA23,AA78)</f>
        <v>292101.176652591</v>
      </c>
      <c r="AB138" s="10" t="n">
        <f aca="false">MIN(AB23,AB78)</f>
        <v>129374.870066191</v>
      </c>
      <c r="AC138" s="10" t="n">
        <f aca="false">MIN(AC23,AC78)</f>
        <v>746257.956395717</v>
      </c>
      <c r="AD138" s="10" t="n">
        <f aca="false">MIN(AD23,AD78)</f>
        <v>814961.182987594</v>
      </c>
      <c r="AE138" s="10" t="n">
        <f aca="false">MIN(AE23,AE78)</f>
        <v>903658.498227686</v>
      </c>
      <c r="AF138" s="10" t="n">
        <f aca="false">MIN(AF23,AF78)</f>
        <v>1211.93540283852</v>
      </c>
      <c r="AG138" s="10" t="n">
        <f aca="false">MIN(AG23,AG78)</f>
        <v>1741.66571549838</v>
      </c>
      <c r="AH138" s="10" t="n">
        <f aca="false">MIN(AH23,AH78)</f>
        <v>3382.37004254373</v>
      </c>
      <c r="AI138" s="10" t="n">
        <f aca="false">MIN(AI23,AI78)</f>
        <v>4203.32146378248</v>
      </c>
      <c r="AJ138" s="10" t="n">
        <f aca="false">MIN(AJ23,AJ78)</f>
        <v>7919.39312581976</v>
      </c>
      <c r="AK138" s="10" t="n">
        <f aca="false">MIN(AK23,AK78)</f>
        <v>862.55839192444</v>
      </c>
      <c r="AL138" s="10" t="n">
        <f aca="false">MIN(AL23,AL78)</f>
        <v>1874.66533400968</v>
      </c>
      <c r="AM138" s="10" t="n">
        <f aca="false">MIN(AM23,AM78)</f>
        <v>2256.10509215407</v>
      </c>
      <c r="AN138" s="10" t="n">
        <f aca="false">MIN(AN23,AN78)</f>
        <v>5703.42172913001</v>
      </c>
      <c r="AO138" s="10" t="n">
        <f aca="false">MIN(AO23,AO78)</f>
        <v>78038.5080141686</v>
      </c>
      <c r="AP138" s="10" t="n">
        <f aca="false">MIN(AP23,AP78)</f>
        <v>243066.511091148</v>
      </c>
      <c r="AQ138" s="10" t="n">
        <f aca="false">MIN(AQ23,AQ78)</f>
        <v>22884.02196295</v>
      </c>
      <c r="AR138" s="10" t="n">
        <f aca="false">MIN(AR23,AR78)</f>
        <v>22757.9418698446</v>
      </c>
      <c r="AS138" s="10" t="n">
        <f aca="false">MIN(AS23,AS78)</f>
        <v>5516.63146017486</v>
      </c>
      <c r="AT138" s="10" t="n">
        <f aca="false">MIN(AT23,AT78)</f>
        <v>3171.10305910454</v>
      </c>
      <c r="AU138" s="10" t="n">
        <f aca="false">MIN(AU23,AU78)</f>
        <v>2295.26743014177</v>
      </c>
      <c r="AV138" s="10" t="n">
        <f aca="false">MIN(AV23,AV78)</f>
        <v>16897.2270543603</v>
      </c>
      <c r="AW138" s="10" t="n">
        <f aca="false">MIN(AW23,AW78)</f>
        <v>235.121865529553</v>
      </c>
      <c r="AX138" s="10" t="n">
        <f aca="false">MIN(AX23,AX78)</f>
        <v>5107.54452204658</v>
      </c>
      <c r="AY138" s="10" t="n">
        <f aca="false">MIN(AY23,AY78)</f>
        <v>16069.3661467908</v>
      </c>
      <c r="AZ138" s="10" t="n">
        <f aca="false">MIN(AZ23,AZ78)</f>
        <v>3379.4862809553</v>
      </c>
      <c r="BA138" s="10" t="n">
        <f aca="false">MIN(BA23,BA78)</f>
        <v>7379.44721944768</v>
      </c>
      <c r="BB138" s="10" t="n">
        <f aca="false">MIN(BB23,BB78)</f>
        <v>7982.66320782985</v>
      </c>
      <c r="BC138" s="10" t="n">
        <f aca="false">MIN(BC23,BC78)</f>
        <v>2322.84031864694</v>
      </c>
      <c r="BD138" s="10" t="n">
        <f aca="false">MIN(BD23,BD78)</f>
        <v>10546.8556335715</v>
      </c>
      <c r="BE138" s="10" t="n">
        <f aca="false">MIN(BE23,BE78)</f>
        <v>35259.0194369005</v>
      </c>
      <c r="BF138" s="10" t="n">
        <f aca="false">MIN(BF23,BF78)</f>
        <v>1145.51708037899</v>
      </c>
      <c r="BG138" s="10" t="n">
        <f aca="false">MIN(BG23,BG78)</f>
        <v>1654.78115593971</v>
      </c>
      <c r="BH138" s="10" t="n">
        <f aca="false">MIN(BH23,BH78)</f>
        <v>624009.166904312</v>
      </c>
      <c r="BI138" s="10" t="n">
        <f aca="false">MIN(BI23,BI78)</f>
        <v>620.542933477393</v>
      </c>
      <c r="BJ138" s="10" t="n">
        <f aca="false">MIN(BJ23,BJ78)</f>
        <v>11.061754363568</v>
      </c>
      <c r="BK138" s="10" t="n">
        <f aca="false">MIN(BK23,BK78)</f>
        <v>1241.08586695479</v>
      </c>
      <c r="BL138" s="10" t="n">
        <f aca="false">MIN(BL23,BL78)</f>
        <v>358.154211053888</v>
      </c>
      <c r="BM138" s="10" t="n">
        <f aca="false">MIN(BM23,BM78)</f>
        <v>228.745733990904</v>
      </c>
      <c r="BN138" s="10" t="n">
        <f aca="false">MIN(BN23,BN78)</f>
        <v>9.73831302925294</v>
      </c>
      <c r="BO138" s="10" t="n">
        <f aca="false">MIN(BO23,BO78)</f>
        <v>1623.05217154216</v>
      </c>
      <c r="BP138" s="10" t="n">
        <f aca="false">MIN(BP23,BP78)</f>
        <v>1725.1829784719</v>
      </c>
      <c r="BQ138" s="10" t="n">
        <f aca="false">MIN(BQ23,BQ78)</f>
        <v>100</v>
      </c>
      <c r="BR138" s="10" t="n">
        <f aca="false">MIN(BR23,BR78)</f>
        <v>48691.5651462647</v>
      </c>
      <c r="BS138" s="10" t="n">
        <f aca="false">MIN(BS23,BS78)</f>
        <v>486915.873207114</v>
      </c>
      <c r="BT138" s="10" t="n">
        <f aca="false">MIN(BT23,BT78)</f>
        <v>138.539783456822</v>
      </c>
      <c r="BU138" s="10" t="n">
        <f aca="false">MIN(BU23,BU78)</f>
        <v>1385.39783456822</v>
      </c>
      <c r="BV138" s="10" t="n">
        <f aca="false">MIN(BV23,BV78)</f>
        <v>13853.9783456822</v>
      </c>
      <c r="BW138" s="10" t="n">
        <f aca="false">MIN(BW23,BW78)</f>
        <v>232.580246286414</v>
      </c>
      <c r="BX138" s="10" t="n">
        <f aca="false">MIN(BX23,BX78)</f>
        <v>66.5216008535586</v>
      </c>
      <c r="BY138" s="10" t="n">
        <f aca="false">MIN(BY23,BY78)</f>
        <v>59.488376590157</v>
      </c>
      <c r="BZ138" s="10" t="n">
        <f aca="false">MIN(BZ23,BZ78)</f>
        <v>341431.90840609</v>
      </c>
      <c r="CA138" s="10" t="n">
        <f aca="false">MIN(CA23,CA78)</f>
        <v>110178.041173817</v>
      </c>
      <c r="CB138" s="10" t="n">
        <f aca="false">MIN(CB23,CB78)</f>
        <v>169.446841166292</v>
      </c>
      <c r="CC138" s="10" t="n">
        <f aca="false">MIN(CC23,CC78)</f>
        <v>25.2885643663402</v>
      </c>
      <c r="CD138" s="10" t="n">
        <f aca="false">MIN(CD23,CD78)</f>
        <v>566.696365323602</v>
      </c>
      <c r="CE138" s="10" t="n">
        <f aca="false">MIN(CE23,CE78)</f>
        <v>554.545503124606</v>
      </c>
      <c r="CF138" s="10" t="n">
        <f aca="false">MIN(CF23,CF78)</f>
        <v>1</v>
      </c>
      <c r="CG138" s="10" t="n">
        <f aca="false">MIN(CG23,CG78)</f>
        <v>535.741525712405</v>
      </c>
      <c r="CH138" s="10" t="n">
        <f aca="false">MIN(CH23,CH78)</f>
        <v>30.1522984810851</v>
      </c>
      <c r="CI138" s="10" t="n">
        <f aca="false">MIN(CI23,CI78)</f>
        <v>639.222171736718</v>
      </c>
      <c r="CJ138" s="10" t="n">
        <f aca="false">MIN(CJ23,CJ78)</f>
        <v>22556.0878224662</v>
      </c>
      <c r="CK138" s="10" t="n">
        <f aca="false">MIN(CK23,CK78)</f>
        <v>2164.71605654926</v>
      </c>
      <c r="CL138" s="7" t="s">
        <v>322</v>
      </c>
    </row>
    <row r="139" customFormat="false" ht="12.8" hidden="false" customHeight="false" outlineLevel="0" collapsed="false">
      <c r="A139" s="7" t="s">
        <v>156</v>
      </c>
      <c r="B139" s="7" t="s">
        <v>39</v>
      </c>
      <c r="C139" s="10" t="n">
        <f aca="false">MIN(C24,C79)</f>
        <v>4456.71689631869</v>
      </c>
      <c r="D139" s="10" t="n">
        <f aca="false">MIN(D24,D79)</f>
        <v>1</v>
      </c>
      <c r="E139" s="10" t="n">
        <f aca="false">MIN(E24,E79)</f>
        <v>3.97169569907036</v>
      </c>
      <c r="F139" s="10" t="n">
        <f aca="false">MIN(F24,F79)</f>
        <v>11.1147096170551</v>
      </c>
      <c r="G139" s="10" t="n">
        <f aca="false">MIN(G24,G79)</f>
        <v>1.61448185006232</v>
      </c>
      <c r="H139" s="10" t="n">
        <f aca="false">MIN(H24,H79)</f>
        <v>100</v>
      </c>
      <c r="I139" s="10" t="n">
        <f aca="false">MIN(I24,I79)</f>
        <v>796.068830139477</v>
      </c>
      <c r="J139" s="10" t="n">
        <f aca="false">MIN(J24,J79)</f>
        <v>428.599766108355</v>
      </c>
      <c r="K139" s="10" t="n">
        <f aca="false">MIN(K24,K79)</f>
        <v>5789.68377417708</v>
      </c>
      <c r="L139" s="10" t="n">
        <f aca="false">MIN(L24,L79)</f>
        <v>14590.4863703744</v>
      </c>
      <c r="M139" s="10" t="n">
        <f aca="false">MIN(M24,M79)</f>
        <v>9612.71848583911</v>
      </c>
      <c r="N139" s="10" t="n">
        <f aca="false">MIN(N24,N79)</f>
        <v>1.98671987790255</v>
      </c>
      <c r="O139" s="10" t="n">
        <f aca="false">MIN(O24,O79)</f>
        <v>1.40341677197248</v>
      </c>
      <c r="P139" s="10" t="n">
        <f aca="false">MIN(P24,P79)</f>
        <v>2.6314064474484</v>
      </c>
      <c r="Q139" s="10" t="n">
        <f aca="false">MIN(Q24,Q79)</f>
        <v>106.766017991139</v>
      </c>
      <c r="R139" s="10" t="n">
        <f aca="false">MIN(R24,R79)</f>
        <v>15.8621473265126</v>
      </c>
      <c r="S139" s="10" t="n">
        <f aca="false">MIN(S24,S79)</f>
        <v>125.061311746066</v>
      </c>
      <c r="T139" s="10" t="n">
        <f aca="false">MIN(T24,T79)</f>
        <v>223.761660722128</v>
      </c>
      <c r="U139" s="10" t="n">
        <f aca="false">MIN(U24,U79)</f>
        <v>40.0529936909963</v>
      </c>
      <c r="V139" s="10" t="n">
        <f aca="false">MIN(V24,V79)</f>
        <v>115.618817412147</v>
      </c>
      <c r="W139" s="10" t="n">
        <f aca="false">MIN(W24,W79)</f>
        <v>3.15768240362109</v>
      </c>
      <c r="X139" s="10" t="n">
        <f aca="false">MIN(X24,X79)</f>
        <v>2.23400630377547</v>
      </c>
      <c r="Y139" s="10" t="n">
        <f aca="false">MIN(Y24,Y79)</f>
        <v>72.952431851872</v>
      </c>
      <c r="Z139" s="10" t="n">
        <f aca="false">MIN(Z24,Z79)</f>
        <v>2979.36722930833</v>
      </c>
      <c r="AA139" s="10" t="n">
        <f aca="false">MIN(AA24,AA79)</f>
        <v>3901.68691384509</v>
      </c>
      <c r="AB139" s="10" t="n">
        <f aca="false">MIN(AB24,AB79)</f>
        <v>4095.51319336159</v>
      </c>
      <c r="AC139" s="10" t="n">
        <f aca="false">MIN(AC24,AC79)</f>
        <v>19700.0326430829</v>
      </c>
      <c r="AD139" s="10" t="n">
        <f aca="false">MIN(AD24,AD79)</f>
        <v>25798.5517225689</v>
      </c>
      <c r="AE139" s="10" t="n">
        <f aca="false">MIN(AE24,AE79)</f>
        <v>77699.6404287627</v>
      </c>
      <c r="AF139" s="10" t="n">
        <f aca="false">MIN(AF24,AF79)</f>
        <v>303.499748872506</v>
      </c>
      <c r="AG139" s="10" t="n">
        <f aca="false">MIN(AG24,AG79)</f>
        <v>275.18443334295</v>
      </c>
      <c r="AH139" s="10" t="n">
        <f aca="false">MIN(AH24,AH79)</f>
        <v>196.449311701466</v>
      </c>
      <c r="AI139" s="10" t="n">
        <f aca="false">MIN(AI24,AI79)</f>
        <v>1046.54888656735</v>
      </c>
      <c r="AJ139" s="10" t="n">
        <f aca="false">MIN(AJ24,AJ79)</f>
        <v>421.187622467203</v>
      </c>
      <c r="AK139" s="10" t="n">
        <f aca="false">MIN(AK24,AK79)</f>
        <v>182.290307072449</v>
      </c>
      <c r="AL139" s="10" t="n">
        <f aca="false">MIN(AL24,AL79)</f>
        <v>340.840811557574</v>
      </c>
      <c r="AM139" s="10" t="n">
        <f aca="false">MIN(AM24,AM79)</f>
        <v>609.122629708931</v>
      </c>
      <c r="AN139" s="10" t="n">
        <f aca="false">MIN(AN24,AN79)</f>
        <v>733.457906422487</v>
      </c>
      <c r="AO139" s="10" t="n">
        <f aca="false">MIN(AO24,AO79)</f>
        <v>6865.72987659982</v>
      </c>
      <c r="AP139" s="10" t="n">
        <f aca="false">MIN(AP24,AP79)</f>
        <v>16464.5233217118</v>
      </c>
      <c r="AQ139" s="10" t="n">
        <f aca="false">MIN(AQ24,AQ79)</f>
        <v>4702.32832620565</v>
      </c>
      <c r="AR139" s="10" t="n">
        <f aca="false">MIN(AR24,AR79)</f>
        <v>6730.92352825496</v>
      </c>
      <c r="AS139" s="10" t="n">
        <f aca="false">MIN(AS24,AS79)</f>
        <v>1032.49979855241</v>
      </c>
      <c r="AT139" s="10" t="n">
        <f aca="false">MIN(AT24,AT79)</f>
        <v>309.711255079687</v>
      </c>
      <c r="AU139" s="10" t="n">
        <f aca="false">MIN(AU24,AU79)</f>
        <v>361.502140365213</v>
      </c>
      <c r="AV139" s="10" t="n">
        <f aca="false">MIN(AV24,AV79)</f>
        <v>4124.14488177041</v>
      </c>
      <c r="AW139" s="10" t="n">
        <f aca="false">MIN(AW24,AW79)</f>
        <v>6.34342984018585</v>
      </c>
      <c r="AX139" s="10" t="n">
        <f aca="false">MIN(AX24,AX79)</f>
        <v>1518.57515792591</v>
      </c>
      <c r="AY139" s="10" t="n">
        <f aca="false">MIN(AY24,AY79)</f>
        <v>195.178467459186</v>
      </c>
      <c r="AZ139" s="10" t="n">
        <f aca="false">MIN(AZ24,AZ79)</f>
        <v>60.2327271164874</v>
      </c>
      <c r="BA139" s="10" t="n">
        <f aca="false">MIN(BA24,BA79)</f>
        <v>744.114804889095</v>
      </c>
      <c r="BB139" s="10" t="n">
        <f aca="false">MIN(BB24,BB79)</f>
        <v>1654.92613024984</v>
      </c>
      <c r="BC139" s="10" t="n">
        <f aca="false">MIN(BC24,BC79)</f>
        <v>636.632954139055</v>
      </c>
      <c r="BD139" s="10" t="n">
        <f aca="false">MIN(BD24,BD79)</f>
        <v>2752.99328731312</v>
      </c>
      <c r="BE139" s="10" t="n">
        <f aca="false">MIN(BE24,BE79)</f>
        <v>5500.45324304839</v>
      </c>
      <c r="BF139" s="10" t="n">
        <f aca="false">MIN(BF24,BF79)</f>
        <v>430.032281809093</v>
      </c>
      <c r="BG139" s="10" t="n">
        <f aca="false">MIN(BG24,BG79)</f>
        <v>95.5785659998031</v>
      </c>
      <c r="BH139" s="10" t="n">
        <f aca="false">MIN(BH24,BH79)</f>
        <v>47.3921584375198</v>
      </c>
      <c r="BI139" s="10" t="n">
        <f aca="false">MIN(BI24,BI79)</f>
        <v>25.0517845529751</v>
      </c>
      <c r="BJ139" s="10" t="n">
        <f aca="false">MIN(BJ24,BJ79)</f>
        <v>4.56512853729098</v>
      </c>
      <c r="BK139" s="10" t="n">
        <f aca="false">MIN(BK24,BK79)</f>
        <v>50.1035691059503</v>
      </c>
      <c r="BL139" s="10" t="n">
        <f aca="false">MIN(BL24,BL79)</f>
        <v>3231.79839031958</v>
      </c>
      <c r="BM139" s="10" t="n">
        <f aca="false">MIN(BM24,BM79)</f>
        <v>14.2477415317962</v>
      </c>
      <c r="BN139" s="10" t="n">
        <f aca="false">MIN(BN24,BN79)</f>
        <v>103791.632716609</v>
      </c>
      <c r="BO139" s="10" t="n">
        <f aca="false">MIN(BO24,BO79)</f>
        <v>4.37353933246155</v>
      </c>
      <c r="BP139" s="10" t="n">
        <f aca="false">MIN(BP24,BP79)</f>
        <v>16.983258562592</v>
      </c>
      <c r="BQ139" s="10" t="n">
        <f aca="false">MIN(BQ24,BQ79)</f>
        <v>100</v>
      </c>
      <c r="BR139" s="10" t="n">
        <f aca="false">MIN(BR24,BR79)</f>
        <v>131.206121537256</v>
      </c>
      <c r="BS139" s="10" t="n">
        <f aca="false">MIN(BS24,BS79)</f>
        <v>1312.06121537256</v>
      </c>
      <c r="BT139" s="10" t="n">
        <f aca="false">MIN(BT24,BT79)</f>
        <v>1</v>
      </c>
      <c r="BU139" s="10" t="n">
        <f aca="false">MIN(BU24,BU79)</f>
        <v>6.87293868822108</v>
      </c>
      <c r="BV139" s="10" t="n">
        <f aca="false">MIN(BV24,BV79)</f>
        <v>68.7293868822108</v>
      </c>
      <c r="BW139" s="10" t="n">
        <f aca="false">MIN(BW24,BW79)</f>
        <v>9.60052560265879</v>
      </c>
      <c r="BX139" s="10" t="n">
        <f aca="false">MIN(BX24,BX79)</f>
        <v>6.19598353124919</v>
      </c>
      <c r="BY139" s="10" t="n">
        <f aca="false">MIN(BY24,BY79)</f>
        <v>44.2773528772151</v>
      </c>
      <c r="BZ139" s="10" t="n">
        <f aca="false">MIN(BZ24,BZ79)</f>
        <v>188623.638827232</v>
      </c>
      <c r="CA139" s="10" t="n">
        <f aca="false">MIN(CA24,CA79)</f>
        <v>93768.1401510666</v>
      </c>
      <c r="CB139" s="10" t="n">
        <f aca="false">MIN(CB24,CB79)</f>
        <v>293.21893649426</v>
      </c>
      <c r="CC139" s="10" t="n">
        <f aca="false">MIN(CC24,CC79)</f>
        <v>45.27927943791</v>
      </c>
      <c r="CD139" s="10" t="n">
        <f aca="false">MIN(CD24,CD79)</f>
        <v>25.0954472380349</v>
      </c>
      <c r="CE139" s="10" t="n">
        <f aca="false">MIN(CE24,CE79)</f>
        <v>3.12103382855898</v>
      </c>
      <c r="CF139" s="10" t="n">
        <f aca="false">MIN(CF24,CF79)</f>
        <v>6.44849899887972</v>
      </c>
      <c r="CG139" s="10" t="n">
        <f aca="false">MIN(CG24,CG79)</f>
        <v>137.216626021272</v>
      </c>
      <c r="CH139" s="10" t="n">
        <f aca="false">MIN(CH24,CH79)</f>
        <v>136.970137978336</v>
      </c>
      <c r="CI139" s="10" t="n">
        <f aca="false">MIN(CI24,CI79)</f>
        <v>99.7712142198845</v>
      </c>
      <c r="CJ139" s="10" t="n">
        <f aca="false">MIN(CJ24,CJ79)</f>
        <v>887.96274082806</v>
      </c>
      <c r="CK139" s="10" t="n">
        <f aca="false">MIN(CK24,CK79)</f>
        <v>292.009808446772</v>
      </c>
      <c r="CL139" s="7" t="s">
        <v>322</v>
      </c>
    </row>
    <row r="140" customFormat="false" ht="12.8" hidden="false" customHeight="false" outlineLevel="0" collapsed="false">
      <c r="A140" s="7" t="s">
        <v>157</v>
      </c>
      <c r="B140" s="7" t="s">
        <v>39</v>
      </c>
      <c r="C140" s="10" t="n">
        <f aca="false">MIN(C25,C80)</f>
        <v>17241.2735323626</v>
      </c>
      <c r="D140" s="10" t="n">
        <f aca="false">MIN(D25,D80)</f>
        <v>4.28179647813432</v>
      </c>
      <c r="E140" s="10" t="n">
        <f aca="false">MIN(E25,E80)</f>
        <v>40.9663911023299</v>
      </c>
      <c r="F140" s="10" t="n">
        <f aca="false">MIN(F25,F80)</f>
        <v>115.640169305768</v>
      </c>
      <c r="G140" s="10" t="n">
        <f aca="false">MIN(G25,G80)</f>
        <v>31.698609988398</v>
      </c>
      <c r="H140" s="10" t="n">
        <f aca="false">MIN(H25,H80)</f>
        <v>100</v>
      </c>
      <c r="I140" s="10" t="n">
        <f aca="false">MIN(I25,I80)</f>
        <v>1250.09934625073</v>
      </c>
      <c r="J140" s="10" t="n">
        <f aca="false">MIN(J25,J80)</f>
        <v>1121.37958650936</v>
      </c>
      <c r="K140" s="10" t="n">
        <f aca="false">MIN(K25,K80)</f>
        <v>13162.1881692956</v>
      </c>
      <c r="L140" s="10" t="n">
        <f aca="false">MIN(L25,L80)</f>
        <v>48600.9560462033</v>
      </c>
      <c r="M140" s="10" t="n">
        <f aca="false">MIN(M25,M80)</f>
        <v>33306.2971735113</v>
      </c>
      <c r="N140" s="10" t="n">
        <f aca="false">MIN(N25,N80)</f>
        <v>40.4913637574055</v>
      </c>
      <c r="O140" s="10" t="n">
        <f aca="false">MIN(O25,O80)</f>
        <v>6.42269471720148</v>
      </c>
      <c r="P140" s="10" t="n">
        <f aca="false">MIN(P25,P80)</f>
        <v>12.0425525947528</v>
      </c>
      <c r="Q140" s="10" t="n">
        <f aca="false">MIN(Q25,Q80)</f>
        <v>391.737878778844</v>
      </c>
      <c r="R140" s="10" t="n">
        <f aca="false">MIN(R25,R80)</f>
        <v>19.9751457656241</v>
      </c>
      <c r="S140" s="10" t="n">
        <f aca="false">MIN(S25,S80)</f>
        <v>416.57962325317</v>
      </c>
      <c r="T140" s="10" t="n">
        <f aca="false">MIN(T25,T80)</f>
        <v>745.350796506898</v>
      </c>
      <c r="U140" s="10" t="n">
        <f aca="false">MIN(U25,U80)</f>
        <v>138.776238222964</v>
      </c>
      <c r="V140" s="10" t="n">
        <f aca="false">MIN(V25,V80)</f>
        <v>1902.158301014</v>
      </c>
      <c r="W140" s="10" t="n">
        <f aca="false">MIN(W25,W80)</f>
        <v>17.0294113656452</v>
      </c>
      <c r="X140" s="10" t="n">
        <f aca="false">MIN(X25,X80)</f>
        <v>1.96921573402492</v>
      </c>
      <c r="Y140" s="10" t="n">
        <f aca="false">MIN(Y25,Y80)</f>
        <v>243.004780231017</v>
      </c>
      <c r="Z140" s="10" t="n">
        <f aca="false">MIN(Z25,Z80)</f>
        <v>109312.709063825</v>
      </c>
      <c r="AA140" s="10" t="n">
        <f aca="false">MIN(AA25,AA80)</f>
        <v>66435.0215451988</v>
      </c>
      <c r="AB140" s="10" t="n">
        <f aca="false">MIN(AB25,AB80)</f>
        <v>43902.3643843921</v>
      </c>
      <c r="AC140" s="10" t="n">
        <f aca="false">MIN(AC25,AC80)</f>
        <v>232225.878070083</v>
      </c>
      <c r="AD140" s="10" t="n">
        <f aca="false">MIN(AD25,AD80)</f>
        <v>276550.79225472</v>
      </c>
      <c r="AE140" s="10" t="n">
        <f aca="false">MIN(AE25,AE80)</f>
        <v>487370.456354208</v>
      </c>
      <c r="AF140" s="10" t="n">
        <f aca="false">MIN(AF25,AF80)</f>
        <v>723.343809592462</v>
      </c>
      <c r="AG140" s="10" t="n">
        <f aca="false">MIN(AG25,AG80)</f>
        <v>1312.39487740061</v>
      </c>
      <c r="AH140" s="10" t="n">
        <f aca="false">MIN(AH25,AH80)</f>
        <v>893.82236237216</v>
      </c>
      <c r="AI140" s="10" t="n">
        <f aca="false">MIN(AI25,AI80)</f>
        <v>5959.55061800776</v>
      </c>
      <c r="AJ140" s="10" t="n">
        <f aca="false">MIN(AJ25,AJ80)</f>
        <v>6701.10578687267</v>
      </c>
      <c r="AK140" s="10" t="n">
        <f aca="false">MIN(AK25,AK80)</f>
        <v>2844.42829833765</v>
      </c>
      <c r="AL140" s="10" t="n">
        <f aca="false">MIN(AL25,AL80)</f>
        <v>2152.54361657272</v>
      </c>
      <c r="AM140" s="10" t="n">
        <f aca="false">MIN(AM25,AM80)</f>
        <v>3514.16823294514</v>
      </c>
      <c r="AN140" s="10" t="n">
        <f aca="false">MIN(AN25,AN80)</f>
        <v>11396.5580538333</v>
      </c>
      <c r="AO140" s="10" t="n">
        <f aca="false">MIN(AO25,AO80)</f>
        <v>57340.9407338465</v>
      </c>
      <c r="AP140" s="10" t="n">
        <f aca="false">MIN(AP25,AP80)</f>
        <v>145874.919977895</v>
      </c>
      <c r="AQ140" s="10" t="n">
        <f aca="false">MIN(AQ25,AQ80)</f>
        <v>26496.4549172027</v>
      </c>
      <c r="AR140" s="10" t="n">
        <f aca="false">MIN(AR25,AR80)</f>
        <v>23383.918008103</v>
      </c>
      <c r="AS140" s="10" t="n">
        <f aca="false">MIN(AS25,AS80)</f>
        <v>2425.70811578497</v>
      </c>
      <c r="AT140" s="10" t="n">
        <f aca="false">MIN(AT25,AT80)</f>
        <v>1220.84941441066</v>
      </c>
      <c r="AU140" s="10" t="n">
        <f aca="false">MIN(AU25,AU80)</f>
        <v>4815.02664170153</v>
      </c>
      <c r="AV140" s="10" t="n">
        <f aca="false">MIN(AV25,AV80)</f>
        <v>11826.6162655876</v>
      </c>
      <c r="AW140" s="10" t="n">
        <f aca="false">MIN(AW25,AW80)</f>
        <v>73.148519231125</v>
      </c>
      <c r="AX140" s="10" t="n">
        <f aca="false">MIN(AX25,AX80)</f>
        <v>5065.98752874301</v>
      </c>
      <c r="AY140" s="10" t="n">
        <f aca="false">MIN(AY25,AY80)</f>
        <v>3669.0131570214</v>
      </c>
      <c r="AZ140" s="10" t="n">
        <f aca="false">MIN(AZ25,AZ80)</f>
        <v>1003.78358347323</v>
      </c>
      <c r="BA140" s="10" t="n">
        <f aca="false">MIN(BA25,BA80)</f>
        <v>2478.64875835637</v>
      </c>
      <c r="BB140" s="10" t="n">
        <f aca="false">MIN(BB25,BB80)</f>
        <v>3956.53681284923</v>
      </c>
      <c r="BC140" s="10" t="n">
        <f aca="false">MIN(BC25,BC80)</f>
        <v>1316.58483829142</v>
      </c>
      <c r="BD140" s="10" t="n">
        <f aca="false">MIN(BD25,BD80)</f>
        <v>10489.3685974469</v>
      </c>
      <c r="BE140" s="10" t="n">
        <f aca="false">MIN(BE25,BE80)</f>
        <v>65391.4308728129</v>
      </c>
      <c r="BF140" s="10" t="n">
        <f aca="false">MIN(BF25,BF80)</f>
        <v>973.075845718086</v>
      </c>
      <c r="BG140" s="10" t="n">
        <f aca="false">MIN(BG25,BG80)</f>
        <v>561.345287613889</v>
      </c>
      <c r="BH140" s="10" t="n">
        <f aca="false">MIN(BH25,BH80)</f>
        <v>595953.154980672</v>
      </c>
      <c r="BI140" s="10" t="n">
        <f aca="false">MIN(BI25,BI80)</f>
        <v>210.504482855208</v>
      </c>
      <c r="BJ140" s="10" t="n">
        <f aca="false">MIN(BJ25,BJ80)</f>
        <v>12.1666978647011</v>
      </c>
      <c r="BK140" s="10" t="n">
        <f aca="false">MIN(BK25,BK80)</f>
        <v>421.008965710416</v>
      </c>
      <c r="BL140" s="10" t="n">
        <f aca="false">MIN(BL25,BL80)</f>
        <v>124.408375512883</v>
      </c>
      <c r="BM140" s="10" t="n">
        <f aca="false">MIN(BM25,BM80)</f>
        <v>61.6193598617143</v>
      </c>
      <c r="BN140" s="10" t="n">
        <f aca="false">MIN(BN25,BN80)</f>
        <v>1</v>
      </c>
      <c r="BO140" s="10" t="n">
        <f aca="false">MIN(BO25,BO80)</f>
        <v>118.770882109948</v>
      </c>
      <c r="BP140" s="10" t="n">
        <f aca="false">MIN(BP25,BP80)</f>
        <v>241.716377498147</v>
      </c>
      <c r="BQ140" s="10" t="n">
        <f aca="false">MIN(BQ25,BQ80)</f>
        <v>100</v>
      </c>
      <c r="BR140" s="10" t="n">
        <f aca="false">MIN(BR25,BR80)</f>
        <v>3563.12646329845</v>
      </c>
      <c r="BS140" s="10" t="n">
        <f aca="false">MIN(BS25,BS80)</f>
        <v>35631.282957201</v>
      </c>
      <c r="BT140" s="10" t="n">
        <f aca="false">MIN(BT25,BT80)</f>
        <v>19.4891634761389</v>
      </c>
      <c r="BU140" s="10" t="n">
        <f aca="false">MIN(BU25,BU80)</f>
        <v>194.891634761389</v>
      </c>
      <c r="BV140" s="10" t="n">
        <f aca="false">MIN(BV25,BV80)</f>
        <v>1948.91634761389</v>
      </c>
      <c r="BW140" s="10" t="n">
        <f aca="false">MIN(BW25,BW80)</f>
        <v>78.9243128580825</v>
      </c>
      <c r="BX140" s="10" t="n">
        <f aca="false">MIN(BX25,BX80)</f>
        <v>87.3730898379841</v>
      </c>
      <c r="BY140" s="10" t="n">
        <f aca="false">MIN(BY25,BY80)</f>
        <v>392.930666381681</v>
      </c>
      <c r="BZ140" s="10" t="n">
        <f aca="false">MIN(BZ25,BZ80)</f>
        <v>48022.5275448239</v>
      </c>
      <c r="CA140" s="10" t="n">
        <f aca="false">MIN(CA25,CA80)</f>
        <v>146235.780335692</v>
      </c>
      <c r="CB140" s="10" t="n">
        <f aca="false">MIN(CB25,CB80)</f>
        <v>72.7832700854482</v>
      </c>
      <c r="CC140" s="10" t="n">
        <f aca="false">MIN(CC25,CC80)</f>
        <v>16.4595950059669</v>
      </c>
      <c r="CD140" s="10" t="n">
        <f aca="false">MIN(CD25,CD80)</f>
        <v>193.610013148331</v>
      </c>
      <c r="CE140" s="10" t="n">
        <f aca="false">MIN(CE25,CE80)</f>
        <v>71.9429876047434</v>
      </c>
      <c r="CF140" s="10" t="n">
        <f aca="false">MIN(CF25,CF80)</f>
        <v>1</v>
      </c>
      <c r="CG140" s="10" t="n">
        <f aca="false">MIN(CG25,CG80)</f>
        <v>51.8470443037851</v>
      </c>
      <c r="CH140" s="10" t="n">
        <f aca="false">MIN(CH25,CH80)</f>
        <v>20.7815236375045</v>
      </c>
      <c r="CI140" s="10" t="n">
        <f aca="false">MIN(CI25,CI80)</f>
        <v>194.141324183072</v>
      </c>
      <c r="CJ140" s="10" t="n">
        <f aca="false">MIN(CJ25,CJ80)</f>
        <v>11182.2949174703</v>
      </c>
      <c r="CK140" s="10" t="n">
        <f aca="false">MIN(CK25,CK80)</f>
        <v>720.611449008491</v>
      </c>
      <c r="CL140" s="7" t="s">
        <v>322</v>
      </c>
    </row>
    <row r="141" customFormat="false" ht="12.8" hidden="false" customHeight="false" outlineLevel="0" collapsed="false">
      <c r="A141" s="7" t="s">
        <v>158</v>
      </c>
      <c r="B141" s="7" t="s">
        <v>39</v>
      </c>
      <c r="C141" s="10" t="n">
        <f aca="false">MIN(C26,C81)</f>
        <v>4373.72178217554</v>
      </c>
      <c r="D141" s="10" t="n">
        <f aca="false">MIN(D26,D81)</f>
        <v>1.06971614214408</v>
      </c>
      <c r="E141" s="10" t="n">
        <f aca="false">MIN(E26,E81)</f>
        <v>6.01662425732817</v>
      </c>
      <c r="F141" s="10" t="n">
        <f aca="false">MIN(F26,F81)</f>
        <v>15.6622039009116</v>
      </c>
      <c r="G141" s="10" t="n">
        <f aca="false">MIN(G26,G81)</f>
        <v>11.0559388070491</v>
      </c>
      <c r="H141" s="10" t="n">
        <f aca="false">MIN(H26,H81)</f>
        <v>100</v>
      </c>
      <c r="I141" s="10" t="n">
        <f aca="false">MIN(I26,I81)</f>
        <v>1430.95989350134</v>
      </c>
      <c r="J141" s="10" t="n">
        <f aca="false">MIN(J26,J81)</f>
        <v>1101.60709481192</v>
      </c>
      <c r="K141" s="10" t="n">
        <f aca="false">MIN(K26,K81)</f>
        <v>6278.62556336091</v>
      </c>
      <c r="L141" s="10" t="n">
        <f aca="false">MIN(L26,L81)</f>
        <v>20354.8730958335</v>
      </c>
      <c r="M141" s="10" t="n">
        <f aca="false">MIN(M26,M81)</f>
        <v>13737.1510291005</v>
      </c>
      <c r="N141" s="10" t="n">
        <f aca="false">MIN(N26,N81)</f>
        <v>4.79601657623566</v>
      </c>
      <c r="O141" s="10" t="n">
        <f aca="false">MIN(O26,O81)</f>
        <v>2.04239270220554</v>
      </c>
      <c r="P141" s="10" t="n">
        <f aca="false">MIN(P26,P81)</f>
        <v>3.82948631663539</v>
      </c>
      <c r="Q141" s="10" t="n">
        <f aca="false">MIN(Q26,Q81)</f>
        <v>517.46632012162</v>
      </c>
      <c r="R141" s="10" t="n">
        <f aca="false">MIN(R26,R81)</f>
        <v>17.2017138722217</v>
      </c>
      <c r="S141" s="10" t="n">
        <f aca="false">MIN(S26,S81)</f>
        <v>174.470340821429</v>
      </c>
      <c r="T141" s="10" t="n">
        <f aca="false">MIN(T26,T81)</f>
        <v>312.165070587361</v>
      </c>
      <c r="U141" s="10" t="n">
        <f aca="false">MIN(U26,U81)</f>
        <v>57.2381292879186</v>
      </c>
      <c r="V141" s="10" t="n">
        <f aca="false">MIN(V26,V81)</f>
        <v>258.53636398703</v>
      </c>
      <c r="W141" s="10" t="n">
        <f aca="false">MIN(W26,W81)</f>
        <v>5.47105211591781</v>
      </c>
      <c r="X141" s="10" t="n">
        <f aca="false">MIN(X26,X81)</f>
        <v>2.46543671828067</v>
      </c>
      <c r="Y141" s="10" t="n">
        <f aca="false">MIN(Y26,Y81)</f>
        <v>101.774365479167</v>
      </c>
      <c r="Z141" s="10" t="n">
        <f aca="false">MIN(Z26,Z81)</f>
        <v>7137.9604588733</v>
      </c>
      <c r="AA141" s="10" t="n">
        <f aca="false">MIN(AA26,AA81)</f>
        <v>8357.18489082894</v>
      </c>
      <c r="AB141" s="10" t="n">
        <f aca="false">MIN(AB26,AB81)</f>
        <v>8582.12217052714</v>
      </c>
      <c r="AC141" s="10" t="n">
        <f aca="false">MIN(AC26,AC81)</f>
        <v>37443.6593850568</v>
      </c>
      <c r="AD141" s="10" t="n">
        <f aca="false">MIN(AD26,AD81)</f>
        <v>54060.7030798062</v>
      </c>
      <c r="AE141" s="10" t="n">
        <f aca="false">MIN(AE26,AE81)</f>
        <v>104441.396363172</v>
      </c>
      <c r="AF141" s="10" t="n">
        <f aca="false">MIN(AF26,AF81)</f>
        <v>575.731012278866</v>
      </c>
      <c r="AG141" s="10" t="n">
        <f aca="false">MIN(AG26,AG81)</f>
        <v>379.769168350544</v>
      </c>
      <c r="AH141" s="10" t="n">
        <f aca="false">MIN(AH26,AH81)</f>
        <v>437.915325531689</v>
      </c>
      <c r="AI141" s="10" t="n">
        <f aca="false">MIN(AI26,AI81)</f>
        <v>1842.62828568866</v>
      </c>
      <c r="AJ141" s="10" t="n">
        <f aca="false">MIN(AJ26,AJ81)</f>
        <v>528.170181460517</v>
      </c>
      <c r="AK141" s="10" t="n">
        <f aca="false">MIN(AK26,AK81)</f>
        <v>424.937753358403</v>
      </c>
      <c r="AL141" s="10" t="n">
        <f aca="false">MIN(AL26,AL81)</f>
        <v>527.287820279082</v>
      </c>
      <c r="AM141" s="10" t="n">
        <f aca="false">MIN(AM26,AM81)</f>
        <v>829.945675603778</v>
      </c>
      <c r="AN141" s="10" t="n">
        <f aca="false">MIN(AN26,AN81)</f>
        <v>1077.25659612016</v>
      </c>
      <c r="AO141" s="10" t="n">
        <f aca="false">MIN(AO26,AO81)</f>
        <v>10979.968071903</v>
      </c>
      <c r="AP141" s="10" t="n">
        <f aca="false">MIN(AP26,AP81)</f>
        <v>22890.1186209931</v>
      </c>
      <c r="AQ141" s="10" t="n">
        <f aca="false">MIN(AQ26,AQ81)</f>
        <v>7490.05050349459</v>
      </c>
      <c r="AR141" s="10" t="n">
        <f aca="false">MIN(AR26,AR81)</f>
        <v>10777.8634333691</v>
      </c>
      <c r="AS141" s="10" t="n">
        <f aca="false">MIN(AS26,AS81)</f>
        <v>2417.23111241852</v>
      </c>
      <c r="AT141" s="10" t="n">
        <f aca="false">MIN(AT26,AT81)</f>
        <v>712.077455067792</v>
      </c>
      <c r="AU141" s="10" t="n">
        <f aca="false">MIN(AU26,AU81)</f>
        <v>834.559238862762</v>
      </c>
      <c r="AV141" s="10" t="n">
        <f aca="false">MIN(AV26,AV81)</f>
        <v>8698.65399802199</v>
      </c>
      <c r="AW141" s="10" t="n">
        <f aca="false">MIN(AW26,AW81)</f>
        <v>11.8658856879329</v>
      </c>
      <c r="AX141" s="10" t="n">
        <f aca="false">MIN(AX26,AX81)</f>
        <v>2062.41049959607</v>
      </c>
      <c r="AY141" s="10" t="n">
        <f aca="false">MIN(AY26,AY81)</f>
        <v>433.647713007929</v>
      </c>
      <c r="AZ141" s="10" t="n">
        <f aca="false">MIN(AZ26,AZ81)</f>
        <v>124.506103888437</v>
      </c>
      <c r="BA141" s="10" t="n">
        <f aca="false">MIN(BA26,BA81)</f>
        <v>1038.09852788751</v>
      </c>
      <c r="BB141" s="10" t="n">
        <f aca="false">MIN(BB26,BB81)</f>
        <v>3748.57529917588</v>
      </c>
      <c r="BC141" s="10" t="n">
        <f aca="false">MIN(BC26,BC81)</f>
        <v>1465.31620706976</v>
      </c>
      <c r="BD141" s="10" t="n">
        <f aca="false">MIN(BD26,BD81)</f>
        <v>6485.85582130768</v>
      </c>
      <c r="BE141" s="10" t="n">
        <f aca="false">MIN(BE26,BE81)</f>
        <v>12237.1408427</v>
      </c>
      <c r="BF141" s="10" t="n">
        <f aca="false">MIN(BF26,BF81)</f>
        <v>584.774243364117</v>
      </c>
      <c r="BG141" s="10" t="n">
        <f aca="false">MIN(BG26,BG81)</f>
        <v>127.348133763134</v>
      </c>
      <c r="BH141" s="10" t="n">
        <f aca="false">MIN(BH26,BH81)</f>
        <v>60.883990781697</v>
      </c>
      <c r="BI141" s="10" t="n">
        <f aca="false">MIN(BI26,BI81)</f>
        <v>49.8047579178349</v>
      </c>
      <c r="BJ141" s="10" t="n">
        <f aca="false">MIN(BJ26,BJ81)</f>
        <v>2.67440526428514</v>
      </c>
      <c r="BK141" s="10" t="n">
        <f aca="false">MIN(BK26,BK81)</f>
        <v>99.6095158356697</v>
      </c>
      <c r="BL141" s="10" t="n">
        <f aca="false">MIN(BL26,BL81)</f>
        <v>182.656772479411</v>
      </c>
      <c r="BM141" s="10" t="n">
        <f aca="false">MIN(BM26,BM81)</f>
        <v>32.902763683616</v>
      </c>
      <c r="BN141" s="10" t="n">
        <f aca="false">MIN(BN26,BN81)</f>
        <v>252516.40499944</v>
      </c>
      <c r="BO141" s="10" t="n">
        <f aca="false">MIN(BO26,BO81)</f>
        <v>14.723112689465</v>
      </c>
      <c r="BP141" s="10" t="n">
        <f aca="false">MIN(BP26,BP81)</f>
        <v>41.6032184325471</v>
      </c>
      <c r="BQ141" s="10" t="n">
        <f aca="false">MIN(BQ26,BQ81)</f>
        <v>100</v>
      </c>
      <c r="BR141" s="10" t="n">
        <f aca="false">MIN(BR26,BR81)</f>
        <v>441.693123870226</v>
      </c>
      <c r="BS141" s="10" t="n">
        <f aca="false">MIN(BS26,BS81)</f>
        <v>4416.93123870226</v>
      </c>
      <c r="BT141" s="10" t="n">
        <f aca="false">MIN(BT26,BT81)</f>
        <v>2.06855228322402</v>
      </c>
      <c r="BU141" s="10" t="n">
        <f aca="false">MIN(BU26,BU81)</f>
        <v>20.6855228322402</v>
      </c>
      <c r="BV141" s="10" t="n">
        <f aca="false">MIN(BV26,BV81)</f>
        <v>206.855228322402</v>
      </c>
      <c r="BW141" s="10" t="n">
        <f aca="false">MIN(BW26,BW81)</f>
        <v>15.4282828424105</v>
      </c>
      <c r="BX141" s="10" t="n">
        <f aca="false">MIN(BX26,BX81)</f>
        <v>36.7604599049559</v>
      </c>
      <c r="BY141" s="10" t="n">
        <f aca="false">MIN(BY26,BY81)</f>
        <v>50.9186661098914</v>
      </c>
      <c r="BZ141" s="10" t="n">
        <f aca="false">MIN(BZ26,BZ81)</f>
        <v>31440.6671770194</v>
      </c>
      <c r="CA141" s="10" t="n">
        <f aca="false">MIN(CA26,CA81)</f>
        <v>49088.9568948637</v>
      </c>
      <c r="CB141" s="10" t="n">
        <f aca="false">MIN(CB26,CB81)</f>
        <v>145.587268759933</v>
      </c>
      <c r="CC141" s="10" t="n">
        <f aca="false">MIN(CC26,CC81)</f>
        <v>9.0948595287234</v>
      </c>
      <c r="CD141" s="10" t="n">
        <f aca="false">MIN(CD26,CD81)</f>
        <v>42.3412588026995</v>
      </c>
      <c r="CE141" s="10" t="n">
        <f aca="false">MIN(CE26,CE81)</f>
        <v>172.418601405757</v>
      </c>
      <c r="CF141" s="10" t="n">
        <f aca="false">MIN(CF26,CF81)</f>
        <v>1</v>
      </c>
      <c r="CG141" s="10" t="n">
        <f aca="false">MIN(CG26,CG81)</f>
        <v>64.9177422549069</v>
      </c>
      <c r="CH141" s="10" t="n">
        <f aca="false">MIN(CH26,CH81)</f>
        <v>105.19294924418</v>
      </c>
      <c r="CI141" s="10" t="n">
        <f aca="false">MIN(CI26,CI81)</f>
        <v>151.302505147922</v>
      </c>
      <c r="CJ141" s="10" t="n">
        <f aca="false">MIN(CJ26,CJ81)</f>
        <v>820.473215090468</v>
      </c>
      <c r="CK141" s="10" t="n">
        <f aca="false">MIN(CK26,CK81)</f>
        <v>11237.6486725857</v>
      </c>
      <c r="CL141" s="7" t="s">
        <v>322</v>
      </c>
    </row>
    <row r="142" customFormat="false" ht="12.8" hidden="false" customHeight="false" outlineLevel="0" collapsed="false">
      <c r="A142" s="7" t="s">
        <v>159</v>
      </c>
      <c r="B142" s="7" t="s">
        <v>39</v>
      </c>
      <c r="C142" s="10" t="n">
        <f aca="false">MIN(C27,C82)</f>
        <v>21771.9721249998</v>
      </c>
      <c r="D142" s="10" t="n">
        <f aca="false">MIN(D27,D82)</f>
        <v>7.02877168315921</v>
      </c>
      <c r="E142" s="10" t="n">
        <f aca="false">MIN(E27,E82)</f>
        <v>68.9478471297825</v>
      </c>
      <c r="F142" s="10" t="n">
        <f aca="false">MIN(F27,F82)</f>
        <v>336.907012976733</v>
      </c>
      <c r="G142" s="10" t="n">
        <f aca="false">MIN(G27,G82)</f>
        <v>94.1064177528794</v>
      </c>
      <c r="H142" s="10" t="n">
        <f aca="false">MIN(H27,H82)</f>
        <v>100</v>
      </c>
      <c r="I142" s="10" t="n">
        <f aca="false">MIN(I27,I82)</f>
        <v>1456.21379687856</v>
      </c>
      <c r="J142" s="10" t="n">
        <f aca="false">MIN(J27,J82)</f>
        <v>1524.61608987604</v>
      </c>
      <c r="K142" s="10" t="n">
        <f aca="false">MIN(K27,K82)</f>
        <v>18304.7455931066</v>
      </c>
      <c r="L142" s="10" t="n">
        <f aca="false">MIN(L27,L82)</f>
        <v>101472.044563677</v>
      </c>
      <c r="M142" s="10" t="n">
        <f aca="false">MIN(M27,M82)</f>
        <v>74248.1197877309</v>
      </c>
      <c r="N142" s="10" t="n">
        <f aca="false">MIN(N27,N82)</f>
        <v>57.2410305204863</v>
      </c>
      <c r="O142" s="10" t="n">
        <f aca="false">MIN(O27,O82)</f>
        <v>10.5431575247388</v>
      </c>
      <c r="P142" s="10" t="n">
        <f aca="false">MIN(P27,P82)</f>
        <v>19.7684203588853</v>
      </c>
      <c r="Q142" s="10" t="n">
        <f aca="false">MIN(Q27,Q82)</f>
        <v>802.448656333268</v>
      </c>
      <c r="R142" s="10" t="n">
        <f aca="false">MIN(R27,R82)</f>
        <v>32.008237724211</v>
      </c>
      <c r="S142" s="10" t="n">
        <f aca="false">MIN(S27,S82)</f>
        <v>869.760381974374</v>
      </c>
      <c r="T142" s="10" t="n">
        <f aca="false">MIN(T27,T82)</f>
        <v>1556.18891872866</v>
      </c>
      <c r="U142" s="10" t="n">
        <f aca="false">MIN(U27,U82)</f>
        <v>309.367165782212</v>
      </c>
      <c r="V142" s="10" t="n">
        <f aca="false">MIN(V27,V82)</f>
        <v>424.720099869698</v>
      </c>
      <c r="W142" s="10" t="n">
        <f aca="false">MIN(W27,W82)</f>
        <v>36.0108869743502</v>
      </c>
      <c r="X142" s="10" t="n">
        <f aca="false">MIN(X27,X82)</f>
        <v>6.37421164793631</v>
      </c>
      <c r="Y142" s="10" t="n">
        <f aca="false">MIN(Y27,Y82)</f>
        <v>507.360222818386</v>
      </c>
      <c r="Z142" s="10" t="n">
        <f aca="false">MIN(Z27,Z82)</f>
        <v>62231.9764667943</v>
      </c>
      <c r="AA142" s="10" t="n">
        <f aca="false">MIN(AA27,AA82)</f>
        <v>101849.28997299</v>
      </c>
      <c r="AB142" s="10" t="n">
        <f aca="false">MIN(AB27,AB82)</f>
        <v>73889.1912799935</v>
      </c>
      <c r="AC142" s="10" t="n">
        <f aca="false">MIN(AC27,AC82)</f>
        <v>392411.419471924</v>
      </c>
      <c r="AD142" s="10" t="n">
        <f aca="false">MIN(AD27,AD82)</f>
        <v>465444.507922844</v>
      </c>
      <c r="AE142" s="10" t="n">
        <f aca="false">MIN(AE27,AE82)</f>
        <v>2013272.0028598</v>
      </c>
      <c r="AF142" s="10" t="n">
        <f aca="false">MIN(AF27,AF82)</f>
        <v>1220.55379371809</v>
      </c>
      <c r="AG142" s="10" t="n">
        <f aca="false">MIN(AG27,AG82)</f>
        <v>896.871026593309</v>
      </c>
      <c r="AH142" s="10" t="n">
        <f aca="false">MIN(AH27,AH82)</f>
        <v>648.567439642184</v>
      </c>
      <c r="AI142" s="10" t="n">
        <f aca="false">MIN(AI27,AI82)</f>
        <v>25692.8002573255</v>
      </c>
      <c r="AJ142" s="10" t="n">
        <f aca="false">MIN(AJ27,AJ82)</f>
        <v>3753.16612217624</v>
      </c>
      <c r="AK142" s="10" t="n">
        <f aca="false">MIN(AK27,AK82)</f>
        <v>3777.67026335376</v>
      </c>
      <c r="AL142" s="10" t="n">
        <f aca="false">MIN(AL27,AL82)</f>
        <v>4114.18132533398</v>
      </c>
      <c r="AM142" s="10" t="n">
        <f aca="false">MIN(AM27,AM82)</f>
        <v>15202.926737823</v>
      </c>
      <c r="AN142" s="10" t="n">
        <f aca="false">MIN(AN27,AN82)</f>
        <v>1961.79946973114</v>
      </c>
      <c r="AO142" s="10" t="n">
        <f aca="false">MIN(AO27,AO82)</f>
        <v>38889.2914385944</v>
      </c>
      <c r="AP142" s="10" t="n">
        <f aca="false">MIN(AP27,AP82)</f>
        <v>64603.8634044765</v>
      </c>
      <c r="AQ142" s="10" t="n">
        <f aca="false">MIN(AQ27,AQ82)</f>
        <v>27215.9212009396</v>
      </c>
      <c r="AR142" s="10" t="n">
        <f aca="false">MIN(AR27,AR82)</f>
        <v>94639.0685751082</v>
      </c>
      <c r="AS142" s="10" t="n">
        <f aca="false">MIN(AS27,AS82)</f>
        <v>3684.96573102269</v>
      </c>
      <c r="AT142" s="10" t="n">
        <f aca="false">MIN(AT27,AT82)</f>
        <v>995.609569140419</v>
      </c>
      <c r="AU142" s="10" t="n">
        <f aca="false">MIN(AU27,AU82)</f>
        <v>703.877454239194</v>
      </c>
      <c r="AV142" s="10" t="n">
        <f aca="false">MIN(AV27,AV82)</f>
        <v>62626.5134861036</v>
      </c>
      <c r="AW142" s="10" t="n">
        <f aca="false">MIN(AW27,AW82)</f>
        <v>123.578806535473</v>
      </c>
      <c r="AX142" s="10" t="n">
        <f aca="false">MIN(AX27,AX82)</f>
        <v>3779.32679809838</v>
      </c>
      <c r="AY142" s="10" t="n">
        <f aca="false">MIN(AY27,AY82)</f>
        <v>5212.09238975461</v>
      </c>
      <c r="AZ142" s="10" t="n">
        <f aca="false">MIN(AZ27,AZ82)</f>
        <v>1198.13445308417</v>
      </c>
      <c r="BA142" s="10" t="n">
        <f aca="false">MIN(BA27,BA82)</f>
        <v>5175.07427274754</v>
      </c>
      <c r="BB142" s="10" t="n">
        <f aca="false">MIN(BB27,BB82)</f>
        <v>17021.7655127592</v>
      </c>
      <c r="BC142" s="10" t="n">
        <f aca="false">MIN(BC27,BC82)</f>
        <v>2567.35565166587</v>
      </c>
      <c r="BD142" s="10" t="n">
        <f aca="false">MIN(BD27,BD82)</f>
        <v>29239.7175469436</v>
      </c>
      <c r="BE142" s="10" t="n">
        <f aca="false">MIN(BE27,BE82)</f>
        <v>16663.8947597501</v>
      </c>
      <c r="BF142" s="10" t="n">
        <f aca="false">MIN(BF27,BF82)</f>
        <v>4518.18221672523</v>
      </c>
      <c r="BG142" s="10" t="n">
        <f aca="false">MIN(BG27,BG82)</f>
        <v>1182.42284960788</v>
      </c>
      <c r="BH142" s="10" t="n">
        <f aca="false">MIN(BH27,BH82)</f>
        <v>599.652729585115</v>
      </c>
      <c r="BI142" s="10" t="n">
        <f aca="false">MIN(BI27,BI82)</f>
        <v>495.907390480961</v>
      </c>
      <c r="BJ142" s="10" t="n">
        <f aca="false">MIN(BJ27,BJ82)</f>
        <v>12.8000617168222</v>
      </c>
      <c r="BK142" s="10" t="n">
        <f aca="false">MIN(BK27,BK82)</f>
        <v>991.814780961922</v>
      </c>
      <c r="BL142" s="10" t="n">
        <f aca="false">MIN(BL27,BL82)</f>
        <v>196.004271053977</v>
      </c>
      <c r="BM142" s="10" t="n">
        <f aca="false">MIN(BM27,BM82)</f>
        <v>217.942332152762</v>
      </c>
      <c r="BN142" s="10" t="n">
        <f aca="false">MIN(BN27,BN82)</f>
        <v>3677293.12414215</v>
      </c>
      <c r="BO142" s="10" t="n">
        <f aca="false">MIN(BO27,BO82)</f>
        <v>372.778545053541</v>
      </c>
      <c r="BP142" s="10" t="n">
        <f aca="false">MIN(BP27,BP82)</f>
        <v>453.537939898826</v>
      </c>
      <c r="BQ142" s="10" t="n">
        <f aca="false">MIN(BQ27,BQ82)</f>
        <v>100</v>
      </c>
      <c r="BR142" s="10" t="n">
        <f aca="false">MIN(BR27,BR82)</f>
        <v>11183.3479712655</v>
      </c>
      <c r="BS142" s="10" t="n">
        <f aca="false">MIN(BS27,BS82)</f>
        <v>111833.479712655</v>
      </c>
      <c r="BT142" s="10" t="n">
        <f aca="false">MIN(BT27,BT82)</f>
        <v>46.3664612040963</v>
      </c>
      <c r="BU142" s="10" t="n">
        <f aca="false">MIN(BU27,BU82)</f>
        <v>463.664612040963</v>
      </c>
      <c r="BV142" s="10" t="n">
        <f aca="false">MIN(BV27,BV82)</f>
        <v>4636.64612040963</v>
      </c>
      <c r="BW142" s="10" t="n">
        <f aca="false">MIN(BW27,BW82)</f>
        <v>132.832336735972</v>
      </c>
      <c r="BX142" s="10" t="n">
        <f aca="false">MIN(BX27,BX82)</f>
        <v>32.648178625176</v>
      </c>
      <c r="BY142" s="10" t="n">
        <f aca="false">MIN(BY27,BY82)</f>
        <v>37.8820731956648</v>
      </c>
      <c r="BZ142" s="10" t="n">
        <f aca="false">MIN(BZ27,BZ82)</f>
        <v>75742.4315056341</v>
      </c>
      <c r="CA142" s="10" t="n">
        <f aca="false">MIN(CA27,CA82)</f>
        <v>34034.8032541251</v>
      </c>
      <c r="CB142" s="10" t="n">
        <f aca="false">MIN(CB27,CB82)</f>
        <v>92.960488991756</v>
      </c>
      <c r="CC142" s="10" t="n">
        <f aca="false">MIN(CC27,CC82)</f>
        <v>9.28928559829623</v>
      </c>
      <c r="CD142" s="10" t="n">
        <f aca="false">MIN(CD27,CD82)</f>
        <v>502.863700278446</v>
      </c>
      <c r="CE142" s="10" t="n">
        <f aca="false">MIN(CE27,CE82)</f>
        <v>1976.88279189191</v>
      </c>
      <c r="CF142" s="10" t="n">
        <f aca="false">MIN(CF27,CF82)</f>
        <v>1</v>
      </c>
      <c r="CG142" s="10" t="n">
        <f aca="false">MIN(CG27,CG82)</f>
        <v>829.394499643948</v>
      </c>
      <c r="CH142" s="10" t="n">
        <f aca="false">MIN(CH27,CH82)</f>
        <v>222.369549592154</v>
      </c>
      <c r="CI142" s="10" t="n">
        <f aca="false">MIN(CI27,CI82)</f>
        <v>276.79877342857</v>
      </c>
      <c r="CJ142" s="10" t="n">
        <f aca="false">MIN(CJ27,CJ82)</f>
        <v>1700.17394151744</v>
      </c>
      <c r="CK142" s="10" t="n">
        <f aca="false">MIN(CK27,CK82)</f>
        <v>19174.6396689356</v>
      </c>
      <c r="CL142" s="7" t="s">
        <v>322</v>
      </c>
    </row>
    <row r="143" customFormat="false" ht="12.8" hidden="false" customHeight="false" outlineLevel="0" collapsed="false">
      <c r="A143" s="7" t="s">
        <v>160</v>
      </c>
      <c r="B143" s="7" t="s">
        <v>39</v>
      </c>
      <c r="C143" s="10" t="n">
        <f aca="false">MIN(C28,C83)</f>
        <v>14054.8780976867</v>
      </c>
      <c r="D143" s="10" t="n">
        <f aca="false">MIN(D28,D83)</f>
        <v>4.61042121291998</v>
      </c>
      <c r="E143" s="10" t="n">
        <f aca="false">MIN(E28,E83)</f>
        <v>45.1403386141948</v>
      </c>
      <c r="F143" s="10" t="n">
        <f aca="false">MIN(F28,F83)</f>
        <v>158.563304146541</v>
      </c>
      <c r="G143" s="10" t="n">
        <f aca="false">MIN(G28,G83)</f>
        <v>50.1920456056087</v>
      </c>
      <c r="H143" s="10" t="n">
        <f aca="false">MIN(H28,H83)</f>
        <v>100</v>
      </c>
      <c r="I143" s="10" t="n">
        <f aca="false">MIN(I28,I83)</f>
        <v>1175.42695088</v>
      </c>
      <c r="J143" s="10" t="n">
        <f aca="false">MIN(J28,J83)</f>
        <v>540.492596351911</v>
      </c>
      <c r="K143" s="10" t="n">
        <f aca="false">MIN(K28,K83)</f>
        <v>11826.4313126865</v>
      </c>
      <c r="L143" s="10" t="n">
        <f aca="false">MIN(L28,L83)</f>
        <v>66181.4101962987</v>
      </c>
      <c r="M143" s="10" t="n">
        <f aca="false">MIN(M28,M83)</f>
        <v>48518.9338945494</v>
      </c>
      <c r="N143" s="10" t="n">
        <f aca="false">MIN(N28,N83)</f>
        <v>32.947035076942</v>
      </c>
      <c r="O143" s="10" t="n">
        <f aca="false">MIN(O28,O83)</f>
        <v>6.91563181937996</v>
      </c>
      <c r="P143" s="10" t="n">
        <f aca="false">MIN(P28,P83)</f>
        <v>12.9668096613374</v>
      </c>
      <c r="Q143" s="10" t="n">
        <f aca="false">MIN(Q28,Q83)</f>
        <v>666.641950023494</v>
      </c>
      <c r="R143" s="10" t="n">
        <f aca="false">MIN(R28,R83)</f>
        <v>29.0534331799763</v>
      </c>
      <c r="S143" s="10" t="n">
        <f aca="false">MIN(S28,S83)</f>
        <v>567.269230253987</v>
      </c>
      <c r="T143" s="10" t="n">
        <f aca="false">MIN(T28,T83)</f>
        <v>1014.9670051113</v>
      </c>
      <c r="U143" s="10" t="n">
        <f aca="false">MIN(U28,U83)</f>
        <v>202.162224560622</v>
      </c>
      <c r="V143" s="10" t="n">
        <f aca="false">MIN(V28,V83)</f>
        <v>354.940646095477</v>
      </c>
      <c r="W143" s="10" t="n">
        <f aca="false">MIN(W28,W83)</f>
        <v>14.6182657729753</v>
      </c>
      <c r="X143" s="10" t="n">
        <f aca="false">MIN(X28,X83)</f>
        <v>4.54601504389589</v>
      </c>
      <c r="Y143" s="10" t="n">
        <f aca="false">MIN(Y28,Y83)</f>
        <v>330.907050981493</v>
      </c>
      <c r="Z143" s="10" t="n">
        <f aca="false">MIN(Z28,Z83)</f>
        <v>46049.4592108274</v>
      </c>
      <c r="AA143" s="10" t="n">
        <f aca="false">MIN(AA28,AA83)</f>
        <v>59017.5231048918</v>
      </c>
      <c r="AB143" s="10" t="n">
        <f aca="false">MIN(AB28,AB83)</f>
        <v>48375.4497516018</v>
      </c>
      <c r="AC143" s="10" t="n">
        <f aca="false">MIN(AC28,AC83)</f>
        <v>269510.282464712</v>
      </c>
      <c r="AD143" s="10" t="n">
        <f aca="false">MIN(AD28,AD83)</f>
        <v>304727.755374379</v>
      </c>
      <c r="AE143" s="10" t="n">
        <f aca="false">MIN(AE28,AE83)</f>
        <v>406867.138822011</v>
      </c>
      <c r="AF143" s="10" t="n">
        <f aca="false">MIN(AF28,AF83)</f>
        <v>2331.73496696015</v>
      </c>
      <c r="AG143" s="10" t="n">
        <f aca="false">MIN(AG28,AG83)</f>
        <v>962.292849218436</v>
      </c>
      <c r="AH143" s="10" t="n">
        <f aca="false">MIN(AH28,AH83)</f>
        <v>489.427819925882</v>
      </c>
      <c r="AI143" s="10" t="n">
        <f aca="false">MIN(AI28,AI83)</f>
        <v>10854.4200320815</v>
      </c>
      <c r="AJ143" s="10" t="n">
        <f aca="false">MIN(AJ28,AJ83)</f>
        <v>1069.5740784739</v>
      </c>
      <c r="AK143" s="10" t="n">
        <f aca="false">MIN(AK28,AK83)</f>
        <v>436.889077956498</v>
      </c>
      <c r="AL143" s="10" t="n">
        <f aca="false">MIN(AL28,AL83)</f>
        <v>4420.99860901912</v>
      </c>
      <c r="AM143" s="10" t="n">
        <f aca="false">MIN(AM28,AM83)</f>
        <v>1625.02223464317</v>
      </c>
      <c r="AN143" s="10" t="n">
        <f aca="false">MIN(AN28,AN83)</f>
        <v>1692.47820839032</v>
      </c>
      <c r="AO143" s="10" t="n">
        <f aca="false">MIN(AO28,AO83)</f>
        <v>40920.7219297127</v>
      </c>
      <c r="AP143" s="10" t="n">
        <f aca="false">MIN(AP28,AP83)</f>
        <v>206139.016748726</v>
      </c>
      <c r="AQ143" s="10" t="n">
        <f aca="false">MIN(AQ28,AQ83)</f>
        <v>13404.9349814227</v>
      </c>
      <c r="AR143" s="10" t="n">
        <f aca="false">MIN(AR28,AR83)</f>
        <v>92017.6824836467</v>
      </c>
      <c r="AS143" s="10" t="n">
        <f aca="false">MIN(AS28,AS83)</f>
        <v>2925.10216543553</v>
      </c>
      <c r="AT143" s="10" t="n">
        <f aca="false">MIN(AT28,AT83)</f>
        <v>714.367986510562</v>
      </c>
      <c r="AU143" s="10" t="n">
        <f aca="false">MIN(AU28,AU83)</f>
        <v>1349.06506388134</v>
      </c>
      <c r="AV143" s="10" t="n">
        <f aca="false">MIN(AV28,AV83)</f>
        <v>6622.23826783162</v>
      </c>
      <c r="AW143" s="10" t="n">
        <f aca="false">MIN(AW28,AW83)</f>
        <v>84.7325351015603</v>
      </c>
      <c r="AX143" s="10" t="n">
        <f aca="false">MIN(AX28,AX83)</f>
        <v>3683.97079961068</v>
      </c>
      <c r="AY143" s="10" t="n">
        <f aca="false">MIN(AY28,AY83)</f>
        <v>2743.69711352556</v>
      </c>
      <c r="AZ143" s="10" t="n">
        <f aca="false">MIN(AZ28,AZ83)</f>
        <v>732.002179547513</v>
      </c>
      <c r="BA143" s="10" t="n">
        <f aca="false">MIN(BA28,BA83)</f>
        <v>3375.25192001123</v>
      </c>
      <c r="BB143" s="10" t="n">
        <f aca="false">MIN(BB28,BB83)</f>
        <v>3619.7844335004</v>
      </c>
      <c r="BC143" s="10" t="n">
        <f aca="false">MIN(BC28,BC83)</f>
        <v>2410.42645910233</v>
      </c>
      <c r="BD143" s="10" t="n">
        <f aca="false">MIN(BD28,BD83)</f>
        <v>38453.370859088</v>
      </c>
      <c r="BE143" s="10" t="n">
        <f aca="false">MIN(BE28,BE83)</f>
        <v>20944.6632671509</v>
      </c>
      <c r="BF143" s="10" t="n">
        <f aca="false">MIN(BF28,BF83)</f>
        <v>100</v>
      </c>
      <c r="BG143" s="10" t="n">
        <f aca="false">MIN(BG28,BG83)</f>
        <v>768.158558242308</v>
      </c>
      <c r="BH143" s="10" t="n">
        <f aca="false">MIN(BH28,BH83)</f>
        <v>388.41680437171</v>
      </c>
      <c r="BI143" s="10" t="n">
        <f aca="false">MIN(BI28,BI83)</f>
        <v>324.671885482596</v>
      </c>
      <c r="BJ143" s="10" t="n">
        <f aca="false">MIN(BJ28,BJ83)</f>
        <v>8.66100620952185</v>
      </c>
      <c r="BK143" s="10" t="n">
        <f aca="false">MIN(BK28,BK83)</f>
        <v>649.343770965192</v>
      </c>
      <c r="BL143" s="10" t="n">
        <f aca="false">MIN(BL28,BL83)</f>
        <v>215.235481752455</v>
      </c>
      <c r="BM143" s="10" t="n">
        <f aca="false">MIN(BM28,BM83)</f>
        <v>120.688742209809</v>
      </c>
      <c r="BN143" s="10" t="n">
        <f aca="false">MIN(BN28,BN83)</f>
        <v>1574830.46851496</v>
      </c>
      <c r="BO143" s="10" t="n">
        <f aca="false">MIN(BO28,BO83)</f>
        <v>150.099663299674</v>
      </c>
      <c r="BP143" s="10" t="n">
        <f aca="false">MIN(BP28,BP83)</f>
        <v>263.128272730185</v>
      </c>
      <c r="BQ143" s="10" t="n">
        <f aca="false">MIN(BQ28,BQ83)</f>
        <v>100</v>
      </c>
      <c r="BR143" s="10" t="n">
        <f aca="false">MIN(BR28,BR83)</f>
        <v>4502.98654783497</v>
      </c>
      <c r="BS143" s="10" t="n">
        <f aca="false">MIN(BS28,BS83)</f>
        <v>45029.8654783497</v>
      </c>
      <c r="BT143" s="10" t="n">
        <f aca="false">MIN(BT28,BT83)</f>
        <v>19.525644969032</v>
      </c>
      <c r="BU143" s="10" t="n">
        <f aca="false">MIN(BU28,BU83)</f>
        <v>195.25644969032</v>
      </c>
      <c r="BV143" s="10" t="n">
        <f aca="false">MIN(BV28,BV83)</f>
        <v>1952.5644969032</v>
      </c>
      <c r="BW143" s="10" t="n">
        <f aca="false">MIN(BW28,BW83)</f>
        <v>86.9656836114097</v>
      </c>
      <c r="BX143" s="10" t="n">
        <f aca="false">MIN(BX28,BX83)</f>
        <v>27.6944754705366</v>
      </c>
      <c r="BY143" s="10" t="n">
        <f aca="false">MIN(BY28,BY83)</f>
        <v>80.1056152330818</v>
      </c>
      <c r="BZ143" s="10" t="n">
        <f aca="false">MIN(BZ28,BZ83)</f>
        <v>47321.6508804069</v>
      </c>
      <c r="CA143" s="10" t="n">
        <f aca="false">MIN(CA28,CA83)</f>
        <v>75285.8153344824</v>
      </c>
      <c r="CB143" s="10" t="n">
        <f aca="false">MIN(CB28,CB83)</f>
        <v>154.492907188195</v>
      </c>
      <c r="CC143" s="10" t="n">
        <f aca="false">MIN(CC28,CC83)</f>
        <v>15.2321736721834</v>
      </c>
      <c r="CD143" s="10" t="n">
        <f aca="false">MIN(CD28,CD83)</f>
        <v>330.362701921429</v>
      </c>
      <c r="CE143" s="10" t="n">
        <f aca="false">MIN(CE28,CE83)</f>
        <v>174.498173145732</v>
      </c>
      <c r="CF143" s="10" t="n">
        <f aca="false">MIN(CF28,CF83)</f>
        <v>1</v>
      </c>
      <c r="CG143" s="10" t="n">
        <f aca="false">MIN(CG28,CG83)</f>
        <v>150.339693225669</v>
      </c>
      <c r="CH143" s="10" t="n">
        <f aca="false">MIN(CH28,CH83)</f>
        <v>53.2327233591583</v>
      </c>
      <c r="CI143" s="10" t="n">
        <f aca="false">MIN(CI28,CI83)</f>
        <v>632.992704263587</v>
      </c>
      <c r="CJ143" s="10" t="n">
        <f aca="false">MIN(CJ28,CJ83)</f>
        <v>5827.00502434995</v>
      </c>
      <c r="CK143" s="10" t="n">
        <f aca="false">MIN(CK28,CK83)</f>
        <v>3004.53357160749</v>
      </c>
      <c r="CL143" s="7" t="s">
        <v>322</v>
      </c>
    </row>
    <row r="150" customFormat="false" ht="12.8" hidden="false" customHeight="false" outlineLevel="0" collapsed="false">
      <c r="C150" s="0" t="s">
        <v>415</v>
      </c>
      <c r="D150" s="0" t="s">
        <v>413</v>
      </c>
      <c r="E150" s="0" t="s">
        <v>413</v>
      </c>
      <c r="F150" s="0" t="s">
        <v>413</v>
      </c>
      <c r="G150" s="0" t="s">
        <v>413</v>
      </c>
      <c r="H150" s="0" t="s">
        <v>416</v>
      </c>
      <c r="I150" s="0" t="s">
        <v>282</v>
      </c>
      <c r="J150" s="0" t="s">
        <v>282</v>
      </c>
      <c r="K150" s="0" t="s">
        <v>414</v>
      </c>
      <c r="L150" s="0" t="s">
        <v>414</v>
      </c>
      <c r="M150" s="0" t="s">
        <v>414</v>
      </c>
      <c r="N150" s="0" t="s">
        <v>413</v>
      </c>
      <c r="O150" s="0" t="s">
        <v>415</v>
      </c>
      <c r="P150" s="0" t="s">
        <v>415</v>
      </c>
      <c r="Q150" s="0" t="s">
        <v>415</v>
      </c>
      <c r="R150" s="0" t="s">
        <v>415</v>
      </c>
      <c r="S150" s="0" t="s">
        <v>414</v>
      </c>
      <c r="T150" s="0" t="s">
        <v>414</v>
      </c>
      <c r="U150" s="0" t="s">
        <v>414</v>
      </c>
      <c r="V150" s="0" t="s">
        <v>415</v>
      </c>
      <c r="W150" s="0" t="s">
        <v>415</v>
      </c>
      <c r="X150" s="0" t="s">
        <v>413</v>
      </c>
      <c r="Y150" s="0" t="s">
        <v>416</v>
      </c>
      <c r="Z150" s="0" t="s">
        <v>419</v>
      </c>
      <c r="AA150" s="0" t="s">
        <v>419</v>
      </c>
      <c r="AB150" s="0" t="s">
        <v>421</v>
      </c>
      <c r="AC150" s="0" t="s">
        <v>418</v>
      </c>
      <c r="AD150" s="0" t="s">
        <v>421</v>
      </c>
      <c r="AE150" s="0" t="s">
        <v>414</v>
      </c>
      <c r="AF150" s="0" t="s">
        <v>417</v>
      </c>
      <c r="AG150" s="0" t="s">
        <v>417</v>
      </c>
      <c r="AH150" s="0" t="s">
        <v>417</v>
      </c>
      <c r="AI150" s="0" t="s">
        <v>417</v>
      </c>
      <c r="AJ150" s="0" t="s">
        <v>417</v>
      </c>
      <c r="AK150" s="0" t="s">
        <v>417</v>
      </c>
      <c r="AL150" s="0" t="s">
        <v>417</v>
      </c>
      <c r="AM150" s="0" t="s">
        <v>417</v>
      </c>
      <c r="AN150" s="0" t="s">
        <v>417</v>
      </c>
      <c r="AO150" s="0" t="s">
        <v>417</v>
      </c>
      <c r="AP150" s="0" t="s">
        <v>417</v>
      </c>
      <c r="AQ150" s="0" t="s">
        <v>417</v>
      </c>
      <c r="AR150" s="0" t="s">
        <v>417</v>
      </c>
      <c r="AS150" s="0" t="s">
        <v>417</v>
      </c>
      <c r="AT150" s="0" t="s">
        <v>419</v>
      </c>
      <c r="AU150" s="0" t="s">
        <v>419</v>
      </c>
      <c r="AV150" s="0" t="s">
        <v>417</v>
      </c>
      <c r="AW150" s="0" t="s">
        <v>416</v>
      </c>
      <c r="AX150" s="0" t="s">
        <v>416</v>
      </c>
      <c r="AY150" s="0" t="s">
        <v>416</v>
      </c>
      <c r="AZ150" s="0" t="s">
        <v>416</v>
      </c>
      <c r="BA150" s="0" t="s">
        <v>414</v>
      </c>
      <c r="BB150" s="0" t="s">
        <v>416</v>
      </c>
      <c r="BC150" s="0" t="s">
        <v>416</v>
      </c>
      <c r="BD150" s="0" t="s">
        <v>416</v>
      </c>
      <c r="BE150" s="0" t="s">
        <v>416</v>
      </c>
      <c r="BF150" s="0" t="s">
        <v>418</v>
      </c>
      <c r="BG150" s="0" t="s">
        <v>414</v>
      </c>
      <c r="BH150" s="0" t="s">
        <v>414</v>
      </c>
      <c r="BI150" s="0" t="s">
        <v>414</v>
      </c>
      <c r="BJ150" s="0" t="s">
        <v>415</v>
      </c>
      <c r="BK150" s="0" t="s">
        <v>414</v>
      </c>
      <c r="BL150" s="0" t="s">
        <v>419</v>
      </c>
      <c r="BM150" s="0" t="s">
        <v>420</v>
      </c>
      <c r="BN150" s="0" t="s">
        <v>418</v>
      </c>
      <c r="BO150" s="0" t="s">
        <v>418</v>
      </c>
      <c r="BP150" s="0" t="s">
        <v>418</v>
      </c>
      <c r="BQ150" s="0" t="s">
        <v>418</v>
      </c>
      <c r="BR150" s="0" t="s">
        <v>418</v>
      </c>
      <c r="BS150" s="0" t="s">
        <v>418</v>
      </c>
      <c r="BT150" s="0" t="s">
        <v>418</v>
      </c>
      <c r="BU150" s="0" t="s">
        <v>418</v>
      </c>
      <c r="BV150" s="0" t="s">
        <v>418</v>
      </c>
      <c r="BW150" s="0" t="s">
        <v>415</v>
      </c>
      <c r="BX150" s="0" t="s">
        <v>416</v>
      </c>
      <c r="BY150" s="0" t="s">
        <v>416</v>
      </c>
      <c r="BZ150" s="0" t="s">
        <v>414</v>
      </c>
      <c r="CA150" s="0" t="s">
        <v>414</v>
      </c>
      <c r="CB150" s="0" t="s">
        <v>415</v>
      </c>
      <c r="CC150" s="0" t="s">
        <v>414</v>
      </c>
      <c r="CD150" s="0" t="s">
        <v>414</v>
      </c>
      <c r="CE150" s="0" t="s">
        <v>414</v>
      </c>
      <c r="CF150" s="0" t="s">
        <v>420</v>
      </c>
      <c r="CG150" s="0" t="s">
        <v>418</v>
      </c>
      <c r="CH150" s="0" t="s">
        <v>418</v>
      </c>
      <c r="CI150" s="0" t="s">
        <v>417</v>
      </c>
      <c r="CJ150" s="0" t="s">
        <v>414</v>
      </c>
      <c r="CK150" s="0" t="s">
        <v>414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53"/>
    <col collapsed="false" customWidth="true" hidden="false" outlineLevel="0" max="4" min="3" style="0" width="14.88"/>
    <col collapsed="false" customWidth="true" hidden="false" outlineLevel="0" max="5" min="5" style="0" width="10.84"/>
    <col collapsed="false" customWidth="true" hidden="false" outlineLevel="0" max="6" min="6" style="0" width="18.63"/>
    <col collapsed="false" customWidth="false" hidden="false" outlineLevel="0" max="8" min="7" style="0" width="11.52"/>
    <col collapsed="false" customWidth="true" hidden="false" outlineLevel="0" max="9" min="9" style="0" width="10.69"/>
    <col collapsed="false" customWidth="true" hidden="false" outlineLevel="0" max="10" min="10" style="0" width="11.84"/>
    <col collapsed="false" customWidth="true" hidden="false" outlineLevel="0" max="11" min="11" style="0" width="12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438</v>
      </c>
      <c r="B1" s="1" t="s">
        <v>439</v>
      </c>
      <c r="C1" s="1" t="n">
        <v>1</v>
      </c>
      <c r="D1" s="1" t="s">
        <v>440</v>
      </c>
      <c r="E1" s="7" t="n">
        <f aca="false">INDEX(F3:F13,MATCH(C1,E3:E13,1))</f>
        <v>36500</v>
      </c>
      <c r="F1" s="1"/>
    </row>
    <row r="2" customFormat="false" ht="12.8" hidden="false" customHeight="false" outlineLevel="0" collapsed="false">
      <c r="A2" s="1" t="s">
        <v>22</v>
      </c>
      <c r="B2" s="1" t="s">
        <v>441</v>
      </c>
      <c r="C2" s="1" t="s">
        <v>442</v>
      </c>
      <c r="D2" s="27" t="s">
        <v>443</v>
      </c>
      <c r="E2" s="1" t="s">
        <v>26</v>
      </c>
      <c r="F2" s="1" t="s">
        <v>444</v>
      </c>
    </row>
    <row r="3" customFormat="false" ht="12.8" hidden="false" customHeight="false" outlineLevel="0" collapsed="false">
      <c r="A3" s="0" t="s">
        <v>445</v>
      </c>
      <c r="B3" s="0" t="n">
        <v>2</v>
      </c>
      <c r="C3" s="0" t="n">
        <v>200</v>
      </c>
      <c r="D3" s="5" t="n">
        <v>0.5</v>
      </c>
      <c r="E3" s="28" t="n">
        <v>1</v>
      </c>
      <c r="F3" s="4" t="n">
        <f aca="false">C3*365/(B3)</f>
        <v>36500</v>
      </c>
      <c r="I3" s="0" t="s">
        <v>446</v>
      </c>
      <c r="J3" s="0" t="n">
        <v>400</v>
      </c>
      <c r="K3" s="0" t="s">
        <v>447</v>
      </c>
    </row>
    <row r="4" customFormat="false" ht="12.8" hidden="false" customHeight="false" outlineLevel="0" collapsed="false">
      <c r="A4" s="0" t="s">
        <v>448</v>
      </c>
      <c r="B4" s="0" t="n">
        <v>2</v>
      </c>
      <c r="C4" s="0" t="n">
        <v>4000</v>
      </c>
      <c r="D4" s="5" t="n">
        <v>0.5</v>
      </c>
      <c r="E4" s="28" t="n">
        <v>2</v>
      </c>
      <c r="F4" s="4" t="n">
        <f aca="false">C4*365/(B4)</f>
        <v>730000</v>
      </c>
      <c r="I4" s="0" t="s">
        <v>449</v>
      </c>
      <c r="J4" s="0" t="s">
        <v>450</v>
      </c>
      <c r="K4" s="0" t="s">
        <v>447</v>
      </c>
    </row>
    <row r="5" customFormat="false" ht="12.8" hidden="false" customHeight="false" outlineLevel="0" collapsed="false">
      <c r="D5" s="5"/>
      <c r="E5" s="28"/>
      <c r="F5" s="4"/>
      <c r="I5" s="0" t="s">
        <v>451</v>
      </c>
      <c r="J5" s="0" t="s">
        <v>452</v>
      </c>
      <c r="K5" s="0" t="s">
        <v>447</v>
      </c>
    </row>
    <row r="6" customFormat="false" ht="12.8" hidden="false" customHeight="false" outlineLevel="0" collapsed="false">
      <c r="E6" s="28"/>
      <c r="F6" s="4"/>
    </row>
    <row r="7" customFormat="false" ht="12.8" hidden="false" customHeight="false" outlineLevel="0" collapsed="false">
      <c r="E7" s="28"/>
      <c r="F7" s="4"/>
    </row>
    <row r="8" customFormat="false" ht="12.8" hidden="false" customHeight="false" outlineLevel="0" collapsed="false">
      <c r="E8" s="28"/>
      <c r="F8" s="4"/>
    </row>
    <row r="9" customFormat="false" ht="12.8" hidden="false" customHeight="false" outlineLevel="0" collapsed="false">
      <c r="E9" s="28"/>
      <c r="F9" s="4"/>
    </row>
    <row r="10" customFormat="false" ht="12.8" hidden="false" customHeight="false" outlineLevel="0" collapsed="false">
      <c r="E10" s="28"/>
      <c r="F10" s="4"/>
    </row>
    <row r="14" customFormat="false" ht="12.8" hidden="false" customHeight="false" outlineLevel="0" collapsed="false">
      <c r="A14" s="1" t="s">
        <v>453</v>
      </c>
      <c r="B14" s="1" t="s">
        <v>439</v>
      </c>
      <c r="C14" s="1" t="n">
        <v>4</v>
      </c>
      <c r="D14" s="1" t="s">
        <v>440</v>
      </c>
      <c r="E14" s="7" t="n">
        <f aca="false">INDEX(F16:F23,MATCH(C14,E16:E23,1))</f>
        <v>1.06666666666667</v>
      </c>
      <c r="F14" s="1"/>
    </row>
    <row r="15" customFormat="false" ht="12.8" hidden="false" customHeight="false" outlineLevel="0" collapsed="false">
      <c r="A15" s="1" t="s">
        <v>22</v>
      </c>
      <c r="B15" s="1" t="s">
        <v>441</v>
      </c>
      <c r="C15" s="1" t="s">
        <v>454</v>
      </c>
      <c r="D15" s="27" t="s">
        <v>443</v>
      </c>
      <c r="E15" s="1" t="s">
        <v>26</v>
      </c>
      <c r="F15" s="1" t="s">
        <v>455</v>
      </c>
    </row>
    <row r="16" customFormat="false" ht="12.8" hidden="false" customHeight="false" outlineLevel="0" collapsed="false">
      <c r="A16" s="0" t="s">
        <v>445</v>
      </c>
      <c r="B16" s="0" t="n">
        <v>2</v>
      </c>
      <c r="C16" s="0" t="n">
        <v>200</v>
      </c>
      <c r="D16" s="5" t="n">
        <v>0.5</v>
      </c>
      <c r="E16" s="28" t="n">
        <v>1</v>
      </c>
      <c r="F16" s="4" t="n">
        <f aca="false">20*B16/(15*C16*D16)</f>
        <v>0.0266666666666667</v>
      </c>
    </row>
    <row r="17" customFormat="false" ht="12.8" hidden="false" customHeight="false" outlineLevel="0" collapsed="false">
      <c r="A17" s="0" t="s">
        <v>448</v>
      </c>
      <c r="B17" s="0" t="n">
        <v>2</v>
      </c>
      <c r="C17" s="0" t="n">
        <v>5</v>
      </c>
      <c r="D17" s="5" t="n">
        <v>0.5</v>
      </c>
      <c r="E17" s="28" t="n">
        <v>2</v>
      </c>
      <c r="F17" s="4" t="n">
        <f aca="false">20*B17/(15*C17*D17)</f>
        <v>1.06666666666667</v>
      </c>
    </row>
    <row r="18" customFormat="false" ht="12.8" hidden="false" customHeight="false" outlineLevel="0" collapsed="false">
      <c r="D18" s="5"/>
      <c r="E18" s="28"/>
      <c r="F1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1.7"/>
    <col collapsed="false" customWidth="true" hidden="false" outlineLevel="0" max="2" min="2" style="0" width="10.84"/>
    <col collapsed="false" customWidth="true" hidden="false" outlineLevel="0" max="5" min="3" style="0" width="11.7"/>
    <col collapsed="false" customWidth="true" hidden="false" outlineLevel="0" max="15" min="6" style="0" width="10.84"/>
    <col collapsed="false" customWidth="true" hidden="false" outlineLevel="0" max="16" min="16" style="0" width="11.7"/>
    <col collapsed="false" customWidth="true" hidden="false" outlineLevel="0" max="24" min="17" style="0" width="10.84"/>
    <col collapsed="false" customWidth="false" hidden="false" outlineLevel="0" max="25" min="25" style="0" width="11.52"/>
    <col collapsed="false" customWidth="true" hidden="false" outlineLevel="0" max="26" min="26" style="0" width="11.7"/>
    <col collapsed="false" customWidth="true" hidden="false" outlineLevel="0" max="27" min="27" style="0" width="13.43"/>
    <col collapsed="false" customWidth="false" hidden="false" outlineLevel="0" max="28" min="28" style="0" width="11.57"/>
    <col collapsed="false" customWidth="true" hidden="false" outlineLevel="0" max="29" min="29" style="0" width="7.95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1" t="s">
        <v>456</v>
      </c>
      <c r="B1" s="1" t="s">
        <v>131</v>
      </c>
      <c r="C1" s="1" t="s">
        <v>133</v>
      </c>
      <c r="D1" s="1" t="s">
        <v>135</v>
      </c>
      <c r="E1" s="1" t="s">
        <v>137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147</v>
      </c>
      <c r="N1" s="1" t="s">
        <v>148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AA1" s="1" t="s">
        <v>457</v>
      </c>
      <c r="AB1" s="1" t="s">
        <v>458</v>
      </c>
      <c r="AC1" s="1" t="s">
        <v>459</v>
      </c>
    </row>
    <row r="2" customFormat="false" ht="12.8" hidden="false" customHeight="false" outlineLevel="0" collapsed="false">
      <c r="A2" s="1" t="s">
        <v>131</v>
      </c>
      <c r="B2" s="4" t="n">
        <f aca="false">(2-1)*(0.5*SQRT(Capacity!$C3*1.5/PI())*0.000308219178082192+0.5*SQRT(Capacity!$C3*1.5/PI())*0.00292237442922374)</f>
        <v>0.012774934282773</v>
      </c>
      <c r="C2" s="4" t="n">
        <v>0.207940639269406</v>
      </c>
      <c r="D2" s="4" t="n">
        <v>0.0498150783482803</v>
      </c>
      <c r="E2" s="4" t="n">
        <v>0.0591689497716896</v>
      </c>
      <c r="F2" s="4" t="n">
        <v>0.0901689497716896</v>
      </c>
      <c r="G2" s="4" t="n">
        <v>0.107259132420091</v>
      </c>
      <c r="H2" s="4" t="n">
        <v>0.072632019316054</v>
      </c>
      <c r="I2" s="4" t="n">
        <v>0.164676539863999</v>
      </c>
      <c r="J2" s="4" t="n">
        <v>0.0858869863013699</v>
      </c>
      <c r="K2" s="4" t="n">
        <v>0.121611815525114</v>
      </c>
      <c r="L2" s="4" t="n">
        <v>0.136089254623698</v>
      </c>
      <c r="M2" s="4" t="n">
        <v>0.0954489602838277</v>
      </c>
      <c r="N2" s="4" t="n">
        <v>0.178973343516967</v>
      </c>
      <c r="O2" s="4" t="n">
        <v>0.100310734246575</v>
      </c>
      <c r="P2" s="4" t="n">
        <v>0.131326717256332</v>
      </c>
      <c r="Q2" s="4" t="n">
        <v>0.108046126027397</v>
      </c>
      <c r="R2" s="4" t="n">
        <v>0.104182591780822</v>
      </c>
      <c r="S2" s="4" t="n">
        <v>0.230324144292237</v>
      </c>
      <c r="T2" s="4" t="n">
        <v>0.130155326027397</v>
      </c>
      <c r="U2" s="4" t="n">
        <v>0.203146062100457</v>
      </c>
      <c r="V2" s="4" t="n">
        <v>0.135946465753425</v>
      </c>
      <c r="W2" s="4" t="n">
        <v>0.176007912092244</v>
      </c>
      <c r="X2" s="4" t="n">
        <v>0.207145833119805</v>
      </c>
      <c r="Z2" s="1" t="s">
        <v>131</v>
      </c>
      <c r="AA2" s="5" t="n">
        <f aca="false">SUM(B2:X2)</f>
        <v>2.90903851599165</v>
      </c>
      <c r="AB2" s="5" t="n">
        <f aca="false">Capacity!J3/AA2</f>
        <v>516.191171669007</v>
      </c>
      <c r="AC2" s="4" t="n">
        <f aca="false">AB2/AB$28</f>
        <v>0.0302376744221899</v>
      </c>
    </row>
    <row r="3" customFormat="false" ht="12.8" hidden="false" customHeight="false" outlineLevel="0" collapsed="false">
      <c r="A3" s="1" t="s">
        <v>133</v>
      </c>
      <c r="B3" s="4" t="n">
        <v>0.207940639269406</v>
      </c>
      <c r="C3" s="4" t="n">
        <f aca="false">(2-1)*(0.5*SQRT(Capacity!$C4*1.5/PI())*0.000308219178082192+0.5*SQRT(Capacity!$C4*1.5/PI())*0.00292237442922374)</f>
        <v>0.0162130325466643</v>
      </c>
      <c r="D3" s="4" t="n">
        <v>0.317061643835616</v>
      </c>
      <c r="E3" s="4" t="n">
        <v>0.313917808219178</v>
      </c>
      <c r="F3" s="4" t="n">
        <v>0.0347704477513879</v>
      </c>
      <c r="G3" s="4" t="n">
        <v>0.0176802651029861</v>
      </c>
      <c r="H3" s="4" t="n">
        <v>0.213120107854538</v>
      </c>
      <c r="I3" s="4" t="n">
        <v>0.121075587306593</v>
      </c>
      <c r="J3" s="4" t="n">
        <v>0.105754622923032</v>
      </c>
      <c r="K3" s="4" t="n">
        <v>0.0700297936992871</v>
      </c>
      <c r="L3" s="4" t="n">
        <v>0.0465103873065931</v>
      </c>
      <c r="M3" s="4" t="n">
        <v>0.149445235044841</v>
      </c>
      <c r="N3" s="4" t="n">
        <v>0.191664484110246</v>
      </c>
      <c r="O3" s="4" t="n">
        <v>0.113456721553168</v>
      </c>
      <c r="P3" s="4" t="n">
        <v>0.113567478072337</v>
      </c>
      <c r="Q3" s="4" t="n">
        <v>0.109618157169607</v>
      </c>
      <c r="R3" s="4" t="n">
        <v>0.0874590174435794</v>
      </c>
      <c r="S3" s="4" t="n">
        <v>0.17874212246641</v>
      </c>
      <c r="T3" s="4" t="n">
        <v>0.113258900548602</v>
      </c>
      <c r="U3" s="4" t="n">
        <v>0.0717486265759995</v>
      </c>
      <c r="V3" s="4" t="n">
        <v>0.217416253749877</v>
      </c>
      <c r="W3" s="4" t="n">
        <v>0.162209039124864</v>
      </c>
      <c r="X3" s="4" t="n">
        <v>0.08282639696462</v>
      </c>
      <c r="Z3" s="1" t="s">
        <v>133</v>
      </c>
      <c r="AA3" s="5" t="n">
        <f aca="false">SUM(B3:X3)</f>
        <v>3.05548676863943</v>
      </c>
      <c r="AB3" s="5" t="n">
        <f aca="false">Capacity!J4/AA3</f>
        <v>353.462502631262</v>
      </c>
      <c r="AC3" s="4" t="n">
        <f aca="false">AB3/AB$28</f>
        <v>0.0207052825805976</v>
      </c>
    </row>
    <row r="4" customFormat="false" ht="12.8" hidden="false" customHeight="false" outlineLevel="0" collapsed="false">
      <c r="A4" s="1" t="s">
        <v>135</v>
      </c>
      <c r="B4" s="4" t="n">
        <v>0.0498150783482803</v>
      </c>
      <c r="C4" s="4" t="n">
        <v>0.317061643835616</v>
      </c>
      <c r="D4" s="4" t="n">
        <f aca="false">(2-1)*(0.5*SQRT(Capacity!$C5*1.5/PI())*0.000308219178082192+0.5*SQRT(Capacity!$C5*1.5/PI())*0.00292237442922374)</f>
        <v>0.0116529605406056</v>
      </c>
      <c r="E4" s="4" t="n">
        <v>0.0152876712328767</v>
      </c>
      <c r="F4" s="4" t="n">
        <v>0.123308219178082</v>
      </c>
      <c r="G4" s="4" t="n">
        <v>0.130080065582602</v>
      </c>
      <c r="H4" s="4" t="n">
        <v>0.0228169409677737</v>
      </c>
      <c r="I4" s="4" t="n">
        <v>0.114861461515719</v>
      </c>
      <c r="J4" s="4" t="n">
        <v>0.042005707762557</v>
      </c>
      <c r="K4" s="4" t="n">
        <v>0.0777305369863014</v>
      </c>
      <c r="L4" s="4" t="n">
        <v>0.101249943378995</v>
      </c>
      <c r="M4" s="4" t="n">
        <v>0.0456338819355474</v>
      </c>
      <c r="N4" s="4" t="n">
        <v>0.129158265168687</v>
      </c>
      <c r="O4" s="4" t="n">
        <v>0.0564294557077625</v>
      </c>
      <c r="P4" s="4" t="n">
        <v>0.0815116389080515</v>
      </c>
      <c r="Q4" s="4" t="n">
        <v>0.0641648474885844</v>
      </c>
      <c r="R4" s="4" t="n">
        <v>0.060301313242009</v>
      </c>
      <c r="S4" s="4" t="n">
        <v>0.186442865753425</v>
      </c>
      <c r="T4" s="4" t="n">
        <v>0.0862740474885844</v>
      </c>
      <c r="U4" s="4" t="n">
        <v>0.159264783561644</v>
      </c>
      <c r="V4" s="4" t="n">
        <v>0.0920651872146118</v>
      </c>
      <c r="W4" s="4" t="n">
        <v>0.132126633553431</v>
      </c>
      <c r="X4" s="4" t="n">
        <v>0.112252720015768</v>
      </c>
      <c r="Z4" s="1" t="s">
        <v>135</v>
      </c>
      <c r="AA4" s="5" t="n">
        <f aca="false">SUM(B4:X4)</f>
        <v>2.21149586936751</v>
      </c>
      <c r="AB4" s="5" t="n">
        <f aca="false">Capacity!J5/AA4</f>
        <v>774.331086808567</v>
      </c>
      <c r="AC4" s="4" t="n">
        <f aca="false">AB4/AB$28</f>
        <v>0.0453591083748938</v>
      </c>
    </row>
    <row r="5" customFormat="false" ht="12.8" hidden="false" customHeight="false" outlineLevel="0" collapsed="false">
      <c r="A5" s="1" t="s">
        <v>137</v>
      </c>
      <c r="B5" s="4" t="n">
        <v>0.0591689497716896</v>
      </c>
      <c r="C5" s="4" t="n">
        <v>0.313917808219178</v>
      </c>
      <c r="D5" s="4" t="n">
        <v>0.0152876712328767</v>
      </c>
      <c r="E5" s="4" t="n">
        <f aca="false">(2-1)*(0.5*SQRT(Capacity!$C6*1.5/PI())*0.000308219178082192+0.5*SQRT(Capacity!$C6*1.5/PI())*0.00292237442922374)</f>
        <v>0.0237821412007078</v>
      </c>
      <c r="F5" s="4" t="n">
        <v>0.120164383561644</v>
      </c>
      <c r="G5" s="4" t="n">
        <v>0.114792394349726</v>
      </c>
      <c r="H5" s="4" t="n">
        <v>0.0381046122006504</v>
      </c>
      <c r="I5" s="4" t="n">
        <v>0.0629816913242008</v>
      </c>
      <c r="J5" s="4" t="n">
        <v>0.0267180365296804</v>
      </c>
      <c r="K5" s="4" t="n">
        <v>0.0624428657534247</v>
      </c>
      <c r="L5" s="4" t="n">
        <v>0.0859622721461186</v>
      </c>
      <c r="M5" s="4" t="n">
        <v>0.0609215531684241</v>
      </c>
      <c r="N5" s="4" t="n">
        <v>0.144445936401564</v>
      </c>
      <c r="O5" s="4" t="n">
        <v>0.0411417844748858</v>
      </c>
      <c r="P5" s="4" t="n">
        <v>0.133780469406393</v>
      </c>
      <c r="Q5" s="4" t="n">
        <v>0.0488771762557077</v>
      </c>
      <c r="R5" s="4" t="n">
        <v>0.0450136420091323</v>
      </c>
      <c r="S5" s="4" t="n">
        <v>0.171155194520548</v>
      </c>
      <c r="T5" s="4" t="n">
        <v>0.0709863762557077</v>
      </c>
      <c r="U5" s="4" t="n">
        <v>0.143977112328767</v>
      </c>
      <c r="V5" s="4" t="n">
        <v>0.0767775159817351</v>
      </c>
      <c r="W5" s="4" t="n">
        <v>0.116838962320555</v>
      </c>
      <c r="X5" s="4" t="n">
        <v>0.147976883348116</v>
      </c>
      <c r="Z5" s="1" t="s">
        <v>137</v>
      </c>
      <c r="AA5" s="5" t="n">
        <f aca="false">SUM(B5:X5)</f>
        <v>2.12521543276143</v>
      </c>
      <c r="AB5" s="5" t="n">
        <f aca="false">Capacity!J6/AA5</f>
        <v>623.866164136234</v>
      </c>
      <c r="AC5" s="4" t="n">
        <f aca="false">AB5/AB$28</f>
        <v>0.036545107683996</v>
      </c>
    </row>
    <row r="6" customFormat="false" ht="12.8" hidden="false" customHeight="false" outlineLevel="0" collapsed="false">
      <c r="A6" s="1" t="s">
        <v>139</v>
      </c>
      <c r="B6" s="4" t="n">
        <v>0.0901689497716896</v>
      </c>
      <c r="C6" s="4" t="n">
        <v>0.0347704477513879</v>
      </c>
      <c r="D6" s="4" t="n">
        <v>0.123308219178082</v>
      </c>
      <c r="E6" s="4" t="n">
        <v>0.120164383561644</v>
      </c>
      <c r="F6" s="4" t="n">
        <f aca="false">(2-1)*(0.5*SQRT(Capacity!$C7*1.5/PI())*0.000308219178082192+0.5*SQRT(Capacity!$C7*1.5/PI())*0.00292237442922374)</f>
        <v>0.0113276974040914</v>
      </c>
      <c r="G6" s="4" t="n">
        <v>0.0170901826484018</v>
      </c>
      <c r="H6" s="4" t="n">
        <v>0.212530025399954</v>
      </c>
      <c r="I6" s="4" t="n">
        <v>0.120485504852009</v>
      </c>
      <c r="J6" s="4" t="n">
        <v>0.105164540468447</v>
      </c>
      <c r="K6" s="4" t="n">
        <v>0.0694397112447027</v>
      </c>
      <c r="L6" s="4" t="n">
        <v>0.0459203048520088</v>
      </c>
      <c r="M6" s="4" t="n">
        <v>0.148855152590256</v>
      </c>
      <c r="N6" s="4" t="n">
        <v>0.191074401655662</v>
      </c>
      <c r="O6" s="4" t="n">
        <v>0.112866639098584</v>
      </c>
      <c r="P6" s="4" t="n">
        <v>0.112977395617752</v>
      </c>
      <c r="Q6" s="4" t="n">
        <v>0.109028074715022</v>
      </c>
      <c r="R6" s="4" t="n">
        <v>0.0868689349889951</v>
      </c>
      <c r="S6" s="4" t="n">
        <v>0.178152040011826</v>
      </c>
      <c r="T6" s="4" t="n">
        <v>0.112668818094018</v>
      </c>
      <c r="U6" s="4" t="n">
        <v>0.0711585441214151</v>
      </c>
      <c r="V6" s="4" t="n">
        <v>0.216826171295293</v>
      </c>
      <c r="W6" s="4" t="n">
        <v>0.16161895667028</v>
      </c>
      <c r="X6" s="4" t="n">
        <v>0.0822363145100359</v>
      </c>
      <c r="Z6" s="1" t="s">
        <v>139</v>
      </c>
      <c r="AA6" s="5" t="n">
        <f aca="false">SUM(B6:X6)</f>
        <v>2.53470141050156</v>
      </c>
      <c r="AB6" s="5" t="n">
        <f aca="false">Capacity!J7/AA6</f>
        <v>426.085690221908</v>
      </c>
      <c r="AC6" s="4" t="n">
        <f aca="false">AB6/AB$28</f>
        <v>0.0249594357362344</v>
      </c>
    </row>
    <row r="7" customFormat="false" ht="12.8" hidden="false" customHeight="false" outlineLevel="0" collapsed="false">
      <c r="A7" s="1" t="s">
        <v>140</v>
      </c>
      <c r="B7" s="4" t="n">
        <v>0.107259132420091</v>
      </c>
      <c r="C7" s="4" t="n">
        <v>0.0176802651029861</v>
      </c>
      <c r="D7" s="4" t="n">
        <v>0.130080065582602</v>
      </c>
      <c r="E7" s="4" t="n">
        <v>0.114792394349726</v>
      </c>
      <c r="F7" s="4" t="n">
        <v>0.0170901826484018</v>
      </c>
      <c r="G7" s="4" t="n">
        <f aca="false">(2-1)*(0.5*SQRT(Capacity!$C8*1.5/PI())*0.000308219178082192+0.5*SQRT(Capacity!$C8*1.5/PI())*0.00292237442922374)</f>
        <v>0.00913609124216412</v>
      </c>
      <c r="H7" s="4" t="n">
        <v>0.195439842751552</v>
      </c>
      <c r="I7" s="4" t="n">
        <v>0.103395322203607</v>
      </c>
      <c r="J7" s="4" t="n">
        <v>0.0880743578200452</v>
      </c>
      <c r="K7" s="4" t="n">
        <v>0.0523495285963011</v>
      </c>
      <c r="L7" s="4" t="n">
        <v>0.0288301222036068</v>
      </c>
      <c r="M7" s="4" t="n">
        <v>0.131764969941855</v>
      </c>
      <c r="N7" s="4" t="n">
        <v>0.17398421900726</v>
      </c>
      <c r="O7" s="4" t="n">
        <v>0.0957764564501822</v>
      </c>
      <c r="P7" s="4" t="n">
        <v>0.0958872129693504</v>
      </c>
      <c r="Q7" s="4" t="n">
        <v>0.0919378920666206</v>
      </c>
      <c r="R7" s="4" t="n">
        <v>0.0697787523405932</v>
      </c>
      <c r="S7" s="4" t="n">
        <v>0.161061857363424</v>
      </c>
      <c r="T7" s="4" t="n">
        <v>0.0955786354456162</v>
      </c>
      <c r="U7" s="4" t="n">
        <v>0.0540683614730134</v>
      </c>
      <c r="V7" s="4" t="n">
        <v>0.199735988646891</v>
      </c>
      <c r="W7" s="4" t="n">
        <v>0.144528774021878</v>
      </c>
      <c r="X7" s="4" t="n">
        <v>0.065146131861634</v>
      </c>
      <c r="Z7" s="1" t="s">
        <v>140</v>
      </c>
      <c r="AA7" s="5" t="n">
        <f aca="false">SUM(B7:X7)</f>
        <v>2.2433765565094</v>
      </c>
      <c r="AB7" s="5" t="n">
        <f aca="false">Capacity!J8/AA7</f>
        <v>763.327046024083</v>
      </c>
      <c r="AC7" s="4" t="n">
        <f aca="false">AB7/AB$28</f>
        <v>0.0447145088140492</v>
      </c>
    </row>
    <row r="8" customFormat="false" ht="12.8" hidden="false" customHeight="false" outlineLevel="0" collapsed="false">
      <c r="A8" s="1" t="s">
        <v>141</v>
      </c>
      <c r="B8" s="4" t="n">
        <v>0.072632019316054</v>
      </c>
      <c r="C8" s="4" t="n">
        <v>0.213120107854538</v>
      </c>
      <c r="D8" s="4" t="n">
        <v>0.0228169409677737</v>
      </c>
      <c r="E8" s="4" t="n">
        <v>0.0381046122006504</v>
      </c>
      <c r="F8" s="4" t="n">
        <v>0.212530025399954</v>
      </c>
      <c r="G8" s="4" t="n">
        <v>0.195439842751552</v>
      </c>
      <c r="H8" s="4" t="n">
        <f aca="false">(2-1)*(0.5*SQRT(Capacity!$C9*1.5/PI())*0.000308219178082192+0.5*SQRT(Capacity!$C9*1.5/PI())*0.00292237442922374)</f>
        <v>0.0100453607157933</v>
      </c>
      <c r="I8" s="4" t="n">
        <v>0.0920445205479452</v>
      </c>
      <c r="J8" s="4" t="n">
        <v>0.0648226487303307</v>
      </c>
      <c r="K8" s="4" t="n">
        <v>0.100547477954075</v>
      </c>
      <c r="L8" s="4" t="n">
        <v>0.125751788706021</v>
      </c>
      <c r="M8" s="4" t="n">
        <v>0.0228169409677737</v>
      </c>
      <c r="N8" s="4" t="n">
        <v>0.106341324200913</v>
      </c>
      <c r="O8" s="4" t="n">
        <v>0.0792463966755362</v>
      </c>
      <c r="P8" s="4" t="n">
        <v>0.0586946979402778</v>
      </c>
      <c r="Q8" s="4" t="n">
        <v>0.106868188351237</v>
      </c>
      <c r="R8" s="4" t="n">
        <v>0.147461525337538</v>
      </c>
      <c r="S8" s="4" t="n">
        <v>0.209259806721198</v>
      </c>
      <c r="T8" s="4" t="n">
        <v>0.102049174652607</v>
      </c>
      <c r="U8" s="4" t="n">
        <v>0.182081724529418</v>
      </c>
      <c r="V8" s="4" t="n">
        <v>0.0933749499950723</v>
      </c>
      <c r="W8" s="4" t="n">
        <v>0.133436396333892</v>
      </c>
      <c r="X8" s="4" t="n">
        <v>0.0894357790479945</v>
      </c>
      <c r="Z8" s="1" t="s">
        <v>141</v>
      </c>
      <c r="AA8" s="5" t="n">
        <f aca="false">SUM(B8:X8)</f>
        <v>2.47892224989815</v>
      </c>
      <c r="AB8" s="5" t="n">
        <f aca="false">Capacity!J9/AA8</f>
        <v>690.796171630779</v>
      </c>
      <c r="AC8" s="4" t="n">
        <f aca="false">AB8/AB$28</f>
        <v>0.0404657632216551</v>
      </c>
    </row>
    <row r="9" customFormat="false" ht="12.8" hidden="false" customHeight="false" outlineLevel="0" collapsed="false">
      <c r="A9" s="1" t="s">
        <v>142</v>
      </c>
      <c r="B9" s="4" t="n">
        <v>0.164676539863999</v>
      </c>
      <c r="C9" s="4" t="n">
        <v>0.121075587306593</v>
      </c>
      <c r="D9" s="4" t="n">
        <v>0.114861461515719</v>
      </c>
      <c r="E9" s="4" t="n">
        <v>0.0629816913242008</v>
      </c>
      <c r="F9" s="4" t="n">
        <v>0.120485504852009</v>
      </c>
      <c r="G9" s="4" t="n">
        <v>0.103395322203607</v>
      </c>
      <c r="H9" s="4" t="n">
        <v>0.0920445205479452</v>
      </c>
      <c r="I9" s="4" t="n">
        <f aca="false">(2-1)*(0.5*SQRT(Capacity!$C10*1.5/PI())*0.000308219178082192+0.5*SQRT(Capacity!$C10*1.5/PI())*0.00292237442922374)</f>
        <v>0.0133938142877244</v>
      </c>
      <c r="J9" s="4" t="n">
        <v>0.0362636547945205</v>
      </c>
      <c r="K9" s="4" t="n">
        <v>0.051045793607306</v>
      </c>
      <c r="L9" s="4" t="n">
        <v>0.0745652</v>
      </c>
      <c r="M9" s="4" t="n">
        <v>0.0991929223744293</v>
      </c>
      <c r="N9" s="4" t="n">
        <v>0.0815342465753425</v>
      </c>
      <c r="O9" s="4" t="n">
        <v>0.0181707561643836</v>
      </c>
      <c r="P9" s="4" t="n">
        <v>0.0750351178082192</v>
      </c>
      <c r="Q9" s="4" t="n">
        <v>0.0268616273972603</v>
      </c>
      <c r="R9" s="4" t="n">
        <v>0.0336165698630137</v>
      </c>
      <c r="S9" s="4" t="n">
        <v>0.110015347945205</v>
      </c>
      <c r="T9" s="4" t="n">
        <v>0.0711470958904109</v>
      </c>
      <c r="U9" s="4" t="n">
        <v>0.0895256219178082</v>
      </c>
      <c r="V9" s="4" t="n">
        <v>0.0806744547945205</v>
      </c>
      <c r="W9" s="4" t="n">
        <v>0.0938679340100523</v>
      </c>
      <c r="X9" s="4" t="n">
        <v>0.125005855037614</v>
      </c>
      <c r="Z9" s="1" t="s">
        <v>142</v>
      </c>
      <c r="AA9" s="5" t="n">
        <f aca="false">SUM(B9:X9)</f>
        <v>1.85943664008188</v>
      </c>
      <c r="AB9" s="5" t="n">
        <f aca="false">Capacity!J10/AA9</f>
        <v>580.821081353136</v>
      </c>
      <c r="AC9" s="4" t="n">
        <f aca="false">AB9/AB$28</f>
        <v>0.0340235938145064</v>
      </c>
    </row>
    <row r="10" customFormat="false" ht="12.8" hidden="false" customHeight="false" outlineLevel="0" collapsed="false">
      <c r="A10" s="1" t="s">
        <v>143</v>
      </c>
      <c r="B10" s="4" t="n">
        <v>0.0858869863013699</v>
      </c>
      <c r="C10" s="4" t="n">
        <v>0.105754622923032</v>
      </c>
      <c r="D10" s="4" t="n">
        <v>0.042005707762557</v>
      </c>
      <c r="E10" s="4" t="n">
        <v>0.0267180365296804</v>
      </c>
      <c r="F10" s="4" t="n">
        <v>0.105164540468447</v>
      </c>
      <c r="G10" s="4" t="n">
        <v>0.0880743578200452</v>
      </c>
      <c r="H10" s="4" t="n">
        <v>0.0648226487303307</v>
      </c>
      <c r="I10" s="4" t="n">
        <v>0.0362636547945205</v>
      </c>
      <c r="J10" s="4" t="n">
        <f aca="false">(2-1)*(0.5*SQRT(Capacity!$C11*1.5/PI())*0.000308219178082192+0.5*SQRT(Capacity!$C11*1.5/PI())*0.00292237442922374)</f>
        <v>0.0133472269664404</v>
      </c>
      <c r="K10" s="4" t="n">
        <v>0.0357248292237444</v>
      </c>
      <c r="L10" s="4" t="n">
        <v>0.0592442356164384</v>
      </c>
      <c r="M10" s="4" t="n">
        <v>0.131787426484018</v>
      </c>
      <c r="N10" s="4" t="n">
        <v>0.092631510502283</v>
      </c>
      <c r="O10" s="4" t="n">
        <v>0.0144237479452055</v>
      </c>
      <c r="P10" s="4" t="n">
        <v>0.107062432876712</v>
      </c>
      <c r="Q10" s="4" t="n">
        <v>0.0221591397260274</v>
      </c>
      <c r="R10" s="4" t="n">
        <v>0.0182956054794521</v>
      </c>
      <c r="S10" s="4" t="n">
        <v>0.144437157990868</v>
      </c>
      <c r="T10" s="4" t="n">
        <v>0.0442683397260274</v>
      </c>
      <c r="U10" s="4" t="n">
        <v>0.117259075799087</v>
      </c>
      <c r="V10" s="4" t="n">
        <v>0.0500594794520548</v>
      </c>
      <c r="W10" s="4" t="n">
        <v>0.0901209257908743</v>
      </c>
      <c r="X10" s="4" t="n">
        <v>0.121258846818436</v>
      </c>
      <c r="Z10" s="1" t="s">
        <v>143</v>
      </c>
      <c r="AA10" s="5" t="n">
        <f aca="false">SUM(B10:X10)</f>
        <v>1.61677053572765</v>
      </c>
      <c r="AB10" s="5" t="n">
        <f aca="false">Capacity!J11/AA10</f>
        <v>1059.16700122773</v>
      </c>
      <c r="AC10" s="4" t="n">
        <f aca="false">AB10/AB$28</f>
        <v>0.0620443523632897</v>
      </c>
    </row>
    <row r="11" customFormat="false" ht="12.8" hidden="false" customHeight="false" outlineLevel="0" collapsed="false">
      <c r="A11" s="1" t="s">
        <v>144</v>
      </c>
      <c r="B11" s="4" t="n">
        <v>0.121611815525114</v>
      </c>
      <c r="C11" s="4" t="n">
        <v>0.0700297936992871</v>
      </c>
      <c r="D11" s="4" t="n">
        <v>0.0777305369863014</v>
      </c>
      <c r="E11" s="4" t="n">
        <v>0.0624428657534247</v>
      </c>
      <c r="F11" s="4" t="n">
        <v>0.0694397112447027</v>
      </c>
      <c r="G11" s="4" t="n">
        <v>0.0523495285963011</v>
      </c>
      <c r="H11" s="4" t="n">
        <v>0.100547477954075</v>
      </c>
      <c r="I11" s="4" t="n">
        <v>0.051045793607306</v>
      </c>
      <c r="J11" s="4" t="n">
        <v>0.0357248292237444</v>
      </c>
      <c r="K11" s="4" t="n">
        <f aca="false">(2-1)*(0.5*SQRT(Capacity!$C12*1.5/PI())*0.000308219178082192+0.5*SQRT(Capacity!$C12*1.5/PI())*0.00292237442922374)</f>
        <v>0.0138959702596896</v>
      </c>
      <c r="L11" s="4" t="n">
        <v>0.0235194063926941</v>
      </c>
      <c r="M11" s="4" t="n">
        <v>0.150238715981735</v>
      </c>
      <c r="N11" s="4" t="n">
        <v>0.121634690410959</v>
      </c>
      <c r="O11" s="4" t="n">
        <v>0.0434269278538814</v>
      </c>
      <c r="P11" s="4" t="n">
        <v>0.106196051141553</v>
      </c>
      <c r="Q11" s="4" t="n">
        <v>0.0395883634703197</v>
      </c>
      <c r="R11" s="4" t="n">
        <v>0.0174292237442922</v>
      </c>
      <c r="S11" s="4" t="n">
        <v>0.108712328767123</v>
      </c>
      <c r="T11" s="4" t="n">
        <v>0.0444073771689499</v>
      </c>
      <c r="U11" s="4" t="n">
        <v>0.0815342465753425</v>
      </c>
      <c r="V11" s="4" t="n">
        <v>0.0521177990867581</v>
      </c>
      <c r="W11" s="4" t="n">
        <v>0.0921792454255773</v>
      </c>
      <c r="X11" s="4" t="n">
        <v>0.0598354160507211</v>
      </c>
      <c r="Z11" s="1" t="s">
        <v>144</v>
      </c>
      <c r="AA11" s="5" t="n">
        <f aca="false">SUM(B11:X11)</f>
        <v>1.59563811491985</v>
      </c>
      <c r="AB11" s="5" t="n">
        <f aca="false">Capacity!J12/AA11</f>
        <v>676.84520061383</v>
      </c>
      <c r="AC11" s="4" t="n">
        <f aca="false">AB11/AB$28</f>
        <v>0.0396485370801851</v>
      </c>
    </row>
    <row r="12" customFormat="false" ht="12.8" hidden="false" customHeight="false" outlineLevel="0" collapsed="false">
      <c r="A12" s="1" t="s">
        <v>145</v>
      </c>
      <c r="B12" s="4" t="n">
        <v>0.136089254623698</v>
      </c>
      <c r="C12" s="4" t="n">
        <v>0.0465103873065931</v>
      </c>
      <c r="D12" s="4" t="n">
        <v>0.101249943378995</v>
      </c>
      <c r="E12" s="4" t="n">
        <v>0.0859622721461186</v>
      </c>
      <c r="F12" s="4" t="n">
        <v>0.0459203048520088</v>
      </c>
      <c r="G12" s="4" t="n">
        <v>0.0288301222036068</v>
      </c>
      <c r="H12" s="4" t="n">
        <v>0.125751788706021</v>
      </c>
      <c r="I12" s="4" t="n">
        <v>0.0745652</v>
      </c>
      <c r="J12" s="4" t="n">
        <v>0.0592442356164384</v>
      </c>
      <c r="K12" s="4" t="n">
        <v>0.0235194063926941</v>
      </c>
      <c r="L12" s="4" t="n">
        <f aca="false">(2-1)*(0.5*SQRT(Capacity!$C13*1.5/PI())*0.000308219178082192+0.5*SQRT(Capacity!$C13*1.5/PI())*0.00292237442922374)</f>
        <v>0.0125783851112799</v>
      </c>
      <c r="M12" s="4" t="n">
        <v>0.102934847738248</v>
      </c>
      <c r="N12" s="4" t="n">
        <v>0.145154096803653</v>
      </c>
      <c r="O12" s="4" t="n">
        <v>0.0669463342465754</v>
      </c>
      <c r="P12" s="4" t="n">
        <v>0.0670570907657436</v>
      </c>
      <c r="Q12" s="4" t="n">
        <v>0.0631077698630137</v>
      </c>
      <c r="R12" s="4" t="n">
        <v>0.0409486301369863</v>
      </c>
      <c r="S12" s="4" t="n">
        <v>0.132231735159817</v>
      </c>
      <c r="T12" s="4" t="n">
        <v>0.066748513242009</v>
      </c>
      <c r="U12" s="4" t="n">
        <v>0.0252382392694064</v>
      </c>
      <c r="V12" s="4" t="n">
        <v>0.170905866443284</v>
      </c>
      <c r="W12" s="4" t="n">
        <v>0.115698651818272</v>
      </c>
      <c r="X12" s="4" t="n">
        <v>0.0363160096580271</v>
      </c>
      <c r="Z12" s="1" t="s">
        <v>145</v>
      </c>
      <c r="AA12" s="5" t="n">
        <f aca="false">SUM(B12:X12)</f>
        <v>1.77350908548249</v>
      </c>
      <c r="AB12" s="5" t="n">
        <f aca="false">Capacity!J13/AA12</f>
        <v>822.927839471962</v>
      </c>
      <c r="AC12" s="4" t="n">
        <f aca="false">AB12/AB$28</f>
        <v>0.0482058304144441</v>
      </c>
    </row>
    <row r="13" customFormat="false" ht="12.8" hidden="false" customHeight="false" outlineLevel="0" collapsed="false">
      <c r="A13" s="1" t="s">
        <v>147</v>
      </c>
      <c r="B13" s="4" t="n">
        <v>0.0954489602838277</v>
      </c>
      <c r="C13" s="4" t="n">
        <v>0.149445235044841</v>
      </c>
      <c r="D13" s="4" t="n">
        <v>0.0456338819355474</v>
      </c>
      <c r="E13" s="4" t="n">
        <v>0.0609215531684241</v>
      </c>
      <c r="F13" s="4" t="n">
        <v>0.148855152590256</v>
      </c>
      <c r="G13" s="4" t="n">
        <v>0.131764969941855</v>
      </c>
      <c r="H13" s="4" t="n">
        <v>0.0228169409677737</v>
      </c>
      <c r="I13" s="4" t="n">
        <v>0.0991929223744293</v>
      </c>
      <c r="J13" s="4" t="n">
        <v>0.131787426484018</v>
      </c>
      <c r="K13" s="4" t="n">
        <v>0.150238715981735</v>
      </c>
      <c r="L13" s="4" t="n">
        <v>0.102934847738248</v>
      </c>
      <c r="M13" s="4" t="n">
        <f aca="false">(2-1)*(0.5*SQRT(Capacity!$C14*1.5/PI())*0.000308219178082192+0.5*SQRT(Capacity!$C14*1.5/PI())*0.00292237442922374)</f>
        <v>0.0111055641260207</v>
      </c>
      <c r="N13" s="4" t="n">
        <v>0.0610445205479452</v>
      </c>
      <c r="O13" s="4" t="n">
        <v>0.139252283105023</v>
      </c>
      <c r="P13" s="4" t="n">
        <v>0.0358777569725041</v>
      </c>
      <c r="Q13" s="4" t="n">
        <v>0.084051247383463</v>
      </c>
      <c r="R13" s="4" t="n">
        <v>0.124644584369764</v>
      </c>
      <c r="S13" s="4" t="n">
        <v>0.141232233684833</v>
      </c>
      <c r="T13" s="4" t="n">
        <v>0.0792322336848329</v>
      </c>
      <c r="U13" s="4" t="n">
        <v>0.120742507657436</v>
      </c>
      <c r="V13" s="4" t="n">
        <v>0.0705580090272986</v>
      </c>
      <c r="W13" s="4" t="n">
        <v>0.110619455366118</v>
      </c>
      <c r="X13" s="4" t="n">
        <v>0.0666188380802208</v>
      </c>
      <c r="Z13" s="1" t="s">
        <v>147</v>
      </c>
      <c r="AA13" s="5" t="n">
        <f aca="false">SUM(B13:X13)</f>
        <v>2.18401984051641</v>
      </c>
      <c r="AB13" s="5" t="n">
        <f aca="false">Capacity!J14/AA13</f>
        <v>668.24942380327</v>
      </c>
      <c r="AC13" s="4" t="n">
        <f aca="false">AB13/AB$28</f>
        <v>0.039145009869979</v>
      </c>
    </row>
    <row r="14" customFormat="false" ht="12.8" hidden="false" customHeight="false" outlineLevel="0" collapsed="false">
      <c r="A14" s="1" t="s">
        <v>148</v>
      </c>
      <c r="B14" s="4" t="n">
        <v>0.178973343516967</v>
      </c>
      <c r="C14" s="4" t="n">
        <v>0.191664484110246</v>
      </c>
      <c r="D14" s="4" t="n">
        <v>0.129158265168687</v>
      </c>
      <c r="E14" s="4" t="n">
        <v>0.144445936401564</v>
      </c>
      <c r="F14" s="4" t="n">
        <v>0.191074401655662</v>
      </c>
      <c r="G14" s="4" t="n">
        <v>0.17398421900726</v>
      </c>
      <c r="H14" s="4" t="n">
        <v>0.106341324200913</v>
      </c>
      <c r="I14" s="4" t="n">
        <v>0.0815342465753425</v>
      </c>
      <c r="J14" s="4" t="n">
        <v>0.092631510502283</v>
      </c>
      <c r="K14" s="4" t="n">
        <v>0.121634690410959</v>
      </c>
      <c r="L14" s="4" t="n">
        <v>0.145154096803653</v>
      </c>
      <c r="M14" s="4" t="n">
        <v>0.0610445205479452</v>
      </c>
      <c r="N14" s="4" t="n">
        <f aca="false">(2-1)*(0.5*SQRT(Capacity!$C15*1.5/PI())*0.000308219178082192+0.5*SQRT(Capacity!$C15*1.5/PI())*0.00292237442922374)</f>
        <v>0.00998315974178653</v>
      </c>
      <c r="O14" s="4" t="n">
        <v>0.0782077625570775</v>
      </c>
      <c r="P14" s="4" t="n">
        <v>0.0577180365296803</v>
      </c>
      <c r="Q14" s="4" t="n">
        <v>0.105891526940639</v>
      </c>
      <c r="R14" s="4" t="n">
        <v>0.146484863926941</v>
      </c>
      <c r="S14" s="4" t="n">
        <v>0.163072513242009</v>
      </c>
      <c r="T14" s="4" t="n">
        <v>0.101072513242009</v>
      </c>
      <c r="U14" s="4" t="n">
        <v>0.142582787214612</v>
      </c>
      <c r="V14" s="4" t="n">
        <v>0.0923982885844748</v>
      </c>
      <c r="W14" s="4" t="n">
        <v>0.132459734923294</v>
      </c>
      <c r="X14" s="4" t="n">
        <v>0.088459117637397</v>
      </c>
      <c r="Z14" s="1" t="s">
        <v>148</v>
      </c>
      <c r="AA14" s="5" t="n">
        <f aca="false">SUM(B14:X14)</f>
        <v>2.7359713434414</v>
      </c>
      <c r="AB14" s="5" t="n">
        <f aca="false">Capacity!J15/AA14</f>
        <v>568.997187683206</v>
      </c>
      <c r="AC14" s="4" t="n">
        <f aca="false">AB14/AB$28</f>
        <v>0.0333309685492622</v>
      </c>
    </row>
    <row r="15" customFormat="false" ht="12.8" hidden="false" customHeight="false" outlineLevel="0" collapsed="false">
      <c r="A15" s="1" t="s">
        <v>150</v>
      </c>
      <c r="B15" s="4" t="n">
        <v>0.100310734246575</v>
      </c>
      <c r="C15" s="4" t="n">
        <v>0.113456721553168</v>
      </c>
      <c r="D15" s="4" t="n">
        <v>0.0564294557077625</v>
      </c>
      <c r="E15" s="4" t="n">
        <v>0.0411417844748858</v>
      </c>
      <c r="F15" s="4" t="n">
        <v>0.112866639098584</v>
      </c>
      <c r="G15" s="4" t="n">
        <v>0.0957764564501822</v>
      </c>
      <c r="H15" s="4" t="n">
        <v>0.0792463966755362</v>
      </c>
      <c r="I15" s="4" t="n">
        <v>0.0181707561643836</v>
      </c>
      <c r="J15" s="4" t="n">
        <v>0.0144237479452055</v>
      </c>
      <c r="K15" s="4" t="n">
        <v>0.0434269278538814</v>
      </c>
      <c r="L15" s="4" t="n">
        <v>0.0669463342465754</v>
      </c>
      <c r="M15" s="4" t="n">
        <v>0.139252283105023</v>
      </c>
      <c r="N15" s="4" t="n">
        <v>0.0782077625570775</v>
      </c>
      <c r="O15" s="4" t="n">
        <f aca="false">(2-1)*(0.5*SQRT(Capacity!$C16*1.5/PI())*0.000308219178082192+0.5*SQRT(Capacity!$C16*1.5/PI())*0.00292237442922374)</f>
        <v>0.0119693880479816</v>
      </c>
      <c r="P15" s="4" t="n">
        <v>0.0616334356164384</v>
      </c>
      <c r="Q15" s="4" t="n">
        <v>0.0134599452054795</v>
      </c>
      <c r="R15" s="4" t="n">
        <v>0.025997704109589</v>
      </c>
      <c r="S15" s="4" t="n">
        <v>0.0918445917808219</v>
      </c>
      <c r="T15" s="4" t="n">
        <v>0.0298445917808219</v>
      </c>
      <c r="U15" s="4" t="n">
        <v>0.0713548657534247</v>
      </c>
      <c r="V15" s="4" t="n">
        <v>0.0356357315068493</v>
      </c>
      <c r="W15" s="4" t="n">
        <v>0.0756971778456688</v>
      </c>
      <c r="X15" s="4" t="n">
        <v>0.10683509887323</v>
      </c>
      <c r="Z15" s="1" t="s">
        <v>150</v>
      </c>
      <c r="AA15" s="5" t="n">
        <f aca="false">SUM(B15:X15)</f>
        <v>1.48392853059915</v>
      </c>
      <c r="AB15" s="5" t="n">
        <f aca="false">Capacity!J16/AA15</f>
        <v>983.517716591597</v>
      </c>
      <c r="AC15" s="4" t="n">
        <f aca="false">AB15/AB$28</f>
        <v>0.0576129351584917</v>
      </c>
    </row>
    <row r="16" customFormat="false" ht="12.8" hidden="false" customHeight="false" outlineLevel="0" collapsed="false">
      <c r="A16" s="1" t="s">
        <v>151</v>
      </c>
      <c r="B16" s="4" t="n">
        <v>0.131326717256332</v>
      </c>
      <c r="C16" s="4" t="n">
        <v>0.113567478072337</v>
      </c>
      <c r="D16" s="4" t="n">
        <v>0.0815116389080515</v>
      </c>
      <c r="E16" s="4" t="n">
        <v>0.133780469406393</v>
      </c>
      <c r="F16" s="4" t="n">
        <v>0.112977395617752</v>
      </c>
      <c r="G16" s="4" t="n">
        <v>0.0958872129693504</v>
      </c>
      <c r="H16" s="4" t="n">
        <v>0.0586946979402778</v>
      </c>
      <c r="I16" s="4" t="n">
        <v>0.0750351178082192</v>
      </c>
      <c r="J16" s="4" t="n">
        <v>0.107062432876712</v>
      </c>
      <c r="K16" s="4" t="n">
        <v>0.106196051141553</v>
      </c>
      <c r="L16" s="4" t="n">
        <v>0.0670570907657436</v>
      </c>
      <c r="M16" s="4" t="n">
        <v>0.0358777569725041</v>
      </c>
      <c r="N16" s="4" t="n">
        <v>0.0577180365296803</v>
      </c>
      <c r="O16" s="4" t="n">
        <v>0.0616334356164384</v>
      </c>
      <c r="P16" s="4" t="n">
        <f aca="false">(2-1)*(0.5*SQRT(Capacity!$C17*1.5/PI())*0.000308219178082192+0.5*SQRT(Capacity!$C17*1.5/PI())*0.00292237442922374)</f>
        <v>0.0138959702596896</v>
      </c>
      <c r="Q16" s="4" t="n">
        <v>0.0481734904109589</v>
      </c>
      <c r="R16" s="4" t="n">
        <v>0.0887668273972603</v>
      </c>
      <c r="S16" s="4" t="n">
        <v>0.105354476712329</v>
      </c>
      <c r="T16" s="4" t="n">
        <v>0.0433544767123288</v>
      </c>
      <c r="U16" s="4" t="n">
        <v>0.0848647506849315</v>
      </c>
      <c r="V16" s="4" t="n">
        <v>0.0346802520547945</v>
      </c>
      <c r="W16" s="4" t="n">
        <v>0.074741698393614</v>
      </c>
      <c r="X16" s="4" t="n">
        <v>0.0307410811077164</v>
      </c>
      <c r="Z16" s="1" t="s">
        <v>151</v>
      </c>
      <c r="AA16" s="5" t="n">
        <f aca="false">SUM(B16:X16)</f>
        <v>1.76289855561497</v>
      </c>
      <c r="AB16" s="5" t="n">
        <f aca="false">Capacity!J17/AA16</f>
        <v>971.371832228109</v>
      </c>
      <c r="AC16" s="4" t="n">
        <f aca="false">AB16/AB$28</f>
        <v>0.0569014481801979</v>
      </c>
    </row>
    <row r="17" customFormat="false" ht="12.8" hidden="false" customHeight="false" outlineLevel="0" collapsed="false">
      <c r="A17" s="1" t="s">
        <v>152</v>
      </c>
      <c r="B17" s="4" t="n">
        <v>0.108046126027397</v>
      </c>
      <c r="C17" s="4" t="n">
        <v>0.109618157169607</v>
      </c>
      <c r="D17" s="4" t="n">
        <v>0.0641648474885844</v>
      </c>
      <c r="E17" s="4" t="n">
        <v>0.0488771762557077</v>
      </c>
      <c r="F17" s="4" t="n">
        <v>0.109028074715022</v>
      </c>
      <c r="G17" s="4" t="n">
        <v>0.0919378920666206</v>
      </c>
      <c r="H17" s="4" t="n">
        <v>0.106868188351237</v>
      </c>
      <c r="I17" s="4" t="n">
        <v>0.0268616273972603</v>
      </c>
      <c r="J17" s="4" t="n">
        <v>0.0221591397260274</v>
      </c>
      <c r="K17" s="4" t="n">
        <v>0.0395883634703197</v>
      </c>
      <c r="L17" s="4" t="n">
        <v>0.0631077698630137</v>
      </c>
      <c r="M17" s="4" t="n">
        <v>0.084051247383463</v>
      </c>
      <c r="N17" s="4" t="n">
        <v>0.105891526940639</v>
      </c>
      <c r="O17" s="4" t="n">
        <v>0.0134599452054795</v>
      </c>
      <c r="P17" s="4" t="n">
        <v>0.0481734904109589</v>
      </c>
      <c r="Q17" s="4" t="n">
        <f aca="false">(2-1)*(0.5*SQRT(Capacity!$C18*1.5/PI())*0.000308219178082192+0.5*SQRT(Capacity!$C18*1.5/PI())*0.00292237442922374)</f>
        <v>0.0133472269664404</v>
      </c>
      <c r="R17" s="4" t="n">
        <v>0.0221591397260274</v>
      </c>
      <c r="S17" s="4" t="n">
        <v>0.0841591397260274</v>
      </c>
      <c r="T17" s="4" t="n">
        <v>0.0221591397260274</v>
      </c>
      <c r="U17" s="4" t="n">
        <v>0.0636694136986301</v>
      </c>
      <c r="V17" s="4" t="n">
        <v>0.0289057589041096</v>
      </c>
      <c r="W17" s="4" t="n">
        <v>0.068967205242929</v>
      </c>
      <c r="X17" s="4" t="n">
        <v>0.0991496468184356</v>
      </c>
      <c r="Z17" s="1" t="s">
        <v>152</v>
      </c>
      <c r="AA17" s="5" t="n">
        <f aca="false">SUM(B17:X17)</f>
        <v>1.44435024327996</v>
      </c>
      <c r="AB17" s="5" t="n">
        <f aca="false">Capacity!J18/AA17</f>
        <v>1185.60578223137</v>
      </c>
      <c r="AC17" s="4" t="n">
        <f aca="false">AB17/AB$28</f>
        <v>0.0694509391167302</v>
      </c>
    </row>
    <row r="18" customFormat="false" ht="12.8" hidden="false" customHeight="false" outlineLevel="0" collapsed="false">
      <c r="A18" s="1" t="s">
        <v>153</v>
      </c>
      <c r="B18" s="4" t="n">
        <v>0.104182591780822</v>
      </c>
      <c r="C18" s="4" t="n">
        <v>0.0874590174435794</v>
      </c>
      <c r="D18" s="4" t="n">
        <v>0.060301313242009</v>
      </c>
      <c r="E18" s="4" t="n">
        <v>0.0450136420091323</v>
      </c>
      <c r="F18" s="4" t="n">
        <v>0.0868689349889951</v>
      </c>
      <c r="G18" s="4" t="n">
        <v>0.0697787523405932</v>
      </c>
      <c r="H18" s="4" t="n">
        <v>0.147461525337538</v>
      </c>
      <c r="I18" s="4" t="n">
        <v>0.0336165698630137</v>
      </c>
      <c r="J18" s="4" t="n">
        <v>0.0182956054794521</v>
      </c>
      <c r="K18" s="4" t="n">
        <v>0.0174292237442922</v>
      </c>
      <c r="L18" s="4" t="n">
        <v>0.0409486301369863</v>
      </c>
      <c r="M18" s="4" t="n">
        <v>0.124644584369764</v>
      </c>
      <c r="N18" s="4" t="n">
        <v>0.146484863926941</v>
      </c>
      <c r="O18" s="4" t="n">
        <v>0.025997704109589</v>
      </c>
      <c r="P18" s="4" t="n">
        <v>0.0887668273972603</v>
      </c>
      <c r="Q18" s="4" t="n">
        <v>0.0221591397260274</v>
      </c>
      <c r="R18" s="4" t="n">
        <f aca="false">(2-1)*(0.5*SQRT(Capacity!$C19*1.5/PI())*0.000308219178082192+0.5*SQRT(Capacity!$C19*1.5/PI())*0.00292237442922374)</f>
        <v>0.0102296946362797</v>
      </c>
      <c r="S18" s="4" t="n">
        <v>0.126141552511416</v>
      </c>
      <c r="T18" s="4" t="n">
        <v>0.0269781534246575</v>
      </c>
      <c r="U18" s="4" t="n">
        <v>0.0989634703196348</v>
      </c>
      <c r="V18" s="4" t="n">
        <v>0.0346885753424658</v>
      </c>
      <c r="W18" s="4" t="n">
        <v>0.0747500216812852</v>
      </c>
      <c r="X18" s="4" t="n">
        <v>0.103968660517066</v>
      </c>
      <c r="Z18" s="1" t="s">
        <v>153</v>
      </c>
      <c r="AA18" s="5" t="n">
        <f aca="false">SUM(B18:X18)</f>
        <v>1.5951290543288</v>
      </c>
      <c r="AB18" s="5" t="n">
        <f aca="false">Capacity!J19/AA18</f>
        <v>1203.66436482965</v>
      </c>
      <c r="AC18" s="4" t="n">
        <f aca="false">AB18/AB$28</f>
        <v>0.0705087827434774</v>
      </c>
    </row>
    <row r="19" customFormat="false" ht="12.8" hidden="false" customHeight="false" outlineLevel="0" collapsed="false">
      <c r="A19" s="1" t="s">
        <v>155</v>
      </c>
      <c r="B19" s="4" t="n">
        <v>0.230324144292237</v>
      </c>
      <c r="C19" s="4" t="n">
        <v>0.17874212246641</v>
      </c>
      <c r="D19" s="4" t="n">
        <v>0.186442865753425</v>
      </c>
      <c r="E19" s="4" t="n">
        <v>0.171155194520548</v>
      </c>
      <c r="F19" s="4" t="n">
        <v>0.178152040011826</v>
      </c>
      <c r="G19" s="4" t="n">
        <v>0.161061857363424</v>
      </c>
      <c r="H19" s="4" t="n">
        <v>0.209259806721198</v>
      </c>
      <c r="I19" s="4" t="n">
        <v>0.110015347945205</v>
      </c>
      <c r="J19" s="4" t="n">
        <v>0.144437157990868</v>
      </c>
      <c r="K19" s="4" t="n">
        <v>0.108712328767123</v>
      </c>
      <c r="L19" s="4" t="n">
        <v>0.132231735159817</v>
      </c>
      <c r="M19" s="4" t="n">
        <v>0.141232233684833</v>
      </c>
      <c r="N19" s="4" t="n">
        <v>0.163072513242009</v>
      </c>
      <c r="O19" s="4" t="n">
        <v>0.0918445917808219</v>
      </c>
      <c r="P19" s="4" t="n">
        <v>0.105354476712329</v>
      </c>
      <c r="Q19" s="4" t="n">
        <v>0.0841591397260274</v>
      </c>
      <c r="R19" s="4" t="n">
        <v>0.126141552511416</v>
      </c>
      <c r="S19" s="4" t="n">
        <f aca="false">(2-1)*(0.5*SQRT(Capacity!$C20*1.5/PI())*0.000308219178082192+0.5*SQRT(Capacity!$C20*1.5/PI())*0.00292237442922374)</f>
        <v>0.00740370941734716</v>
      </c>
      <c r="T19" s="4" t="n">
        <v>0.062</v>
      </c>
      <c r="U19" s="4" t="n">
        <v>0.0815342465753425</v>
      </c>
      <c r="V19" s="4" t="n">
        <v>0.0764487178082192</v>
      </c>
      <c r="W19" s="4" t="n">
        <v>0.116510164147039</v>
      </c>
      <c r="X19" s="4" t="n">
        <v>0.138990507092408</v>
      </c>
      <c r="Z19" s="1" t="s">
        <v>155</v>
      </c>
      <c r="AA19" s="5" t="n">
        <f aca="false">SUM(B19:X19)</f>
        <v>3.00522645368987</v>
      </c>
      <c r="AB19" s="5" t="n">
        <f aca="false">Capacity!J20/AA19</f>
        <v>359.373916289722</v>
      </c>
      <c r="AC19" s="4" t="n">
        <f aca="false">AB19/AB$28</f>
        <v>0.0210515639805709</v>
      </c>
    </row>
    <row r="20" customFormat="false" ht="12.8" hidden="false" customHeight="false" outlineLevel="0" collapsed="false">
      <c r="A20" s="1" t="s">
        <v>156</v>
      </c>
      <c r="B20" s="4" t="n">
        <v>0.130155326027397</v>
      </c>
      <c r="C20" s="4" t="n">
        <v>0.113258900548602</v>
      </c>
      <c r="D20" s="4" t="n">
        <v>0.0862740474885844</v>
      </c>
      <c r="E20" s="4" t="n">
        <v>0.0709863762557077</v>
      </c>
      <c r="F20" s="4" t="n">
        <v>0.112668818094018</v>
      </c>
      <c r="G20" s="4" t="n">
        <v>0.0955786354456162</v>
      </c>
      <c r="H20" s="4" t="n">
        <v>0.102049174652607</v>
      </c>
      <c r="I20" s="4" t="n">
        <v>0.0711470958904109</v>
      </c>
      <c r="J20" s="4" t="n">
        <v>0.0442683397260274</v>
      </c>
      <c r="K20" s="4" t="n">
        <v>0.0444073771689499</v>
      </c>
      <c r="L20" s="4" t="n">
        <v>0.066748513242009</v>
      </c>
      <c r="M20" s="4" t="n">
        <v>0.0792322336848329</v>
      </c>
      <c r="N20" s="4" t="n">
        <v>0.101072513242009</v>
      </c>
      <c r="O20" s="4" t="n">
        <v>0.0298445917808219</v>
      </c>
      <c r="P20" s="4" t="n">
        <v>0.0433544767123288</v>
      </c>
      <c r="Q20" s="4" t="n">
        <v>0.0221591397260274</v>
      </c>
      <c r="R20" s="4" t="n">
        <v>0.0269781534246575</v>
      </c>
      <c r="S20" s="4" t="n">
        <v>0.062</v>
      </c>
      <c r="T20" s="4" t="n">
        <f aca="false">(2-1)*(0.5*SQRT(Capacity!$C21*1.5/PI())*0.000308219178082192+0.5*SQRT(Capacity!$C21*1.5/PI())*0.00292237442922374)</f>
        <v>0.0156261166690118</v>
      </c>
      <c r="U20" s="4" t="n">
        <v>0.0415102739726027</v>
      </c>
      <c r="V20" s="4" t="n">
        <v>0.0144487178082192</v>
      </c>
      <c r="W20" s="4" t="n">
        <v>0.0545101641470386</v>
      </c>
      <c r="X20" s="4" t="n">
        <v>0.0769905070924082</v>
      </c>
      <c r="Z20" s="1" t="s">
        <v>156</v>
      </c>
      <c r="AA20" s="5" t="n">
        <f aca="false">SUM(B20:X20)</f>
        <v>1.50526949279989</v>
      </c>
      <c r="AB20" s="5" t="n">
        <f aca="false">Capacity!J21/AA20</f>
        <v>1275.51910749795</v>
      </c>
      <c r="AC20" s="4" t="n">
        <f aca="false">AB20/AB$28</f>
        <v>0.0747179215930803</v>
      </c>
    </row>
    <row r="21" customFormat="false" ht="12.8" hidden="false" customHeight="false" outlineLevel="0" collapsed="false">
      <c r="A21" s="1" t="s">
        <v>157</v>
      </c>
      <c r="B21" s="4" t="n">
        <v>0.203146062100457</v>
      </c>
      <c r="C21" s="4" t="n">
        <v>0.0717486265759995</v>
      </c>
      <c r="D21" s="4" t="n">
        <v>0.159264783561644</v>
      </c>
      <c r="E21" s="4" t="n">
        <v>0.143977112328767</v>
      </c>
      <c r="F21" s="4" t="n">
        <v>0.0711585441214151</v>
      </c>
      <c r="G21" s="4" t="n">
        <v>0.0540683614730134</v>
      </c>
      <c r="H21" s="4" t="n">
        <v>0.182081724529418</v>
      </c>
      <c r="I21" s="4" t="n">
        <v>0.0895256219178082</v>
      </c>
      <c r="J21" s="4" t="n">
        <v>0.117259075799087</v>
      </c>
      <c r="K21" s="4" t="n">
        <v>0.0815342465753425</v>
      </c>
      <c r="L21" s="4" t="n">
        <v>0.0252382392694064</v>
      </c>
      <c r="M21" s="4" t="n">
        <v>0.120742507657436</v>
      </c>
      <c r="N21" s="4" t="n">
        <v>0.142582787214612</v>
      </c>
      <c r="O21" s="4" t="n">
        <v>0.0713548657534247</v>
      </c>
      <c r="P21" s="4" t="n">
        <v>0.0848647506849315</v>
      </c>
      <c r="Q21" s="4" t="n">
        <v>0.0636694136986301</v>
      </c>
      <c r="R21" s="4" t="n">
        <v>0.0989634703196348</v>
      </c>
      <c r="S21" s="4" t="n">
        <v>0.0815342465753425</v>
      </c>
      <c r="T21" s="4" t="n">
        <v>0.0415102739726027</v>
      </c>
      <c r="U21" s="4" t="n">
        <f aca="false">(2-1)*(0.5*SQRT(Capacity!$C22*1.5/PI())*0.000308219178082192+0.5*SQRT(Capacity!$C22*1.5/PI())*0.00292237442922374)</f>
        <v>0.0125287660416856</v>
      </c>
      <c r="V21" s="4" t="n">
        <v>0.0559589917808219</v>
      </c>
      <c r="W21" s="4" t="n">
        <v>0.0960204381196414</v>
      </c>
      <c r="X21" s="4" t="n">
        <v>0.0615542489274334</v>
      </c>
      <c r="Z21" s="1" t="s">
        <v>157</v>
      </c>
      <c r="AA21" s="5" t="n">
        <f aca="false">SUM(B21:X21)</f>
        <v>2.13028715899855</v>
      </c>
      <c r="AB21" s="5" t="n">
        <f aca="false">Capacity!J22/AA21</f>
        <v>506.973905108506</v>
      </c>
      <c r="AC21" s="4" t="n">
        <f aca="false">AB21/AB$28</f>
        <v>0.02969774131094</v>
      </c>
    </row>
    <row r="22" customFormat="false" ht="12.8" hidden="false" customHeight="false" outlineLevel="0" collapsed="false">
      <c r="A22" s="1" t="s">
        <v>158</v>
      </c>
      <c r="B22" s="4" t="n">
        <v>0.135946465753425</v>
      </c>
      <c r="C22" s="4" t="n">
        <v>0.217416253749877</v>
      </c>
      <c r="D22" s="4" t="n">
        <v>0.0920651872146118</v>
      </c>
      <c r="E22" s="4" t="n">
        <v>0.0767775159817351</v>
      </c>
      <c r="F22" s="4" t="n">
        <v>0.216826171295293</v>
      </c>
      <c r="G22" s="4" t="n">
        <v>0.199735988646891</v>
      </c>
      <c r="H22" s="4" t="n">
        <v>0.0933749499950723</v>
      </c>
      <c r="I22" s="4" t="n">
        <v>0.0806744547945205</v>
      </c>
      <c r="J22" s="4" t="n">
        <v>0.0500594794520548</v>
      </c>
      <c r="K22" s="4" t="n">
        <v>0.0521177990867581</v>
      </c>
      <c r="L22" s="4" t="n">
        <v>0.170905866443284</v>
      </c>
      <c r="M22" s="4" t="n">
        <v>0.0705580090272986</v>
      </c>
      <c r="N22" s="4" t="n">
        <v>0.0923982885844748</v>
      </c>
      <c r="O22" s="4" t="n">
        <v>0.0356357315068493</v>
      </c>
      <c r="P22" s="4" t="n">
        <v>0.0346802520547945</v>
      </c>
      <c r="Q22" s="4" t="n">
        <v>0.0289057589041096</v>
      </c>
      <c r="R22" s="4" t="n">
        <v>0.0346885753424658</v>
      </c>
      <c r="S22" s="4" t="n">
        <v>0.0764487178082192</v>
      </c>
      <c r="T22" s="4" t="n">
        <v>0.0144487178082192</v>
      </c>
      <c r="U22" s="4" t="n">
        <v>0.0559589917808219</v>
      </c>
      <c r="V22" s="4" t="n">
        <f aca="false">(2-1)*(0.5*SQRT(Capacity!$C23*1.5/PI())*0.000308219178082192+0.5*SQRT(Capacity!$C23*1.5/PI())*0.00292237442922374)</f>
        <v>0.0118648499055999</v>
      </c>
      <c r="W22" s="4" t="n">
        <v>0.0400614463388195</v>
      </c>
      <c r="X22" s="4" t="n">
        <v>0.134589856785257</v>
      </c>
      <c r="Z22" s="1" t="s">
        <v>158</v>
      </c>
      <c r="AA22" s="5" t="n">
        <f aca="false">SUM(B22:X22)</f>
        <v>2.01613932826045</v>
      </c>
      <c r="AB22" s="5" t="n">
        <f aca="false">Capacity!J23/AA22</f>
        <v>772.149016776133</v>
      </c>
      <c r="AC22" s="4" t="n">
        <f aca="false">AB22/AB$28</f>
        <v>0.0452312861128551</v>
      </c>
    </row>
    <row r="23" customFormat="false" ht="12.8" hidden="false" customHeight="false" outlineLevel="0" collapsed="false">
      <c r="A23" s="1" t="s">
        <v>159</v>
      </c>
      <c r="B23" s="4" t="n">
        <v>0.176007912092244</v>
      </c>
      <c r="C23" s="4" t="n">
        <v>0.162209039124864</v>
      </c>
      <c r="D23" s="4" t="n">
        <v>0.132126633553431</v>
      </c>
      <c r="E23" s="4" t="n">
        <v>0.116838962320555</v>
      </c>
      <c r="F23" s="4" t="n">
        <v>0.16161895667028</v>
      </c>
      <c r="G23" s="4" t="n">
        <v>0.144528774021878</v>
      </c>
      <c r="H23" s="4" t="n">
        <v>0.133436396333892</v>
      </c>
      <c r="I23" s="4" t="n">
        <v>0.0938679340100523</v>
      </c>
      <c r="J23" s="4" t="n">
        <v>0.0901209257908743</v>
      </c>
      <c r="K23" s="4" t="n">
        <v>0.0921792454255773</v>
      </c>
      <c r="L23" s="4" t="n">
        <v>0.115698651818272</v>
      </c>
      <c r="M23" s="4" t="n">
        <v>0.110619455366118</v>
      </c>
      <c r="N23" s="4" t="n">
        <v>0.132459734923294</v>
      </c>
      <c r="O23" s="4" t="n">
        <v>0.0756971778456688</v>
      </c>
      <c r="P23" s="4" t="n">
        <v>0.074741698393614</v>
      </c>
      <c r="Q23" s="4" t="n">
        <v>0.068967205242929</v>
      </c>
      <c r="R23" s="4" t="n">
        <v>0.0747500216812852</v>
      </c>
      <c r="S23" s="4" t="n">
        <v>0.116510164147039</v>
      </c>
      <c r="T23" s="4" t="n">
        <v>0.0545101641470386</v>
      </c>
      <c r="U23" s="4" t="n">
        <v>0.0960204381196414</v>
      </c>
      <c r="V23" s="4" t="n">
        <v>0.0400614463388195</v>
      </c>
      <c r="W23" s="4" t="n">
        <f aca="false">(2-1)*(0.5*SQRT(Capacity!$C24*1.5/PI())*0.000308219178082192+0.5*SQRT(Capacity!$C24*1.5/PI())*0.00292237442922374)</f>
        <v>0.011161511906437</v>
      </c>
      <c r="X23" s="4" t="n">
        <v>0.174651303124076</v>
      </c>
      <c r="Z23" s="1" t="s">
        <v>159</v>
      </c>
      <c r="AA23" s="5" t="n">
        <f aca="false">SUM(B23:X23)</f>
        <v>2.44878375239788</v>
      </c>
      <c r="AB23" s="5" t="n">
        <f aca="false">Capacity!J24/AA23</f>
        <v>613.210537079722</v>
      </c>
      <c r="AC23" s="4" t="n">
        <f aca="false">AB23/AB$28</f>
        <v>0.0359209176563802</v>
      </c>
    </row>
    <row r="24" customFormat="false" ht="12.8" hidden="false" customHeight="false" outlineLevel="0" collapsed="false">
      <c r="A24" s="1" t="s">
        <v>160</v>
      </c>
      <c r="B24" s="4" t="n">
        <v>0.207145833119805</v>
      </c>
      <c r="C24" s="4" t="n">
        <v>0.08282639696462</v>
      </c>
      <c r="D24" s="4" t="n">
        <v>0.112252720015768</v>
      </c>
      <c r="E24" s="4" t="n">
        <v>0.147976883348116</v>
      </c>
      <c r="F24" s="4" t="n">
        <v>0.0822363145100359</v>
      </c>
      <c r="G24" s="4" t="n">
        <v>0.065146131861634</v>
      </c>
      <c r="H24" s="4" t="n">
        <v>0.0894357790479945</v>
      </c>
      <c r="I24" s="4" t="n">
        <v>0.125005855037614</v>
      </c>
      <c r="J24" s="4" t="n">
        <v>0.121258846818436</v>
      </c>
      <c r="K24" s="4" t="n">
        <v>0.0598354160507211</v>
      </c>
      <c r="L24" s="4" t="n">
        <v>0.0363160096580271</v>
      </c>
      <c r="M24" s="4" t="n">
        <v>0.0666188380802208</v>
      </c>
      <c r="N24" s="4" t="n">
        <v>0.088459117637397</v>
      </c>
      <c r="O24" s="4" t="n">
        <v>0.10683509887323</v>
      </c>
      <c r="P24" s="4" t="n">
        <v>0.0307410811077164</v>
      </c>
      <c r="Q24" s="4" t="n">
        <v>0.0991496468184356</v>
      </c>
      <c r="R24" s="4" t="n">
        <v>0.103968660517066</v>
      </c>
      <c r="S24" s="4" t="n">
        <v>0.138990507092408</v>
      </c>
      <c r="T24" s="4" t="n">
        <v>0.0769905070924082</v>
      </c>
      <c r="U24" s="4" t="n">
        <v>0.0615542489274334</v>
      </c>
      <c r="V24" s="4" t="n">
        <v>0.134589856785257</v>
      </c>
      <c r="W24" s="4" t="n">
        <v>0.174651303124076</v>
      </c>
      <c r="X24" s="4" t="n">
        <f aca="false">(2-1)*(0.5*SQRT(Capacity!$C25*1.5/PI())*0.000308219178082192+0.5*SQRT(Capacity!$C25*1.5/PI())*0.00292237442922374)</f>
        <v>0.0137154954535619</v>
      </c>
      <c r="Z24" s="1" t="s">
        <v>160</v>
      </c>
      <c r="AA24" s="5" t="n">
        <f aca="false">SUM(B24:X24)</f>
        <v>2.22570054794198</v>
      </c>
      <c r="AB24" s="5" t="n">
        <f aca="false">Capacity!J25/AA24</f>
        <v>674.672970444515</v>
      </c>
      <c r="AC24" s="4" t="n">
        <f aca="false">AB24/AB$28</f>
        <v>0.0395212912219938</v>
      </c>
    </row>
    <row r="26" customFormat="false" ht="12.8" hidden="false" customHeight="false" outlineLevel="0" collapsed="false">
      <c r="Z26" s="1" t="s">
        <v>460</v>
      </c>
      <c r="AA26" s="5" t="n">
        <f aca="false">MIN(AA2:AA24)</f>
        <v>1.44435024327996</v>
      </c>
      <c r="AB26" s="5" t="n">
        <f aca="false">MIN(AB2:AB24)</f>
        <v>353.462502631262</v>
      </c>
      <c r="AC26" s="4" t="n">
        <v>0.021</v>
      </c>
    </row>
    <row r="27" customFormat="false" ht="12.8" hidden="false" customHeight="false" outlineLevel="0" collapsed="false">
      <c r="D27" s="4"/>
      <c r="Z27" s="1" t="s">
        <v>461</v>
      </c>
      <c r="AA27" s="5" t="n">
        <f aca="false">MAX(AA2:AA24)</f>
        <v>3.05548676863943</v>
      </c>
      <c r="AB27" s="5" t="n">
        <f aca="false">MAX(AB2:AB24)</f>
        <v>1275.51910749795</v>
      </c>
      <c r="AC27" s="4" t="n">
        <v>0.07</v>
      </c>
    </row>
    <row r="28" customFormat="false" ht="12.8" hidden="false" customHeight="false" outlineLevel="0" collapsed="false">
      <c r="Z28" s="1" t="s">
        <v>462</v>
      </c>
      <c r="AA28" s="5" t="n">
        <f aca="false">SUM(AA2:AA24)</f>
        <v>48.9412954817503</v>
      </c>
      <c r="AB28" s="5" t="n">
        <f aca="false">SUM(AB2:AB24)</f>
        <v>17071.1267163522</v>
      </c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AA30" s="1"/>
      <c r="AB30" s="1"/>
      <c r="AC30" s="1"/>
    </row>
    <row r="31" customFormat="false" ht="12.8" hidden="false" customHeight="false" outlineLevel="0" collapsed="false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Z31" s="1"/>
      <c r="AA31" s="5"/>
      <c r="AB31" s="5"/>
      <c r="AC31" s="4"/>
    </row>
    <row r="32" customFormat="false" ht="12.8" hidden="false" customHeight="false" outlineLevel="0" collapsed="false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Z32" s="1"/>
      <c r="AA32" s="5"/>
      <c r="AB32" s="5"/>
      <c r="AC32" s="4"/>
    </row>
    <row r="33" customFormat="false" ht="12.8" hidden="false" customHeight="false" outlineLevel="0" collapsed="false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Z33" s="1"/>
      <c r="AA33" s="5"/>
      <c r="AB33" s="5"/>
      <c r="AC33" s="4"/>
    </row>
    <row r="34" customFormat="false" ht="12.8" hidden="false" customHeight="false" outlineLevel="0" collapsed="false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Z34" s="1"/>
      <c r="AA34" s="5"/>
      <c r="AB34" s="5"/>
      <c r="AC34" s="4"/>
    </row>
    <row r="35" customFormat="false" ht="12.8" hidden="false" customHeight="false" outlineLevel="0" collapsed="false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Z35" s="1"/>
      <c r="AA35" s="5"/>
      <c r="AB35" s="5"/>
      <c r="AC35" s="4"/>
    </row>
    <row r="36" customFormat="false" ht="12.8" hidden="false" customHeight="false" outlineLevel="0" collapsed="false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Z36" s="1"/>
      <c r="AA36" s="5"/>
      <c r="AB36" s="5"/>
      <c r="AC36" s="4"/>
    </row>
    <row r="37" customFormat="false" ht="12.8" hidden="false" customHeight="false" outlineLevel="0" collapsed="false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Z37" s="1"/>
      <c r="AA37" s="5"/>
      <c r="AB37" s="5"/>
      <c r="AC37" s="4"/>
    </row>
    <row r="38" customFormat="false" ht="12.8" hidden="false" customHeight="false" outlineLevel="0" collapsed="false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Z38" s="1"/>
      <c r="AA38" s="5"/>
      <c r="AB38" s="5"/>
      <c r="AC38" s="4"/>
    </row>
    <row r="39" customFormat="false" ht="12.8" hidden="false" customHeight="false" outlineLevel="0" collapsed="false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Z39" s="1"/>
      <c r="AA39" s="5"/>
      <c r="AB39" s="5"/>
      <c r="AC39" s="4"/>
    </row>
    <row r="40" customFormat="false" ht="12.8" hidden="false" customHeight="false" outlineLevel="0" collapsed="false">
      <c r="A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Z40" s="23"/>
      <c r="AA40" s="5"/>
      <c r="AB40" s="5"/>
      <c r="AC40" s="4"/>
    </row>
    <row r="41" customFormat="false" ht="12.8" hidden="false" customHeight="false" outlineLevel="0" collapsed="false">
      <c r="A41" s="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Z41" s="1"/>
      <c r="AA41" s="5"/>
      <c r="AB41" s="5"/>
      <c r="AC41" s="4"/>
    </row>
    <row r="42" customFormat="false" ht="12.8" hidden="false" customHeight="false" outlineLevel="0" collapsed="false">
      <c r="A42" s="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Z42" s="1"/>
      <c r="AA42" s="5"/>
      <c r="AB42" s="5"/>
      <c r="AC42" s="4"/>
    </row>
    <row r="43" customFormat="false" ht="12.8" hidden="false" customHeight="false" outlineLevel="0" collapsed="false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Z43" s="1"/>
      <c r="AA43" s="5"/>
      <c r="AB43" s="5"/>
      <c r="AC43" s="4"/>
    </row>
    <row r="44" customFormat="false" ht="12.8" hidden="false" customHeight="false" outlineLevel="0" collapsed="false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Z44" s="1"/>
      <c r="AA44" s="5"/>
      <c r="AB44" s="5"/>
      <c r="AC44" s="4"/>
    </row>
    <row r="45" customFormat="false" ht="12.8" hidden="false" customHeight="false" outlineLevel="0" collapsed="false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Z45" s="1"/>
      <c r="AA45" s="5"/>
      <c r="AB45" s="5"/>
      <c r="AC45" s="4"/>
    </row>
    <row r="46" customFormat="false" ht="12.8" hidden="false" customHeight="false" outlineLevel="0" collapsed="false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Z46" s="1"/>
      <c r="AA46" s="5"/>
      <c r="AB46" s="5"/>
      <c r="AC46" s="4"/>
    </row>
    <row r="47" customFormat="false" ht="12.8" hidden="false" customHeight="false" outlineLevel="0" collapsed="false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Z47" s="1"/>
      <c r="AA47" s="5"/>
      <c r="AB47" s="5"/>
      <c r="AC47" s="4"/>
    </row>
    <row r="48" customFormat="false" ht="12.8" hidden="false" customHeight="false" outlineLevel="0" collapsed="false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Z48" s="1"/>
      <c r="AA48" s="5"/>
      <c r="AB48" s="5"/>
      <c r="AC48" s="4"/>
    </row>
    <row r="49" customFormat="false" ht="12.8" hidden="false" customHeight="false" outlineLevel="0" collapsed="false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Z49" s="1"/>
      <c r="AA49" s="5"/>
      <c r="AB49" s="5"/>
      <c r="AC49" s="4"/>
    </row>
    <row r="50" customFormat="false" ht="12.8" hidden="false" customHeight="false" outlineLevel="0" collapsed="false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Z50" s="1"/>
      <c r="AA50" s="5"/>
      <c r="AB50" s="5"/>
      <c r="AC50" s="4"/>
    </row>
    <row r="51" customFormat="false" ht="12.8" hidden="false" customHeight="false" outlineLevel="0" collapsed="false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Z51" s="1"/>
      <c r="AA51" s="5"/>
      <c r="AB51" s="5"/>
      <c r="AC51" s="4"/>
    </row>
    <row r="52" customFormat="false" ht="12.8" hidden="false" customHeight="false" outlineLevel="0" collapsed="false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Z52" s="1"/>
      <c r="AA52" s="5"/>
      <c r="AB52" s="5"/>
      <c r="AC52" s="4"/>
    </row>
    <row r="53" customFormat="false" ht="12.8" hidden="false" customHeight="false" outlineLevel="0" collapsed="false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Z53" s="1"/>
      <c r="AA53" s="5"/>
      <c r="AB53" s="5"/>
      <c r="AC53" s="4"/>
    </row>
    <row r="55" customFormat="false" ht="12.8" hidden="false" customHeight="false" outlineLevel="0" collapsed="false">
      <c r="Z55" s="1"/>
      <c r="AA55" s="5"/>
      <c r="AB55" s="5"/>
      <c r="AC55" s="4"/>
    </row>
    <row r="56" customFormat="false" ht="12.8" hidden="false" customHeight="false" outlineLevel="0" collapsed="false">
      <c r="Z56" s="1"/>
      <c r="AA56" s="5"/>
      <c r="AB56" s="5"/>
      <c r="AC56" s="4"/>
    </row>
    <row r="57" customFormat="false" ht="12.8" hidden="false" customHeight="false" outlineLevel="0" collapsed="false">
      <c r="Z57" s="1"/>
      <c r="AA57" s="5"/>
      <c r="AB57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7.53"/>
    <col collapsed="false" customWidth="true" hidden="false" outlineLevel="0" max="3" min="3" style="0" width="17.33"/>
    <col collapsed="false" customWidth="true" hidden="false" outlineLevel="0" max="4" min="4" style="0" width="11.99"/>
    <col collapsed="false" customWidth="true" hidden="false" outlineLevel="0" max="5" min="5" style="0" width="12.98"/>
    <col collapsed="false" customWidth="true" hidden="false" outlineLevel="0" max="6" min="6" style="0" width="9.82"/>
    <col collapsed="false" customWidth="true" hidden="false" outlineLevel="0" max="7" min="7" style="0" width="9.39"/>
    <col collapsed="false" customWidth="true" hidden="false" outlineLevel="0" max="8" min="8" style="0" width="7.66"/>
    <col collapsed="false" customWidth="true" hidden="false" outlineLevel="0" max="9" min="9" style="0" width="8.38"/>
    <col collapsed="false" customWidth="true" hidden="false" outlineLevel="0" max="10" min="10" style="0" width="10.39"/>
    <col collapsed="false" customWidth="true" hidden="false" outlineLevel="0" max="11" min="11" style="0" width="11.27"/>
    <col collapsed="false" customWidth="true" hidden="false" outlineLevel="0" max="12" min="12" style="0" width="11.41"/>
    <col collapsed="false" customWidth="true" hidden="false" outlineLevel="0" max="13" min="13" style="0" width="11.27"/>
    <col collapsed="false" customWidth="true" hidden="false" outlineLevel="0" max="14" min="14" style="0" width="9.53"/>
    <col collapsed="false" customWidth="true" hidden="false" outlineLevel="0" max="15" min="15" style="0" width="10.84"/>
    <col collapsed="false" customWidth="true" hidden="false" outlineLevel="0" max="16" min="16" style="0" width="16.03"/>
    <col collapsed="false" customWidth="true" hidden="false" outlineLevel="0" max="17" min="17" style="0" width="13.43"/>
    <col collapsed="false" customWidth="true" hidden="false" outlineLevel="0" max="18" min="18" style="10" width="10.84"/>
    <col collapsed="false" customWidth="true" hidden="false" outlineLevel="0" max="19" min="19" style="10" width="10.12"/>
    <col collapsed="false" customWidth="true" hidden="false" outlineLevel="0" max="20" min="20" style="0" width="9.24"/>
    <col collapsed="false" customWidth="true" hidden="false" outlineLevel="0" max="21" min="21" style="0" width="12.56"/>
    <col collapsed="false" customWidth="true" hidden="false" outlineLevel="0" max="22" min="22" style="0" width="15.45"/>
    <col collapsed="false" customWidth="true" hidden="false" outlineLevel="0" max="23" min="23" style="0" width="9.82"/>
    <col collapsed="false" customWidth="true" hidden="false" outlineLevel="0" max="24" min="24" style="0" width="11.12"/>
    <col collapsed="false" customWidth="true" hidden="false" outlineLevel="0" max="25" min="25" style="0" width="12.42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1" t="s">
        <v>463</v>
      </c>
      <c r="B1" s="1"/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6" t="s">
        <v>479</v>
      </c>
      <c r="S1" s="6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</row>
    <row r="2" customFormat="false" ht="12.8" hidden="false" customHeight="false" outlineLevel="0" collapsed="false">
      <c r="A2" s="0" t="s">
        <v>131</v>
      </c>
      <c r="B2" s="0" t="s">
        <v>132</v>
      </c>
      <c r="C2" s="5" t="n">
        <f aca="false">IF(B2="Taiga",10,IF(B2="Mts",15,IF(B2="Temp",30,IF(B2="Steppe",20,IF(B2="Jungle",45,IF(B2="Sav",30,IF(B2="Medi",45,0)))))))*$C$28</f>
        <v>5</v>
      </c>
      <c r="D2" s="4" t="n">
        <f aca="false">Dists!AB2</f>
        <v>516.191171669007</v>
      </c>
      <c r="E2" s="4" t="n">
        <f aca="false">(D2-MIN($D$2:$D$24))*(0.1)/(MAX($D$2:$D$24)-MIN($D$2:$D$24))+0.05</f>
        <v>0.0676484467633388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f aca="false">Capacity!C3</f>
        <v>131</v>
      </c>
      <c r="K2" s="4" t="n">
        <f aca="false">$E2*L2*100/3</f>
        <v>25.8551045927352</v>
      </c>
      <c r="L2" s="4" t="n">
        <f aca="false">$E2*M2*100/3</f>
        <v>11.4659415684088</v>
      </c>
      <c r="M2" s="4" t="n">
        <f aca="false">$E2*N2*100/3</f>
        <v>5.08479149943587</v>
      </c>
      <c r="N2" s="4" t="n">
        <f aca="false">$E2*O2*100/3</f>
        <v>2.25494822544463</v>
      </c>
      <c r="O2" s="4" t="n">
        <v>1</v>
      </c>
      <c r="P2" s="5" t="n">
        <f aca="false">Capacity!C3*Capacity!F3*Capacity!G3*3604.861727</f>
        <v>87316.6002652213</v>
      </c>
      <c r="Q2" s="10" t="n">
        <f aca="false">ROUND($C2*P2,0)</f>
        <v>436583</v>
      </c>
      <c r="R2" s="10" t="n">
        <f aca="false">(1-E2)*Q2</f>
        <v>407048.838166721</v>
      </c>
      <c r="S2" s="10" t="n">
        <f aca="false">ROUND($E2*Q2,0)</f>
        <v>29534</v>
      </c>
      <c r="T2" s="8" t="n">
        <f aca="false">S2/(($K2*F2)+($L2*G2)+($M2*H2)+($N2*I2)+($O2*J2))</f>
        <v>185.619949694501</v>
      </c>
      <c r="U2" s="10" t="n">
        <f aca="false">IF(F2=0,0,$K2*$T2)</f>
        <v>4799.22321384959</v>
      </c>
      <c r="V2" s="10" t="n">
        <f aca="false">IF(G2=0,0,$L2*$T2)</f>
        <v>0</v>
      </c>
      <c r="W2" s="10" t="n">
        <f aca="false">IF(H2=0,0,$M2*$T2)</f>
        <v>0</v>
      </c>
      <c r="X2" s="10" t="n">
        <f aca="false">IF(I2=0,0,$N2*$T2)</f>
        <v>418.563376170737</v>
      </c>
      <c r="Y2" s="10" t="n">
        <f aca="false">IF(J2=0,0,$O2*$T2)</f>
        <v>185.619949694501</v>
      </c>
      <c r="Z2" s="4"/>
      <c r="AA2" s="4"/>
    </row>
    <row r="3" customFormat="false" ht="12.8" hidden="false" customHeight="false" outlineLevel="0" collapsed="false">
      <c r="A3" s="0" t="s">
        <v>133</v>
      </c>
      <c r="B3" s="0" t="s">
        <v>134</v>
      </c>
      <c r="C3" s="5" t="n">
        <f aca="false">IF(B3="Taiga",10,IF(B3="Mts",15,IF(B3="Temp",30,IF(B3="Steppe",20,IF(B3="Jungle",45,IF(B3="Sav",30,IF(B3="Medi",45,0)))))))*$C$28</f>
        <v>7.5</v>
      </c>
      <c r="D3" s="4" t="n">
        <f aca="false">Dists!AB3</f>
        <v>353.462502631262</v>
      </c>
      <c r="E3" s="4" t="n">
        <f aca="false">(D3-MIN($D$2:$D$24))*(0.1)/(MAX($D$2:$D$24)-MIN($D$2:$D$24))+0.05</f>
        <v>0.05</v>
      </c>
      <c r="F3" s="0" t="n">
        <v>1</v>
      </c>
      <c r="G3" s="0" t="n">
        <v>3</v>
      </c>
      <c r="H3" s="0" t="n">
        <v>6</v>
      </c>
      <c r="I3" s="0" t="n">
        <v>5</v>
      </c>
      <c r="J3" s="0" t="n">
        <f aca="false">Capacity!C4</f>
        <v>211</v>
      </c>
      <c r="K3" s="4" t="n">
        <f aca="false">$E3*L3*100/3</f>
        <v>7.71604938271605</v>
      </c>
      <c r="L3" s="4" t="n">
        <f aca="false">$E3*M3*100/3</f>
        <v>4.62962962962963</v>
      </c>
      <c r="M3" s="4" t="n">
        <f aca="false">$E3*N3*100/3</f>
        <v>2.77777777777778</v>
      </c>
      <c r="N3" s="4" t="n">
        <f aca="false">$E3*O3*100/3</f>
        <v>1.66666666666667</v>
      </c>
      <c r="O3" s="4" t="n">
        <v>1</v>
      </c>
      <c r="P3" s="5" t="n">
        <f aca="false">Capacity!C4*Capacity!F4*Capacity!G4*3604.861727</f>
        <v>127785.138498696</v>
      </c>
      <c r="Q3" s="10" t="n">
        <f aca="false">ROUND($C3*P3,0)</f>
        <v>958389</v>
      </c>
      <c r="R3" s="10" t="n">
        <f aca="false">(1-E3)*Q3</f>
        <v>910469.55</v>
      </c>
      <c r="S3" s="10" t="n">
        <f aca="false">ROUND($E3*Q3,0)</f>
        <v>47919</v>
      </c>
      <c r="T3" s="8" t="n">
        <f aca="false">S3/(($K3*F3)+($L3*G3)+($M3*H3)+($N3*I3)+($O3*J3))</f>
        <v>186.01739672194</v>
      </c>
      <c r="U3" s="10" t="n">
        <f aca="false">IF(F3=0,0,$K3*$T3)</f>
        <v>1435.31941915077</v>
      </c>
      <c r="V3" s="10" t="n">
        <f aca="false">IF(G3=0,0,$L3*$T3)</f>
        <v>861.191651490463</v>
      </c>
      <c r="W3" s="10" t="n">
        <f aca="false">IF(H3=0,0,$M3*$T3)</f>
        <v>516.714990894278</v>
      </c>
      <c r="X3" s="10" t="n">
        <f aca="false">IF(I3=0,0,$N3*$T3)</f>
        <v>310.028994536567</v>
      </c>
      <c r="Y3" s="10" t="n">
        <f aca="false">IF(J3=0,0,$O3*$T3)</f>
        <v>186.01739672194</v>
      </c>
      <c r="Z3" s="4"/>
      <c r="AA3" s="4"/>
    </row>
    <row r="4" customFormat="false" ht="12.8" hidden="false" customHeight="false" outlineLevel="0" collapsed="false">
      <c r="A4" s="0" t="s">
        <v>135</v>
      </c>
      <c r="B4" s="0" t="s">
        <v>136</v>
      </c>
      <c r="C4" s="5" t="n">
        <f aca="false">IF(B4="Taiga",10,IF(B4="Mts",15,IF(B4="Temp",30,IF(B4="Steppe",20,IF(B4="Jungle",45,IF(B4="Sav",30,IF(B4="Medi",45,0)))))))*$C$28</f>
        <v>15</v>
      </c>
      <c r="D4" s="4" t="n">
        <f aca="false">Dists!AB4</f>
        <v>774.331086808567</v>
      </c>
      <c r="E4" s="4" t="n">
        <f aca="false">(D4-MIN($D$2:$D$24))*(0.1)/(MAX($D$2:$D$24)-MIN($D$2:$D$24))+0.05</f>
        <v>0.0956445495814388</v>
      </c>
      <c r="F4" s="0" t="n">
        <v>1</v>
      </c>
      <c r="G4" s="0" t="n">
        <v>1</v>
      </c>
      <c r="H4" s="0" t="n">
        <v>0</v>
      </c>
      <c r="I4" s="0" t="n">
        <v>3</v>
      </c>
      <c r="J4" s="0" t="n">
        <f aca="false">Capacity!C5</f>
        <v>109</v>
      </c>
      <c r="K4" s="4" t="n">
        <f aca="false">$E4*L4*100/3</f>
        <v>103.313217305949</v>
      </c>
      <c r="L4" s="4" t="n">
        <f aca="false">$E4*M4*100/3</f>
        <v>32.4053647880835</v>
      </c>
      <c r="M4" s="4" t="n">
        <f aca="false">$E4*N4*100/3</f>
        <v>10.164310960707</v>
      </c>
      <c r="N4" s="4" t="n">
        <f aca="false">$E4*O4*100/3</f>
        <v>3.18815165271463</v>
      </c>
      <c r="O4" s="4" t="n">
        <v>1</v>
      </c>
      <c r="P4" s="5" t="n">
        <f aca="false">Capacity!C5*Capacity!F5*Capacity!G5*3604.861727</f>
        <v>160944.098608333</v>
      </c>
      <c r="Q4" s="10" t="n">
        <f aca="false">ROUND($C4*P4,0)</f>
        <v>2414161</v>
      </c>
      <c r="R4" s="10" t="n">
        <f aca="false">(1-E4)*Q4</f>
        <v>2183259.65853792</v>
      </c>
      <c r="S4" s="10" t="n">
        <f aca="false">ROUND($E4*Q4,0)</f>
        <v>230901</v>
      </c>
      <c r="T4" s="8" t="n">
        <f aca="false">S4/(($K4*F4)+($L4*G4)+($M4*H4)+($N4*I4)+($O4*J4))</f>
        <v>908.04720077581</v>
      </c>
      <c r="U4" s="10" t="n">
        <f aca="false">IF(F4=0,0,$K4*$T4)</f>
        <v>93813.2777778097</v>
      </c>
      <c r="V4" s="10" t="n">
        <f aca="false">IF(G4=0,0,$L4*$T4)</f>
        <v>29425.6007859382</v>
      </c>
      <c r="W4" s="10" t="n">
        <f aca="false">IF(H4=0,0,$M4*$T4)</f>
        <v>0</v>
      </c>
      <c r="X4" s="10" t="n">
        <f aca="false">IF(I4=0,0,$N4*$T4)</f>
        <v>2894.99218389629</v>
      </c>
      <c r="Y4" s="10" t="n">
        <f aca="false">IF(J4=0,0,$O4*$T4)</f>
        <v>908.04720077581</v>
      </c>
      <c r="Z4" s="4"/>
      <c r="AA4" s="4"/>
    </row>
    <row r="5" customFormat="false" ht="12.8" hidden="false" customHeight="false" outlineLevel="0" collapsed="false">
      <c r="A5" s="0" t="s">
        <v>137</v>
      </c>
      <c r="B5" s="0" t="s">
        <v>138</v>
      </c>
      <c r="C5" s="5" t="n">
        <f aca="false">IF(B5="Taiga",10,IF(B5="Mts",15,IF(B5="Temp",30,IF(B5="Steppe",20,IF(B5="Jungle",45,IF(B5="Sav",30,IF(B5="Medi",45,0)))))))*$C$28</f>
        <v>10</v>
      </c>
      <c r="D5" s="4" t="n">
        <f aca="false">Dists!AB5</f>
        <v>623.866164136234</v>
      </c>
      <c r="E5" s="4" t="n">
        <f aca="false">(D5-MIN($D$2:$D$24))*(0.1)/(MAX($D$2:$D$24)-MIN($D$2:$D$24))+0.05</f>
        <v>0.0793261454966823</v>
      </c>
      <c r="F5" s="0" t="n">
        <v>1</v>
      </c>
      <c r="G5" s="0" t="n">
        <v>3</v>
      </c>
      <c r="H5" s="0" t="n">
        <v>4</v>
      </c>
      <c r="I5" s="0" t="n">
        <v>4</v>
      </c>
      <c r="J5" s="0" t="n">
        <f aca="false">Capacity!C6</f>
        <v>454</v>
      </c>
      <c r="K5" s="4" t="n">
        <f aca="false">$E5*L5*100/3</f>
        <v>48.8855369585473</v>
      </c>
      <c r="L5" s="4" t="n">
        <f aca="false">$E5*M5*100/3</f>
        <v>18.4878024713524</v>
      </c>
      <c r="M5" s="4" t="n">
        <f aca="false">$E5*N5*100/3</f>
        <v>6.99181928817867</v>
      </c>
      <c r="N5" s="4" t="n">
        <f aca="false">$E5*O5*100/3</f>
        <v>2.64420484988941</v>
      </c>
      <c r="O5" s="4" t="n">
        <v>1</v>
      </c>
      <c r="P5" s="5" t="n">
        <f aca="false">Capacity!C6*Capacity!F6*Capacity!G6*3604.861727</f>
        <v>597034.315336359</v>
      </c>
      <c r="Q5" s="10" t="n">
        <f aca="false">ROUND($C5*P5,0)</f>
        <v>5970343</v>
      </c>
      <c r="R5" s="10" t="n">
        <f aca="false">(1-E5)*Q5</f>
        <v>5496738.7025169</v>
      </c>
      <c r="S5" s="10" t="n">
        <f aca="false">ROUND($E5*Q5,0)</f>
        <v>473604</v>
      </c>
      <c r="T5" s="8" t="n">
        <f aca="false">S5/(($K5*F5)+($L5*G5)+($M5*H5)+($N5*I5)+($O5*J5))</f>
        <v>793.448687667991</v>
      </c>
      <c r="U5" s="10" t="n">
        <f aca="false">IF(F5=0,0,$K5*$T5)</f>
        <v>38788.1651457044</v>
      </c>
      <c r="V5" s="10" t="n">
        <f aca="false">IF(G5=0,0,$L5*$T5)</f>
        <v>14669.1226087596</v>
      </c>
      <c r="W5" s="10" t="n">
        <f aca="false">IF(H5=0,0,$M5*$T5)</f>
        <v>5547.64983861712</v>
      </c>
      <c r="X5" s="10" t="n">
        <f aca="false">IF(I5=0,0,$N5*$T5)</f>
        <v>2098.04086807009</v>
      </c>
      <c r="Y5" s="10" t="n">
        <f aca="false">IF(J5=0,0,$O5*$T5)</f>
        <v>793.448687667991</v>
      </c>
      <c r="Z5" s="4"/>
      <c r="AA5" s="4"/>
    </row>
    <row r="6" customFormat="false" ht="12.8" hidden="false" customHeight="false" outlineLevel="0" collapsed="false">
      <c r="A6" s="0" t="s">
        <v>139</v>
      </c>
      <c r="B6" s="0" t="s">
        <v>134</v>
      </c>
      <c r="C6" s="5" t="n">
        <f aca="false">IF(B6="Taiga",10,IF(B6="Mts",15,IF(B6="Temp",30,IF(B6="Steppe",20,IF(B6="Jungle",45,IF(B6="Sav",30,IF(B6="Medi",45,0)))))))*$C$28</f>
        <v>7.5</v>
      </c>
      <c r="D6" s="4" t="n">
        <f aca="false">Dists!AB6</f>
        <v>426.085690221908</v>
      </c>
      <c r="E6" s="4" t="n">
        <f aca="false">(D6-MIN($D$2:$D$24))*(0.1)/(MAX($D$2:$D$24)-MIN($D$2:$D$24))+0.05</f>
        <v>0.0578762179249447</v>
      </c>
      <c r="F6" s="0" t="n">
        <v>1</v>
      </c>
      <c r="G6" s="0" t="n">
        <v>0</v>
      </c>
      <c r="H6" s="0" t="n">
        <v>0</v>
      </c>
      <c r="I6" s="0" t="n">
        <v>3</v>
      </c>
      <c r="J6" s="0" t="n">
        <f aca="false">Capacity!C7</f>
        <v>103</v>
      </c>
      <c r="K6" s="4" t="n">
        <f aca="false">$E6*L6*100/3</f>
        <v>13.8520979587701</v>
      </c>
      <c r="L6" s="4" t="n">
        <f aca="false">$E6*M6*100/3</f>
        <v>7.18020205297476</v>
      </c>
      <c r="M6" s="4" t="n">
        <f aca="false">$E6*N6*100/3</f>
        <v>3.72184066810632</v>
      </c>
      <c r="N6" s="4" t="n">
        <f aca="false">$E6*O6*100/3</f>
        <v>1.92920726416482</v>
      </c>
      <c r="O6" s="4" t="n">
        <v>1</v>
      </c>
      <c r="P6" s="5" t="n">
        <f aca="false">Capacity!C7*Capacity!F7*Capacity!G7*3604.861727</f>
        <v>62378.527324008</v>
      </c>
      <c r="Q6" s="10" t="n">
        <f aca="false">ROUND($C6*P6,0)</f>
        <v>467839</v>
      </c>
      <c r="R6" s="10" t="n">
        <f aca="false">(1-E6)*Q6</f>
        <v>440762.248082212</v>
      </c>
      <c r="S6" s="10" t="n">
        <f aca="false">ROUND($E6*Q6,0)</f>
        <v>27077</v>
      </c>
      <c r="T6" s="8" t="n">
        <f aca="false">S6/(($K6*F6)+($L6*G6)+($M6*H6)+($N6*I6)+($O6*J6))</f>
        <v>220.78491417721</v>
      </c>
      <c r="U6" s="10" t="n">
        <f aca="false">IF(F6=0,0,$K6*$T6)</f>
        <v>3058.33425900135</v>
      </c>
      <c r="V6" s="10" t="n">
        <f aca="false">IF(G6=0,0,$L6*$T6)</f>
        <v>0</v>
      </c>
      <c r="W6" s="10" t="n">
        <f aca="false">IF(H6=0,0,$M6*$T6)</f>
        <v>0</v>
      </c>
      <c r="X6" s="10" t="n">
        <f aca="false">IF(I6=0,0,$N6*$T6)</f>
        <v>425.93986024868</v>
      </c>
      <c r="Y6" s="10" t="n">
        <f aca="false">IF(J6=0,0,$O6*$T6)</f>
        <v>220.78491417721</v>
      </c>
      <c r="Z6" s="4"/>
      <c r="AA6" s="4"/>
    </row>
    <row r="7" customFormat="false" ht="12.8" hidden="false" customHeight="false" outlineLevel="0" collapsed="false">
      <c r="A7" s="0" t="s">
        <v>140</v>
      </c>
      <c r="B7" s="0" t="s">
        <v>136</v>
      </c>
      <c r="C7" s="5" t="n">
        <f aca="false">IF(B7="Taiga",10,IF(B7="Mts",15,IF(B7="Temp",30,IF(B7="Steppe",20,IF(B7="Jungle",45,IF(B7="Sav",30,IF(B7="Medi",45,0)))))))*$C$28</f>
        <v>15</v>
      </c>
      <c r="D7" s="4" t="n">
        <f aca="false">Dists!AB7</f>
        <v>763.327046024083</v>
      </c>
      <c r="E7" s="4" t="n">
        <f aca="false">(D7-MIN($D$2:$D$24))*(0.1)/(MAX($D$2:$D$24)-MIN($D$2:$D$24))+0.05</f>
        <v>0.0944511260186767</v>
      </c>
      <c r="F7" s="0" t="n">
        <v>1</v>
      </c>
      <c r="G7" s="0" t="n">
        <v>0</v>
      </c>
      <c r="H7" s="0" t="n">
        <v>1</v>
      </c>
      <c r="I7" s="0" t="n">
        <v>3</v>
      </c>
      <c r="J7" s="0" t="n">
        <f aca="false">Capacity!C8</f>
        <v>67</v>
      </c>
      <c r="K7" s="4" t="n">
        <f aca="false">$E7*L7*100/3</f>
        <v>98.2524843323201</v>
      </c>
      <c r="L7" s="4" t="n">
        <f aca="false">$E7*M7*100/3</f>
        <v>31.2074048687016</v>
      </c>
      <c r="M7" s="4" t="n">
        <f aca="false">$E7*N7*100/3</f>
        <v>9.9122391179955</v>
      </c>
      <c r="N7" s="4" t="n">
        <f aca="false">$E7*O7*100/3</f>
        <v>3.14837086728922</v>
      </c>
      <c r="O7" s="4" t="n">
        <v>1</v>
      </c>
      <c r="P7" s="5" t="n">
        <f aca="false">Capacity!C8*Capacity!F8*Capacity!G8*3604.861727</f>
        <v>98928.9413464064</v>
      </c>
      <c r="Q7" s="10" t="n">
        <f aca="false">ROUND($C7*P7,0)</f>
        <v>1483934</v>
      </c>
      <c r="R7" s="10" t="n">
        <f aca="false">(1-E7)*Q7</f>
        <v>1343774.7627626</v>
      </c>
      <c r="S7" s="10" t="n">
        <f aca="false">ROUND($E7*Q7,0)</f>
        <v>140159</v>
      </c>
      <c r="T7" s="8" t="n">
        <f aca="false">S7/(($K7*F7)+($L7*G7)+($M7*H7)+($N7*I7)+($O7*J7))</f>
        <v>759.217401397733</v>
      </c>
      <c r="U7" s="10" t="n">
        <f aca="false">IF(F7=0,0,$K7*$T7)</f>
        <v>74594.9958356555</v>
      </c>
      <c r="V7" s="10" t="n">
        <f aca="false">IF(G7=0,0,$L7*$T7)</f>
        <v>0</v>
      </c>
      <c r="W7" s="10" t="n">
        <f aca="false">IF(H7=0,0,$M7*$T7)</f>
        <v>7525.54442519749</v>
      </c>
      <c r="X7" s="10" t="n">
        <f aca="false">IF(I7=0,0,$N7*$T7)</f>
        <v>2390.29794849965</v>
      </c>
      <c r="Y7" s="10" t="n">
        <f aca="false">IF(J7=0,0,$O7*$T7)</f>
        <v>759.217401397733</v>
      </c>
      <c r="Z7" s="4"/>
      <c r="AA7" s="4"/>
    </row>
    <row r="8" customFormat="false" ht="12.8" hidden="false" customHeight="false" outlineLevel="0" collapsed="false">
      <c r="A8" s="0" t="s">
        <v>141</v>
      </c>
      <c r="B8" s="0" t="s">
        <v>136</v>
      </c>
      <c r="C8" s="5" t="n">
        <f aca="false">IF(B8="Taiga",10,IF(B8="Mts",15,IF(B8="Temp",30,IF(B8="Steppe",20,IF(B8="Jungle",45,IF(B8="Sav",30,IF(B8="Medi",45,0)))))))*$C$28</f>
        <v>15</v>
      </c>
      <c r="D8" s="4" t="n">
        <f aca="false">Dists!AB8</f>
        <v>690.796171630779</v>
      </c>
      <c r="E8" s="4" t="n">
        <f aca="false">(D8-MIN($D$2:$D$24))*(0.1)/(MAX($D$2:$D$24)-MIN($D$2:$D$24))+0.05</f>
        <v>0.0865849197564494</v>
      </c>
      <c r="F8" s="0" t="n">
        <v>1</v>
      </c>
      <c r="G8" s="0" t="n">
        <v>0</v>
      </c>
      <c r="H8" s="0" t="n">
        <v>1</v>
      </c>
      <c r="I8" s="0" t="n">
        <v>3</v>
      </c>
      <c r="J8" s="0" t="n">
        <f aca="false">Capacity!C9</f>
        <v>81</v>
      </c>
      <c r="K8" s="4" t="n">
        <f aca="false">$E8*L8*100/3</f>
        <v>69.3879435199458</v>
      </c>
      <c r="L8" s="4" t="n">
        <f aca="false">$E8*M8*100/3</f>
        <v>24.0415803520257</v>
      </c>
      <c r="M8" s="4" t="n">
        <f aca="false">$E8*N8*100/3</f>
        <v>8.32994258803419</v>
      </c>
      <c r="N8" s="4" t="n">
        <f aca="false">$E8*O8*100/3</f>
        <v>2.88616399188165</v>
      </c>
      <c r="O8" s="4" t="n">
        <v>1</v>
      </c>
      <c r="P8" s="5" t="n">
        <f aca="false">Capacity!C9*Capacity!F9*Capacity!G9*3604.861727</f>
        <v>119600.660433715</v>
      </c>
      <c r="Q8" s="10" t="n">
        <f aca="false">ROUND($C8*P8,0)</f>
        <v>1794010</v>
      </c>
      <c r="R8" s="10" t="n">
        <f aca="false">(1-E8)*Q8</f>
        <v>1638675.78810773</v>
      </c>
      <c r="S8" s="10" t="n">
        <f aca="false">ROUND($E8*Q8,0)</f>
        <v>155334</v>
      </c>
      <c r="T8" s="8" t="n">
        <f aca="false">S8/(($K8*F8)+($L8*G8)+($M8*H8)+($N8*I8)+($O8*J8))</f>
        <v>928.052104953494</v>
      </c>
      <c r="U8" s="10" t="n">
        <f aca="false">IF(F8=0,0,$K8*$T8)</f>
        <v>64395.6270420799</v>
      </c>
      <c r="V8" s="10" t="n">
        <f aca="false">IF(G8=0,0,$L8*$T8)</f>
        <v>0</v>
      </c>
      <c r="W8" s="10" t="n">
        <f aca="false">IF(H8=0,0,$M8*$T8)</f>
        <v>7730.62075296689</v>
      </c>
      <c r="X8" s="10" t="n">
        <f aca="false">IF(I8=0,0,$N8*$T8)</f>
        <v>2678.51056790674</v>
      </c>
      <c r="Y8" s="10" t="n">
        <f aca="false">IF(J8=0,0,$O8*$T8)</f>
        <v>928.052104953494</v>
      </c>
      <c r="Z8" s="4"/>
      <c r="AA8" s="4"/>
    </row>
    <row r="9" customFormat="false" ht="12.8" hidden="false" customHeight="false" outlineLevel="0" collapsed="false">
      <c r="A9" s="0" t="s">
        <v>142</v>
      </c>
      <c r="B9" s="0" t="s">
        <v>134</v>
      </c>
      <c r="C9" s="5" t="n">
        <f aca="false">IF(B9="Taiga",10,IF(B9="Mts",15,IF(B9="Temp",30,IF(B9="Steppe",20,IF(B9="Jungle",45,IF(B9="Sav",30,IF(B9="Medi",45,0)))))))*$C$28</f>
        <v>7.5</v>
      </c>
      <c r="D9" s="4" t="n">
        <f aca="false">Dists!AB9</f>
        <v>580.821081353136</v>
      </c>
      <c r="E9" s="4" t="n">
        <f aca="false">(D9-MIN($D$2:$D$24))*(0.1)/(MAX($D$2:$D$24)-MIN($D$2:$D$24))+0.05</f>
        <v>0.0746577680287586</v>
      </c>
      <c r="F9" s="0" t="n">
        <v>1</v>
      </c>
      <c r="G9" s="0" t="n">
        <v>0</v>
      </c>
      <c r="H9" s="0" t="n">
        <v>2</v>
      </c>
      <c r="I9" s="0" t="n">
        <v>3</v>
      </c>
      <c r="J9" s="0" t="n">
        <f aca="false">Capacity!C10</f>
        <v>144</v>
      </c>
      <c r="K9" s="4" t="n">
        <f aca="false">$E9*L9*100/3</f>
        <v>38.354382011331</v>
      </c>
      <c r="L9" s="4" t="n">
        <f aca="false">$E9*M9*100/3</f>
        <v>15.4120795560979</v>
      </c>
      <c r="M9" s="4" t="n">
        <f aca="false">$E9*N9*100/3</f>
        <v>6.19309147448438</v>
      </c>
      <c r="N9" s="4" t="n">
        <f aca="false">$E9*O9*100/3</f>
        <v>2.48859226762529</v>
      </c>
      <c r="O9" s="4" t="n">
        <v>1</v>
      </c>
      <c r="P9" s="5" t="n">
        <f aca="false">Capacity!C10*Capacity!F10*Capacity!G10*3604.861727</f>
        <v>87208.814899584</v>
      </c>
      <c r="Q9" s="10" t="n">
        <f aca="false">ROUND($C9*P9,0)</f>
        <v>654066</v>
      </c>
      <c r="R9" s="10" t="n">
        <f aca="false">(1-E9)*Q9</f>
        <v>605234.892296502</v>
      </c>
      <c r="S9" s="10" t="n">
        <f aca="false">ROUND($E9*Q9,0)</f>
        <v>48831</v>
      </c>
      <c r="T9" s="8" t="n">
        <f aca="false">S9/(($K9*F9)+($L9*G9)+($M9*H9)+($N9*I9)+($O9*J9))</f>
        <v>241.490942243498</v>
      </c>
      <c r="U9" s="10" t="n">
        <f aca="false">IF(F9=0,0,$K9*$T9)</f>
        <v>9262.23585108339</v>
      </c>
      <c r="V9" s="10" t="n">
        <f aca="false">IF(G9=0,0,$L9*$T9)</f>
        <v>0</v>
      </c>
      <c r="W9" s="10" t="n">
        <f aca="false">IF(H9=0,0,$M9*$T9)</f>
        <v>1495.5754955734</v>
      </c>
      <c r="X9" s="10" t="n">
        <f aca="false">IF(I9=0,0,$N9*$T9)</f>
        <v>600.972491568713</v>
      </c>
      <c r="Y9" s="10" t="n">
        <f aca="false">IF(J9=0,0,$O9*$T9)</f>
        <v>241.490942243498</v>
      </c>
      <c r="Z9" s="4"/>
      <c r="AA9" s="4"/>
    </row>
    <row r="10" customFormat="false" ht="12.8" hidden="false" customHeight="false" outlineLevel="0" collapsed="false">
      <c r="A10" s="0" t="s">
        <v>143</v>
      </c>
      <c r="B10" s="0" t="s">
        <v>136</v>
      </c>
      <c r="C10" s="5" t="n">
        <f aca="false">IF(B10="Taiga",10,IF(B10="Mts",15,IF(B10="Temp",30,IF(B10="Steppe",20,IF(B10="Jungle",45,IF(B10="Sav",30,IF(B10="Medi",45,0)))))))*$C$28</f>
        <v>15</v>
      </c>
      <c r="D10" s="4" t="n">
        <f aca="false">Dists!AB10</f>
        <v>1059.16700122773</v>
      </c>
      <c r="E10" s="4" t="n">
        <f aca="false">(D10-MIN($D$2:$D$24))*(0.1)/(MAX($D$2:$D$24)-MIN($D$2:$D$24))+0.05</f>
        <v>0.126535919256118</v>
      </c>
      <c r="F10" s="0" t="n">
        <v>1</v>
      </c>
      <c r="G10" s="0" t="n">
        <v>2</v>
      </c>
      <c r="H10" s="0" t="n">
        <v>5</v>
      </c>
      <c r="I10" s="0" t="n">
        <v>3</v>
      </c>
      <c r="J10" s="0" t="n">
        <f aca="false">Capacity!C11</f>
        <v>143</v>
      </c>
      <c r="K10" s="4" t="n">
        <f aca="false">$E10*L10*100/3</f>
        <v>316.497496485796</v>
      </c>
      <c r="L10" s="4" t="n">
        <f aca="false">$E10*M10*100/3</f>
        <v>75.0373882008592</v>
      </c>
      <c r="M10" s="4" t="n">
        <f aca="false">$E10*N10*100/3</f>
        <v>17.790376513323</v>
      </c>
      <c r="N10" s="4" t="n">
        <f aca="false">$E10*O10*100/3</f>
        <v>4.21786397520392</v>
      </c>
      <c r="O10" s="4" t="n">
        <v>1</v>
      </c>
      <c r="P10" s="5" t="n">
        <f aca="false">Capacity!C11*Capacity!F11*Capacity!G11*3604.861727</f>
        <v>211146.844963226</v>
      </c>
      <c r="Q10" s="10" t="n">
        <f aca="false">ROUND($C10*P10,0)</f>
        <v>3167203</v>
      </c>
      <c r="R10" s="10" t="n">
        <f aca="false">(1-E10)*Q10</f>
        <v>2766438.05692427</v>
      </c>
      <c r="S10" s="10" t="n">
        <f aca="false">ROUND($E10*Q10,0)</f>
        <v>400765</v>
      </c>
      <c r="T10" s="8" t="n">
        <f aca="false">S10/(($K10*F10)+($L10*G10)+($M10*H10)+($N10*I10)+($O10*J10))</f>
        <v>563.522975060139</v>
      </c>
      <c r="U10" s="10" t="n">
        <f aca="false">IF(F10=0,0,$K10*$T10)</f>
        <v>178353.610818762</v>
      </c>
      <c r="V10" s="10" t="n">
        <f aca="false">IF(G10=0,0,$L10*$T10)</f>
        <v>42285.2922396908</v>
      </c>
      <c r="W10" s="10" t="n">
        <f aca="false">IF(H10=0,0,$M10*$T10)</f>
        <v>10025.2859002278</v>
      </c>
      <c r="X10" s="10" t="n">
        <f aca="false">IF(I10=0,0,$N10*$T10)</f>
        <v>2376.8632557059</v>
      </c>
      <c r="Y10" s="10" t="n">
        <f aca="false">IF(J10=0,0,$O10*$T10)</f>
        <v>563.522975060139</v>
      </c>
      <c r="Z10" s="4"/>
      <c r="AA10" s="4"/>
    </row>
    <row r="11" customFormat="false" ht="12.8" hidden="false" customHeight="false" outlineLevel="0" collapsed="false">
      <c r="A11" s="0" t="s">
        <v>144</v>
      </c>
      <c r="B11" s="0" t="s">
        <v>134</v>
      </c>
      <c r="C11" s="5" t="n">
        <f aca="false">IF(B11="Taiga",10,IF(B11="Mts",15,IF(B11="Temp",30,IF(B11="Steppe",20,IF(B11="Jungle",45,IF(B11="Sav",30,IF(B11="Medi",45,0)))))))*$C$28</f>
        <v>7.5</v>
      </c>
      <c r="D11" s="4" t="n">
        <f aca="false">Dists!AB11</f>
        <v>676.84520061383</v>
      </c>
      <c r="E11" s="4" t="n">
        <f aca="false">(D11-MIN($D$2:$D$24))*(0.1)/(MAX($D$2:$D$24)-MIN($D$2:$D$24))+0.05</f>
        <v>0.0850718921458543</v>
      </c>
      <c r="F11" s="0" t="n">
        <v>1</v>
      </c>
      <c r="G11" s="0" t="n">
        <v>0</v>
      </c>
      <c r="H11" s="0" t="n">
        <v>0</v>
      </c>
      <c r="I11" s="0" t="n">
        <v>2</v>
      </c>
      <c r="J11" s="0" t="n">
        <f aca="false">Capacity!C12</f>
        <v>155</v>
      </c>
      <c r="K11" s="4" t="n">
        <f aca="false">$E11*L11*100/3</f>
        <v>64.663521279368</v>
      </c>
      <c r="L11" s="4" t="n">
        <f aca="false">$E11*M11*100/3</f>
        <v>22.8031326146491</v>
      </c>
      <c r="M11" s="4" t="n">
        <f aca="false">$E11*N11*100/3</f>
        <v>8.04136314808429</v>
      </c>
      <c r="N11" s="4" t="n">
        <f aca="false">$E11*O11*100/3</f>
        <v>2.83572973819514</v>
      </c>
      <c r="O11" s="4" t="n">
        <v>1</v>
      </c>
      <c r="P11" s="5" t="n">
        <f aca="false">Capacity!C12*Capacity!F12*Capacity!G12*3604.861727</f>
        <v>93870.59937108</v>
      </c>
      <c r="Q11" s="10" t="n">
        <f aca="false">ROUND($C11*P11,0)</f>
        <v>704029</v>
      </c>
      <c r="R11" s="10" t="n">
        <f aca="false">(1-E11)*Q11</f>
        <v>644135.920844446</v>
      </c>
      <c r="S11" s="10" t="n">
        <f aca="false">ROUND($E11*Q11,0)</f>
        <v>59893</v>
      </c>
      <c r="T11" s="8" t="n">
        <f aca="false">S11/(($K11*F11)+($L11*G11)+($M11*H11)+($N11*I11)+($O11*J11))</f>
        <v>265.795394035684</v>
      </c>
      <c r="U11" s="10" t="n">
        <f aca="false">IF(F11=0,0,$K11*$T11)</f>
        <v>17187.2661181845</v>
      </c>
      <c r="V11" s="10" t="n">
        <f aca="false">IF(G11=0,0,$L11*$T11)</f>
        <v>0</v>
      </c>
      <c r="W11" s="10" t="n">
        <f aca="false">IF(H11=0,0,$M11*$T11)</f>
        <v>0</v>
      </c>
      <c r="X11" s="10" t="n">
        <f aca="false">IF(I11=0,0,$N11*$T11)</f>
        <v>753.723903142284</v>
      </c>
      <c r="Y11" s="10" t="n">
        <f aca="false">IF(J11=0,0,$O11*$T11)</f>
        <v>265.795394035684</v>
      </c>
      <c r="Z11" s="4"/>
      <c r="AA11" s="4"/>
    </row>
    <row r="12" customFormat="false" ht="12.8" hidden="false" customHeight="false" outlineLevel="0" collapsed="false">
      <c r="A12" s="0" t="s">
        <v>145</v>
      </c>
      <c r="B12" s="0" t="s">
        <v>146</v>
      </c>
      <c r="C12" s="5" t="n">
        <f aca="false">IF(B12="Taiga",10,IF(B12="Mts",15,IF(B12="Temp",30,IF(B12="Steppe",20,IF(B12="Jungle",45,IF(B12="Sav",30,IF(B12="Medi",45,0)))))))*$C$28</f>
        <v>22.5</v>
      </c>
      <c r="D12" s="4" t="n">
        <f aca="false">Dists!AB12</f>
        <v>822.927839471962</v>
      </c>
      <c r="E12" s="4" t="n">
        <f aca="false">(D12-MIN($D$2:$D$24))*(0.1)/(MAX($D$2:$D$24)-MIN($D$2:$D$24))+0.05</f>
        <v>0.100915023477173</v>
      </c>
      <c r="F12" s="0" t="n">
        <v>1</v>
      </c>
      <c r="G12" s="0" t="n">
        <v>4</v>
      </c>
      <c r="H12" s="0" t="n">
        <v>1</v>
      </c>
      <c r="I12" s="0" t="n">
        <v>6</v>
      </c>
      <c r="J12" s="0" t="n">
        <f aca="false">Capacity!C13</f>
        <v>127</v>
      </c>
      <c r="K12" s="4" t="n">
        <f aca="false">$E12*L12*100/3</f>
        <v>128.037823624044</v>
      </c>
      <c r="L12" s="4" t="n">
        <f aca="false">$E12*M12*100/3</f>
        <v>38.0630611416363</v>
      </c>
      <c r="M12" s="4" t="n">
        <f aca="false">$E12*N12*100/3</f>
        <v>11.3153799593316</v>
      </c>
      <c r="N12" s="4" t="n">
        <f aca="false">$E12*O12*100/3</f>
        <v>3.36383411590578</v>
      </c>
      <c r="O12" s="4" t="n">
        <v>1</v>
      </c>
      <c r="P12" s="5" t="n">
        <f aca="false">Capacity!C13*Capacity!F13*Capacity!G13*3604.861727</f>
        <v>84650.4445319321</v>
      </c>
      <c r="Q12" s="10" t="n">
        <f aca="false">ROUND($C12*P12,0)</f>
        <v>1904635</v>
      </c>
      <c r="R12" s="10" t="n">
        <f aca="false">(1-E12)*Q12</f>
        <v>1712428.71425955</v>
      </c>
      <c r="S12" s="10" t="n">
        <f aca="false">ROUND($E12*Q12,0)</f>
        <v>192206</v>
      </c>
      <c r="T12" s="8" t="n">
        <f aca="false">S12/(($K12*F12)+($L12*G12)+($M12*H12)+($N12*I12)+($O12*J12))</f>
        <v>438.037962835226</v>
      </c>
      <c r="U12" s="10" t="n">
        <f aca="false">IF(F12=0,0,$K12*$T12)</f>
        <v>56085.4274261321</v>
      </c>
      <c r="V12" s="10" t="n">
        <f aca="false">IF(G12=0,0,$L12*$T12)</f>
        <v>16673.065761755</v>
      </c>
      <c r="W12" s="10" t="n">
        <f aca="false">IF(H12=0,0,$M12*$T12)</f>
        <v>4956.56598609217</v>
      </c>
      <c r="X12" s="10" t="n">
        <f aca="false">IF(I12=0,0,$N12*$T12)</f>
        <v>1473.487043447</v>
      </c>
      <c r="Y12" s="10" t="n">
        <f aca="false">IF(J12=0,0,$O12*$T12)</f>
        <v>438.037962835226</v>
      </c>
      <c r="Z12" s="4"/>
      <c r="AA12" s="4"/>
    </row>
    <row r="13" customFormat="false" ht="12.8" hidden="false" customHeight="false" outlineLevel="0" collapsed="false">
      <c r="A13" s="0" t="s">
        <v>147</v>
      </c>
      <c r="B13" s="0" t="s">
        <v>146</v>
      </c>
      <c r="C13" s="5" t="n">
        <f aca="false">IF(B13="Taiga",10,IF(B13="Mts",15,IF(B13="Temp",30,IF(B13="Steppe",20,IF(B13="Jungle",45,IF(B13="Sav",30,IF(B13="Medi",45,0)))))))*$C$28</f>
        <v>22.5</v>
      </c>
      <c r="D13" s="4" t="n">
        <f aca="false">Dists!AB13</f>
        <v>668.24942380327</v>
      </c>
      <c r="E13" s="4" t="n">
        <f aca="false">(D13-MIN($D$2:$D$24))*(0.1)/(MAX($D$2:$D$24)-MIN($D$2:$D$24))+0.05</f>
        <v>0.0841396525452493</v>
      </c>
      <c r="F13" s="0" t="n">
        <v>1</v>
      </c>
      <c r="G13" s="0" t="n">
        <v>1</v>
      </c>
      <c r="H13" s="0" t="n">
        <v>2</v>
      </c>
      <c r="I13" s="0" t="n">
        <v>1</v>
      </c>
      <c r="J13" s="0" t="n">
        <f aca="false">Capacity!C14</f>
        <v>99</v>
      </c>
      <c r="K13" s="4" t="n">
        <f aca="false">$E13*L13*100/3</f>
        <v>61.8753741681348</v>
      </c>
      <c r="L13" s="4" t="n">
        <f aca="false">$E13*M13*100/3</f>
        <v>22.0616697227953</v>
      </c>
      <c r="M13" s="4" t="n">
        <f aca="false">$E13*N13*100/3</f>
        <v>7.86609014492809</v>
      </c>
      <c r="N13" s="4" t="n">
        <f aca="false">$E13*O13*100/3</f>
        <v>2.80465508484164</v>
      </c>
      <c r="O13" s="4" t="n">
        <v>1</v>
      </c>
      <c r="P13" s="5" t="n">
        <f aca="false">Capacity!C14*Capacity!F14*Capacity!G14*3604.861727</f>
        <v>65987.3543989077</v>
      </c>
      <c r="Q13" s="10" t="n">
        <f aca="false">ROUND($C13*P13,0)</f>
        <v>1484715</v>
      </c>
      <c r="R13" s="10" t="n">
        <f aca="false">(1-E13)*Q13</f>
        <v>1359791.59577128</v>
      </c>
      <c r="S13" s="10" t="n">
        <f aca="false">ROUND($E13*Q13,0)</f>
        <v>124923</v>
      </c>
      <c r="T13" s="8" t="n">
        <f aca="false">S13/(($K13*F13)+($L13*G13)+($M13*H13)+($N13*I13)+($O13*J13))</f>
        <v>620.045637952395</v>
      </c>
      <c r="U13" s="10" t="n">
        <f aca="false">IF(F13=0,0,$K13*$T13)</f>
        <v>38365.5558496243</v>
      </c>
      <c r="V13" s="10" t="n">
        <f aca="false">IF(G13=0,0,$L13*$T13)</f>
        <v>13679.2420775656</v>
      </c>
      <c r="W13" s="10" t="n">
        <f aca="false">IF(H13=0,0,$M13*$T13)</f>
        <v>4877.33488210298</v>
      </c>
      <c r="X13" s="10" t="n">
        <f aca="false">IF(I13=0,0,$N13*$T13)</f>
        <v>1739.01415131706</v>
      </c>
      <c r="Y13" s="10" t="n">
        <f aca="false">IF(J13=0,0,$O13*$T13)</f>
        <v>620.045637952395</v>
      </c>
      <c r="Z13" s="4"/>
      <c r="AA13" s="4"/>
    </row>
    <row r="14" customFormat="false" ht="12.8" hidden="false" customHeight="false" outlineLevel="0" collapsed="false">
      <c r="A14" s="0" t="s">
        <v>148</v>
      </c>
      <c r="B14" s="0" t="s">
        <v>149</v>
      </c>
      <c r="C14" s="5" t="n">
        <f aca="false">IF(B14="Taiga",10,IF(B14="Mts",15,IF(B14="Temp",30,IF(B14="Steppe",20,IF(B14="Jungle",45,IF(B14="Sav",30,IF(B14="Medi",45,0)))))))*$C$28</f>
        <v>15</v>
      </c>
      <c r="D14" s="4" t="n">
        <f aca="false">Dists!AB14</f>
        <v>568.997187683206</v>
      </c>
      <c r="E14" s="4" t="n">
        <f aca="false">(D14-MIN($D$2:$D$24))*(0.1)/(MAX($D$2:$D$24)-MIN($D$2:$D$24))+0.05</f>
        <v>0.0733754287875968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f aca="false">Capacity!C15</f>
        <v>80</v>
      </c>
      <c r="K14" s="4" t="n">
        <f aca="false">$E14*L14*100/3</f>
        <v>35.7863652173</v>
      </c>
      <c r="L14" s="4" t="n">
        <f aca="false">$E14*M14*100/3</f>
        <v>14.6314777883857</v>
      </c>
      <c r="M14" s="4" t="n">
        <f aca="false">$E14*N14*100/3</f>
        <v>5.98217061084854</v>
      </c>
      <c r="N14" s="4" t="n">
        <f aca="false">$E14*O14*100/3</f>
        <v>2.44584762625323</v>
      </c>
      <c r="O14" s="4" t="n">
        <v>1</v>
      </c>
      <c r="P14" s="5" t="n">
        <f aca="false">Capacity!C15*Capacity!F15*Capacity!G15*3604.861727</f>
        <v>131505.35580096</v>
      </c>
      <c r="Q14" s="10" t="n">
        <f aca="false">ROUND($C14*P14,0)</f>
        <v>1972580</v>
      </c>
      <c r="R14" s="10" t="n">
        <f aca="false">(1-E14)*Q14</f>
        <v>1827841.09668216</v>
      </c>
      <c r="S14" s="10" t="n">
        <f aca="false">ROUND($E14*Q14,0)</f>
        <v>144739</v>
      </c>
      <c r="T14" s="8" t="n">
        <f aca="false">S14/(($K14*F14)+($L14*G14)+($M14*H14)+($N14*I14)+($O14*J14))</f>
        <v>1224.19259962191</v>
      </c>
      <c r="U14" s="10" t="n">
        <f aca="false">IF(F14=0,0,$K14*$T14)</f>
        <v>43809.4034663855</v>
      </c>
      <c r="V14" s="10" t="n">
        <f aca="false">IF(G14=0,0,$L14*$T14)</f>
        <v>0</v>
      </c>
      <c r="W14" s="10" t="n">
        <f aca="false">IF(H14=0,0,$M14*$T14)</f>
        <v>0</v>
      </c>
      <c r="X14" s="10" t="n">
        <f aca="false">IF(I14=0,0,$N14*$T14)</f>
        <v>2994.18856386201</v>
      </c>
      <c r="Y14" s="10" t="n">
        <f aca="false">IF(J14=0,0,$O14*$T14)</f>
        <v>1224.19259962191</v>
      </c>
      <c r="Z14" s="4"/>
      <c r="AA14" s="4"/>
    </row>
    <row r="15" customFormat="false" ht="12.8" hidden="false" customHeight="false" outlineLevel="0" collapsed="false">
      <c r="A15" s="0" t="s">
        <v>150</v>
      </c>
      <c r="B15" s="0" t="s">
        <v>146</v>
      </c>
      <c r="C15" s="5" t="n">
        <f aca="false">IF(B15="Taiga",10,IF(B15="Mts",15,IF(B15="Temp",30,IF(B15="Steppe",20,IF(B15="Jungle",45,IF(B15="Sav",30,IF(B15="Medi",45,0)))))))*$C$28</f>
        <v>22.5</v>
      </c>
      <c r="D15" s="4" t="n">
        <f aca="false">Dists!AB15</f>
        <v>983.517716591597</v>
      </c>
      <c r="E15" s="4" t="n">
        <f aca="false">(D15-MIN($D$2:$D$24))*(0.1)/(MAX($D$2:$D$24)-MIN($D$2:$D$24))+0.05</f>
        <v>0.118331511388222</v>
      </c>
      <c r="F15" s="0" t="n">
        <v>1</v>
      </c>
      <c r="G15" s="0" t="n">
        <v>2</v>
      </c>
      <c r="H15" s="0" t="n">
        <v>1</v>
      </c>
      <c r="I15" s="0" t="n">
        <v>3</v>
      </c>
      <c r="J15" s="0" t="n">
        <f aca="false">Capacity!C16</f>
        <v>115</v>
      </c>
      <c r="K15" s="4" t="n">
        <f aca="false">$E15*L15*100/3</f>
        <v>242.056432042298</v>
      </c>
      <c r="L15" s="4" t="n">
        <f aca="false">$E15*M15*100/3</f>
        <v>61.3673642470833</v>
      </c>
      <c r="M15" s="4" t="n">
        <f aca="false">$E15*N15*100/3</f>
        <v>15.5581628749123</v>
      </c>
      <c r="N15" s="4" t="n">
        <f aca="false">$E15*O15*100/3</f>
        <v>3.94438371294075</v>
      </c>
      <c r="O15" s="4" t="n">
        <v>1</v>
      </c>
      <c r="P15" s="5" t="n">
        <f aca="false">Capacity!C16*Capacity!F16*Capacity!G16*3604.861727</f>
        <v>76651.9773320645</v>
      </c>
      <c r="Q15" s="10" t="n">
        <f aca="false">ROUND($C15*P15,0)</f>
        <v>1724669</v>
      </c>
      <c r="R15" s="10" t="n">
        <f aca="false">(1-E15)*Q15</f>
        <v>1520586.31058559</v>
      </c>
      <c r="S15" s="10" t="n">
        <f aca="false">ROUND($E15*Q15,0)</f>
        <v>204083</v>
      </c>
      <c r="T15" s="8" t="n">
        <f aca="false">S15/(($K15*F15)+($L15*G15)+($M15*H15)+($N15*I15)+($O15*J15))</f>
        <v>402.385749194101</v>
      </c>
      <c r="U15" s="10" t="n">
        <f aca="false">IF(F15=0,0,$K15*$T15)</f>
        <v>97400.0587545911</v>
      </c>
      <c r="V15" s="10" t="n">
        <f aca="false">IF(G15=0,0,$L15*$T15)</f>
        <v>24693.3528386299</v>
      </c>
      <c r="W15" s="10" t="n">
        <f aca="false">IF(H15=0,0,$M15*$T15)</f>
        <v>6260.38302450542</v>
      </c>
      <c r="X15" s="10" t="n">
        <f aca="false">IF(I15=0,0,$N15*$T15)</f>
        <v>1587.16379544067</v>
      </c>
      <c r="Y15" s="10" t="n">
        <f aca="false">IF(J15=0,0,$O15*$T15)</f>
        <v>402.385749194101</v>
      </c>
      <c r="Z15" s="4"/>
      <c r="AA15" s="4"/>
    </row>
    <row r="16" customFormat="false" ht="12.8" hidden="false" customHeight="false" outlineLevel="0" collapsed="false">
      <c r="A16" s="0" t="s">
        <v>151</v>
      </c>
      <c r="B16" s="0" t="s">
        <v>136</v>
      </c>
      <c r="C16" s="5" t="n">
        <f aca="false">IF(B16="Taiga",10,IF(B16="Mts",15,IF(B16="Temp",30,IF(B16="Steppe",20,IF(B16="Jungle",45,IF(B16="Sav",30,IF(B16="Medi",45,0)))))))*$C$28</f>
        <v>15</v>
      </c>
      <c r="D16" s="4" t="n">
        <f aca="false">Dists!AB16</f>
        <v>971.371832228109</v>
      </c>
      <c r="E16" s="4" t="n">
        <f aca="false">(D16-MIN($D$2:$D$24))*(0.1)/(MAX($D$2:$D$24)-MIN($D$2:$D$24))+0.05</f>
        <v>0.117014251222265</v>
      </c>
      <c r="F16" s="0" t="n">
        <v>1</v>
      </c>
      <c r="G16" s="0" t="n">
        <v>0</v>
      </c>
      <c r="H16" s="0" t="n">
        <v>2</v>
      </c>
      <c r="I16" s="0" t="n">
        <v>9</v>
      </c>
      <c r="J16" s="0" t="n">
        <f aca="false">Capacity!C17</f>
        <v>155</v>
      </c>
      <c r="K16" s="4" t="n">
        <f aca="false">$E16*L16*100/3</f>
        <v>231.456836362881</v>
      </c>
      <c r="L16" s="4" t="n">
        <f aca="false">$E16*M16*100/3</f>
        <v>59.3406787494377</v>
      </c>
      <c r="M16" s="4" t="n">
        <f aca="false">$E16*N16*100/3</f>
        <v>15.2137055434526</v>
      </c>
      <c r="N16" s="4" t="n">
        <f aca="false">$E16*O16*100/3</f>
        <v>3.90047504074217</v>
      </c>
      <c r="O16" s="4" t="n">
        <v>1</v>
      </c>
      <c r="P16" s="5" t="n">
        <f aca="false">Capacity!C17*Capacity!F17*Capacity!G17*3604.861727</f>
        <v>228865.461323776</v>
      </c>
      <c r="Q16" s="10" t="n">
        <f aca="false">ROUND($C16*P16,0)</f>
        <v>3432982</v>
      </c>
      <c r="R16" s="10" t="n">
        <f aca="false">(1-E16)*Q16</f>
        <v>3031274.18181049</v>
      </c>
      <c r="S16" s="10" t="n">
        <f aca="false">ROUND($E16*Q16,0)</f>
        <v>401708</v>
      </c>
      <c r="T16" s="8" t="n">
        <f aca="false">S16/(($K16*F16)+($L16*G16)+($M16*H16)+($N16*I16)+($O16*J16))</f>
        <v>888.757080593211</v>
      </c>
      <c r="U16" s="10" t="n">
        <f aca="false">IF(F16=0,0,$K16*$T16)</f>
        <v>205708.902169215</v>
      </c>
      <c r="V16" s="10" t="n">
        <f aca="false">IF(G16=0,0,$L16*$T16)</f>
        <v>0</v>
      </c>
      <c r="W16" s="10" t="n">
        <f aca="false">IF(H16=0,0,$M16*$T16)</f>
        <v>13521.2885238037</v>
      </c>
      <c r="X16" s="10" t="n">
        <f aca="false">IF(I16=0,0,$N16*$T16)</f>
        <v>3466.57481013669</v>
      </c>
      <c r="Y16" s="10" t="n">
        <f aca="false">IF(J16=0,0,$O16*$T16)</f>
        <v>888.757080593211</v>
      </c>
      <c r="Z16" s="4"/>
      <c r="AA16" s="4"/>
    </row>
    <row r="17" s="17" customFormat="true" ht="12.8" hidden="false" customHeight="false" outlineLevel="0" collapsed="false">
      <c r="A17" s="17" t="s">
        <v>152</v>
      </c>
      <c r="B17" s="17" t="s">
        <v>136</v>
      </c>
      <c r="C17" s="26" t="n">
        <f aca="false">IF(B17="Taiga",10,IF(B17="Mts",15,IF(B17="Temp",30,IF(B17="Steppe",20,IF(B17="Jungle",45,IF(B17="Sav",30,IF(B17="Medi",45,0)))))))*$C$28</f>
        <v>15</v>
      </c>
      <c r="D17" s="20" t="n">
        <f aca="false">Dists!AB17</f>
        <v>1185.60578223137</v>
      </c>
      <c r="E17" s="20" t="n">
        <f aca="false">(D17-MIN($D$2:$D$24))*(0.1)/(MAX($D$2:$D$24)-MIN($D$2:$D$24))+0.05</f>
        <v>0.140248611116497</v>
      </c>
      <c r="F17" s="17" t="n">
        <v>1</v>
      </c>
      <c r="G17" s="17" t="n">
        <v>3</v>
      </c>
      <c r="H17" s="17" t="n">
        <v>1</v>
      </c>
      <c r="I17" s="17" t="n">
        <v>7</v>
      </c>
      <c r="J17" s="17" t="n">
        <f aca="false">Capacity!C18</f>
        <v>143</v>
      </c>
      <c r="K17" s="20" t="n">
        <f aca="false">$E17*L17*100/3</f>
        <v>477.649423190076</v>
      </c>
      <c r="L17" s="20" t="n">
        <f aca="false">$E17*M17*100/3</f>
        <v>102.172011413358</v>
      </c>
      <c r="M17" s="20" t="n">
        <f aca="false">$E17*N17*100/3</f>
        <v>21.8551921334514</v>
      </c>
      <c r="N17" s="20" t="n">
        <f aca="false">$E17*O17*100/3</f>
        <v>4.67495370388322</v>
      </c>
      <c r="O17" s="20" t="n">
        <v>1</v>
      </c>
      <c r="P17" s="26" t="n">
        <f aca="false">Capacity!C18*Capacity!F18*Capacity!G18*3604.861727</f>
        <v>211146.844963226</v>
      </c>
      <c r="Q17" s="25" t="n">
        <f aca="false">ROUND($C17*P17,0)</f>
        <v>3167203</v>
      </c>
      <c r="R17" s="25" t="n">
        <f aca="false">(1-E17)*Q17</f>
        <v>2723007.178126</v>
      </c>
      <c r="S17" s="25" t="n">
        <f aca="false">ROUND($E17*Q17,0)</f>
        <v>444196</v>
      </c>
      <c r="T17" s="29" t="n">
        <f aca="false">S17/(($K17*F17)+($L17*G17)+($M17*H17)+($N17*I17)+($O17*J17))</f>
        <v>452.455426541443</v>
      </c>
      <c r="U17" s="25" t="n">
        <f aca="false">IF(F17=0,0,$K17*$T17)</f>
        <v>216115.07350674</v>
      </c>
      <c r="V17" s="25" t="n">
        <f aca="false">IF(G17=0,0,$L17*$T17)</f>
        <v>46228.281004628</v>
      </c>
      <c r="W17" s="25" t="n">
        <f aca="false">IF(H17=0,0,$M17*$T17)</f>
        <v>9888.50027888594</v>
      </c>
      <c r="X17" s="25" t="n">
        <f aca="false">IF(I17=0,0,$N17*$T17)</f>
        <v>2115.20817215198</v>
      </c>
      <c r="Y17" s="25" t="n">
        <f aca="false">IF(J17=0,0,$O17*$T17)</f>
        <v>452.455426541443</v>
      </c>
      <c r="Z17" s="20"/>
      <c r="AA17" s="20"/>
    </row>
    <row r="18" customFormat="false" ht="12.8" hidden="false" customHeight="false" outlineLevel="0" collapsed="false">
      <c r="A18" s="0" t="s">
        <v>153</v>
      </c>
      <c r="B18" s="0" t="s">
        <v>154</v>
      </c>
      <c r="C18" s="5" t="n">
        <f aca="false">IF(B18="Taiga",10,IF(B18="Mts",15,IF(B18="Temp",30,IF(B18="Steppe",20,IF(B18="Jungle",45,IF(B18="Sav",30,IF(B18="Medi",45,0)))))))*$C$28</f>
        <v>22.5</v>
      </c>
      <c r="D18" s="4" t="n">
        <f aca="false">Dists!AB18</f>
        <v>1203.66436482965</v>
      </c>
      <c r="E18" s="4" t="n">
        <f aca="false">(D18-MIN($D$2:$D$24))*(0.1)/(MAX($D$2:$D$24)-MIN($D$2:$D$24))+0.05</f>
        <v>0.14220712239476</v>
      </c>
      <c r="F18" s="0" t="n">
        <v>1</v>
      </c>
      <c r="G18" s="0" t="n">
        <v>0</v>
      </c>
      <c r="H18" s="0" t="n">
        <v>1</v>
      </c>
      <c r="I18" s="0" t="n">
        <v>5</v>
      </c>
      <c r="J18" s="0" t="n">
        <f aca="false">Capacity!C19</f>
        <v>84</v>
      </c>
      <c r="K18" s="4" t="n">
        <f aca="false">$E18*L18*100/3</f>
        <v>504.894191968207</v>
      </c>
      <c r="L18" s="4" t="n">
        <f aca="false">$E18*M18*100/3</f>
        <v>106.512427113175</v>
      </c>
      <c r="M18" s="4" t="n">
        <f aca="false">$E18*N18*100/3</f>
        <v>22.4698507331092</v>
      </c>
      <c r="N18" s="4" t="n">
        <f aca="false">$E18*O18*100/3</f>
        <v>4.74023741315867</v>
      </c>
      <c r="O18" s="4" t="n">
        <v>1</v>
      </c>
      <c r="P18" s="5" t="n">
        <f aca="false">Capacity!C19*Capacity!F19*Capacity!G19*3604.861727</f>
        <v>78124.563347544</v>
      </c>
      <c r="Q18" s="10" t="n">
        <f aca="false">ROUND($C18*P18,0)</f>
        <v>1757803</v>
      </c>
      <c r="R18" s="10" t="n">
        <f aca="false">(1-E18)*Q18</f>
        <v>1507830.89363312</v>
      </c>
      <c r="S18" s="10" t="n">
        <f aca="false">ROUND($E18*Q18,0)</f>
        <v>249972</v>
      </c>
      <c r="T18" s="8" t="n">
        <f aca="false">S18/(($K18*F18)+($L18*G18)+($M18*H18)+($N18*I18)+($O18*J18))</f>
        <v>393.616259059986</v>
      </c>
      <c r="U18" s="10" t="n">
        <f aca="false">IF(F18=0,0,$K18*$T18)</f>
        <v>198734.56306364</v>
      </c>
      <c r="V18" s="10" t="n">
        <f aca="false">IF(G18=0,0,$L18*$T18)</f>
        <v>0</v>
      </c>
      <c r="W18" s="10" t="n">
        <f aca="false">IF(H18=0,0,$M18*$T18)</f>
        <v>8844.49858720272</v>
      </c>
      <c r="X18" s="10" t="n">
        <f aca="false">IF(I18=0,0,$N18*$T18)</f>
        <v>1865.8345176237</v>
      </c>
      <c r="Y18" s="10" t="n">
        <f aca="false">IF(J18=0,0,$O18*$T18)</f>
        <v>393.616259059986</v>
      </c>
      <c r="Z18" s="4"/>
      <c r="AA18" s="4"/>
    </row>
    <row r="19" customFormat="false" ht="12.8" hidden="false" customHeight="false" outlineLevel="0" collapsed="false">
      <c r="A19" s="0" t="s">
        <v>155</v>
      </c>
      <c r="B19" s="0" t="s">
        <v>134</v>
      </c>
      <c r="C19" s="5" t="n">
        <f aca="false">IF(B19="Taiga",10,IF(B19="Mts",15,IF(B19="Temp",30,IF(B19="Steppe",20,IF(B19="Jungle",45,IF(B19="Sav",30,IF(B19="Medi",45,0)))))))*$C$28</f>
        <v>7.5</v>
      </c>
      <c r="D19" s="4" t="n">
        <f aca="false">Dists!AB19</f>
        <v>359.373916289722</v>
      </c>
      <c r="E19" s="4" t="n">
        <f aca="false">(D19-MIN($D$2:$D$24))*(0.1)/(MAX($D$2:$D$24)-MIN($D$2:$D$24))+0.05</f>
        <v>0.0506411117958766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f aca="false">Capacity!C20</f>
        <v>44</v>
      </c>
      <c r="K19" s="4" t="n">
        <f aca="false">$E19*L19*100/3</f>
        <v>8.11947424001406</v>
      </c>
      <c r="L19" s="4" t="n">
        <f aca="false">$E19*M19*100/3</f>
        <v>4.81000946784615</v>
      </c>
      <c r="M19" s="4" t="n">
        <f aca="false">$E19*N19*100/3</f>
        <v>2.84946911546942</v>
      </c>
      <c r="N19" s="4" t="n">
        <f aca="false">$E19*O19*100/3</f>
        <v>1.68803705986255</v>
      </c>
      <c r="O19" s="4" t="n">
        <v>1</v>
      </c>
      <c r="P19" s="5" t="n">
        <f aca="false">Capacity!C20*Capacity!F20*Capacity!G20*3604.861727</f>
        <v>26647.137885984</v>
      </c>
      <c r="Q19" s="10" t="n">
        <f aca="false">ROUND($C19*P19,0)</f>
        <v>199854</v>
      </c>
      <c r="R19" s="10" t="n">
        <f aca="false">(1-E19)*Q19</f>
        <v>189733.171243147</v>
      </c>
      <c r="S19" s="10" t="n">
        <f aca="false">ROUND($E19*Q19,0)</f>
        <v>10121</v>
      </c>
      <c r="T19" s="8" t="n">
        <f aca="false">S19/(($K19*F19)+($L19*G19)+($M19*H19)+($N19*I19)+($O19*J19))</f>
        <v>194.188451583223</v>
      </c>
      <c r="U19" s="10" t="n">
        <f aca="false">IF(F19=0,0,$K19*$T19)</f>
        <v>1576.70813033819</v>
      </c>
      <c r="V19" s="10" t="n">
        <f aca="false">IF(G19=0,0,$L19*$T19)</f>
        <v>0</v>
      </c>
      <c r="W19" s="10" t="n">
        <f aca="false">IF(H19=0,0,$M19*$T19)</f>
        <v>0</v>
      </c>
      <c r="X19" s="10" t="n">
        <f aca="false">IF(I19=0,0,$N19*$T19)</f>
        <v>0</v>
      </c>
      <c r="Y19" s="10" t="n">
        <f aca="false">IF(J19=0,0,$O19*$T19)</f>
        <v>194.188451583223</v>
      </c>
      <c r="Z19" s="4"/>
      <c r="AA19" s="4"/>
    </row>
    <row r="20" customFormat="false" ht="12.8" hidden="false" customHeight="false" outlineLevel="0" collapsed="false">
      <c r="A20" s="0" t="s">
        <v>156</v>
      </c>
      <c r="B20" s="0" t="s">
        <v>154</v>
      </c>
      <c r="C20" s="5" t="n">
        <f aca="false">IF(B20="Taiga",10,IF(B20="Mts",15,IF(B20="Temp",30,IF(B20="Steppe",20,IF(B20="Jungle",45,IF(B20="Sav",30,IF(B20="Medi",45,0)))))))*$C$28</f>
        <v>22.5</v>
      </c>
      <c r="D20" s="4" t="n">
        <f aca="false">Dists!AB20</f>
        <v>1275.51910749795</v>
      </c>
      <c r="E20" s="4" t="n">
        <f aca="false">(D20-MIN($D$2:$D$24))*(0.1)/(MAX($D$2:$D$24)-MIN($D$2:$D$24))+0.05</f>
        <v>0.15</v>
      </c>
      <c r="F20" s="0" t="n">
        <v>1</v>
      </c>
      <c r="G20" s="0" t="n">
        <v>1</v>
      </c>
      <c r="H20" s="0" t="n">
        <v>7</v>
      </c>
      <c r="I20" s="0" t="n">
        <v>2</v>
      </c>
      <c r="J20" s="0" t="n">
        <f aca="false">Capacity!C21</f>
        <v>196</v>
      </c>
      <c r="K20" s="4" t="n">
        <f aca="false">$E20*L20*100/3</f>
        <v>625</v>
      </c>
      <c r="L20" s="4" t="n">
        <f aca="false">$E20*M20*100/3</f>
        <v>125</v>
      </c>
      <c r="M20" s="4" t="n">
        <f aca="false">$E20*N20*100/3</f>
        <v>25</v>
      </c>
      <c r="N20" s="4" t="n">
        <f aca="false">$E20*O20*100/3</f>
        <v>5</v>
      </c>
      <c r="O20" s="4" t="n">
        <v>1</v>
      </c>
      <c r="P20" s="5" t="n">
        <f aca="false">Capacity!C21*Capacity!F21*Capacity!G21*3604.861727</f>
        <v>182290.647810936</v>
      </c>
      <c r="Q20" s="10" t="n">
        <f aca="false">ROUND($C20*P20,0)</f>
        <v>4101540</v>
      </c>
      <c r="R20" s="10" t="n">
        <f aca="false">(1-E20)*Q20</f>
        <v>3486309</v>
      </c>
      <c r="S20" s="10" t="n">
        <f aca="false">ROUND($E20*Q20,0)</f>
        <v>615231</v>
      </c>
      <c r="T20" s="8" t="n">
        <f aca="false">S20/(($K20*F20)+($L20*G20)+($M20*H20)+($N20*I20)+($O20*J20))</f>
        <v>543.970822281167</v>
      </c>
      <c r="U20" s="10" t="n">
        <f aca="false">IF(F20=0,0,$K20*$T20)</f>
        <v>339981.763925729</v>
      </c>
      <c r="V20" s="10" t="n">
        <f aca="false">IF(G20=0,0,$L20*$T20)</f>
        <v>67996.3527851459</v>
      </c>
      <c r="W20" s="10" t="n">
        <f aca="false">IF(H20=0,0,$M20*$T20)</f>
        <v>13599.2705570292</v>
      </c>
      <c r="X20" s="10" t="n">
        <f aca="false">IF(I20=0,0,$N20*$T20)</f>
        <v>2719.85411140583</v>
      </c>
      <c r="Y20" s="10" t="n">
        <f aca="false">IF(J20=0,0,$O20*$T20)</f>
        <v>543.970822281167</v>
      </c>
      <c r="Z20" s="4"/>
      <c r="AA20" s="4"/>
    </row>
    <row r="21" customFormat="false" ht="12.8" hidden="false" customHeight="false" outlineLevel="0" collapsed="false">
      <c r="A21" s="0" t="s">
        <v>157</v>
      </c>
      <c r="B21" s="0" t="s">
        <v>134</v>
      </c>
      <c r="C21" s="5" t="n">
        <f aca="false">IF(B21="Taiga",10,IF(B21="Mts",15,IF(B21="Temp",30,IF(B21="Steppe",20,IF(B21="Jungle",45,IF(B21="Sav",30,IF(B21="Medi",45,0)))))))*$C$28</f>
        <v>7.5</v>
      </c>
      <c r="D21" s="4" t="n">
        <f aca="false">Dists!AB21</f>
        <v>506.973905108506</v>
      </c>
      <c r="E21" s="4" t="n">
        <f aca="false">(D21-MIN($D$2:$D$24))*(0.1)/(MAX($D$2:$D$24)-MIN($D$2:$D$24))+0.05</f>
        <v>0.0666488046034267</v>
      </c>
      <c r="F21" s="0" t="n">
        <v>1</v>
      </c>
      <c r="G21" s="0" t="n">
        <v>0</v>
      </c>
      <c r="H21" s="0" t="n">
        <v>0</v>
      </c>
      <c r="I21" s="0" t="n">
        <v>2</v>
      </c>
      <c r="J21" s="0" t="n">
        <f aca="false">Capacity!C22</f>
        <v>126</v>
      </c>
      <c r="K21" s="4" t="n">
        <f aca="false">$E21*L21*100/3</f>
        <v>24.3604013254231</v>
      </c>
      <c r="L21" s="4" t="n">
        <f aca="false">$E21*M21*100/3</f>
        <v>10.9651184910392</v>
      </c>
      <c r="M21" s="4" t="n">
        <f aca="false">$E21*N21*100/3</f>
        <v>4.93562572785084</v>
      </c>
      <c r="N21" s="4" t="n">
        <f aca="false">$E21*O21*100/3</f>
        <v>2.22162682011422</v>
      </c>
      <c r="O21" s="4" t="n">
        <v>1</v>
      </c>
      <c r="P21" s="5" t="n">
        <f aca="false">Capacity!C22*Capacity!F22*Capacity!G22*3604.861727</f>
        <v>76307.713037136</v>
      </c>
      <c r="Q21" s="10" t="n">
        <f aca="false">ROUND($C21*P21,0)</f>
        <v>572308</v>
      </c>
      <c r="R21" s="10" t="n">
        <f aca="false">(1-E21)*Q21</f>
        <v>534164.355935022</v>
      </c>
      <c r="S21" s="10" t="n">
        <f aca="false">ROUND($E21*Q21,0)</f>
        <v>38144</v>
      </c>
      <c r="T21" s="8" t="n">
        <f aca="false">S21/(($K21*F21)+($L21*G21)+($M21*H21)+($N21*I21)+($O21*J21))</f>
        <v>246.402450952877</v>
      </c>
      <c r="U21" s="10" t="n">
        <f aca="false">IF(F21=0,0,$K21*$T21)</f>
        <v>6002.46259277996</v>
      </c>
      <c r="V21" s="10" t="n">
        <f aca="false">IF(G21=0,0,$L21*$T21)</f>
        <v>0</v>
      </c>
      <c r="W21" s="10" t="n">
        <f aca="false">IF(H21=0,0,$M21*$T21)</f>
        <v>0</v>
      </c>
      <c r="X21" s="10" t="n">
        <f aca="false">IF(I21=0,0,$N21*$T21)</f>
        <v>547.41429357879</v>
      </c>
      <c r="Y21" s="10" t="n">
        <f aca="false">IF(J21=0,0,$O21*$T21)</f>
        <v>246.402450952877</v>
      </c>
      <c r="Z21" s="4"/>
      <c r="AA21" s="4"/>
    </row>
    <row r="22" customFormat="false" ht="12.8" hidden="false" customHeight="false" outlineLevel="0" collapsed="false">
      <c r="A22" s="0" t="s">
        <v>158</v>
      </c>
      <c r="B22" s="0" t="s">
        <v>149</v>
      </c>
      <c r="C22" s="5" t="n">
        <f aca="false">IF(B22="Taiga",10,IF(B22="Mts",15,IF(B22="Temp",30,IF(B22="Steppe",20,IF(B22="Jungle",45,IF(B22="Sav",30,IF(B22="Medi",45,0)))))))*$C$28</f>
        <v>15</v>
      </c>
      <c r="D22" s="4" t="n">
        <f aca="false">Dists!AB22</f>
        <v>772.149016776133</v>
      </c>
      <c r="E22" s="4" t="n">
        <f aca="false">(D22-MIN($D$2:$D$24))*(0.1)/(MAX($D$2:$D$24)-MIN($D$2:$D$24))+0.05</f>
        <v>0.0954078970786623</v>
      </c>
      <c r="F22" s="0" t="n">
        <v>1</v>
      </c>
      <c r="G22" s="0" t="n">
        <v>3</v>
      </c>
      <c r="H22" s="0" t="n">
        <v>1</v>
      </c>
      <c r="I22" s="0" t="n">
        <v>5</v>
      </c>
      <c r="J22" s="0" t="n">
        <f aca="false">Capacity!C23</f>
        <v>113</v>
      </c>
      <c r="K22" s="4" t="n">
        <f aca="false">$E22*L22*100/3</f>
        <v>102.294497933898</v>
      </c>
      <c r="L22" s="4" t="n">
        <f aca="false">$E22*M22*100/3</f>
        <v>32.1654185029015</v>
      </c>
      <c r="M22" s="4" t="n">
        <f aca="false">$E22*N22*100/3</f>
        <v>10.1140742499696</v>
      </c>
      <c r="N22" s="4" t="n">
        <f aca="false">$E22*O22*100/3</f>
        <v>3.18026323595541</v>
      </c>
      <c r="O22" s="4" t="n">
        <v>1</v>
      </c>
      <c r="P22" s="5" t="n">
        <f aca="false">Capacity!C23*Capacity!F23*Capacity!G23*3604.861727</f>
        <v>185751.315068856</v>
      </c>
      <c r="Q22" s="10" t="n">
        <f aca="false">ROUND($C22*P22,0)</f>
        <v>2786270</v>
      </c>
      <c r="R22" s="10" t="n">
        <f aca="false">(1-E22)*Q22</f>
        <v>2520437.83860664</v>
      </c>
      <c r="S22" s="10" t="n">
        <f aca="false">ROUND($E22*Q22,0)</f>
        <v>265832</v>
      </c>
      <c r="T22" s="8" t="n">
        <f aca="false">S22/(($K22*F22)+($L22*G22)+($M22*H22)+($N22*I22)+($O22*J22))</f>
        <v>786.936545773582</v>
      </c>
      <c r="U22" s="10" t="n">
        <f aca="false">IF(F22=0,0,$K22*$T22)</f>
        <v>80499.2788557443</v>
      </c>
      <c r="V22" s="10" t="n">
        <f aca="false">IF(G22=0,0,$L22*$T22)</f>
        <v>25312.143330035</v>
      </c>
      <c r="W22" s="10" t="n">
        <f aca="false">IF(H22=0,0,$M22*$T22)</f>
        <v>7959.13465396859</v>
      </c>
      <c r="X22" s="10" t="n">
        <f aca="false">IF(I22=0,0,$N22*$T22)</f>
        <v>2502.66536555347</v>
      </c>
      <c r="Y22" s="10" t="n">
        <f aca="false">IF(J22=0,0,$O22*$T22)</f>
        <v>786.936545773582</v>
      </c>
      <c r="Z22" s="4"/>
      <c r="AA22" s="4"/>
    </row>
    <row r="23" customFormat="false" ht="12.8" hidden="false" customHeight="false" outlineLevel="0" collapsed="false">
      <c r="A23" s="0" t="s">
        <v>159</v>
      </c>
      <c r="B23" s="0" t="s">
        <v>132</v>
      </c>
      <c r="C23" s="5" t="n">
        <f aca="false">IF(B23="Taiga",10,IF(B23="Mts",15,IF(B23="Temp",30,IF(B23="Steppe",20,IF(B23="Jungle",45,IF(B23="Sav",30,IF(B23="Medi",45,0)))))))*$C$28</f>
        <v>5</v>
      </c>
      <c r="D23" s="4" t="n">
        <f aca="false">Dists!AB23</f>
        <v>613.210537079722</v>
      </c>
      <c r="E23" s="4" t="n">
        <f aca="false">(D23-MIN($D$2:$D$24))*(0.1)/(MAX($D$2:$D$24)-MIN($D$2:$D$24))+0.05</f>
        <v>0.0781705085216559</v>
      </c>
      <c r="F23" s="0" t="n">
        <v>1</v>
      </c>
      <c r="G23" s="0" t="n">
        <v>3</v>
      </c>
      <c r="H23" s="0" t="n">
        <v>0</v>
      </c>
      <c r="I23" s="0" t="n">
        <v>4</v>
      </c>
      <c r="J23" s="0" t="n">
        <f aca="false">Capacity!C24</f>
        <v>100</v>
      </c>
      <c r="K23" s="4" t="n">
        <f aca="false">$E23*L23*100/3</f>
        <v>46.0984931776032</v>
      </c>
      <c r="L23" s="4" t="n">
        <f aca="false">$E23*M23*100/3</f>
        <v>17.6915159115918</v>
      </c>
      <c r="M23" s="4" t="n">
        <f aca="false">$E23*N23*100/3</f>
        <v>6.78958711392697</v>
      </c>
      <c r="N23" s="4" t="n">
        <f aca="false">$E23*O23*100/3</f>
        <v>2.60568361738853</v>
      </c>
      <c r="O23" s="4" t="n">
        <v>1</v>
      </c>
      <c r="P23" s="5" t="n">
        <f aca="false">Capacity!C24*Capacity!F24*Capacity!G24*3604.861727</f>
        <v>66653.89333223</v>
      </c>
      <c r="Q23" s="10" t="n">
        <f aca="false">ROUND($C23*P23,0)</f>
        <v>333269</v>
      </c>
      <c r="R23" s="10" t="n">
        <f aca="false">(1-E23)*Q23</f>
        <v>307217.192795496</v>
      </c>
      <c r="S23" s="10" t="n">
        <f aca="false">ROUND($E23*Q23,0)</f>
        <v>26052</v>
      </c>
      <c r="T23" s="8" t="n">
        <f aca="false">S23/(($K23*F23)+($L23*G23)+($M23*H23)+($N23*I23)+($O23*J23))</f>
        <v>124.296398400813</v>
      </c>
      <c r="U23" s="10" t="n">
        <f aca="false">IF(F23=0,0,$K23*$T23)</f>
        <v>5729.87667368052</v>
      </c>
      <c r="V23" s="10" t="n">
        <f aca="false">IF(G23=0,0,$L23*$T23)</f>
        <v>2198.99171006153</v>
      </c>
      <c r="W23" s="10" t="n">
        <f aca="false">IF(H23=0,0,$M23*$T23)</f>
        <v>0</v>
      </c>
      <c r="X23" s="10" t="n">
        <f aca="false">IF(I23=0,0,$N23*$T23)</f>
        <v>323.877089013396</v>
      </c>
      <c r="Y23" s="10" t="n">
        <f aca="false">IF(J23=0,0,$O23*$T23)</f>
        <v>124.296398400813</v>
      </c>
      <c r="Z23" s="4"/>
      <c r="AA23" s="4"/>
    </row>
    <row r="24" customFormat="false" ht="12.8" hidden="false" customHeight="false" outlineLevel="0" collapsed="false">
      <c r="A24" s="0" t="s">
        <v>160</v>
      </c>
      <c r="B24" s="0" t="s">
        <v>132</v>
      </c>
      <c r="C24" s="5" t="n">
        <f aca="false">IF(B24="Taiga",10,IF(B24="Mts",15,IF(B24="Temp",30,IF(B24="Steppe",20,IF(B24="Jungle",45,IF(B24="Sav",30,IF(B24="Medi",45,0)))))))*$C$28</f>
        <v>5</v>
      </c>
      <c r="D24" s="4" t="n">
        <f aca="false">Dists!AB24</f>
        <v>674.672970444515</v>
      </c>
      <c r="E24" s="4" t="n">
        <f aca="false">(D24-MIN($D$2:$D$24))*(0.1)/(MAX($D$2:$D$24)-MIN($D$2:$D$24))+0.05</f>
        <v>0.0848363068078338</v>
      </c>
      <c r="F24" s="0" t="n">
        <v>1</v>
      </c>
      <c r="G24" s="0" t="n">
        <v>0</v>
      </c>
      <c r="H24" s="0" t="n">
        <v>3</v>
      </c>
      <c r="I24" s="0" t="n">
        <v>6</v>
      </c>
      <c r="J24" s="0" t="n">
        <f aca="false">Capacity!C25</f>
        <v>151</v>
      </c>
      <c r="K24" s="4" t="n">
        <f aca="false">$E24*L24*100/3</f>
        <v>63.9502132914608</v>
      </c>
      <c r="L24" s="4" t="n">
        <f aca="false">$E24*M24*100/3</f>
        <v>22.614214019117</v>
      </c>
      <c r="M24" s="4" t="n">
        <f aca="false">$E24*N24*100/3</f>
        <v>7.99688772532544</v>
      </c>
      <c r="N24" s="4" t="n">
        <f aca="false">$E24*O24*100/3</f>
        <v>2.82787689359446</v>
      </c>
      <c r="O24" s="4" t="n">
        <v>1</v>
      </c>
      <c r="P24" s="5" t="n">
        <f aca="false">Capacity!C25*Capacity!F25*Capacity!G25*3604.861727</f>
        <v>100647.378931667</v>
      </c>
      <c r="Q24" s="10" t="n">
        <f aca="false">ROUND($C24*P24,0)</f>
        <v>503237</v>
      </c>
      <c r="R24" s="10" t="n">
        <f aca="false">(1-E24)*Q24</f>
        <v>460544.231470946</v>
      </c>
      <c r="S24" s="10" t="n">
        <f aca="false">ROUND($E24*Q24,0)</f>
        <v>42693</v>
      </c>
      <c r="T24" s="8" t="n">
        <f aca="false">S24/(($K24*F24)+($L24*G24)+($M24*H24)+($N24*I24)+($O24*J24))</f>
        <v>166.829395744059</v>
      </c>
      <c r="U24" s="10" t="n">
        <f aca="false">IF(F24=0,0,$K24*$T24)</f>
        <v>10668.7754411181</v>
      </c>
      <c r="V24" s="10" t="n">
        <f aca="false">IF(G24=0,0,$L24*$T24)</f>
        <v>0</v>
      </c>
      <c r="W24" s="10" t="n">
        <f aca="false">IF(H24=0,0,$M24*$T24)</f>
        <v>1334.11594704912</v>
      </c>
      <c r="X24" s="10" t="n">
        <f aca="false">IF(I24=0,0,$N24*$T24)</f>
        <v>471.772993396949</v>
      </c>
      <c r="Y24" s="10" t="n">
        <f aca="false">IF(J24=0,0,$O24*$T24)</f>
        <v>166.829395744059</v>
      </c>
      <c r="Z24" s="4"/>
      <c r="AA24" s="4"/>
    </row>
    <row r="25" customFormat="false" ht="12.8" hidden="false" customHeight="false" outlineLevel="0" collapsed="false">
      <c r="A25" s="23"/>
      <c r="B25" s="23"/>
      <c r="C25" s="1" t="s">
        <v>487</v>
      </c>
      <c r="D25" s="7" t="s">
        <v>488</v>
      </c>
      <c r="P25" s="1" t="s">
        <v>488</v>
      </c>
      <c r="Q25" s="1" t="s">
        <v>488</v>
      </c>
    </row>
    <row r="26" customFormat="false" ht="12.8" hidden="false" customHeight="false" outlineLevel="0" collapsed="false">
      <c r="A26" s="23"/>
      <c r="B26" s="23"/>
      <c r="C26" s="0" t="n">
        <f aca="false" t="array" ref="C26:C26">SUM($C$2:$C$24*$P$2:$P$24)/$P$26</f>
        <v>13.2824157888297</v>
      </c>
      <c r="D26" s="4" t="n">
        <f aca="false">SUM(D2:D24)</f>
        <v>17071.1267163522</v>
      </c>
      <c r="P26" s="5" t="n">
        <f aca="false">SUM(P2:P24)</f>
        <v>3161444.62881185</v>
      </c>
      <c r="Q26" s="5" t="n">
        <f aca="false">SUM(Q2:Q24)</f>
        <v>41991622</v>
      </c>
    </row>
    <row r="27" customFormat="false" ht="12.8" hidden="false" customHeight="false" outlineLevel="0" collapsed="false">
      <c r="A27" s="23"/>
      <c r="B27" s="23"/>
      <c r="C27" s="1" t="s">
        <v>489</v>
      </c>
    </row>
    <row r="28" customFormat="false" ht="12.8" hidden="false" customHeight="false" outlineLevel="0" collapsed="false">
      <c r="A28" s="23"/>
      <c r="B28" s="23"/>
      <c r="C28" s="4" t="n">
        <v>0.5</v>
      </c>
    </row>
    <row r="29" customFormat="false" ht="12.8" hidden="false" customHeight="false" outlineLevel="0" collapsed="false">
      <c r="C29" s="10"/>
      <c r="O29" s="1"/>
      <c r="Q29" s="1"/>
    </row>
    <row r="30" customFormat="false" ht="12.8" hidden="false" customHeight="false" outlineLevel="0" collapsed="false">
      <c r="C30" s="0" t="n">
        <f aca="false">30/25.33</f>
        <v>1.18436636399526</v>
      </c>
      <c r="Q30" s="4"/>
    </row>
    <row r="31" customFormat="false" ht="12.8" hidden="false" customHeight="false" outlineLevel="0" collapsed="false">
      <c r="C31" s="10"/>
      <c r="Q31" s="4"/>
    </row>
    <row r="32" customFormat="false" ht="12.8" hidden="false" customHeight="false" outlineLevel="0" collapsed="false">
      <c r="C32" s="10"/>
      <c r="Q32" s="4"/>
    </row>
    <row r="33" customFormat="false" ht="12.8" hidden="false" customHeight="false" outlineLevel="0" collapsed="false">
      <c r="C33" s="10"/>
      <c r="Q33" s="4"/>
    </row>
    <row r="34" customFormat="false" ht="12.8" hidden="false" customHeight="false" outlineLevel="0" collapsed="false">
      <c r="C34" s="10"/>
      <c r="Q34" s="4"/>
    </row>
    <row r="35" customFormat="false" ht="12.8" hidden="false" customHeight="false" outlineLevel="0" collapsed="false">
      <c r="C35" s="10"/>
      <c r="Q35" s="4"/>
    </row>
    <row r="36" customFormat="false" ht="12.8" hidden="false" customHeight="false" outlineLevel="0" collapsed="false">
      <c r="C36" s="10"/>
      <c r="Q36" s="4"/>
    </row>
    <row r="37" customFormat="false" ht="12.8" hidden="false" customHeight="false" outlineLevel="0" collapsed="false">
      <c r="C37" s="10"/>
      <c r="Q37" s="4"/>
    </row>
    <row r="38" customFormat="false" ht="12.8" hidden="false" customHeight="false" outlineLevel="0" collapsed="false">
      <c r="C38" s="10"/>
      <c r="Q38" s="4"/>
    </row>
    <row r="39" customFormat="false" ht="12.8" hidden="false" customHeight="false" outlineLevel="0" collapsed="false">
      <c r="C39" s="10"/>
      <c r="Q39" s="4"/>
    </row>
    <row r="40" customFormat="false" ht="12.8" hidden="false" customHeight="false" outlineLevel="0" collapsed="false">
      <c r="C40" s="10"/>
      <c r="Q40" s="4"/>
    </row>
    <row r="41" customFormat="false" ht="12.8" hidden="false" customHeight="false" outlineLevel="0" collapsed="false">
      <c r="C41" s="10"/>
      <c r="Q41" s="4"/>
    </row>
    <row r="42" customFormat="false" ht="12.8" hidden="false" customHeight="false" outlineLevel="0" collapsed="false">
      <c r="C42" s="10"/>
      <c r="Q42" s="4"/>
    </row>
    <row r="43" customFormat="false" ht="12.8" hidden="false" customHeight="false" outlineLevel="0" collapsed="false">
      <c r="C43" s="10"/>
      <c r="Q43" s="4"/>
    </row>
    <row r="44" customFormat="false" ht="12.8" hidden="false" customHeight="false" outlineLevel="0" collapsed="false">
      <c r="C44" s="10"/>
      <c r="Q44" s="4"/>
    </row>
    <row r="45" customFormat="false" ht="12.8" hidden="false" customHeight="false" outlineLevel="0" collapsed="false">
      <c r="C45" s="10"/>
      <c r="Q45" s="4"/>
    </row>
    <row r="46" customFormat="false" ht="12.8" hidden="false" customHeight="false" outlineLevel="0" collapsed="false">
      <c r="C46" s="10"/>
      <c r="Q46" s="4"/>
    </row>
    <row r="47" customFormat="false" ht="12.8" hidden="false" customHeight="false" outlineLevel="0" collapsed="false">
      <c r="C47" s="10"/>
      <c r="Q47" s="4"/>
    </row>
    <row r="48" customFormat="false" ht="12.8" hidden="false" customHeight="false" outlineLevel="0" collapsed="false">
      <c r="C48" s="10"/>
      <c r="Q48" s="4"/>
    </row>
    <row r="49" customFormat="false" ht="12.8" hidden="false" customHeight="false" outlineLevel="0" collapsed="false">
      <c r="C49" s="10"/>
      <c r="Q49" s="4"/>
    </row>
    <row r="50" customFormat="false" ht="12.8" hidden="false" customHeight="false" outlineLevel="0" collapsed="false">
      <c r="C50" s="10"/>
      <c r="Q50" s="4"/>
    </row>
    <row r="51" customFormat="false" ht="12.8" hidden="false" customHeight="false" outlineLevel="0" collapsed="false">
      <c r="Q51" s="4"/>
    </row>
    <row r="52" customFormat="false" ht="12.8" hidden="false" customHeight="false" outlineLevel="0" collapsed="false">
      <c r="Q52" s="4"/>
    </row>
    <row r="54" customFormat="false" ht="12.8" hidden="false" customHeight="false" outlineLevel="0" collapsed="false">
      <c r="Q5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30" width="22.09"/>
    <col collapsed="false" customWidth="true" hidden="false" outlineLevel="0" max="4" min="2" style="0" width="18.34"/>
    <col collapsed="false" customWidth="true" hidden="false" outlineLevel="0" max="5" min="5" style="0" width="21.1"/>
    <col collapsed="false" customWidth="true" hidden="false" outlineLevel="0" max="6" min="6" style="0" width="18.34"/>
    <col collapsed="false" customWidth="true" hidden="false" outlineLevel="0" max="7" min="7" style="0" width="2.6"/>
    <col collapsed="false" customWidth="true" hidden="false" outlineLevel="0" max="8" min="8" style="0" width="27.73"/>
    <col collapsed="false" customWidth="true" hidden="false" outlineLevel="0" max="9" min="9" style="0" width="17.33"/>
    <col collapsed="false" customWidth="false" hidden="false" outlineLevel="0" max="1025" min="10" style="0" width="11.52"/>
  </cols>
  <sheetData>
    <row r="1" customFormat="false" ht="13.6" hidden="false" customHeight="false" outlineLevel="0" collapsed="false">
      <c r="A1" s="31" t="s">
        <v>463</v>
      </c>
      <c r="B1" s="32" t="s">
        <v>152</v>
      </c>
      <c r="C1" s="32"/>
      <c r="D1" s="32"/>
      <c r="E1" s="32"/>
      <c r="F1" s="32"/>
      <c r="G1" s="33"/>
      <c r="H1" s="33"/>
      <c r="I1" s="33"/>
      <c r="J1" s="33"/>
      <c r="K1" s="33"/>
      <c r="L1" s="33"/>
    </row>
    <row r="2" customFormat="false" ht="12.8" hidden="false" customHeight="false" outlineLevel="0" collapsed="false">
      <c r="A2" s="31" t="s">
        <v>490</v>
      </c>
      <c r="B2" s="34" t="s">
        <v>491</v>
      </c>
      <c r="C2" s="34" t="s">
        <v>492</v>
      </c>
      <c r="D2" s="34" t="s">
        <v>493</v>
      </c>
      <c r="E2" s="34" t="s">
        <v>494</v>
      </c>
      <c r="F2" s="34" t="s">
        <v>495</v>
      </c>
      <c r="G2" s="33"/>
      <c r="H2" s="34"/>
      <c r="I2" s="33"/>
      <c r="J2" s="33"/>
      <c r="K2" s="33"/>
      <c r="L2" s="33"/>
    </row>
    <row r="3" customFormat="false" ht="12.8" hidden="false" customHeight="false" outlineLevel="0" collapsed="false">
      <c r="A3" s="31" t="s">
        <v>496</v>
      </c>
      <c r="B3" s="35" t="n">
        <f aca="false">Populations!U17</f>
        <v>216115.07350674</v>
      </c>
      <c r="C3" s="35" t="n">
        <f aca="false">Populations!V17</f>
        <v>46228.281004628</v>
      </c>
      <c r="D3" s="35" t="n">
        <f aca="false">Populations!W17</f>
        <v>9888.50027888594</v>
      </c>
      <c r="E3" s="35" t="n">
        <f aca="false">Populations!X17</f>
        <v>2115.20817215198</v>
      </c>
      <c r="F3" s="35" t="n">
        <f aca="false">Populations!Y17</f>
        <v>452.455426541443</v>
      </c>
      <c r="G3" s="36"/>
      <c r="H3" s="37"/>
      <c r="J3" s="36"/>
      <c r="K3" s="36"/>
      <c r="L3" s="36"/>
    </row>
    <row r="4" customFormat="false" ht="13.6" hidden="false" customHeight="false" outlineLevel="0" collapsed="false">
      <c r="A4" s="30" t="s">
        <v>497</v>
      </c>
      <c r="B4" s="0" t="n">
        <f aca="false">ROUND(B$3/(750),0)</f>
        <v>288</v>
      </c>
      <c r="C4" s="0" t="n">
        <f aca="false">ROUND(C$3/750,0)</f>
        <v>62</v>
      </c>
      <c r="D4" s="0" t="n">
        <f aca="false">ROUND(D$3/750,0)</f>
        <v>13</v>
      </c>
      <c r="E4" s="0" t="n">
        <f aca="false">ROUND(E$3/750,0)</f>
        <v>3</v>
      </c>
      <c r="F4" s="0" t="n">
        <f aca="false">ROUND(F$3/750,0)</f>
        <v>1</v>
      </c>
      <c r="G4" s="0" t="s">
        <v>498</v>
      </c>
    </row>
    <row r="5" customFormat="false" ht="13.6" hidden="false" customHeight="false" outlineLevel="0" collapsed="false">
      <c r="A5" s="30" t="s">
        <v>499</v>
      </c>
      <c r="B5" s="0" t="n">
        <f aca="false">ROUND(B$3*3/(1500*4),0)</f>
        <v>108</v>
      </c>
      <c r="C5" s="0" t="n">
        <f aca="false">ROUND(C$3*3/(1500*4),0)</f>
        <v>23</v>
      </c>
      <c r="D5" s="0" t="n">
        <f aca="false">ROUND(D$3*3/(1500*4),0)</f>
        <v>5</v>
      </c>
      <c r="E5" s="0" t="n">
        <f aca="false">ROUND(E$3*3/(1500*4),0)</f>
        <v>1</v>
      </c>
      <c r="F5" s="0" t="n">
        <f aca="false">ROUND(F$3*3/(1500*4),0)</f>
        <v>0</v>
      </c>
      <c r="G5" s="0" t="s">
        <v>498</v>
      </c>
    </row>
    <row r="6" customFormat="false" ht="13.6" hidden="false" customHeight="false" outlineLevel="0" collapsed="false">
      <c r="A6" s="30" t="s">
        <v>500</v>
      </c>
      <c r="B6" s="0" t="n">
        <f aca="false">ROUND(B$3/(1500*4),0)</f>
        <v>36</v>
      </c>
      <c r="C6" s="0" t="n">
        <f aca="false">ROUND(C$3/(1500*4),0)</f>
        <v>8</v>
      </c>
      <c r="D6" s="0" t="n">
        <f aca="false">ROUND(D$3/(1500*4),0)</f>
        <v>2</v>
      </c>
      <c r="E6" s="0" t="n">
        <f aca="false">ROUND(E$3/(1500*4),0)</f>
        <v>0</v>
      </c>
      <c r="F6" s="0" t="n">
        <f aca="false">ROUND(F$3/(1500*4),0)</f>
        <v>0</v>
      </c>
    </row>
    <row r="7" customFormat="false" ht="13.6" hidden="false" customHeight="false" outlineLevel="0" collapsed="false">
      <c r="A7" s="30" t="s">
        <v>501</v>
      </c>
      <c r="B7" s="0" t="n">
        <f aca="false">ROUND(B$3/800,0)</f>
        <v>270</v>
      </c>
      <c r="C7" s="0" t="n">
        <f aca="false">ROUND(C$3/800,0)</f>
        <v>58</v>
      </c>
      <c r="D7" s="0" t="n">
        <f aca="false">ROUND(D$3/800,0)</f>
        <v>12</v>
      </c>
      <c r="E7" s="0" t="n">
        <f aca="false">ROUND(E$3/800,0)</f>
        <v>3</v>
      </c>
      <c r="F7" s="0" t="n">
        <f aca="false">ROUND(F$3/800,0)</f>
        <v>1</v>
      </c>
      <c r="H7" s="23" t="n">
        <v>102</v>
      </c>
      <c r="I7" s="0" t="s">
        <v>502</v>
      </c>
    </row>
    <row r="8" customFormat="false" ht="13.6" hidden="false" customHeight="false" outlineLevel="0" collapsed="false">
      <c r="A8" s="30" t="s">
        <v>503</v>
      </c>
      <c r="B8" s="0" t="n">
        <f aca="false">ROUND(B$3*2/(500*3),0)</f>
        <v>288</v>
      </c>
      <c r="C8" s="0" t="n">
        <f aca="false">ROUND(C$3*2/(500*3),0)</f>
        <v>62</v>
      </c>
      <c r="D8" s="0" t="n">
        <f aca="false">ROUND(D$3*2/(500*3),0)</f>
        <v>13</v>
      </c>
      <c r="E8" s="0" t="n">
        <f aca="false">ROUND(E$3*2/(500*3),0)</f>
        <v>3</v>
      </c>
      <c r="F8" s="0" t="n">
        <f aca="false">ROUND(F$3*2/(500*3),0)</f>
        <v>1</v>
      </c>
      <c r="G8" s="0" t="s">
        <v>498</v>
      </c>
      <c r="H8" s="0" t="n">
        <v>88</v>
      </c>
      <c r="I8" s="36" t="s">
        <v>504</v>
      </c>
    </row>
    <row r="9" customFormat="false" ht="49.6" hidden="false" customHeight="false" outlineLevel="0" collapsed="false">
      <c r="A9" s="30" t="s">
        <v>505</v>
      </c>
      <c r="B9" s="0" t="n">
        <f aca="false">ROUND(B$3/(500*3),0)</f>
        <v>144</v>
      </c>
      <c r="C9" s="0" t="n">
        <f aca="false">ROUND(C$3/(500*3),0)</f>
        <v>31</v>
      </c>
      <c r="D9" s="0" t="n">
        <f aca="false">ROUND(D$3/(500*3),0)</f>
        <v>7</v>
      </c>
      <c r="E9" s="0" t="n">
        <f aca="false">ROUND(E$3/(500*3),0)</f>
        <v>1</v>
      </c>
      <c r="F9" s="0" t="n">
        <f aca="false">ROUND(F$3/(500*3),0)</f>
        <v>0</v>
      </c>
    </row>
    <row r="10" customFormat="false" ht="13.6" hidden="false" customHeight="false" outlineLevel="0" collapsed="false">
      <c r="A10" s="30" t="s">
        <v>506</v>
      </c>
      <c r="B10" s="0" t="n">
        <f aca="false">ROUND(B$3/750,0)</f>
        <v>288</v>
      </c>
      <c r="C10" s="0" t="n">
        <f aca="false">ROUND(C$3/750,0)</f>
        <v>62</v>
      </c>
      <c r="D10" s="0" t="n">
        <f aca="false">ROUND(D$3/750,0)</f>
        <v>13</v>
      </c>
      <c r="E10" s="0" t="n">
        <f aca="false">ROUND(E$3/750,0)</f>
        <v>3</v>
      </c>
      <c r="F10" s="0" t="n">
        <f aca="false">ROUND(F$3/750,0)</f>
        <v>1</v>
      </c>
      <c r="G10" s="0" t="s">
        <v>498</v>
      </c>
      <c r="H10" s="0" t="n">
        <f aca="false">H7*H8</f>
        <v>8976</v>
      </c>
      <c r="I10" s="0" t="s">
        <v>507</v>
      </c>
    </row>
    <row r="11" customFormat="false" ht="13.6" hidden="false" customHeight="false" outlineLevel="0" collapsed="false">
      <c r="A11" s="30" t="s">
        <v>508</v>
      </c>
      <c r="B11" s="0" t="n">
        <f aca="false">ROUND(B$3/200,0)</f>
        <v>1081</v>
      </c>
      <c r="C11" s="0" t="n">
        <f aca="false">ROUND(C$3/200,0)</f>
        <v>231</v>
      </c>
      <c r="D11" s="0" t="n">
        <f aca="false">ROUND(D$3/200,0)</f>
        <v>49</v>
      </c>
      <c r="E11" s="0" t="n">
        <f aca="false">ROUND(E$3/200,0)</f>
        <v>11</v>
      </c>
      <c r="F11" s="0" t="n">
        <f aca="false">ROUND(F$3/200,0)</f>
        <v>2</v>
      </c>
      <c r="H11" s="0" t="n">
        <f aca="false">2*26*44</f>
        <v>2288</v>
      </c>
      <c r="I11" s="0" t="s">
        <v>509</v>
      </c>
    </row>
    <row r="12" customFormat="false" ht="13.6" hidden="false" customHeight="false" outlineLevel="0" collapsed="false">
      <c r="A12" s="30" t="s">
        <v>510</v>
      </c>
      <c r="B12" s="0" t="n">
        <f aca="false">ROUND(B$3/3000,0)</f>
        <v>72</v>
      </c>
      <c r="C12" s="0" t="n">
        <f aca="false">ROUND(C$3/3000,0)</f>
        <v>15</v>
      </c>
      <c r="D12" s="0" t="n">
        <f aca="false">ROUND(D$3/3000,0)</f>
        <v>3</v>
      </c>
      <c r="E12" s="0" t="n">
        <f aca="false">ROUND(E$3/3000,0)</f>
        <v>1</v>
      </c>
      <c r="F12" s="0" t="n">
        <f aca="false">ROUND(F$3/3000,0)</f>
        <v>0</v>
      </c>
      <c r="G12" s="0" t="s">
        <v>498</v>
      </c>
      <c r="H12" s="0" t="n">
        <f aca="false">H10-H11</f>
        <v>6688</v>
      </c>
      <c r="I12" s="0" t="s">
        <v>511</v>
      </c>
    </row>
    <row r="13" customFormat="false" ht="13.6" hidden="false" customHeight="false" outlineLevel="0" collapsed="false">
      <c r="A13" s="30" t="s">
        <v>512</v>
      </c>
      <c r="B13" s="0" t="n">
        <f aca="false">ROUND(B$3/(1200*3),0)</f>
        <v>60</v>
      </c>
      <c r="C13" s="0" t="n">
        <f aca="false">ROUND(C$3/(1200*3),0)</f>
        <v>13</v>
      </c>
      <c r="D13" s="0" t="n">
        <f aca="false">ROUND(D$3/(1200*3),0)</f>
        <v>3</v>
      </c>
      <c r="E13" s="0" t="n">
        <f aca="false">ROUND(E$3/(1200*3),0)</f>
        <v>1</v>
      </c>
      <c r="F13" s="0" t="n">
        <f aca="false">ROUND(F$3/(1200*3),0)</f>
        <v>0</v>
      </c>
    </row>
    <row r="14" customFormat="false" ht="13.6" hidden="false" customHeight="false" outlineLevel="0" collapsed="false">
      <c r="A14" s="30" t="s">
        <v>513</v>
      </c>
      <c r="B14" s="0" t="n">
        <f aca="false">ROUND(B$3*2/(1200*3),0)</f>
        <v>120</v>
      </c>
      <c r="C14" s="0" t="n">
        <f aca="false">ROUND(C$3*2/(1200*3),0)</f>
        <v>26</v>
      </c>
      <c r="D14" s="0" t="n">
        <f aca="false">ROUND(D$3*2/(1200*3),0)</f>
        <v>5</v>
      </c>
      <c r="E14" s="0" t="n">
        <f aca="false">ROUND(E$3*2/(1200*3),0)</f>
        <v>1</v>
      </c>
      <c r="F14" s="0" t="n">
        <f aca="false">ROUND(F$3*2/(1200*3),0)</f>
        <v>0</v>
      </c>
    </row>
    <row r="15" customFormat="false" ht="13.6" hidden="false" customHeight="false" outlineLevel="0" collapsed="false">
      <c r="A15" s="30" t="s">
        <v>514</v>
      </c>
      <c r="B15" s="0" t="n">
        <f aca="false">ROUND(B$3/1000,0)</f>
        <v>216</v>
      </c>
      <c r="C15" s="0" t="n">
        <f aca="false">ROUND(C$3/1000,0)</f>
        <v>46</v>
      </c>
      <c r="D15" s="0" t="n">
        <f aca="false">ROUND(D$3/1000,0)</f>
        <v>10</v>
      </c>
      <c r="E15" s="0" t="n">
        <f aca="false">ROUND(E$3/1000,0)</f>
        <v>2</v>
      </c>
      <c r="F15" s="0" t="n">
        <f aca="false">ROUND(F$3/1000,0)</f>
        <v>0</v>
      </c>
    </row>
    <row r="16" customFormat="false" ht="13.6" hidden="false" customHeight="false" outlineLevel="0" collapsed="false">
      <c r="A16" s="30" t="s">
        <v>515</v>
      </c>
      <c r="B16" s="0" t="n">
        <f aca="false">ROUND(B$3/5000,0)</f>
        <v>43</v>
      </c>
      <c r="C16" s="0" t="n">
        <f aca="false">ROUND(C$3/5000,0)</f>
        <v>9</v>
      </c>
      <c r="D16" s="0" t="n">
        <f aca="false">ROUND(D$3/5000,0)</f>
        <v>2</v>
      </c>
      <c r="E16" s="0" t="n">
        <f aca="false">ROUND(E$3/5000,0)</f>
        <v>0</v>
      </c>
      <c r="F16" s="0" t="n">
        <f aca="false">ROUND(F$3/5000,0)</f>
        <v>0</v>
      </c>
      <c r="G16" s="0" t="s">
        <v>498</v>
      </c>
      <c r="H16" s="0" t="n">
        <v>3</v>
      </c>
      <c r="I16" s="0" t="n">
        <v>25</v>
      </c>
    </row>
    <row r="17" customFormat="false" ht="13.6" hidden="false" customHeight="false" outlineLevel="0" collapsed="false">
      <c r="A17" s="30" t="s">
        <v>516</v>
      </c>
      <c r="B17" s="0" t="n">
        <f aca="false">ROUND(B$3*3/(350*5),0)</f>
        <v>370</v>
      </c>
      <c r="C17" s="0" t="n">
        <f aca="false">ROUND(C$3*3/(350*5),0)</f>
        <v>79</v>
      </c>
      <c r="D17" s="0" t="n">
        <f aca="false">ROUND(D$3*3/(350*5),0)</f>
        <v>17</v>
      </c>
      <c r="E17" s="0" t="n">
        <f aca="false">ROUND(E$3*3/(350*5),0)</f>
        <v>4</v>
      </c>
      <c r="F17" s="0" t="n">
        <f aca="false">ROUND(F$3*3/(350*5),0)</f>
        <v>1</v>
      </c>
      <c r="H17" s="0" t="n">
        <f aca="false">H16*42/10</f>
        <v>12.6</v>
      </c>
      <c r="I17" s="0" t="n">
        <f aca="false">I16*10/42</f>
        <v>5.95238095238095</v>
      </c>
    </row>
    <row r="18" customFormat="false" ht="13.6" hidden="false" customHeight="false" outlineLevel="0" collapsed="false">
      <c r="A18" s="30" t="s">
        <v>517</v>
      </c>
      <c r="B18" s="0" t="n">
        <f aca="false">ROUND(B$3/(350*5),0)</f>
        <v>123</v>
      </c>
      <c r="C18" s="0" t="n">
        <f aca="false">ROUND(C$3/(350*5),0)</f>
        <v>26</v>
      </c>
      <c r="D18" s="0" t="n">
        <f aca="false">ROUND(D$3/(350*5),0)</f>
        <v>6</v>
      </c>
      <c r="E18" s="0" t="n">
        <f aca="false">ROUND(E$3/(350*5),0)</f>
        <v>1</v>
      </c>
      <c r="F18" s="0" t="n">
        <f aca="false">ROUND(F$3/(350*5),0)</f>
        <v>0</v>
      </c>
    </row>
    <row r="19" customFormat="false" ht="13.6" hidden="false" customHeight="false" outlineLevel="0" collapsed="false">
      <c r="A19" s="30" t="s">
        <v>518</v>
      </c>
      <c r="B19" s="0" t="n">
        <f aca="false">ROUND(B$3/(350*5),0)</f>
        <v>123</v>
      </c>
      <c r="C19" s="0" t="n">
        <f aca="false">ROUND(C$3/(350*5),0)</f>
        <v>26</v>
      </c>
      <c r="D19" s="0" t="n">
        <f aca="false">ROUND(D$3/(350*5),0)</f>
        <v>6</v>
      </c>
      <c r="E19" s="0" t="n">
        <f aca="false">ROUND(E$3/(350*5),0)</f>
        <v>1</v>
      </c>
      <c r="F19" s="0" t="n">
        <f aca="false">ROUND(F$3/(350*5),0)</f>
        <v>0</v>
      </c>
    </row>
    <row r="20" customFormat="false" ht="13.6" hidden="false" customHeight="false" outlineLevel="0" collapsed="false">
      <c r="A20" s="30" t="s">
        <v>519</v>
      </c>
      <c r="B20" s="0" t="n">
        <f aca="false">ROUND(B$3/(200*6),0)</f>
        <v>180</v>
      </c>
      <c r="C20" s="0" t="n">
        <f aca="false">ROUND(C$3/(200*6),0)</f>
        <v>39</v>
      </c>
      <c r="D20" s="0" t="n">
        <f aca="false">ROUND(D$3/(200*6),0)</f>
        <v>8</v>
      </c>
      <c r="E20" s="0" t="n">
        <f aca="false">ROUND(E$3/(200*6),0)</f>
        <v>2</v>
      </c>
      <c r="F20" s="0" t="n">
        <f aca="false">ROUND(F$3/(200*6),0)</f>
        <v>0</v>
      </c>
      <c r="G20" s="0" t="s">
        <v>498</v>
      </c>
    </row>
    <row r="21" customFormat="false" ht="13.6" hidden="false" customHeight="false" outlineLevel="0" collapsed="false">
      <c r="A21" s="30" t="s">
        <v>520</v>
      </c>
      <c r="B21" s="0" t="n">
        <f aca="false">ROUND(B$3*5/(200*6),0)</f>
        <v>900</v>
      </c>
      <c r="C21" s="0" t="n">
        <f aca="false">ROUND(C$3*5/(200*6),0)</f>
        <v>193</v>
      </c>
      <c r="D21" s="0" t="n">
        <f aca="false">ROUND(D$3*5/(200*6),0)</f>
        <v>41</v>
      </c>
      <c r="E21" s="0" t="n">
        <f aca="false">ROUND(E$3*5/(200*6),0)</f>
        <v>9</v>
      </c>
      <c r="F21" s="0" t="n">
        <f aca="false">ROUND(F$3*5/(200*6),0)</f>
        <v>2</v>
      </c>
      <c r="G21" s="0" t="s">
        <v>498</v>
      </c>
    </row>
    <row r="22" customFormat="false" ht="13.6" hidden="false" customHeight="false" outlineLevel="0" collapsed="false">
      <c r="A22" s="30" t="s">
        <v>521</v>
      </c>
      <c r="B22" s="0" t="n">
        <f aca="false">ROUND(B$3*2/(800*3),0)</f>
        <v>180</v>
      </c>
      <c r="C22" s="0" t="n">
        <f aca="false">ROUND(C$3*2/(800*3),0)</f>
        <v>39</v>
      </c>
      <c r="D22" s="0" t="n">
        <f aca="false">ROUND(D$3*2/(800*3),0)</f>
        <v>8</v>
      </c>
      <c r="E22" s="0" t="n">
        <f aca="false">ROUND(E$3*2/(800*3),0)</f>
        <v>2</v>
      </c>
      <c r="F22" s="0" t="n">
        <f aca="false">ROUND(F$3*2/(800*3),0)</f>
        <v>0</v>
      </c>
    </row>
    <row r="23" customFormat="false" ht="13.6" hidden="false" customHeight="false" outlineLevel="0" collapsed="false">
      <c r="A23" s="30" t="s">
        <v>522</v>
      </c>
      <c r="B23" s="0" t="n">
        <f aca="false">ROUND(B$3/(800*3),0)</f>
        <v>90</v>
      </c>
      <c r="C23" s="0" t="n">
        <f aca="false">ROUND(C$3/(800*3),0)</f>
        <v>19</v>
      </c>
      <c r="D23" s="0" t="n">
        <f aca="false">ROUND(D$3/(800*3),0)</f>
        <v>4</v>
      </c>
      <c r="E23" s="0" t="n">
        <f aca="false">ROUND(E$3/(800*3),0)</f>
        <v>1</v>
      </c>
      <c r="F23" s="0" t="n">
        <f aca="false">ROUND(F$3/(800*3),0)</f>
        <v>0</v>
      </c>
    </row>
    <row r="24" customFormat="false" ht="13.6" hidden="false" customHeight="false" outlineLevel="0" collapsed="false">
      <c r="A24" s="30" t="s">
        <v>523</v>
      </c>
      <c r="B24" s="0" t="n">
        <f aca="false">ROUND(B$3/(750*7),0)</f>
        <v>41</v>
      </c>
      <c r="C24" s="0" t="n">
        <f aca="false">ROUND(C$3/(750*7),0)</f>
        <v>9</v>
      </c>
      <c r="D24" s="0" t="n">
        <f aca="false">ROUND(D$3/(750*7),0)</f>
        <v>2</v>
      </c>
      <c r="E24" s="0" t="n">
        <f aca="false">ROUND(E$3/(750*7),0)</f>
        <v>0</v>
      </c>
      <c r="F24" s="0" t="n">
        <f aca="false">ROUND(F$3/(750*7),0)</f>
        <v>0</v>
      </c>
    </row>
    <row r="25" customFormat="false" ht="13.6" hidden="false" customHeight="false" outlineLevel="0" collapsed="false">
      <c r="A25" s="30" t="s">
        <v>524</v>
      </c>
      <c r="B25" s="0" t="n">
        <f aca="false">ROUND(B$3*2/(750*7),0)</f>
        <v>82</v>
      </c>
      <c r="C25" s="0" t="n">
        <f aca="false">ROUND(C$3*2/(750*7),0)</f>
        <v>18</v>
      </c>
      <c r="D25" s="0" t="n">
        <f aca="false">ROUND(D$3*2/(750*7),0)</f>
        <v>4</v>
      </c>
      <c r="E25" s="0" t="n">
        <f aca="false">ROUND(E$3*2/(750*7),0)</f>
        <v>1</v>
      </c>
      <c r="F25" s="0" t="n">
        <f aca="false">ROUND(F$3*2/(750*7),0)</f>
        <v>0</v>
      </c>
    </row>
    <row r="26" customFormat="false" ht="13.6" hidden="false" customHeight="false" outlineLevel="0" collapsed="false">
      <c r="A26" s="30" t="s">
        <v>525</v>
      </c>
      <c r="B26" s="0" t="n">
        <f aca="false">ROUND(B$3*4/(750*7),0)</f>
        <v>165</v>
      </c>
      <c r="C26" s="0" t="n">
        <f aca="false">ROUND(C$3*4/(750*7),0)</f>
        <v>35</v>
      </c>
      <c r="D26" s="0" t="n">
        <f aca="false">ROUND(D$3*4/(750*7),0)</f>
        <v>8</v>
      </c>
      <c r="E26" s="0" t="n">
        <f aca="false">ROUND(E$3*4/(750*7),0)</f>
        <v>2</v>
      </c>
      <c r="F26" s="0" t="n">
        <f aca="false">ROUND(F$3*4/(750*7),0)</f>
        <v>0</v>
      </c>
    </row>
    <row r="27" customFormat="false" ht="13.6" hidden="false" customHeight="false" outlineLevel="0" collapsed="false">
      <c r="A27" s="30" t="s">
        <v>526</v>
      </c>
      <c r="B27" s="0" t="n">
        <f aca="false">ROUND(B$3*3/(600*4),0)</f>
        <v>270</v>
      </c>
      <c r="C27" s="0" t="n">
        <f aca="false">ROUND(C$3*3/(600*4),0)</f>
        <v>58</v>
      </c>
      <c r="D27" s="0" t="n">
        <f aca="false">ROUND(D$3*3/(600*4),0)</f>
        <v>12</v>
      </c>
      <c r="E27" s="0" t="n">
        <f aca="false">ROUND(E$3*3/(600*4),0)</f>
        <v>3</v>
      </c>
      <c r="F27" s="0" t="n">
        <f aca="false">ROUND(F$3*3/(600*4),0)</f>
        <v>1</v>
      </c>
      <c r="G27" s="0" t="s">
        <v>498</v>
      </c>
    </row>
    <row r="28" customFormat="false" ht="25.6" hidden="false" customHeight="false" outlineLevel="0" collapsed="false">
      <c r="A28" s="30" t="s">
        <v>527</v>
      </c>
      <c r="B28" s="0" t="n">
        <f aca="false">ROUND(B$3/(600*4),0)</f>
        <v>90</v>
      </c>
      <c r="C28" s="0" t="n">
        <f aca="false">ROUND(C$3/(600*4),0)</f>
        <v>19</v>
      </c>
      <c r="D28" s="0" t="n">
        <f aca="false">ROUND(D$3/(600*4),0)</f>
        <v>4</v>
      </c>
      <c r="E28" s="0" t="n">
        <f aca="false">ROUND(E$3/(600*4),0)</f>
        <v>1</v>
      </c>
      <c r="F28" s="0" t="n">
        <f aca="false">ROUND(F$3/(600*4),0)</f>
        <v>0</v>
      </c>
      <c r="G28" s="0" t="s">
        <v>498</v>
      </c>
    </row>
    <row r="29" customFormat="false" ht="13.6" hidden="false" customHeight="false" outlineLevel="0" collapsed="false">
      <c r="A29" s="30" t="s">
        <v>528</v>
      </c>
      <c r="B29" s="0" t="n">
        <f aca="false">ROUND(B$3/(500*5),0)</f>
        <v>86</v>
      </c>
      <c r="C29" s="0" t="n">
        <f aca="false">ROUND(C$3/(500*5),0)</f>
        <v>18</v>
      </c>
      <c r="D29" s="0" t="n">
        <f aca="false">ROUND(D$3/(500*5),0)</f>
        <v>4</v>
      </c>
      <c r="E29" s="0" t="n">
        <f aca="false">ROUND(E$3/(500*5),0)</f>
        <v>1</v>
      </c>
      <c r="F29" s="0" t="n">
        <f aca="false">ROUND(F$3/(500*5),0)</f>
        <v>0</v>
      </c>
    </row>
    <row r="30" customFormat="false" ht="13.6" hidden="false" customHeight="false" outlineLevel="0" collapsed="false">
      <c r="A30" s="30" t="s">
        <v>529</v>
      </c>
      <c r="B30" s="0" t="n">
        <f aca="false">ROUND(B$3*4/(500*5),0)</f>
        <v>346</v>
      </c>
      <c r="C30" s="0" t="n">
        <f aca="false">ROUND(C$3*4/(500*5),0)</f>
        <v>74</v>
      </c>
      <c r="D30" s="0" t="n">
        <f aca="false">ROUND(D$3*4/(500*5),0)</f>
        <v>16</v>
      </c>
      <c r="E30" s="0" t="n">
        <f aca="false">ROUND(E$3*4/(500*5),0)</f>
        <v>3</v>
      </c>
      <c r="F30" s="0" t="n">
        <f aca="false">ROUND(F$3*4/(500*5),0)</f>
        <v>1</v>
      </c>
    </row>
    <row r="31" customFormat="false" ht="13.6" hidden="false" customHeight="false" outlineLevel="0" collapsed="false">
      <c r="A31" s="30" t="s">
        <v>530</v>
      </c>
      <c r="B31" s="0" t="n">
        <f aca="false">ROUND(B$3/(150*8),0)</f>
        <v>180</v>
      </c>
      <c r="C31" s="0" t="n">
        <f aca="false">ROUND(C$3/(150*8),0)</f>
        <v>39</v>
      </c>
      <c r="D31" s="0" t="n">
        <f aca="false">ROUND(D$3/(150*8),0)</f>
        <v>8</v>
      </c>
      <c r="E31" s="0" t="n">
        <f aca="false">ROUND(E$3/(150*8),0)</f>
        <v>2</v>
      </c>
      <c r="F31" s="0" t="n">
        <f aca="false">ROUND(F$3/(150*8),0)</f>
        <v>0</v>
      </c>
    </row>
    <row r="32" customFormat="false" ht="13.6" hidden="false" customHeight="false" outlineLevel="0" collapsed="false">
      <c r="A32" s="30" t="s">
        <v>531</v>
      </c>
      <c r="B32" s="0" t="n">
        <f aca="false">ROUND(B$3*2/(150*8),0)</f>
        <v>360</v>
      </c>
      <c r="C32" s="0" t="n">
        <f aca="false">ROUND(C$3*2/(150*8),0)</f>
        <v>77</v>
      </c>
      <c r="D32" s="0" t="n">
        <f aca="false">ROUND(D$3*2/(150*8),0)</f>
        <v>16</v>
      </c>
      <c r="E32" s="0" t="n">
        <f aca="false">ROUND(E$3*2/(150*8),0)</f>
        <v>4</v>
      </c>
      <c r="F32" s="0" t="n">
        <f aca="false">ROUND(F$3*2/(150*8),0)</f>
        <v>1</v>
      </c>
    </row>
    <row r="33" customFormat="false" ht="13.6" hidden="false" customHeight="false" outlineLevel="0" collapsed="false">
      <c r="A33" s="30" t="s">
        <v>532</v>
      </c>
      <c r="B33" s="0" t="n">
        <f aca="false">ROUND(B$3*5/(150*8),0)</f>
        <v>900</v>
      </c>
      <c r="C33" s="0" t="n">
        <f aca="false">ROUND(C$3*5/(150*8),0)</f>
        <v>193</v>
      </c>
      <c r="D33" s="0" t="n">
        <f aca="false">ROUND(D$3*5/(150*8),0)</f>
        <v>41</v>
      </c>
      <c r="E33" s="0" t="n">
        <f aca="false">ROUND(E$3*5/(150*8),0)</f>
        <v>9</v>
      </c>
      <c r="F33" s="0" t="n">
        <f aca="false">ROUND(F$3*5/(150*8),0)</f>
        <v>2</v>
      </c>
    </row>
    <row r="34" customFormat="false" ht="13.6" hidden="false" customHeight="false" outlineLevel="0" collapsed="false">
      <c r="A34" s="30" t="s">
        <v>533</v>
      </c>
      <c r="B34" s="0" t="n">
        <f aca="false">ROUND(B$3*3/(500*4),0)</f>
        <v>324</v>
      </c>
      <c r="C34" s="0" t="n">
        <f aca="false">ROUND(C$3*3/(500*4),0)</f>
        <v>69</v>
      </c>
      <c r="D34" s="0" t="n">
        <f aca="false">ROUND(D$3*3/(500*4),0)</f>
        <v>15</v>
      </c>
      <c r="E34" s="0" t="n">
        <f aca="false">ROUND(E$3*3/(500*4),0)</f>
        <v>3</v>
      </c>
      <c r="F34" s="0" t="n">
        <f aca="false">ROUND(F$3*3/(500*4),0)</f>
        <v>1</v>
      </c>
      <c r="G34" s="0" t="s">
        <v>498</v>
      </c>
    </row>
    <row r="35" customFormat="false" ht="13.6" hidden="false" customHeight="false" outlineLevel="0" collapsed="false">
      <c r="A35" s="30" t="s">
        <v>534</v>
      </c>
      <c r="B35" s="0" t="n">
        <f aca="false">ROUND(B$3/(500*4),0)</f>
        <v>108</v>
      </c>
      <c r="C35" s="0" t="n">
        <f aca="false">ROUND(C$3/(500*4),0)</f>
        <v>23</v>
      </c>
      <c r="D35" s="0" t="n">
        <f aca="false">ROUND(D$3/(500*4),0)</f>
        <v>5</v>
      </c>
      <c r="E35" s="0" t="n">
        <f aca="false">ROUND(E$3/(500*4),0)</f>
        <v>1</v>
      </c>
      <c r="F35" s="0" t="n">
        <f aca="false">ROUND(F$3/(500*4),0)</f>
        <v>0</v>
      </c>
    </row>
    <row r="36" customFormat="false" ht="13.6" hidden="false" customHeight="false" outlineLevel="0" collapsed="false">
      <c r="A36" s="30" t="s">
        <v>535</v>
      </c>
      <c r="B36" s="0" t="n">
        <f aca="false">ROUND(B$3/(3500),0)</f>
        <v>62</v>
      </c>
      <c r="C36" s="0" t="n">
        <f aca="false">ROUND(C$3/(3500),0)</f>
        <v>13</v>
      </c>
      <c r="D36" s="0" t="n">
        <f aca="false">ROUND(D$3/(3500),0)</f>
        <v>3</v>
      </c>
      <c r="E36" s="0" t="n">
        <f aca="false">ROUND(E$3/(3500),0)</f>
        <v>1</v>
      </c>
      <c r="F36" s="0" t="n">
        <f aca="false">ROUND(F$3/(3500),0)</f>
        <v>0</v>
      </c>
    </row>
    <row r="37" customFormat="false" ht="13.6" hidden="false" customHeight="false" outlineLevel="0" collapsed="false">
      <c r="A37" s="30" t="s">
        <v>536</v>
      </c>
      <c r="B37" s="0" t="n">
        <f aca="false">ROUND(B$3*3/(200*4),0)</f>
        <v>810</v>
      </c>
      <c r="C37" s="0" t="n">
        <f aca="false">ROUND(C$3*3/(200*4),0)</f>
        <v>173</v>
      </c>
      <c r="D37" s="0" t="n">
        <f aca="false">ROUND(D$3*3/(200*4),0)</f>
        <v>37</v>
      </c>
      <c r="E37" s="0" t="n">
        <f aca="false">ROUND(E$3*3/(200*4),0)</f>
        <v>8</v>
      </c>
      <c r="F37" s="0" t="n">
        <f aca="false">ROUND(F$3*3/(200*4),0)</f>
        <v>2</v>
      </c>
    </row>
    <row r="38" customFormat="false" ht="13.6" hidden="false" customHeight="false" outlineLevel="0" collapsed="false">
      <c r="A38" s="30" t="s">
        <v>537</v>
      </c>
      <c r="B38" s="0" t="n">
        <f aca="false">ROUND(B$3/(200*4),0)</f>
        <v>270</v>
      </c>
      <c r="C38" s="0" t="n">
        <f aca="false">ROUND(C$3/(200*4),0)</f>
        <v>58</v>
      </c>
      <c r="D38" s="0" t="n">
        <f aca="false">ROUND(D$3/(200*4),0)</f>
        <v>12</v>
      </c>
      <c r="E38" s="0" t="n">
        <f aca="false">ROUND(E$3/(200*4),0)</f>
        <v>3</v>
      </c>
      <c r="F38" s="0" t="n">
        <f aca="false">ROUND(F$3/(200*4),0)</f>
        <v>1</v>
      </c>
    </row>
    <row r="39" customFormat="false" ht="25.6" hidden="false" customHeight="false" outlineLevel="0" collapsed="false">
      <c r="A39" s="30" t="s">
        <v>538</v>
      </c>
      <c r="B39" s="0" t="n">
        <f aca="false">ROUND(B$3*3/(100*5),0)</f>
        <v>1297</v>
      </c>
      <c r="C39" s="0" t="n">
        <f aca="false">ROUND(C$3*3/(100*5),0)</f>
        <v>277</v>
      </c>
      <c r="D39" s="0" t="n">
        <f aca="false">ROUND(D$3*3/(100*5),0)</f>
        <v>59</v>
      </c>
      <c r="E39" s="0" t="n">
        <f aca="false">ROUND(E$3*3/(100*5),0)</f>
        <v>13</v>
      </c>
      <c r="F39" s="0" t="n">
        <f aca="false">ROUND(F$3*3/(100*5),0)</f>
        <v>3</v>
      </c>
      <c r="G39" s="0" t="s">
        <v>498</v>
      </c>
    </row>
    <row r="40" customFormat="false" ht="25.6" hidden="false" customHeight="false" outlineLevel="0" collapsed="false">
      <c r="A40" s="30" t="s">
        <v>539</v>
      </c>
      <c r="B40" s="0" t="n">
        <f aca="false">ROUND(B$3/(100*5),0)</f>
        <v>432</v>
      </c>
      <c r="C40" s="0" t="n">
        <f aca="false">ROUND(C$3/(100*5),0)</f>
        <v>92</v>
      </c>
      <c r="D40" s="0" t="n">
        <f aca="false">ROUND(D$3/(100*5),0)</f>
        <v>20</v>
      </c>
      <c r="E40" s="0" t="n">
        <f aca="false">ROUND(E$3/(100*5),0)</f>
        <v>4</v>
      </c>
      <c r="F40" s="0" t="n">
        <f aca="false">ROUND(F$3/(100*5),0)</f>
        <v>1</v>
      </c>
      <c r="G40" s="0" t="s">
        <v>498</v>
      </c>
    </row>
    <row r="41" customFormat="false" ht="13.6" hidden="false" customHeight="false" outlineLevel="0" collapsed="false">
      <c r="A41" s="30" t="s">
        <v>540</v>
      </c>
      <c r="B41" s="0" t="n">
        <f aca="false">ROUND(B$3/(100*5),0)</f>
        <v>432</v>
      </c>
      <c r="C41" s="0" t="n">
        <f aca="false">ROUND(C$3/(100*5),0)</f>
        <v>92</v>
      </c>
      <c r="D41" s="0" t="n">
        <f aca="false">ROUND(D$3/(100*5),0)</f>
        <v>20</v>
      </c>
      <c r="E41" s="0" t="n">
        <f aca="false">ROUND(E$3/(100*5),0)</f>
        <v>4</v>
      </c>
      <c r="F41" s="0" t="n">
        <f aca="false">ROUND(F$3/(100*5),0)</f>
        <v>1</v>
      </c>
    </row>
    <row r="42" customFormat="false" ht="13.6" hidden="false" customHeight="false" outlineLevel="0" collapsed="false">
      <c r="A42" s="30" t="s">
        <v>541</v>
      </c>
      <c r="B42" s="0" t="n">
        <f aca="false">IF(B$3&gt;=10000,1,0)</f>
        <v>1</v>
      </c>
      <c r="C42" s="0" t="n">
        <f aca="false">IF(C$3&gt;=10000,1,0)</f>
        <v>1</v>
      </c>
      <c r="D42" s="0" t="n">
        <f aca="false">IF(D$3&gt;=10000,1,0)</f>
        <v>0</v>
      </c>
      <c r="E42" s="0" t="n">
        <f aca="false">IF(E$3&gt;=10000,1,0)</f>
        <v>0</v>
      </c>
      <c r="F42" s="0" t="n">
        <f aca="false">IF(F$3&gt;=10000,1,0)</f>
        <v>0</v>
      </c>
    </row>
    <row r="44" customFormat="false" ht="13.6" hidden="false" customHeight="false" outlineLevel="0" collapsed="false">
      <c r="A44" s="30" t="s">
        <v>542</v>
      </c>
      <c r="B44" s="0" t="n">
        <f aca="false">ROUND(B$3*B124/(200*B$158),0)</f>
        <v>9</v>
      </c>
      <c r="C44" s="0" t="n">
        <f aca="false">ROUND(C$3*C124/(200*C$158),0)</f>
        <v>7</v>
      </c>
      <c r="D44" s="0" t="n">
        <f aca="false">ROUND(D$3*D124/(200*D$158),0)</f>
        <v>2</v>
      </c>
      <c r="E44" s="0" t="n">
        <f aca="false">ROUND(E$3*E124/(200*E$158),0)</f>
        <v>1</v>
      </c>
      <c r="F44" s="0" t="n">
        <f aca="false">ROUND(F$3*F124/(200*F$158),0)</f>
        <v>0</v>
      </c>
      <c r="H44" s="0" t="s">
        <v>543</v>
      </c>
    </row>
    <row r="45" customFormat="false" ht="13.6" hidden="false" customHeight="false" outlineLevel="0" collapsed="false">
      <c r="A45" s="30" t="s">
        <v>544</v>
      </c>
      <c r="B45" s="0" t="n">
        <f aca="false">ROUND(B$3*B125/(200*B$158),0)</f>
        <v>31</v>
      </c>
      <c r="C45" s="0" t="n">
        <f aca="false">ROUND(C$3*C125/(200*C$158),0)</f>
        <v>20</v>
      </c>
      <c r="D45" s="0" t="n">
        <f aca="false">ROUND(D$3*D125/(200*D$158),0)</f>
        <v>3</v>
      </c>
      <c r="E45" s="0" t="n">
        <f aca="false">ROUND(E$3*E125/(200*E$158),0)</f>
        <v>1</v>
      </c>
      <c r="F45" s="0" t="n">
        <f aca="false">ROUND(F$3*F125/(200*F$158),0)</f>
        <v>0</v>
      </c>
      <c r="H45" s="0" t="s">
        <v>545</v>
      </c>
    </row>
    <row r="46" customFormat="false" ht="13.6" hidden="false" customHeight="false" outlineLevel="0" collapsed="false">
      <c r="A46" s="30" t="s">
        <v>546</v>
      </c>
      <c r="B46" s="0" t="n">
        <f aca="false">ROUND(B$3*B126/(200*B$158),0)</f>
        <v>82</v>
      </c>
      <c r="C46" s="0" t="n">
        <f aca="false">ROUND(C$3*C126/(200*C$158),0)</f>
        <v>13</v>
      </c>
      <c r="D46" s="0" t="n">
        <f aca="false">ROUND(D$3*D126/(200*D$158),0)</f>
        <v>1</v>
      </c>
      <c r="E46" s="0" t="n">
        <f aca="false">ROUND(E$3*E126/(200*E$158),0)</f>
        <v>1</v>
      </c>
      <c r="F46" s="0" t="n">
        <f aca="false">ROUND(F$3*F126/(200*F$158),0)</f>
        <v>0</v>
      </c>
      <c r="H46" s="0" t="s">
        <v>545</v>
      </c>
    </row>
    <row r="47" customFormat="false" ht="13.6" hidden="false" customHeight="false" outlineLevel="0" collapsed="false">
      <c r="A47" s="30" t="s">
        <v>547</v>
      </c>
      <c r="B47" s="0" t="n">
        <f aca="false">ROUND(B$3*B127/(200*B$158),0)</f>
        <v>67</v>
      </c>
      <c r="C47" s="0" t="n">
        <f aca="false">ROUND(C$3*C127/(200*C$158),0)</f>
        <v>13</v>
      </c>
      <c r="D47" s="0" t="n">
        <f aca="false">ROUND(D$3*D127/(200*D$158),0)</f>
        <v>3</v>
      </c>
      <c r="E47" s="0" t="n">
        <f aca="false">ROUND(E$3*E127/(200*E$158),0)</f>
        <v>1</v>
      </c>
      <c r="F47" s="0" t="n">
        <f aca="false">ROUND(F$3*F127/(200*F$158),0)</f>
        <v>0</v>
      </c>
      <c r="H47" s="0" t="s">
        <v>545</v>
      </c>
    </row>
    <row r="48" customFormat="false" ht="13.6" hidden="false" customHeight="false" outlineLevel="0" collapsed="false">
      <c r="A48" s="30" t="s">
        <v>548</v>
      </c>
      <c r="B48" s="0" t="n">
        <f aca="false">ROUND(B$3*B128/(200*B$158),0)</f>
        <v>87</v>
      </c>
      <c r="C48" s="0" t="n">
        <f aca="false">ROUND(C$3*C128/(200*C$158),0)</f>
        <v>7</v>
      </c>
      <c r="D48" s="0" t="n">
        <f aca="false">ROUND(D$3*D128/(200*D$158),0)</f>
        <v>4</v>
      </c>
      <c r="E48" s="0" t="n">
        <f aca="false">ROUND(E$3*E128/(200*E$158),0)</f>
        <v>0</v>
      </c>
      <c r="F48" s="0" t="n">
        <f aca="false">ROUND(F$3*F128/(200*F$158),0)</f>
        <v>0</v>
      </c>
      <c r="H48" s="0" t="s">
        <v>545</v>
      </c>
    </row>
    <row r="49" customFormat="false" ht="13.6" hidden="false" customHeight="false" outlineLevel="0" collapsed="false">
      <c r="A49" s="30" t="s">
        <v>549</v>
      </c>
      <c r="B49" s="0" t="n">
        <f aca="false">ROUND(B$3*B129/(200*B$158),0)</f>
        <v>26</v>
      </c>
      <c r="C49" s="0" t="n">
        <f aca="false">ROUND(C$3*C129/(200*C$158),0)</f>
        <v>5</v>
      </c>
      <c r="D49" s="0" t="n">
        <f aca="false">ROUND(D$3*D129/(200*D$158),0)</f>
        <v>4</v>
      </c>
      <c r="E49" s="0" t="n">
        <f aca="false">ROUND(E$3*E129/(200*E$158),0)</f>
        <v>1</v>
      </c>
      <c r="F49" s="0" t="n">
        <f aca="false">ROUND(F$3*F129/(200*F$158),0)</f>
        <v>0</v>
      </c>
      <c r="H49" s="0" t="s">
        <v>545</v>
      </c>
    </row>
    <row r="50" customFormat="false" ht="13.6" hidden="false" customHeight="false" outlineLevel="0" collapsed="false">
      <c r="A50" s="30" t="s">
        <v>550</v>
      </c>
      <c r="B50" s="0" t="n">
        <f aca="false">ROUND(B$3*B130/(200*B$158),0)</f>
        <v>43</v>
      </c>
      <c r="C50" s="0" t="n">
        <f aca="false">ROUND(C$3*C130/(200*C$158),0)</f>
        <v>20</v>
      </c>
      <c r="D50" s="0" t="n">
        <f aca="false">ROUND(D$3*D130/(200*D$158),0)</f>
        <v>1</v>
      </c>
      <c r="E50" s="0" t="n">
        <f aca="false">ROUND(E$3*E130/(200*E$158),0)</f>
        <v>1</v>
      </c>
      <c r="F50" s="0" t="n">
        <f aca="false">ROUND(F$3*F130/(200*F$158),0)</f>
        <v>0</v>
      </c>
      <c r="H50" s="0" t="s">
        <v>545</v>
      </c>
    </row>
    <row r="51" customFormat="false" ht="13.6" hidden="false" customHeight="false" outlineLevel="0" collapsed="false">
      <c r="A51" s="30" t="s">
        <v>551</v>
      </c>
      <c r="B51" s="0" t="n">
        <f aca="false">ROUND(B$3*B131/(200*B$158),0)</f>
        <v>1</v>
      </c>
      <c r="C51" s="0" t="n">
        <f aca="false">ROUND(C$3*C131/(200*C$158),0)</f>
        <v>20</v>
      </c>
      <c r="D51" s="0" t="n">
        <f aca="false">ROUND(D$3*D131/(200*D$158),0)</f>
        <v>2</v>
      </c>
      <c r="E51" s="0" t="n">
        <f aca="false">ROUND(E$3*E131/(200*E$158),0)</f>
        <v>0</v>
      </c>
      <c r="F51" s="0" t="n">
        <f aca="false">ROUND(F$3*F131/(200*F$158),0)</f>
        <v>0</v>
      </c>
      <c r="G51" s="0" t="s">
        <v>498</v>
      </c>
      <c r="H51" s="0" t="s">
        <v>545</v>
      </c>
    </row>
    <row r="52" customFormat="false" ht="13.6" hidden="false" customHeight="false" outlineLevel="0" collapsed="false">
      <c r="A52" s="30" t="s">
        <v>552</v>
      </c>
      <c r="B52" s="0" t="n">
        <f aca="false">ROUND(B$3*B132/(200*B$158),0)</f>
        <v>71</v>
      </c>
      <c r="C52" s="0" t="n">
        <f aca="false">ROUND(C$3*C132/(200*C$158),0)</f>
        <v>5</v>
      </c>
      <c r="D52" s="0" t="n">
        <f aca="false">ROUND(D$3*D132/(200*D$158),0)</f>
        <v>4</v>
      </c>
      <c r="E52" s="0" t="n">
        <f aca="false">ROUND(E$3*E132/(200*E$158),0)</f>
        <v>1</v>
      </c>
      <c r="F52" s="0" t="n">
        <f aca="false">ROUND(F$3*F132/(200*F$158),0)</f>
        <v>0</v>
      </c>
      <c r="H52" s="0" t="s">
        <v>545</v>
      </c>
    </row>
    <row r="53" customFormat="false" ht="13.6" hidden="false" customHeight="false" outlineLevel="0" collapsed="false">
      <c r="A53" s="30" t="s">
        <v>553</v>
      </c>
      <c r="B53" s="0" t="n">
        <f aca="false">ROUND(B$3*B133/(200*B$158),0)</f>
        <v>67</v>
      </c>
      <c r="C53" s="0" t="n">
        <f aca="false">ROUND(C$3*C133/(200*C$158),0)</f>
        <v>9</v>
      </c>
      <c r="D53" s="0" t="n">
        <f aca="false">ROUND(D$3*D133/(200*D$158),0)</f>
        <v>1</v>
      </c>
      <c r="E53" s="0" t="n">
        <f aca="false">ROUND(E$3*E133/(200*E$158),0)</f>
        <v>0</v>
      </c>
      <c r="F53" s="0" t="n">
        <f aca="false">ROUND(F$3*F133/(200*F$158),0)</f>
        <v>0</v>
      </c>
      <c r="H53" s="0" t="s">
        <v>545</v>
      </c>
    </row>
    <row r="54" customFormat="false" ht="12.8" hidden="false" customHeight="false" outlineLevel="0" collapsed="false">
      <c r="H54" s="0" t="s">
        <v>545</v>
      </c>
    </row>
    <row r="55" customFormat="false" ht="13.6" hidden="false" customHeight="false" outlineLevel="0" collapsed="false">
      <c r="A55" s="30" t="s">
        <v>554</v>
      </c>
      <c r="B55" s="0" t="n">
        <f aca="false">ROUND(B$3*B135/(200*B$158),0)</f>
        <v>22</v>
      </c>
      <c r="C55" s="0" t="n">
        <f aca="false">ROUND(C$3*C135/(200*C$158),0)</f>
        <v>2</v>
      </c>
      <c r="D55" s="0" t="n">
        <f aca="false">ROUND(D$3*D135/(200*D$158),0)</f>
        <v>1</v>
      </c>
      <c r="E55" s="0" t="n">
        <f aca="false">ROUND(E$3*E135/(200*E$158),0)</f>
        <v>0</v>
      </c>
      <c r="F55" s="0" t="n">
        <f aca="false">ROUND(F$3*F135/(200*F$158),0)</f>
        <v>0</v>
      </c>
      <c r="H55" s="0" t="s">
        <v>545</v>
      </c>
    </row>
    <row r="56" customFormat="false" ht="13.6" hidden="false" customHeight="false" outlineLevel="0" collapsed="false">
      <c r="A56" s="30" t="s">
        <v>555</v>
      </c>
      <c r="B56" s="0" t="n">
        <f aca="false">ROUND(B$3*B136/(200*B$158),0)</f>
        <v>57</v>
      </c>
      <c r="C56" s="0" t="n">
        <f aca="false">ROUND(C$3*C136/(200*C$158),0)</f>
        <v>5</v>
      </c>
      <c r="D56" s="0" t="n">
        <f aca="false">ROUND(D$3*D136/(200*D$158),0)</f>
        <v>1</v>
      </c>
      <c r="E56" s="0" t="n">
        <f aca="false">ROUND(E$3*E136/(200*E$158),0)</f>
        <v>1</v>
      </c>
      <c r="F56" s="0" t="n">
        <f aca="false">ROUND(F$3*F136/(200*F$158),0)</f>
        <v>0</v>
      </c>
      <c r="H56" s="0" t="s">
        <v>545</v>
      </c>
    </row>
    <row r="57" customFormat="false" ht="13.6" hidden="false" customHeight="false" outlineLevel="0" collapsed="false">
      <c r="A57" s="30" t="s">
        <v>556</v>
      </c>
      <c r="B57" s="0" t="n">
        <f aca="false">ROUND(B$3*B137/(200*B$158),0)</f>
        <v>34</v>
      </c>
      <c r="C57" s="0" t="n">
        <f aca="false">ROUND(C$3*C137/(200*C$158),0)</f>
        <v>7</v>
      </c>
      <c r="D57" s="0" t="n">
        <f aca="false">ROUND(D$3*D137/(200*D$158),0)</f>
        <v>2</v>
      </c>
      <c r="E57" s="0" t="n">
        <f aca="false">ROUND(E$3*E137/(200*E$158),0)</f>
        <v>0</v>
      </c>
      <c r="F57" s="0" t="n">
        <f aca="false">ROUND(F$3*F137/(200*F$158),0)</f>
        <v>0</v>
      </c>
      <c r="H57" s="0" t="s">
        <v>545</v>
      </c>
    </row>
    <row r="58" customFormat="false" ht="13.6" hidden="false" customHeight="false" outlineLevel="0" collapsed="false">
      <c r="A58" s="30" t="s">
        <v>557</v>
      </c>
      <c r="B58" s="0" t="n">
        <f aca="false">ROUND(B$3*B138/(200*B$158),0)</f>
        <v>39</v>
      </c>
      <c r="C58" s="0" t="n">
        <f aca="false">ROUND(C$3*C138/(200*C$158),0)</f>
        <v>12</v>
      </c>
      <c r="D58" s="0" t="n">
        <f aca="false">ROUND(D$3*D138/(200*D$158),0)</f>
        <v>2</v>
      </c>
      <c r="E58" s="0" t="n">
        <f aca="false">ROUND(E$3*E138/(200*E$158),0)</f>
        <v>0</v>
      </c>
      <c r="F58" s="0" t="n">
        <f aca="false">ROUND(F$3*F138/(200*F$158),0)</f>
        <v>0</v>
      </c>
      <c r="H58" s="0" t="s">
        <v>545</v>
      </c>
    </row>
    <row r="59" customFormat="false" ht="13.6" hidden="false" customHeight="false" outlineLevel="0" collapsed="false">
      <c r="A59" s="30" t="s">
        <v>558</v>
      </c>
      <c r="B59" s="0" t="n">
        <f aca="false">ROUND(B$3*B139/(200*B$158),0)</f>
        <v>59</v>
      </c>
      <c r="C59" s="0" t="n">
        <f aca="false">ROUND(C$3*C139/(200*C$158),0)</f>
        <v>15</v>
      </c>
      <c r="D59" s="0" t="n">
        <f aca="false">ROUND(D$3*D139/(200*D$158),0)</f>
        <v>2</v>
      </c>
      <c r="E59" s="0" t="n">
        <f aca="false">ROUND(E$3*E139/(200*E$158),0)</f>
        <v>0</v>
      </c>
      <c r="F59" s="0" t="n">
        <f aca="false">ROUND(F$3*F139/(200*F$158),0)</f>
        <v>0</v>
      </c>
      <c r="H59" s="0" t="s">
        <v>545</v>
      </c>
    </row>
    <row r="60" customFormat="false" ht="13.6" hidden="false" customHeight="false" outlineLevel="0" collapsed="false">
      <c r="A60" s="30" t="s">
        <v>559</v>
      </c>
      <c r="B60" s="0" t="n">
        <f aca="false">ROUND(B$3*B140/(200*B$158),0)</f>
        <v>14</v>
      </c>
      <c r="C60" s="0" t="n">
        <f aca="false">ROUND(C$3*C140/(200*C$158),0)</f>
        <v>9</v>
      </c>
      <c r="D60" s="0" t="n">
        <f aca="false">ROUND(D$3*D140/(200*D$158),0)</f>
        <v>2</v>
      </c>
      <c r="E60" s="0" t="n">
        <f aca="false">ROUND(E$3*E140/(200*E$158),0)</f>
        <v>0</v>
      </c>
      <c r="F60" s="0" t="n">
        <f aca="false">ROUND(F$3*F140/(200*F$158),0)</f>
        <v>0</v>
      </c>
      <c r="H60" s="0" t="s">
        <v>545</v>
      </c>
    </row>
    <row r="61" customFormat="false" ht="13.6" hidden="false" customHeight="false" outlineLevel="0" collapsed="false">
      <c r="A61" s="30" t="s">
        <v>560</v>
      </c>
      <c r="B61" s="0" t="n">
        <f aca="false">ROUND(B$3*B141/(200*B$158),0)</f>
        <v>68</v>
      </c>
      <c r="C61" s="0" t="n">
        <f aca="false">ROUND(C$3*C141/(200*C$158),0)</f>
        <v>1</v>
      </c>
      <c r="D61" s="0" t="n">
        <f aca="false">ROUND(D$3*D141/(200*D$158),0)</f>
        <v>1</v>
      </c>
      <c r="E61" s="0" t="n">
        <f aca="false">ROUND(E$3*E141/(200*E$158),0)</f>
        <v>0</v>
      </c>
      <c r="F61" s="0" t="n">
        <f aca="false">ROUND(F$3*F141/(200*F$158),0)</f>
        <v>0</v>
      </c>
      <c r="H61" s="0" t="s">
        <v>545</v>
      </c>
    </row>
    <row r="62" customFormat="false" ht="13.6" hidden="false" customHeight="false" outlineLevel="0" collapsed="false">
      <c r="A62" s="30" t="s">
        <v>561</v>
      </c>
      <c r="B62" s="0" t="n">
        <f aca="false">ROUND(B$3*B142/(200*B$158),0)</f>
        <v>64</v>
      </c>
      <c r="C62" s="0" t="n">
        <f aca="false">ROUND(C$3*C142/(200*C$158),0)</f>
        <v>5</v>
      </c>
      <c r="D62" s="0" t="n">
        <f aca="false">ROUND(D$3*D142/(200*D$158),0)</f>
        <v>2</v>
      </c>
      <c r="E62" s="0" t="n">
        <f aca="false">ROUND(E$3*E142/(200*E$158),0)</f>
        <v>1</v>
      </c>
      <c r="F62" s="0" t="n">
        <f aca="false">ROUND(F$3*F142/(200*F$158),0)</f>
        <v>0</v>
      </c>
      <c r="H62" s="0" t="s">
        <v>545</v>
      </c>
    </row>
    <row r="63" customFormat="false" ht="13.6" hidden="false" customHeight="false" outlineLevel="0" collapsed="false">
      <c r="A63" s="30" t="s">
        <v>562</v>
      </c>
      <c r="B63" s="0" t="n">
        <f aca="false">ROUND(B$3*B143/(200*B$158),0)</f>
        <v>25</v>
      </c>
      <c r="C63" s="0" t="n">
        <f aca="false">ROUND(C$3*C143/(200*C$158),0)</f>
        <v>10</v>
      </c>
      <c r="D63" s="0" t="n">
        <f aca="false">ROUND(D$3*D143/(200*D$158),0)</f>
        <v>2</v>
      </c>
      <c r="E63" s="0" t="n">
        <f aca="false">ROUND(E$3*E143/(200*E$158),0)</f>
        <v>0</v>
      </c>
      <c r="F63" s="0" t="n">
        <f aca="false">ROUND(F$3*F143/(200*F$158),0)</f>
        <v>0</v>
      </c>
      <c r="H63" s="0" t="s">
        <v>545</v>
      </c>
    </row>
    <row r="64" customFormat="false" ht="13.6" hidden="false" customHeight="false" outlineLevel="0" collapsed="false">
      <c r="A64" s="30" t="s">
        <v>563</v>
      </c>
      <c r="B64" s="0" t="n">
        <f aca="false">ROUND(B$3*B144/(200*B$158),0)</f>
        <v>19</v>
      </c>
      <c r="C64" s="0" t="n">
        <f aca="false">ROUND(C$3*C144/(200*C$158),0)</f>
        <v>9</v>
      </c>
      <c r="D64" s="0" t="n">
        <f aca="false">ROUND(D$3*D144/(200*D$158),0)</f>
        <v>2</v>
      </c>
      <c r="E64" s="0" t="n">
        <f aca="false">ROUND(E$3*E144/(200*E$158),0)</f>
        <v>0</v>
      </c>
      <c r="F64" s="0" t="n">
        <f aca="false">ROUND(F$3*F144/(200*F$158),0)</f>
        <v>0</v>
      </c>
      <c r="H64" s="0" t="s">
        <v>545</v>
      </c>
    </row>
    <row r="65" customFormat="false" ht="12.8" hidden="false" customHeight="false" outlineLevel="0" collapsed="false">
      <c r="H65" s="0" t="s">
        <v>545</v>
      </c>
    </row>
    <row r="66" customFormat="false" ht="13.6" hidden="false" customHeight="false" outlineLevel="0" collapsed="false">
      <c r="A66" s="30" t="s">
        <v>564</v>
      </c>
      <c r="B66" s="0" t="n">
        <f aca="false">ROUND(B$3*B146/(200*B$158),0)</f>
        <v>20</v>
      </c>
      <c r="C66" s="0" t="n">
        <f aca="false">ROUND(C$3*C146/(200*C$158),0)</f>
        <v>7</v>
      </c>
      <c r="D66" s="0" t="n">
        <f aca="false">ROUND(D$3*D146/(200*D$158),0)</f>
        <v>1</v>
      </c>
      <c r="E66" s="0" t="n">
        <f aca="false">ROUND(E$3*E146/(200*E$158),0)</f>
        <v>0</v>
      </c>
      <c r="F66" s="0" t="n">
        <f aca="false">ROUND(F$3*F146/(200*F$158),0)</f>
        <v>0</v>
      </c>
      <c r="G66" s="0" t="s">
        <v>498</v>
      </c>
      <c r="H66" s="0" t="s">
        <v>545</v>
      </c>
    </row>
    <row r="67" customFormat="false" ht="13.6" hidden="false" customHeight="false" outlineLevel="0" collapsed="false">
      <c r="A67" s="30" t="s">
        <v>565</v>
      </c>
      <c r="B67" s="0" t="n">
        <f aca="false">ROUND(B$3*B147/(200*B$158),0)</f>
        <v>9</v>
      </c>
      <c r="C67" s="0" t="n">
        <f aca="false">ROUND(C$3*C147/(200*C$158),0)</f>
        <v>1</v>
      </c>
      <c r="D67" s="0" t="n">
        <f aca="false">ROUND(D$3*D147/(200*D$158),0)</f>
        <v>1</v>
      </c>
      <c r="E67" s="0" t="n">
        <f aca="false">ROUND(E$3*E147/(200*E$158),0)</f>
        <v>0</v>
      </c>
      <c r="F67" s="0" t="n">
        <f aca="false">ROUND(F$3*F147/(200*F$158),0)</f>
        <v>0</v>
      </c>
      <c r="H67" s="0" t="s">
        <v>545</v>
      </c>
    </row>
    <row r="68" customFormat="false" ht="13.6" hidden="false" customHeight="false" outlineLevel="0" collapsed="false">
      <c r="A68" s="30" t="s">
        <v>566</v>
      </c>
      <c r="B68" s="0" t="n">
        <f aca="false">ROUND(B$3*B148/(200*B$158),0)</f>
        <v>26</v>
      </c>
      <c r="C68" s="0" t="n">
        <f aca="false">ROUND(C$3*C148/(200*C$158),0)</f>
        <v>2</v>
      </c>
      <c r="D68" s="0" t="n">
        <f aca="false">ROUND(D$3*D148/(200*D$158),0)</f>
        <v>1</v>
      </c>
      <c r="E68" s="0" t="n">
        <f aca="false">ROUND(E$3*E148/(200*E$158),0)</f>
        <v>0</v>
      </c>
      <c r="F68" s="0" t="n">
        <f aca="false">ROUND(F$3*F148/(200*F$158),0)</f>
        <v>0</v>
      </c>
      <c r="H68" s="0" t="s">
        <v>545</v>
      </c>
    </row>
    <row r="69" customFormat="false" ht="13.6" hidden="false" customHeight="false" outlineLevel="0" collapsed="false">
      <c r="A69" s="30" t="s">
        <v>567</v>
      </c>
      <c r="B69" s="0" t="n">
        <f aca="false">ROUND(B$3*B149/(200*B$158),0)</f>
        <v>12</v>
      </c>
      <c r="C69" s="0" t="n">
        <f aca="false">ROUND(C$3*C149/(200*C$158),0)</f>
        <v>3</v>
      </c>
      <c r="D69" s="0" t="n">
        <f aca="false">ROUND(D$3*D149/(200*D$158),0)</f>
        <v>1</v>
      </c>
      <c r="E69" s="0" t="n">
        <f aca="false">ROUND(E$3*E149/(200*E$158),0)</f>
        <v>0</v>
      </c>
      <c r="F69" s="0" t="n">
        <f aca="false">ROUND(F$3*F149/(200*F$158),0)</f>
        <v>0</v>
      </c>
      <c r="H69" s="0" t="s">
        <v>545</v>
      </c>
    </row>
    <row r="70" customFormat="false" ht="13.6" hidden="false" customHeight="false" outlineLevel="0" collapsed="false">
      <c r="A70" s="30" t="s">
        <v>568</v>
      </c>
      <c r="B70" s="0" t="n">
        <f aca="false">ROUND(B$3*B150/(200*B$158),0)</f>
        <v>2</v>
      </c>
      <c r="C70" s="0" t="n">
        <f aca="false">ROUND(C$3*C150/(200*C$158),0)</f>
        <v>7</v>
      </c>
      <c r="D70" s="0" t="n">
        <f aca="false">ROUND(D$3*D150/(200*D$158),0)</f>
        <v>0</v>
      </c>
      <c r="E70" s="0" t="n">
        <f aca="false">ROUND(E$3*E150/(200*E$158),0)</f>
        <v>0</v>
      </c>
      <c r="F70" s="0" t="n">
        <f aca="false">ROUND(F$3*F150/(200*F$158),0)</f>
        <v>0</v>
      </c>
      <c r="H70" s="0" t="s">
        <v>545</v>
      </c>
    </row>
    <row r="71" customFormat="false" ht="13.6" hidden="false" customHeight="false" outlineLevel="0" collapsed="false">
      <c r="A71" s="30" t="s">
        <v>569</v>
      </c>
      <c r="B71" s="0" t="n">
        <f aca="false">ROUND(B$3*B151/(200*B$158),0)</f>
        <v>24</v>
      </c>
      <c r="C71" s="0" t="n">
        <f aca="false">ROUND(C$3*C151/(200*C$158),0)</f>
        <v>2</v>
      </c>
      <c r="D71" s="0" t="n">
        <f aca="false">ROUND(D$3*D151/(200*D$158),0)</f>
        <v>0</v>
      </c>
      <c r="E71" s="0" t="n">
        <f aca="false">ROUND(E$3*E151/(200*E$158),0)</f>
        <v>0</v>
      </c>
      <c r="F71" s="0" t="n">
        <f aca="false">ROUND(F$3*F151/(200*F$158),0)</f>
        <v>0</v>
      </c>
      <c r="H71" s="0" t="s">
        <v>545</v>
      </c>
    </row>
    <row r="72" customFormat="false" ht="13.6" hidden="false" customHeight="false" outlineLevel="0" collapsed="false">
      <c r="A72" s="30" t="s">
        <v>570</v>
      </c>
      <c r="B72" s="0" t="n">
        <f aca="false">ROUND(B$3*B152/(200*B$158),0)</f>
        <v>29</v>
      </c>
      <c r="C72" s="0" t="n">
        <f aca="false">ROUND(C$3*C152/(200*C$158),0)</f>
        <v>6</v>
      </c>
      <c r="D72" s="0" t="n">
        <f aca="false">ROUND(D$3*D152/(200*D$158),0)</f>
        <v>1</v>
      </c>
      <c r="E72" s="0" t="n">
        <f aca="false">ROUND(E$3*E152/(200*E$158),0)</f>
        <v>0</v>
      </c>
      <c r="F72" s="0" t="n">
        <f aca="false">ROUND(F$3*F152/(200*F$158),0)</f>
        <v>0</v>
      </c>
      <c r="H72" s="0" t="s">
        <v>545</v>
      </c>
    </row>
    <row r="73" customFormat="false" ht="13.6" hidden="false" customHeight="false" outlineLevel="0" collapsed="false">
      <c r="A73" s="30" t="s">
        <v>571</v>
      </c>
      <c r="B73" s="0" t="n">
        <f aca="false">ROUND(B$3*B153/(200*B$158),0)</f>
        <v>13</v>
      </c>
      <c r="C73" s="0" t="n">
        <f aca="false">ROUND(C$3*C153/(200*C$158),0)</f>
        <v>1</v>
      </c>
      <c r="D73" s="0" t="n">
        <f aca="false">ROUND(D$3*D153/(200*D$158),0)</f>
        <v>1</v>
      </c>
      <c r="E73" s="0" t="n">
        <f aca="false">ROUND(E$3*E153/(200*E$158),0)</f>
        <v>0</v>
      </c>
      <c r="F73" s="0" t="n">
        <f aca="false">ROUND(F$3*F153/(200*F$158),0)</f>
        <v>0</v>
      </c>
      <c r="H73" s="0" t="s">
        <v>545</v>
      </c>
    </row>
    <row r="74" customFormat="false" ht="13.6" hidden="false" customHeight="false" outlineLevel="0" collapsed="false">
      <c r="A74" s="30" t="s">
        <v>572</v>
      </c>
      <c r="B74" s="0" t="n">
        <f aca="false">ROUND(B$3*B154/(200*B$158),0)</f>
        <v>25</v>
      </c>
      <c r="C74" s="0" t="n">
        <f aca="false">ROUND(C$3*C154/(200*C$158),0)</f>
        <v>2</v>
      </c>
      <c r="D74" s="0" t="n">
        <f aca="false">ROUND(D$3*D154/(200*D$158),0)</f>
        <v>1</v>
      </c>
      <c r="E74" s="0" t="n">
        <f aca="false">ROUND(E$3*E154/(200*E$158),0)</f>
        <v>0</v>
      </c>
      <c r="F74" s="0" t="n">
        <f aca="false">ROUND(F$3*F154/(200*F$158),0)</f>
        <v>0</v>
      </c>
      <c r="H74" s="0" t="s">
        <v>545</v>
      </c>
    </row>
    <row r="75" customFormat="false" ht="13.6" hidden="false" customHeight="false" outlineLevel="0" collapsed="false">
      <c r="A75" s="30" t="s">
        <v>573</v>
      </c>
      <c r="B75" s="0" t="n">
        <f aca="false">ROUND(B$3*B155/(200*B$158),0)</f>
        <v>12</v>
      </c>
      <c r="C75" s="0" t="n">
        <f aca="false">ROUND(C$3*C155/(200*C$158),0)</f>
        <v>4</v>
      </c>
      <c r="D75" s="0" t="n">
        <f aca="false">ROUND(D$3*D155/(200*D$158),0)</f>
        <v>1</v>
      </c>
      <c r="E75" s="0" t="n">
        <f aca="false">ROUND(E$3*E155/(200*E$158),0)</f>
        <v>0</v>
      </c>
      <c r="F75" s="0" t="n">
        <f aca="false">ROUND(F$3*F155/(200*F$158),0)</f>
        <v>0</v>
      </c>
      <c r="H75" s="0" t="s">
        <v>545</v>
      </c>
    </row>
    <row r="76" customFormat="false" ht="13.6" hidden="false" customHeight="false" outlineLevel="0" collapsed="false">
      <c r="A76" s="30" t="s">
        <v>574</v>
      </c>
      <c r="B76" s="0" t="n">
        <f aca="false">ROUND(B$3*B156/(200*B$158),0)</f>
        <v>26</v>
      </c>
      <c r="C76" s="0" t="n">
        <f aca="false">ROUND(C$3*C156/(200*C$158),0)</f>
        <v>6</v>
      </c>
      <c r="D76" s="0" t="n">
        <f aca="false">ROUND(D$3*D156/(200*D$158),0)</f>
        <v>1</v>
      </c>
      <c r="E76" s="0" t="n">
        <f aca="false">ROUND(E$3*E156/(200*E$158),0)</f>
        <v>0</v>
      </c>
      <c r="F76" s="0" t="n">
        <f aca="false">ROUND(F$3*F156/(200*F$158),0)</f>
        <v>0</v>
      </c>
      <c r="H76" s="0" t="s">
        <v>575</v>
      </c>
    </row>
    <row r="78" customFormat="false" ht="13.6" hidden="false" customHeight="false" outlineLevel="0" collapsed="false">
      <c r="A78" s="30" t="s">
        <v>576</v>
      </c>
    </row>
    <row r="79" customFormat="false" ht="13.6" hidden="false" customHeight="false" outlineLevel="0" collapsed="false">
      <c r="A79" s="30" t="s">
        <v>577</v>
      </c>
    </row>
    <row r="80" customFormat="false" ht="13.6" hidden="false" customHeight="false" outlineLevel="0" collapsed="false">
      <c r="A80" s="30" t="s">
        <v>578</v>
      </c>
    </row>
    <row r="81" customFormat="false" ht="13.6" hidden="false" customHeight="false" outlineLevel="0" collapsed="false">
      <c r="A81" s="30" t="s">
        <v>579</v>
      </c>
    </row>
    <row r="82" customFormat="false" ht="13.6" hidden="false" customHeight="false" outlineLevel="0" collapsed="false">
      <c r="A82" s="30" t="s">
        <v>580</v>
      </c>
    </row>
    <row r="83" customFormat="false" ht="13.6" hidden="false" customHeight="false" outlineLevel="0" collapsed="false">
      <c r="A83" s="30" t="s">
        <v>581</v>
      </c>
    </row>
    <row r="84" customFormat="false" ht="13.6" hidden="false" customHeight="false" outlineLevel="0" collapsed="false">
      <c r="A84" s="30" t="s">
        <v>582</v>
      </c>
    </row>
    <row r="85" customFormat="false" ht="13.6" hidden="false" customHeight="false" outlineLevel="0" collapsed="false">
      <c r="A85" s="30" t="s">
        <v>583</v>
      </c>
    </row>
    <row r="86" customFormat="false" ht="13.6" hidden="false" customHeight="false" outlineLevel="0" collapsed="false">
      <c r="A86" s="30" t="s">
        <v>584</v>
      </c>
    </row>
    <row r="87" customFormat="false" ht="13.6" hidden="false" customHeight="false" outlineLevel="0" collapsed="false">
      <c r="A87" s="30" t="s">
        <v>585</v>
      </c>
    </row>
    <row r="88" customFormat="false" ht="13.6" hidden="false" customHeight="false" outlineLevel="0" collapsed="false">
      <c r="A88" s="30" t="s">
        <v>586</v>
      </c>
    </row>
    <row r="89" customFormat="false" ht="13.6" hidden="false" customHeight="false" outlineLevel="0" collapsed="false">
      <c r="A89" s="30" t="s">
        <v>587</v>
      </c>
    </row>
    <row r="90" customFormat="false" ht="13.6" hidden="false" customHeight="false" outlineLevel="0" collapsed="false">
      <c r="A90" s="30" t="s">
        <v>588</v>
      </c>
    </row>
    <row r="91" customFormat="false" ht="13.6" hidden="false" customHeight="false" outlineLevel="0" collapsed="false">
      <c r="A91" s="30" t="s">
        <v>589</v>
      </c>
    </row>
    <row r="92" customFormat="false" ht="13.6" hidden="false" customHeight="false" outlineLevel="0" collapsed="false">
      <c r="A92" s="30" t="s">
        <v>590</v>
      </c>
    </row>
    <row r="93" customFormat="false" ht="13.6" hidden="false" customHeight="false" outlineLevel="0" collapsed="false">
      <c r="A93" s="30" t="s">
        <v>591</v>
      </c>
    </row>
    <row r="94" customFormat="false" ht="13.6" hidden="false" customHeight="false" outlineLevel="0" collapsed="false">
      <c r="A94" s="30" t="s">
        <v>592</v>
      </c>
    </row>
    <row r="96" customFormat="false" ht="13.6" hidden="false" customHeight="false" outlineLevel="0" collapsed="false">
      <c r="A96" s="30" t="s">
        <v>593</v>
      </c>
    </row>
    <row r="97" customFormat="false" ht="13.6" hidden="false" customHeight="false" outlineLevel="0" collapsed="false">
      <c r="A97" s="30" t="s">
        <v>594</v>
      </c>
    </row>
    <row r="98" customFormat="false" ht="13.6" hidden="false" customHeight="false" outlineLevel="0" collapsed="false">
      <c r="A98" s="30" t="s">
        <v>595</v>
      </c>
    </row>
    <row r="99" customFormat="false" ht="13.6" hidden="false" customHeight="false" outlineLevel="0" collapsed="false">
      <c r="A99" s="30" t="s">
        <v>596</v>
      </c>
    </row>
    <row r="100" customFormat="false" ht="13.6" hidden="false" customHeight="false" outlineLevel="0" collapsed="false">
      <c r="A100" s="30" t="s">
        <v>597</v>
      </c>
    </row>
    <row r="101" customFormat="false" ht="13.6" hidden="false" customHeight="false" outlineLevel="0" collapsed="false">
      <c r="A101" s="30" t="s">
        <v>598</v>
      </c>
    </row>
    <row r="103" customFormat="false" ht="25.6" hidden="false" customHeight="false" outlineLevel="0" collapsed="false">
      <c r="A103" s="30" t="s">
        <v>599</v>
      </c>
    </row>
    <row r="105" customFormat="false" ht="25.6" hidden="false" customHeight="false" outlineLevel="0" collapsed="false">
      <c r="A105" s="30" t="s">
        <v>600</v>
      </c>
      <c r="B105" s="10" t="n">
        <f aca="false">ROUND(B$3*800/1000,0)</f>
        <v>172892</v>
      </c>
      <c r="C105" s="10" t="n">
        <f aca="false">ROUND(C$3*800/1000,0)</f>
        <v>36983</v>
      </c>
      <c r="D105" s="10" t="n">
        <f aca="false">ROUND(D$3*800/1000,0)</f>
        <v>7911</v>
      </c>
      <c r="E105" s="10" t="n">
        <f aca="false">ROUND(E$3*800/1000,0)</f>
        <v>1692</v>
      </c>
      <c r="F105" s="10" t="n">
        <f aca="false">ROUND(F$3*800/1000,0)</f>
        <v>362</v>
      </c>
    </row>
    <row r="106" customFormat="false" ht="25.6" hidden="false" customHeight="false" outlineLevel="0" collapsed="false">
      <c r="A106" s="30" t="s">
        <v>601</v>
      </c>
      <c r="B106" s="10" t="n">
        <f aca="false">ROUND(B$3*5/1000,0)</f>
        <v>1081</v>
      </c>
      <c r="C106" s="10" t="n">
        <f aca="false">ROUND(C$3*5/1000,0)</f>
        <v>231</v>
      </c>
      <c r="D106" s="10" t="n">
        <f aca="false">ROUND(D$3*5/1000,0)</f>
        <v>49</v>
      </c>
      <c r="E106" s="10" t="n">
        <f aca="false">ROUND(E$3*5/1000,0)</f>
        <v>11</v>
      </c>
      <c r="F106" s="10" t="n">
        <f aca="false">ROUND(F$3*5/1000,0)</f>
        <v>2</v>
      </c>
    </row>
    <row r="107" customFormat="false" ht="25.6" hidden="false" customHeight="false" outlineLevel="0" collapsed="false">
      <c r="A107" s="30" t="s">
        <v>602</v>
      </c>
      <c r="B107" s="10" t="n">
        <f aca="false">ROUND(B$3*25*60/1000,0)</f>
        <v>324173</v>
      </c>
      <c r="C107" s="10" t="n">
        <f aca="false">ROUND(C$3*25*60/1000,0)</f>
        <v>69342</v>
      </c>
      <c r="D107" s="10" t="n">
        <f aca="false">ROUND(D$3*25*60/1000,0)</f>
        <v>14833</v>
      </c>
      <c r="E107" s="10" t="n">
        <f aca="false">ROUND(E$3*25*60/1000,0)</f>
        <v>3173</v>
      </c>
      <c r="F107" s="10" t="n">
        <f aca="false">ROUND(F$3*25*60/1000,0)</f>
        <v>679</v>
      </c>
    </row>
    <row r="108" customFormat="false" ht="25.6" hidden="false" customHeight="false" outlineLevel="0" collapsed="false">
      <c r="A108" s="30" t="s">
        <v>603</v>
      </c>
      <c r="B108" s="10" t="n">
        <f aca="false">ROUND(B$3*3/1000,0)</f>
        <v>648</v>
      </c>
      <c r="C108" s="10" t="n">
        <f aca="false">ROUND(C$3*3/1000,0)</f>
        <v>139</v>
      </c>
      <c r="D108" s="10" t="n">
        <f aca="false">ROUND(D$3*3/1000,0)</f>
        <v>30</v>
      </c>
      <c r="E108" s="10" t="n">
        <f aca="false">ROUND(E$3*3/1000,0)</f>
        <v>6</v>
      </c>
      <c r="F108" s="10" t="n">
        <f aca="false">ROUND(F$3*3/1000,0)</f>
        <v>1</v>
      </c>
    </row>
    <row r="109" customFormat="false" ht="25.6" hidden="false" customHeight="false" outlineLevel="0" collapsed="false">
      <c r="A109" s="30" t="s">
        <v>604</v>
      </c>
      <c r="B109" s="10" t="n">
        <f aca="false">ROUND(B$3/10,0)</f>
        <v>21612</v>
      </c>
      <c r="C109" s="10" t="n">
        <f aca="false">ROUND(C$3/10,0)</f>
        <v>4623</v>
      </c>
      <c r="D109" s="10" t="n">
        <f aca="false">ROUND(D$3/10,0)</f>
        <v>989</v>
      </c>
      <c r="E109" s="10" t="n">
        <f aca="false">ROUND(E$3/10,0)</f>
        <v>212</v>
      </c>
      <c r="F109" s="10" t="n">
        <f aca="false">ROUND(F$3/10,0)</f>
        <v>45</v>
      </c>
    </row>
    <row r="110" customFormat="false" ht="13.6" hidden="false" customHeight="false" outlineLevel="0" collapsed="false">
      <c r="A110" s="30" t="s">
        <v>605</v>
      </c>
      <c r="B110" s="4" t="n">
        <f aca="false">B$3/147735.960443394</f>
        <v>1.46284677649316</v>
      </c>
      <c r="C110" s="4" t="n">
        <f aca="false">C$3/147735.960443394</f>
        <v>0.312911500124174</v>
      </c>
      <c r="D110" s="4" t="n">
        <f aca="false">D$3/147735.960443394</f>
        <v>0.0669336040406681</v>
      </c>
      <c r="E110" s="4" t="n">
        <f aca="false">E$3/147735.960443394</f>
        <v>0.0143174902427526</v>
      </c>
      <c r="F110" s="4" t="n">
        <f aca="false">F$3/147735.960443394</f>
        <v>0.00306259508641976</v>
      </c>
    </row>
    <row r="111" customFormat="false" ht="25.6" hidden="false" customHeight="false" outlineLevel="0" collapsed="false">
      <c r="A111" s="30" t="s">
        <v>606</v>
      </c>
      <c r="B111" s="5" t="n">
        <f aca="false">B$3*5*4/1000</f>
        <v>4322.3014701348</v>
      </c>
      <c r="C111" s="5" t="n">
        <f aca="false">C$3*5*4/1000</f>
        <v>924.56562009256</v>
      </c>
      <c r="D111" s="5" t="n">
        <f aca="false">D$3*5*4/1000</f>
        <v>197.770005577719</v>
      </c>
      <c r="E111" s="5" t="n">
        <f aca="false">E$3*5*4/1000</f>
        <v>42.3041634430395</v>
      </c>
      <c r="F111" s="5" t="n">
        <f aca="false">F$3*5*4/1000</f>
        <v>9.04910853082885</v>
      </c>
    </row>
    <row r="113" customFormat="false" ht="12.8" hidden="false" customHeight="false" outlineLevel="0" collapsed="false">
      <c r="D113" s="0" t="s">
        <v>607</v>
      </c>
      <c r="E113" s="0" t="s">
        <v>608</v>
      </c>
    </row>
    <row r="114" customFormat="false" ht="12.8" hidden="false" customHeight="false" outlineLevel="0" collapsed="false">
      <c r="C114" s="0" t="n">
        <f aca="false">1.553*1760</f>
        <v>2733.28</v>
      </c>
      <c r="D114" s="0" t="n">
        <f aca="false">C114/21</f>
        <v>130.15619047619</v>
      </c>
      <c r="E114" s="0" t="n">
        <f aca="false">2*D114/SQRT(3)</f>
        <v>150.29142321625</v>
      </c>
    </row>
    <row r="115" customFormat="false" ht="25.6" hidden="false" customHeight="false" outlineLevel="0" collapsed="false">
      <c r="A115" s="30" t="s">
        <v>609</v>
      </c>
      <c r="B115" s="5" t="n">
        <f aca="false">B110*1760*1760</f>
        <v>4531314.17486521</v>
      </c>
      <c r="C115" s="5" t="n">
        <f aca="false">C110*1760*1760</f>
        <v>969274.662784641</v>
      </c>
      <c r="D115" s="5" t="n">
        <f aca="false">D110*1760*1760</f>
        <v>207333.531876373</v>
      </c>
      <c r="E115" s="5" t="n">
        <f aca="false">E110*1760*1760</f>
        <v>44349.8577759504</v>
      </c>
      <c r="F115" s="5" t="n">
        <f aca="false">F110*1760*1760</f>
        <v>9486.69453969385</v>
      </c>
    </row>
    <row r="116" customFormat="false" ht="25.6" hidden="false" customHeight="false" outlineLevel="0" collapsed="false">
      <c r="A116" s="30" t="s">
        <v>610</v>
      </c>
      <c r="B116" s="5" t="n">
        <f aca="false">SQRT(B115/SQRT(3))</f>
        <v>1617.45338685268</v>
      </c>
      <c r="C116" s="5" t="n">
        <f aca="false">SQRT(C115/SQRT(3))</f>
        <v>748.071512274994</v>
      </c>
      <c r="D116" s="5" t="n">
        <f aca="false">SQRT(D115/SQRT(3))</f>
        <v>345.982760323199</v>
      </c>
      <c r="E116" s="5" t="n">
        <f aca="false">SQRT(E115/SQRT(3))</f>
        <v>160.016881376518</v>
      </c>
      <c r="F116" s="5" t="n">
        <f aca="false">SQRT(F115/SQRT(3))</f>
        <v>74.0077404479558</v>
      </c>
    </row>
    <row r="117" customFormat="false" ht="25.6" hidden="false" customHeight="false" outlineLevel="0" collapsed="false">
      <c r="A117" s="30" t="s">
        <v>611</v>
      </c>
      <c r="B117" s="5" t="n">
        <f aca="false">B116*2/SQRT(3)</f>
        <v>1867.67429660213</v>
      </c>
      <c r="C117" s="5" t="n">
        <f aca="false">C116*2/SQRT(3)</f>
        <v>863.798577970116</v>
      </c>
      <c r="D117" s="5" t="n">
        <f aca="false">D116*2/SQRT(3)</f>
        <v>399.506479615137</v>
      </c>
      <c r="E117" s="5" t="n">
        <f aca="false">E116*2/SQRT(3)</f>
        <v>184.771579075234</v>
      </c>
      <c r="F117" s="5" t="n">
        <f aca="false">F116*2/SQRT(3)</f>
        <v>85.4567777394865</v>
      </c>
    </row>
    <row r="119" customFormat="false" ht="12.8" hidden="false" customHeight="false" outlineLevel="0" collapsed="false">
      <c r="D119" s="0" t="n">
        <v>10</v>
      </c>
    </row>
    <row r="120" customFormat="false" ht="12.8" hidden="false" customHeight="false" outlineLevel="0" collapsed="false">
      <c r="C120" s="0" t="n">
        <f aca="false">1760/2</f>
        <v>880</v>
      </c>
      <c r="D120" s="0" t="n">
        <f aca="false">C120/D119</f>
        <v>88</v>
      </c>
    </row>
    <row r="121" customFormat="false" ht="12.8" hidden="false" customHeight="false" outlineLevel="0" collapsed="false">
      <c r="C121" s="0" t="n">
        <f aca="false">C120*2/SQRT(3)</f>
        <v>1016.13647377374</v>
      </c>
      <c r="D121" s="0" t="n">
        <f aca="false">C121/D119</f>
        <v>101.613647377374</v>
      </c>
    </row>
    <row r="124" customFormat="false" ht="25.6" hidden="false" customHeight="false" outlineLevel="0" collapsed="false">
      <c r="A124" s="30" t="s">
        <v>612</v>
      </c>
      <c r="B124" s="0" t="n">
        <f aca="true">RAND()*3/61</f>
        <v>0.00431005115360457</v>
      </c>
      <c r="C124" s="0" t="n">
        <v>0.0145913755299798</v>
      </c>
      <c r="D124" s="0" t="n">
        <v>0.021332522999251</v>
      </c>
      <c r="E124" s="0" t="n">
        <v>0.0276169633973756</v>
      </c>
      <c r="F124" s="0" t="n">
        <v>0.0140677263204497</v>
      </c>
    </row>
    <row r="125" customFormat="false" ht="37.6" hidden="false" customHeight="false" outlineLevel="0" collapsed="false">
      <c r="A125" s="30" t="s">
        <v>613</v>
      </c>
      <c r="B125" s="0" t="n">
        <f aca="true">RAND()*3/61</f>
        <v>0.0144111292230183</v>
      </c>
      <c r="C125" s="0" t="n">
        <v>0.042003350015577</v>
      </c>
      <c r="D125" s="0" t="n">
        <v>0.0317268561052739</v>
      </c>
      <c r="E125" s="0" t="n">
        <v>0.0437830846229965</v>
      </c>
      <c r="F125" s="0" t="n">
        <v>0.0375079873559966</v>
      </c>
    </row>
    <row r="126" customFormat="false" ht="12.8" hidden="false" customHeight="false" outlineLevel="0" collapsed="false">
      <c r="B126" s="0" t="n">
        <f aca="true">RAND()*3/61</f>
        <v>0.0376004934817632</v>
      </c>
      <c r="C126" s="0" t="n">
        <v>0.0267523806542158</v>
      </c>
      <c r="D126" s="0" t="n">
        <v>0.0129185089284218</v>
      </c>
      <c r="E126" s="0" t="n">
        <v>0.0391879846097627</v>
      </c>
      <c r="F126" s="0" t="n">
        <v>0.0397378630959047</v>
      </c>
    </row>
    <row r="127" customFormat="false" ht="37.6" hidden="false" customHeight="false" outlineLevel="0" collapsed="false">
      <c r="A127" s="30" t="s">
        <v>614</v>
      </c>
      <c r="B127" s="0" t="n">
        <f aca="true">RAND()*3/61</f>
        <v>0.030955364022327</v>
      </c>
      <c r="C127" s="0" t="n">
        <v>0.0273076397840117</v>
      </c>
      <c r="D127" s="0" t="n">
        <v>0.0307206134273686</v>
      </c>
      <c r="E127" s="0" t="n">
        <v>0.0326275354342871</v>
      </c>
      <c r="F127" s="0" t="n">
        <v>0.0337423167160911</v>
      </c>
    </row>
    <row r="128" customFormat="false" ht="25.6" hidden="false" customHeight="false" outlineLevel="0" collapsed="false">
      <c r="A128" s="30" t="s">
        <v>615</v>
      </c>
      <c r="B128" s="0" t="n">
        <f aca="true">RAND()*3/61</f>
        <v>0.0398468878170962</v>
      </c>
      <c r="C128" s="0" t="n">
        <v>0.0144826312602849</v>
      </c>
      <c r="D128" s="0" t="n">
        <v>0.0470959538380142</v>
      </c>
      <c r="E128" s="0" t="n">
        <v>0.00908714087420433</v>
      </c>
      <c r="F128" s="0" t="n">
        <v>0.0452240910075727</v>
      </c>
    </row>
    <row r="129" customFormat="false" ht="12.8" hidden="false" customHeight="false" outlineLevel="0" collapsed="false">
      <c r="B129" s="0" t="n">
        <f aca="true">RAND()*3/61</f>
        <v>0.0118041924344886</v>
      </c>
      <c r="C129" s="0" t="n">
        <v>0.00976849196203908</v>
      </c>
      <c r="D129" s="0" t="n">
        <v>0.0408698202370376</v>
      </c>
      <c r="E129" s="0" t="n">
        <v>0.0369397447612442</v>
      </c>
      <c r="F129" s="0" t="n">
        <v>0.0468764620810198</v>
      </c>
    </row>
    <row r="130" customFormat="false" ht="37.6" hidden="false" customHeight="false" outlineLevel="0" collapsed="false">
      <c r="A130" s="30" t="s">
        <v>616</v>
      </c>
      <c r="B130" s="0" t="n">
        <f aca="true">RAND()*3/61</f>
        <v>0.0195900885986338</v>
      </c>
      <c r="C130" s="0" t="n">
        <v>0.0414297753624374</v>
      </c>
      <c r="D130" s="0" t="n">
        <v>0.0134225268275706</v>
      </c>
      <c r="E130" s="0" t="n">
        <v>0.0320101463747379</v>
      </c>
      <c r="F130" s="0" t="n">
        <v>0.0161070768209938</v>
      </c>
    </row>
    <row r="131" customFormat="false" ht="37.6" hidden="false" customHeight="false" outlineLevel="0" collapsed="false">
      <c r="A131" s="30" t="s">
        <v>617</v>
      </c>
      <c r="B131" s="0" t="n">
        <f aca="true">RAND()*3/61</f>
        <v>0.000625624085061226</v>
      </c>
      <c r="C131" s="0" t="n">
        <v>0.041110293523668</v>
      </c>
      <c r="D131" s="0" t="n">
        <v>0.0219202006625042</v>
      </c>
      <c r="E131" s="0" t="n">
        <v>0.0202952360993892</v>
      </c>
      <c r="F131" s="0" t="n">
        <v>0.00861150340070246</v>
      </c>
    </row>
    <row r="132" customFormat="false" ht="37.6" hidden="false" customHeight="false" outlineLevel="0" collapsed="false">
      <c r="A132" s="30" t="s">
        <v>618</v>
      </c>
      <c r="B132" s="0" t="n">
        <f aca="true">RAND()*3/61</f>
        <v>0.0328601939967595</v>
      </c>
      <c r="C132" s="0" t="n">
        <v>0.0102963768495399</v>
      </c>
      <c r="D132" s="0" t="n">
        <v>0.0414739493318818</v>
      </c>
      <c r="E132" s="0" t="n">
        <v>0.0313969281021139</v>
      </c>
      <c r="F132" s="0" t="n">
        <v>0.0104011075731489</v>
      </c>
    </row>
    <row r="133" customFormat="false" ht="12.8" hidden="false" customHeight="false" outlineLevel="0" collapsed="false">
      <c r="B133" s="0" t="n">
        <f aca="true">RAND()*3/61</f>
        <v>0.0305986699243401</v>
      </c>
      <c r="C133" s="0" t="n">
        <v>0.0186807656103409</v>
      </c>
      <c r="D133" s="0" t="n">
        <v>0.00778258259820401</v>
      </c>
      <c r="E133" s="0" t="n">
        <v>0.0121609399125713</v>
      </c>
      <c r="F133" s="0" t="n">
        <v>0.00371498056519471</v>
      </c>
    </row>
    <row r="135" customFormat="false" ht="12.8" hidden="false" customHeight="false" outlineLevel="0" collapsed="false">
      <c r="B135" s="0" t="n">
        <f aca="true">RAND()*2/61</f>
        <v>0.010140334659864</v>
      </c>
      <c r="C135" s="0" t="n">
        <v>0.00376726615196857</v>
      </c>
      <c r="D135" s="0" t="n">
        <v>0.00898531361742586</v>
      </c>
      <c r="E135" s="0" t="n">
        <v>0.0120562350866003</v>
      </c>
      <c r="F135" s="0" t="n">
        <v>0.0140243066688542</v>
      </c>
    </row>
    <row r="136" customFormat="false" ht="12.8" hidden="false" customHeight="false" outlineLevel="0" collapsed="false">
      <c r="B136" s="0" t="n">
        <f aca="true">RAND()*2/61</f>
        <v>0.0263149807593107</v>
      </c>
      <c r="C136" s="0" t="n">
        <v>0.00967273929873939</v>
      </c>
      <c r="D136" s="0" t="n">
        <v>0.0156253237185664</v>
      </c>
      <c r="E136" s="0" t="n">
        <v>0.026943167717364</v>
      </c>
      <c r="F136" s="0" t="n">
        <v>0.0224021878780522</v>
      </c>
    </row>
    <row r="137" customFormat="false" ht="12.8" hidden="false" customHeight="false" outlineLevel="0" collapsed="false">
      <c r="B137" s="0" t="n">
        <f aca="true">RAND()*2/61</f>
        <v>0.0154412879575679</v>
      </c>
      <c r="C137" s="0" t="n">
        <v>0.0150275398198454</v>
      </c>
      <c r="D137" s="0" t="n">
        <v>0.0182121655308321</v>
      </c>
      <c r="E137" s="0" t="n">
        <v>0.00310721581221604</v>
      </c>
      <c r="F137" s="0" t="n">
        <v>0.0266293245673057</v>
      </c>
    </row>
    <row r="138" customFormat="false" ht="12.8" hidden="false" customHeight="false" outlineLevel="0" collapsed="false">
      <c r="B138" s="0" t="n">
        <f aca="true">RAND()*2/61</f>
        <v>0.0179545330602629</v>
      </c>
      <c r="C138" s="0" t="n">
        <v>0.0242960078443294</v>
      </c>
      <c r="D138" s="0" t="n">
        <v>0.0197080367122639</v>
      </c>
      <c r="E138" s="0" t="n">
        <v>0.0161965881230035</v>
      </c>
      <c r="F138" s="0" t="n">
        <v>0.0246507122150821</v>
      </c>
    </row>
    <row r="139" customFormat="false" ht="12.8" hidden="false" customHeight="false" outlineLevel="0" collapsed="false">
      <c r="B139" s="0" t="n">
        <f aca="true">RAND()*2/61</f>
        <v>0.0269595744371284</v>
      </c>
      <c r="C139" s="0" t="n">
        <v>0.0311047092431271</v>
      </c>
      <c r="D139" s="0" t="n">
        <v>0.0199676169326804</v>
      </c>
      <c r="E139" s="0" t="n">
        <v>0.0201871518244142</v>
      </c>
      <c r="F139" s="0" t="n">
        <v>0.0305310357972735</v>
      </c>
    </row>
    <row r="140" customFormat="false" ht="12.8" hidden="false" customHeight="false" outlineLevel="0" collapsed="false">
      <c r="B140" s="0" t="n">
        <f aca="true">RAND()*2/61</f>
        <v>0.00645977557396646</v>
      </c>
      <c r="C140" s="0" t="n">
        <v>0.0194714259524204</v>
      </c>
      <c r="D140" s="0" t="n">
        <v>0.0175887848952877</v>
      </c>
      <c r="E140" s="0" t="n">
        <v>0.0228107966497907</v>
      </c>
      <c r="F140" s="0" t="n">
        <v>0.0241152251398832</v>
      </c>
    </row>
    <row r="141" customFormat="false" ht="12.8" hidden="false" customHeight="false" outlineLevel="0" collapsed="false">
      <c r="B141" s="0" t="n">
        <f aca="true">RAND()*2/61</f>
        <v>0.0311141666260221</v>
      </c>
      <c r="C141" s="0" t="n">
        <v>0.00205198124234305</v>
      </c>
      <c r="D141" s="0" t="n">
        <v>0.00692691501291072</v>
      </c>
      <c r="E141" s="0" t="n">
        <v>0.0233249306129139</v>
      </c>
      <c r="F141" s="0" t="n">
        <v>0.0123314635034223</v>
      </c>
    </row>
    <row r="142" customFormat="false" ht="12.8" hidden="false" customHeight="false" outlineLevel="0" collapsed="false">
      <c r="B142" s="0" t="n">
        <f aca="true">RAND()*2/61</f>
        <v>0.0292106769458222</v>
      </c>
      <c r="C142" s="0" t="n">
        <v>0.00983339790865535</v>
      </c>
      <c r="D142" s="0" t="n">
        <v>0.0228195390053338</v>
      </c>
      <c r="E142" s="0" t="n">
        <v>0.0281491924352089</v>
      </c>
      <c r="F142" s="0" t="n">
        <v>0.014381964736786</v>
      </c>
    </row>
    <row r="143" customFormat="false" ht="12.8" hidden="false" customHeight="false" outlineLevel="0" collapsed="false">
      <c r="B143" s="0" t="n">
        <f aca="true">RAND()*2/61</f>
        <v>0.0114875670646366</v>
      </c>
      <c r="C143" s="0" t="n">
        <v>0.0201985135552336</v>
      </c>
      <c r="D143" s="0" t="n">
        <v>0.0268242175416013</v>
      </c>
      <c r="E143" s="0" t="n">
        <v>0.0155760378149323</v>
      </c>
      <c r="F143" s="0" t="n">
        <v>0.0324380470317651</v>
      </c>
    </row>
    <row r="144" customFormat="false" ht="12.8" hidden="false" customHeight="false" outlineLevel="0" collapsed="false">
      <c r="B144" s="0" t="n">
        <f aca="true">RAND()*2/61</f>
        <v>0.00881703515700784</v>
      </c>
      <c r="C144" s="0" t="n">
        <v>0.0196475635862863</v>
      </c>
      <c r="D144" s="0" t="n">
        <v>0.0241417154883508</v>
      </c>
      <c r="E144" s="0" t="n">
        <v>0.0137027441218618</v>
      </c>
      <c r="F144" s="0" t="n">
        <v>0.0145111655373676</v>
      </c>
    </row>
    <row r="146" customFormat="false" ht="12.8" hidden="false" customHeight="false" outlineLevel="0" collapsed="false">
      <c r="B146" s="0" t="n">
        <f aca="true">RAND()/61</f>
        <v>0.00901379858287629</v>
      </c>
      <c r="C146" s="0" t="n">
        <v>0.0141783870916936</v>
      </c>
      <c r="D146" s="0" t="n">
        <v>0.0110281495621703</v>
      </c>
      <c r="E146" s="0" t="n">
        <v>0.0134205454197086</v>
      </c>
      <c r="F146" s="0" t="n">
        <v>0.0018438547048107</v>
      </c>
    </row>
    <row r="147" customFormat="false" ht="12.8" hidden="false" customHeight="false" outlineLevel="0" collapsed="false">
      <c r="B147" s="0" t="n">
        <f aca="true">RAND()/61</f>
        <v>0.003984590798519</v>
      </c>
      <c r="C147" s="0" t="n">
        <v>0.00132673974606957</v>
      </c>
      <c r="D147" s="0" t="n">
        <v>0.0137039261305186</v>
      </c>
      <c r="E147" s="0" t="n">
        <v>0.00604005390396494</v>
      </c>
      <c r="F147" s="0" t="n">
        <v>0.00924209630513778</v>
      </c>
    </row>
    <row r="148" customFormat="false" ht="12.8" hidden="false" customHeight="false" outlineLevel="0" collapsed="false">
      <c r="B148" s="0" t="n">
        <f aca="true">RAND()/61</f>
        <v>0.0118590543666223</v>
      </c>
      <c r="C148" s="0" t="n">
        <v>0.00392027242399264</v>
      </c>
      <c r="D148" s="0" t="n">
        <v>0.0058823569609066</v>
      </c>
      <c r="E148" s="0" t="n">
        <v>0.0119935222557883</v>
      </c>
      <c r="F148" s="0" t="n">
        <v>0.00859927278408994</v>
      </c>
    </row>
    <row r="149" customFormat="false" ht="12.8" hidden="false" customHeight="false" outlineLevel="0" collapsed="false">
      <c r="B149" s="0" t="n">
        <f aca="true">RAND()/61</f>
        <v>0.00564405308365628</v>
      </c>
      <c r="C149" s="0" t="n">
        <v>0.00651024294192674</v>
      </c>
      <c r="D149" s="0" t="n">
        <v>0.00611418377623328</v>
      </c>
      <c r="E149" s="0" t="n">
        <v>0.0160108736723845</v>
      </c>
      <c r="F149" s="0" t="n">
        <v>0.00796511123857659</v>
      </c>
    </row>
    <row r="150" customFormat="false" ht="12.8" hidden="false" customHeight="false" outlineLevel="0" collapsed="false">
      <c r="B150" s="0" t="n">
        <f aca="true">RAND()/61</f>
        <v>0.000941233619136973</v>
      </c>
      <c r="C150" s="0" t="n">
        <v>0.014557742925941</v>
      </c>
      <c r="D150" s="0" t="n">
        <v>0.000866023140394541</v>
      </c>
      <c r="E150" s="0" t="n">
        <v>0.0113053402298542</v>
      </c>
      <c r="F150" s="0" t="n">
        <v>0.00931825904847413</v>
      </c>
    </row>
    <row r="151" customFormat="false" ht="12.8" hidden="false" customHeight="false" outlineLevel="0" collapsed="false">
      <c r="B151" s="0" t="n">
        <f aca="true">RAND()/61</f>
        <v>0.0109091444133751</v>
      </c>
      <c r="C151" s="0" t="n">
        <v>0.00458337178026311</v>
      </c>
      <c r="D151" s="0" t="n">
        <v>0.000194495505668589</v>
      </c>
      <c r="E151" s="0" t="n">
        <v>0.00142302587399351</v>
      </c>
      <c r="F151" s="0" t="n">
        <v>0.00618533679039874</v>
      </c>
    </row>
    <row r="152" customFormat="false" ht="12.8" hidden="false" customHeight="false" outlineLevel="0" collapsed="false">
      <c r="B152" s="0" t="n">
        <f aca="true">RAND()/61</f>
        <v>0.0131353460610883</v>
      </c>
      <c r="C152" s="0" t="n">
        <v>0.0126679844421441</v>
      </c>
      <c r="D152" s="0" t="n">
        <v>0.0129284110324854</v>
      </c>
      <c r="E152" s="0" t="n">
        <v>0.0149007128536335</v>
      </c>
      <c r="F152" s="0" t="n">
        <v>0.0116604002894925</v>
      </c>
    </row>
    <row r="153" customFormat="false" ht="12.8" hidden="false" customHeight="false" outlineLevel="0" collapsed="false">
      <c r="B153" s="0" t="n">
        <f aca="true">RAND()/61</f>
        <v>0.00587027381695797</v>
      </c>
      <c r="C153" s="0" t="n">
        <v>0.00198307342934193</v>
      </c>
      <c r="D153" s="0" t="n">
        <v>0.0106167062109367</v>
      </c>
      <c r="E153" s="0" t="n">
        <v>0.008285299477885</v>
      </c>
      <c r="F153" s="0" t="n">
        <v>0.00764199099350782</v>
      </c>
    </row>
    <row r="154" customFormat="false" ht="12.8" hidden="false" customHeight="false" outlineLevel="0" collapsed="false">
      <c r="B154" s="0" t="n">
        <f aca="true">RAND()/61</f>
        <v>0.0115204034721749</v>
      </c>
      <c r="C154" s="0" t="n">
        <v>0.00419502310668592</v>
      </c>
      <c r="D154" s="0" t="n">
        <v>0.0111827469797286</v>
      </c>
      <c r="E154" s="0" t="n">
        <v>0.00378744556858647</v>
      </c>
      <c r="F154" s="0" t="n">
        <v>0.000853625366647468</v>
      </c>
    </row>
    <row r="155" customFormat="false" ht="12.8" hidden="false" customHeight="false" outlineLevel="0" collapsed="false">
      <c r="B155" s="0" t="n">
        <f aca="true">RAND()/61</f>
        <v>0.00544655041879276</v>
      </c>
      <c r="C155" s="0" t="n">
        <v>0.00754947916100748</v>
      </c>
      <c r="D155" s="0" t="n">
        <v>0.00863834542649813</v>
      </c>
      <c r="E155" s="0" t="n">
        <v>0.0131789026858255</v>
      </c>
      <c r="F155" s="0" t="n">
        <v>0.00770737309787484</v>
      </c>
    </row>
    <row r="156" customFormat="false" ht="12.8" hidden="false" customHeight="false" outlineLevel="0" collapsed="false">
      <c r="B156" s="0" t="n">
        <f aca="true">RAND()/61</f>
        <v>0.0120651996421048</v>
      </c>
      <c r="C156" s="0" t="n">
        <v>0.01263036423546</v>
      </c>
      <c r="D156" s="0" t="n">
        <v>0.0130657837458993</v>
      </c>
      <c r="E156" s="0" t="n">
        <v>7.30683630118604E-005</v>
      </c>
      <c r="F156" s="0" t="n">
        <v>0.00697069454434343</v>
      </c>
    </row>
    <row r="158" customFormat="false" ht="12.8" hidden="false" customHeight="false" outlineLevel="0" collapsed="false">
      <c r="B158" s="0" t="n">
        <f aca="false">SUM(B124:B156)</f>
        <v>0.496892275253986</v>
      </c>
      <c r="C158" s="0" t="n">
        <f aca="false">SUM(C124:C156)</f>
        <v>0.485596906439569</v>
      </c>
      <c r="D158" s="0" t="n">
        <f aca="false">SUM(D124:D156)</f>
        <v>0.544284291882221</v>
      </c>
      <c r="E158" s="0" t="n">
        <f aca="false">SUM(E124:E156)</f>
        <v>0.567578554691625</v>
      </c>
      <c r="F158" s="0" t="n">
        <f aca="false">SUM(F124:F156)</f>
        <v>0.54999456317622</v>
      </c>
    </row>
    <row r="160" customFormat="false" ht="25.6" hidden="false" customHeight="false" outlineLevel="0" collapsed="false">
      <c r="A160" s="30" t="s">
        <v>619</v>
      </c>
    </row>
    <row r="161" customFormat="false" ht="13.6" hidden="false" customHeight="false" outlineLevel="0" collapsed="false">
      <c r="A161" s="30" t="s">
        <v>620</v>
      </c>
      <c r="B161" s="0" t="n">
        <v>25</v>
      </c>
      <c r="C161" s="38" t="s">
        <v>621</v>
      </c>
    </row>
    <row r="162" customFormat="false" ht="13.6" hidden="false" customHeight="false" outlineLevel="0" collapsed="false">
      <c r="A162" s="30" t="s">
        <v>622</v>
      </c>
      <c r="B162" s="0" t="n">
        <v>60</v>
      </c>
      <c r="C162" s="38" t="s">
        <v>621</v>
      </c>
    </row>
    <row r="163" customFormat="false" ht="13.6" hidden="false" customHeight="false" outlineLevel="0" collapsed="false">
      <c r="A163" s="30" t="s">
        <v>623</v>
      </c>
      <c r="B163" s="0" t="n">
        <v>365.25</v>
      </c>
    </row>
    <row r="165" customFormat="false" ht="25.6" hidden="false" customHeight="false" outlineLevel="0" collapsed="false">
      <c r="A165" s="30" t="s">
        <v>624</v>
      </c>
      <c r="B165" s="5" t="n">
        <f aca="false">B161*B162*B163/1000</f>
        <v>547.875</v>
      </c>
    </row>
    <row r="167" customFormat="false" ht="25.6" hidden="false" customHeight="false" outlineLevel="0" collapsed="false">
      <c r="A167" s="30" t="s">
        <v>625</v>
      </c>
    </row>
    <row r="168" customFormat="false" ht="25.6" hidden="false" customHeight="false" outlineLevel="0" collapsed="false">
      <c r="A168" s="30" t="s">
        <v>626</v>
      </c>
      <c r="B168" s="0" t="n">
        <v>65000</v>
      </c>
      <c r="C168" s="38" t="s">
        <v>621</v>
      </c>
    </row>
    <row r="169" customFormat="false" ht="25.6" hidden="false" customHeight="false" outlineLevel="0" collapsed="false">
      <c r="A169" s="30" t="s">
        <v>627</v>
      </c>
      <c r="B169" s="0" t="n">
        <v>40000</v>
      </c>
      <c r="C169" s="38" t="s">
        <v>621</v>
      </c>
    </row>
    <row r="170" customFormat="false" ht="13.6" hidden="false" customHeight="false" outlineLevel="0" collapsed="false">
      <c r="A170" s="30" t="s">
        <v>628</v>
      </c>
      <c r="B170" s="0" t="n">
        <v>70</v>
      </c>
      <c r="C170" s="38" t="s">
        <v>621</v>
      </c>
    </row>
    <row r="171" customFormat="false" ht="13.6" hidden="false" customHeight="false" outlineLevel="0" collapsed="false">
      <c r="A171" s="30" t="s">
        <v>629</v>
      </c>
      <c r="B171" s="0" t="n">
        <v>66</v>
      </c>
      <c r="C171" s="38" t="s">
        <v>621</v>
      </c>
    </row>
    <row r="173" customFormat="false" ht="25.6" hidden="false" customHeight="false" outlineLevel="0" collapsed="false">
      <c r="A173" s="30" t="s">
        <v>630</v>
      </c>
      <c r="B173" s="5" t="n">
        <f aca="false">B169*B171*100/(B168*B170)</f>
        <v>58.021978021978</v>
      </c>
    </row>
  </sheetData>
  <mergeCells count="1">
    <mergeCell ref="B1:F1"/>
  </mergeCells>
  <hyperlinks>
    <hyperlink ref="C161" r:id="rId1" display="Source"/>
    <hyperlink ref="C162" r:id="rId2" display="Source"/>
    <hyperlink ref="C168" r:id="rId3" display="Source"/>
    <hyperlink ref="C169" r:id="rId4" display="Source"/>
    <hyperlink ref="C170" r:id="rId5" display="Source"/>
    <hyperlink ref="C171" r:id="rId6" display="Sourc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1.27"/>
    <col collapsed="false" customWidth="true" hidden="false" outlineLevel="0" max="3" min="3" style="0" width="10.25"/>
    <col collapsed="false" customWidth="true" hidden="false" outlineLevel="0" max="4" min="4" style="0" width="11.27"/>
    <col collapsed="false" customWidth="true" hidden="false" outlineLevel="0" max="10" min="5" style="0" width="10.25"/>
    <col collapsed="false" customWidth="true" hidden="false" outlineLevel="0" max="11" min="11" style="0" width="10.98"/>
    <col collapsed="false" customWidth="true" hidden="false" outlineLevel="0" max="12" min="12" style="0" width="11.12"/>
    <col collapsed="false" customWidth="true" hidden="false" outlineLevel="0" max="14" min="13" style="0" width="10.25"/>
    <col collapsed="false" customWidth="true" hidden="false" outlineLevel="0" max="16" min="15" style="0" width="11.7"/>
    <col collapsed="false" customWidth="true" hidden="false" outlineLevel="0" max="17" min="17" style="17" width="10.25"/>
    <col collapsed="false" customWidth="true" hidden="false" outlineLevel="0" max="23" min="18" style="0" width="10.25"/>
    <col collapsed="false" customWidth="true" hidden="false" outlineLevel="0" max="24" min="24" style="0" width="11.27"/>
    <col collapsed="false" customWidth="false" hidden="false" outlineLevel="0" max="1025" min="25" style="0" width="11.52"/>
  </cols>
  <sheetData>
    <row r="1" s="1" customFormat="true" ht="12.8" hidden="false" customHeight="false" outlineLevel="0" collapsed="false">
      <c r="A1" s="18" t="s">
        <v>434</v>
      </c>
      <c r="B1" s="7" t="s">
        <v>131</v>
      </c>
      <c r="C1" s="7" t="s">
        <v>133</v>
      </c>
      <c r="D1" s="7" t="s">
        <v>135</v>
      </c>
      <c r="E1" s="7" t="s">
        <v>137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144</v>
      </c>
      <c r="L1" s="7" t="s">
        <v>145</v>
      </c>
      <c r="M1" s="7" t="s">
        <v>147</v>
      </c>
      <c r="N1" s="7" t="s">
        <v>148</v>
      </c>
      <c r="O1" s="7" t="s">
        <v>150</v>
      </c>
      <c r="P1" s="7" t="s">
        <v>151</v>
      </c>
      <c r="Q1" s="21" t="s">
        <v>152</v>
      </c>
      <c r="R1" s="7" t="s">
        <v>153</v>
      </c>
      <c r="S1" s="7" t="s">
        <v>155</v>
      </c>
      <c r="T1" s="7" t="s">
        <v>156</v>
      </c>
      <c r="U1" s="7" t="s">
        <v>157</v>
      </c>
      <c r="V1" s="7" t="s">
        <v>158</v>
      </c>
      <c r="W1" s="7" t="s">
        <v>159</v>
      </c>
      <c r="X1" s="7" t="s">
        <v>160</v>
      </c>
      <c r="CK1" s="7"/>
    </row>
    <row r="2" customFormat="false" ht="12.8" hidden="false" customHeight="false" outlineLevel="0" collapsed="false">
      <c r="A2" s="7" t="s">
        <v>327</v>
      </c>
      <c r="B2" s="10" t="n">
        <f aca="true">INDIRECT(ADDRESS(COLUMN()+119,ROW()+1,1,,"Cash"))</f>
        <v>16113.5934775115</v>
      </c>
      <c r="C2" s="10" t="n">
        <f aca="true">INDIRECT(ADDRESS(COLUMN()+119,ROW()+1,1,,"Cash"))</f>
        <v>10625.993789728</v>
      </c>
      <c r="D2" s="10" t="n">
        <f aca="true">INDIRECT(ADDRESS(COLUMN()+119,ROW()+1,1,,"Cash"))</f>
        <v>6179.04992415652</v>
      </c>
      <c r="E2" s="10" t="n">
        <f aca="true">INDIRECT(ADDRESS(COLUMN()+119,ROW()+1,1,,"Cash"))</f>
        <v>571.336597237623</v>
      </c>
      <c r="F2" s="10" t="n">
        <f aca="true">INDIRECT(ADDRESS(COLUMN()+119,ROW()+1,1,,"Cash"))</f>
        <v>22479.9996472902</v>
      </c>
      <c r="G2" s="10" t="n">
        <f aca="true">INDIRECT(ADDRESS(COLUMN()+119,ROW()+1,1,,"Cash"))</f>
        <v>12198.1260454927</v>
      </c>
      <c r="H2" s="10" t="n">
        <f aca="true">INDIRECT(ADDRESS(COLUMN()+119,ROW()+1,1,,"Cash"))</f>
        <v>9807.26339670212</v>
      </c>
      <c r="I2" s="10" t="n">
        <f aca="true">INDIRECT(ADDRESS(COLUMN()+119,ROW()+1,1,,"Cash"))</f>
        <v>14346.3069361478</v>
      </c>
      <c r="J2" s="10" t="n">
        <f aca="true">INDIRECT(ADDRESS(COLUMN()+119,ROW()+1,1,,"Cash"))</f>
        <v>3652.90098284653</v>
      </c>
      <c r="K2" s="10" t="n">
        <f aca="true">INDIRECT(ADDRESS(COLUMN()+119,ROW()+1,1,,"Cash"))</f>
        <v>13446.9349563972</v>
      </c>
      <c r="L2" s="10" t="n">
        <f aca="true">INDIRECT(ADDRESS(COLUMN()+119,ROW()+1,1,,"Cash"))</f>
        <v>14744.0960988051</v>
      </c>
      <c r="M2" s="10" t="n">
        <f aca="true">INDIRECT(ADDRESS(COLUMN()+119,ROW()+1,1,,"Cash"))</f>
        <v>17958.1532890592</v>
      </c>
      <c r="N2" s="10" t="n">
        <f aca="true">INDIRECT(ADDRESS(COLUMN()+119,ROW()+1,1,,"Cash"))</f>
        <v>7813.54324196063</v>
      </c>
      <c r="O2" s="10" t="n">
        <f aca="true">INDIRECT(ADDRESS(COLUMN()+119,ROW()+1,1,,"Cash"))</f>
        <v>14360.1207732616</v>
      </c>
      <c r="P2" s="10" t="n">
        <f aca="true">INDIRECT(ADDRESS(COLUMN()+119,ROW()+1,1,,"Cash"))</f>
        <v>3118.23697464595</v>
      </c>
      <c r="Q2" s="25" t="n">
        <f aca="true">INDIRECT(ADDRESS(COLUMN()+119,ROW()+1,1,,"Cash"))</f>
        <v>5247.34459578449</v>
      </c>
      <c r="R2" s="10" t="n">
        <f aca="true">INDIRECT(ADDRESS(COLUMN()+119,ROW()+1,1,,"Cash"))</f>
        <v>14423.2689550634</v>
      </c>
      <c r="S2" s="10" t="n">
        <f aca="true">INDIRECT(ADDRESS(COLUMN()+119,ROW()+1,1,,"Cash"))</f>
        <v>56372.5182308469</v>
      </c>
      <c r="T2" s="10" t="n">
        <f aca="true">INDIRECT(ADDRESS(COLUMN()+119,ROW()+1,1,,"Cash"))</f>
        <v>4456.71689631869</v>
      </c>
      <c r="U2" s="10" t="n">
        <f aca="true">INDIRECT(ADDRESS(COLUMN()+119,ROW()+1,1,,"Cash"))</f>
        <v>17241.2735323626</v>
      </c>
      <c r="V2" s="10" t="n">
        <f aca="true">INDIRECT(ADDRESS(COLUMN()+119,ROW()+1,1,,"Cash"))</f>
        <v>4373.72178217554</v>
      </c>
      <c r="W2" s="10" t="n">
        <f aca="true">INDIRECT(ADDRESS(COLUMN()+119,ROW()+1,1,,"Cash"))</f>
        <v>21771.9721249998</v>
      </c>
      <c r="X2" s="10" t="n">
        <f aca="true">INDIRECT(ADDRESS(COLUMN()+119,ROW()+1,1,,"Cash"))</f>
        <v>14054.8780976867</v>
      </c>
    </row>
    <row r="3" customFormat="false" ht="12.8" hidden="false" customHeight="false" outlineLevel="0" collapsed="false">
      <c r="A3" s="7" t="s">
        <v>328</v>
      </c>
      <c r="B3" s="10" t="n">
        <f aca="true">INDIRECT(ADDRESS(COLUMN()+119,ROW()+1,1,,"Cash"))</f>
        <v>5.53109351589453</v>
      </c>
      <c r="C3" s="10" t="n">
        <f aca="true">INDIRECT(ADDRESS(COLUMN()+119,ROW()+1,1,,"Cash"))</f>
        <v>2.73040145997688</v>
      </c>
      <c r="D3" s="10" t="n">
        <f aca="true">INDIRECT(ADDRESS(COLUMN()+119,ROW()+1,1,,"Cash"))</f>
        <v>1.4613317284469</v>
      </c>
      <c r="E3" s="10" t="n">
        <f aca="true">INDIRECT(ADDRESS(COLUMN()+119,ROW()+1,1,,"Cash"))</f>
        <v>1</v>
      </c>
      <c r="F3" s="10" t="n">
        <f aca="true">INDIRECT(ADDRESS(COLUMN()+119,ROW()+1,1,,"Cash"))</f>
        <v>5.16393872303322</v>
      </c>
      <c r="G3" s="10" t="n">
        <f aca="true">INDIRECT(ADDRESS(COLUMN()+119,ROW()+1,1,,"Cash"))</f>
        <v>1.92823879767757</v>
      </c>
      <c r="H3" s="10" t="n">
        <f aca="true">INDIRECT(ADDRESS(COLUMN()+119,ROW()+1,1,,"Cash"))</f>
        <v>2.04401726784377</v>
      </c>
      <c r="I3" s="10" t="n">
        <f aca="true">INDIRECT(ADDRESS(COLUMN()+119,ROW()+1,1,,"Cash"))</f>
        <v>3.79329814284536</v>
      </c>
      <c r="J3" s="10" t="n">
        <f aca="true">INDIRECT(ADDRESS(COLUMN()+119,ROW()+1,1,,"Cash"))</f>
        <v>1</v>
      </c>
      <c r="K3" s="10" t="n">
        <f aca="true">INDIRECT(ADDRESS(COLUMN()+119,ROW()+1,1,,"Cash"))</f>
        <v>3.48087914991633</v>
      </c>
      <c r="L3" s="10" t="n">
        <f aca="true">INDIRECT(ADDRESS(COLUMN()+119,ROW()+1,1,,"Cash"))</f>
        <v>2.14108542587067</v>
      </c>
      <c r="M3" s="10" t="n">
        <f aca="true">INDIRECT(ADDRESS(COLUMN()+119,ROW()+1,1,,"Cash"))</f>
        <v>2.76828776850549</v>
      </c>
      <c r="N3" s="10" t="n">
        <f aca="true">INDIRECT(ADDRESS(COLUMN()+119,ROW()+1,1,,"Cash"))</f>
        <v>1.64248985046928</v>
      </c>
      <c r="O3" s="10" t="n">
        <f aca="true">INDIRECT(ADDRESS(COLUMN()+119,ROW()+1,1,,"Cash"))</f>
        <v>2.23042732084581</v>
      </c>
      <c r="P3" s="10" t="n">
        <f aca="true">INDIRECT(ADDRESS(COLUMN()+119,ROW()+1,1,,"Cash"))</f>
        <v>1</v>
      </c>
      <c r="Q3" s="25" t="n">
        <f aca="true">INDIRECT(ADDRESS(COLUMN()+119,ROW()+1,1,,"Cash"))</f>
        <v>1.04051380834605</v>
      </c>
      <c r="R3" s="10" t="n">
        <f aca="true">INDIRECT(ADDRESS(COLUMN()+119,ROW()+1,1,,"Cash"))</f>
        <v>2.06542824441762</v>
      </c>
      <c r="S3" s="10" t="n">
        <f aca="true">INDIRECT(ADDRESS(COLUMN()+119,ROW()+1,1,,"Cash"))</f>
        <v>12.6423177079445</v>
      </c>
      <c r="T3" s="10" t="n">
        <f aca="true">INDIRECT(ADDRESS(COLUMN()+119,ROW()+1,1,,"Cash"))</f>
        <v>1</v>
      </c>
      <c r="U3" s="10" t="n">
        <f aca="true">INDIRECT(ADDRESS(COLUMN()+119,ROW()+1,1,,"Cash"))</f>
        <v>4.28179647813432</v>
      </c>
      <c r="V3" s="10" t="n">
        <f aca="true">INDIRECT(ADDRESS(COLUMN()+119,ROW()+1,1,,"Cash"))</f>
        <v>1.06971614214408</v>
      </c>
      <c r="W3" s="10" t="n">
        <f aca="true">INDIRECT(ADDRESS(COLUMN()+119,ROW()+1,1,,"Cash"))</f>
        <v>7.02877168315921</v>
      </c>
      <c r="X3" s="10" t="n">
        <f aca="true">INDIRECT(ADDRESS(COLUMN()+119,ROW()+1,1,,"Cash"))</f>
        <v>4.61042121291998</v>
      </c>
    </row>
    <row r="4" customFormat="false" ht="12.8" hidden="false" customHeight="false" outlineLevel="0" collapsed="false">
      <c r="A4" s="7" t="s">
        <v>329</v>
      </c>
      <c r="B4" s="10" t="n">
        <f aca="true">INDIRECT(ADDRESS(COLUMN()+119,ROW()+1,1,,"Cash"))</f>
        <v>53.6076002273248</v>
      </c>
      <c r="C4" s="10" t="n">
        <f aca="true">INDIRECT(ADDRESS(COLUMN()+119,ROW()+1,1,,"Cash"))</f>
        <v>23.2855145425023</v>
      </c>
      <c r="D4" s="10" t="n">
        <f aca="true">INDIRECT(ADDRESS(COLUMN()+119,ROW()+1,1,,"Cash"))</f>
        <v>9.23887238448638</v>
      </c>
      <c r="E4" s="10" t="n">
        <f aca="true">INDIRECT(ADDRESS(COLUMN()+119,ROW()+1,1,,"Cash"))</f>
        <v>1.28144692266052</v>
      </c>
      <c r="F4" s="10" t="n">
        <f aca="true">INDIRECT(ADDRESS(COLUMN()+119,ROW()+1,1,,"Cash"))</f>
        <v>50.9022905610367</v>
      </c>
      <c r="G4" s="10" t="n">
        <f aca="true">INDIRECT(ADDRESS(COLUMN()+119,ROW()+1,1,,"Cash"))</f>
        <v>15.0605783968007</v>
      </c>
      <c r="H4" s="10" t="n">
        <f aca="true">INDIRECT(ADDRESS(COLUMN()+119,ROW()+1,1,,"Cash"))</f>
        <v>12.6245699626398</v>
      </c>
      <c r="I4" s="10" t="n">
        <f aca="true">INDIRECT(ADDRESS(COLUMN()+119,ROW()+1,1,,"Cash"))</f>
        <v>35.3461036328021</v>
      </c>
      <c r="J4" s="10" t="n">
        <f aca="true">INDIRECT(ADDRESS(COLUMN()+119,ROW()+1,1,,"Cash"))</f>
        <v>4.98647751087283</v>
      </c>
      <c r="K4" s="10" t="n">
        <f aca="true">INDIRECT(ADDRESS(COLUMN()+119,ROW()+1,1,,"Cash"))</f>
        <v>32.2531812819607</v>
      </c>
      <c r="L4" s="10" t="n">
        <f aca="true">INDIRECT(ADDRESS(COLUMN()+119,ROW()+1,1,,"Cash"))</f>
        <v>11.6077368885741</v>
      </c>
      <c r="M4" s="10" t="n">
        <f aca="true">INDIRECT(ADDRESS(COLUMN()+119,ROW()+1,1,,"Cash"))</f>
        <v>15.3183763366683</v>
      </c>
      <c r="N4" s="10" t="n">
        <f aca="true">INDIRECT(ADDRESS(COLUMN()+119,ROW()+1,1,,"Cash"))</f>
        <v>11.1330711054251</v>
      </c>
      <c r="O4" s="10" t="n">
        <f aca="true">INDIRECT(ADDRESS(COLUMN()+119,ROW()+1,1,,"Cash"))</f>
        <v>12.4579013920606</v>
      </c>
      <c r="P4" s="10" t="n">
        <f aca="true">INDIRECT(ADDRESS(COLUMN()+119,ROW()+1,1,,"Cash"))</f>
        <v>4.10079804748396</v>
      </c>
      <c r="Q4" s="25" t="n">
        <f aca="true">INDIRECT(ADDRESS(COLUMN()+119,ROW()+1,1,,"Cash"))</f>
        <v>6.55160360385323</v>
      </c>
      <c r="R4" s="10" t="n">
        <f aca="true">INDIRECT(ADDRESS(COLUMN()+119,ROW()+1,1,,"Cash"))</f>
        <v>11.7686584176949</v>
      </c>
      <c r="S4" s="10" t="n">
        <f aca="true">INDIRECT(ADDRESS(COLUMN()+119,ROW()+1,1,,"Cash"))</f>
        <v>120.722917780458</v>
      </c>
      <c r="T4" s="10" t="n">
        <f aca="true">INDIRECT(ADDRESS(COLUMN()+119,ROW()+1,1,,"Cash"))</f>
        <v>3.97169569907036</v>
      </c>
      <c r="U4" s="10" t="n">
        <f aca="true">INDIRECT(ADDRESS(COLUMN()+119,ROW()+1,1,,"Cash"))</f>
        <v>40.9663911023299</v>
      </c>
      <c r="V4" s="10" t="n">
        <f aca="true">INDIRECT(ADDRESS(COLUMN()+119,ROW()+1,1,,"Cash"))</f>
        <v>6.01662425732817</v>
      </c>
      <c r="W4" s="10" t="n">
        <f aca="true">INDIRECT(ADDRESS(COLUMN()+119,ROW()+1,1,,"Cash"))</f>
        <v>68.9478471297825</v>
      </c>
      <c r="X4" s="10" t="n">
        <f aca="true">INDIRECT(ADDRESS(COLUMN()+119,ROW()+1,1,,"Cash"))</f>
        <v>45.1403386141948</v>
      </c>
    </row>
    <row r="5" customFormat="false" ht="12.8" hidden="false" customHeight="false" outlineLevel="0" collapsed="false">
      <c r="A5" s="1" t="s">
        <v>330</v>
      </c>
      <c r="B5" s="10" t="n">
        <f aca="true">INDIRECT(ADDRESS(COLUMN()+119,ROW()+1,1,,"Cash"))</f>
        <v>236.152227990427</v>
      </c>
      <c r="C5" s="10" t="n">
        <f aca="true">INDIRECT(ADDRESS(COLUMN()+119,ROW()+1,1,,"Cash"))</f>
        <v>45.262277324468</v>
      </c>
      <c r="D5" s="10" t="n">
        <f aca="true">INDIRECT(ADDRESS(COLUMN()+119,ROW()+1,1,,"Cash"))</f>
        <v>30.5149496621293</v>
      </c>
      <c r="E5" s="10" t="n">
        <f aca="true">INDIRECT(ADDRESS(COLUMN()+119,ROW()+1,1,,"Cash"))</f>
        <v>3.69568087122037</v>
      </c>
      <c r="F5" s="10" t="n">
        <f aca="true">INDIRECT(ADDRESS(COLUMN()+119,ROW()+1,1,,"Cash"))</f>
        <v>163.283085391049</v>
      </c>
      <c r="G5" s="10" t="n">
        <f aca="true">INDIRECT(ADDRESS(COLUMN()+119,ROW()+1,1,,"Cash"))</f>
        <v>44.4000987262241</v>
      </c>
      <c r="H5" s="10" t="n">
        <f aca="true">INDIRECT(ADDRESS(COLUMN()+119,ROW()+1,1,,"Cash"))</f>
        <v>43.1200929645503</v>
      </c>
      <c r="I5" s="10" t="n">
        <f aca="true">INDIRECT(ADDRESS(COLUMN()+119,ROW()+1,1,,"Cash"))</f>
        <v>98.1601766953004</v>
      </c>
      <c r="J5" s="10" t="n">
        <f aca="true">INDIRECT(ADDRESS(COLUMN()+119,ROW()+1,1,,"Cash"))</f>
        <v>13.904315112756</v>
      </c>
      <c r="K5" s="10" t="n">
        <f aca="true">INDIRECT(ADDRESS(COLUMN()+119,ROW()+1,1,,"Cash"))</f>
        <v>83.8370666924967</v>
      </c>
      <c r="L5" s="10" t="n">
        <f aca="true">INDIRECT(ADDRESS(COLUMN()+119,ROW()+1,1,,"Cash"))</f>
        <v>38.7218837399135</v>
      </c>
      <c r="M5" s="10" t="n">
        <f aca="true">INDIRECT(ADDRESS(COLUMN()+119,ROW()+1,1,,"Cash"))</f>
        <v>73.860917044898</v>
      </c>
      <c r="N5" s="10" t="n">
        <f aca="true">INDIRECT(ADDRESS(COLUMN()+119,ROW()+1,1,,"Cash"))</f>
        <v>28.9811067201241</v>
      </c>
      <c r="O5" s="10" t="n">
        <f aca="true">INDIRECT(ADDRESS(COLUMN()+119,ROW()+1,1,,"Cash"))</f>
        <v>53.0084732857097</v>
      </c>
      <c r="P5" s="10" t="n">
        <f aca="true">INDIRECT(ADDRESS(COLUMN()+119,ROW()+1,1,,"Cash"))</f>
        <v>11.4346827277701</v>
      </c>
      <c r="Q5" s="25" t="n">
        <f aca="true">INDIRECT(ADDRESS(COLUMN()+119,ROW()+1,1,,"Cash"))</f>
        <v>20.6390654818574</v>
      </c>
      <c r="R5" s="10" t="n">
        <f aca="true">INDIRECT(ADDRESS(COLUMN()+119,ROW()+1,1,,"Cash"))</f>
        <v>51.5632750902248</v>
      </c>
      <c r="S5" s="10" t="n">
        <f aca="true">INDIRECT(ADDRESS(COLUMN()+119,ROW()+1,1,,"Cash"))</f>
        <v>648.595067562106</v>
      </c>
      <c r="T5" s="10" t="n">
        <f aca="true">INDIRECT(ADDRESS(COLUMN()+119,ROW()+1,1,,"Cash"))</f>
        <v>11.1147096170551</v>
      </c>
      <c r="U5" s="10" t="n">
        <f aca="true">INDIRECT(ADDRESS(COLUMN()+119,ROW()+1,1,,"Cash"))</f>
        <v>115.640169305768</v>
      </c>
      <c r="V5" s="10" t="n">
        <f aca="true">INDIRECT(ADDRESS(COLUMN()+119,ROW()+1,1,,"Cash"))</f>
        <v>15.6622039009116</v>
      </c>
      <c r="W5" s="10" t="n">
        <f aca="true">INDIRECT(ADDRESS(COLUMN()+119,ROW()+1,1,,"Cash"))</f>
        <v>336.907012976733</v>
      </c>
      <c r="X5" s="10" t="n">
        <f aca="true">INDIRECT(ADDRESS(COLUMN()+119,ROW()+1,1,,"Cash"))</f>
        <v>158.563304146541</v>
      </c>
    </row>
    <row r="6" customFormat="false" ht="12.8" hidden="false" customHeight="false" outlineLevel="0" collapsed="false">
      <c r="A6" s="1" t="s">
        <v>331</v>
      </c>
      <c r="B6" s="10" t="n">
        <f aca="true">INDIRECT(ADDRESS(COLUMN()+119,ROW()+1,1,,"Cash"))</f>
        <v>4788.66080504853</v>
      </c>
      <c r="C6" s="10" t="n">
        <f aca="true">INDIRECT(ADDRESS(COLUMN()+119,ROW()+1,1,,"Cash"))</f>
        <v>49.4715548276144</v>
      </c>
      <c r="D6" s="10" t="n">
        <f aca="true">INDIRECT(ADDRESS(COLUMN()+119,ROW()+1,1,,"Cash"))</f>
        <v>7.34622327553481</v>
      </c>
      <c r="E6" s="10" t="n">
        <f aca="true">INDIRECT(ADDRESS(COLUMN()+119,ROW()+1,1,,"Cash"))</f>
        <v>1.02911854385632</v>
      </c>
      <c r="F6" s="10" t="n">
        <f aca="true">INDIRECT(ADDRESS(COLUMN()+119,ROW()+1,1,,"Cash"))</f>
        <v>87.841593866368</v>
      </c>
      <c r="G6" s="10" t="n">
        <f aca="true">INDIRECT(ADDRESS(COLUMN()+119,ROW()+1,1,,"Cash"))</f>
        <v>13.9154597154763</v>
      </c>
      <c r="H6" s="10" t="n">
        <f aca="true">INDIRECT(ADDRESS(COLUMN()+119,ROW()+1,1,,"Cash"))</f>
        <v>26.0191939398998</v>
      </c>
      <c r="I6" s="10" t="n">
        <f aca="true">INDIRECT(ADDRESS(COLUMN()+119,ROW()+1,1,,"Cash"))</f>
        <v>984.34194645867</v>
      </c>
      <c r="J6" s="10" t="n">
        <f aca="true">INDIRECT(ADDRESS(COLUMN()+119,ROW()+1,1,,"Cash"))</f>
        <v>4.19949072901486</v>
      </c>
      <c r="K6" s="10" t="n">
        <f aca="true">INDIRECT(ADDRESS(COLUMN()+119,ROW()+1,1,,"Cash"))</f>
        <v>26.9285771447941</v>
      </c>
      <c r="L6" s="10" t="n">
        <f aca="true">INDIRECT(ADDRESS(COLUMN()+119,ROW()+1,1,,"Cash"))</f>
        <v>9.24859836384273</v>
      </c>
      <c r="M6" s="10" t="n">
        <f aca="true">INDIRECT(ADDRESS(COLUMN()+119,ROW()+1,1,,"Cash"))</f>
        <v>16.670006482051</v>
      </c>
      <c r="N6" s="10" t="n">
        <f aca="true">INDIRECT(ADDRESS(COLUMN()+119,ROW()+1,1,,"Cash"))</f>
        <v>9.17434197106633</v>
      </c>
      <c r="O6" s="10" t="n">
        <f aca="true">INDIRECT(ADDRESS(COLUMN()+119,ROW()+1,1,,"Cash"))</f>
        <v>20.3046011609796</v>
      </c>
      <c r="P6" s="10" t="n">
        <f aca="true">INDIRECT(ADDRESS(COLUMN()+119,ROW()+1,1,,"Cash"))</f>
        <v>3.18672008232694</v>
      </c>
      <c r="Q6" s="25" t="n">
        <f aca="true">INDIRECT(ADDRESS(COLUMN()+119,ROW()+1,1,,"Cash"))</f>
        <v>156.673455182726</v>
      </c>
      <c r="R6" s="10" t="n">
        <f aca="true">INDIRECT(ADDRESS(COLUMN()+119,ROW()+1,1,,"Cash"))</f>
        <v>40.1001619369899</v>
      </c>
      <c r="S6" s="10" t="n">
        <f aca="true">INDIRECT(ADDRESS(COLUMN()+119,ROW()+1,1,,"Cash"))</f>
        <v>1014.08468835744</v>
      </c>
      <c r="T6" s="10" t="n">
        <f aca="true">INDIRECT(ADDRESS(COLUMN()+119,ROW()+1,1,,"Cash"))</f>
        <v>1.61448185006232</v>
      </c>
      <c r="U6" s="10" t="n">
        <f aca="true">INDIRECT(ADDRESS(COLUMN()+119,ROW()+1,1,,"Cash"))</f>
        <v>31.698609988398</v>
      </c>
      <c r="V6" s="10" t="n">
        <f aca="true">INDIRECT(ADDRESS(COLUMN()+119,ROW()+1,1,,"Cash"))</f>
        <v>11.0559388070491</v>
      </c>
      <c r="W6" s="10" t="n">
        <f aca="true">INDIRECT(ADDRESS(COLUMN()+119,ROW()+1,1,,"Cash"))</f>
        <v>94.1064177528794</v>
      </c>
      <c r="X6" s="10" t="n">
        <f aca="true">INDIRECT(ADDRESS(COLUMN()+119,ROW()+1,1,,"Cash"))</f>
        <v>50.1920456056087</v>
      </c>
    </row>
    <row r="7" customFormat="false" ht="12.8" hidden="false" customHeight="false" outlineLevel="0" collapsed="false">
      <c r="A7" s="1" t="s">
        <v>332</v>
      </c>
      <c r="B7" s="10" t="n">
        <f aca="true">INDIRECT(ADDRESS(COLUMN()+119,ROW()+1,1,,"Cash"))</f>
        <v>100</v>
      </c>
      <c r="C7" s="10" t="n">
        <f aca="true">INDIRECT(ADDRESS(COLUMN()+119,ROW()+1,1,,"Cash"))</f>
        <v>100</v>
      </c>
      <c r="D7" s="10" t="n">
        <f aca="true">INDIRECT(ADDRESS(COLUMN()+119,ROW()+1,1,,"Cash"))</f>
        <v>100</v>
      </c>
      <c r="E7" s="10" t="n">
        <f aca="true">INDIRECT(ADDRESS(COLUMN()+119,ROW()+1,1,,"Cash"))</f>
        <v>100</v>
      </c>
      <c r="F7" s="10" t="n">
        <f aca="true">INDIRECT(ADDRESS(COLUMN()+119,ROW()+1,1,,"Cash"))</f>
        <v>100</v>
      </c>
      <c r="G7" s="10" t="n">
        <f aca="true">INDIRECT(ADDRESS(COLUMN()+119,ROW()+1,1,,"Cash"))</f>
        <v>100</v>
      </c>
      <c r="H7" s="10" t="n">
        <f aca="true">INDIRECT(ADDRESS(COLUMN()+119,ROW()+1,1,,"Cash"))</f>
        <v>100</v>
      </c>
      <c r="I7" s="10" t="n">
        <f aca="true">INDIRECT(ADDRESS(COLUMN()+119,ROW()+1,1,,"Cash"))</f>
        <v>100</v>
      </c>
      <c r="J7" s="10" t="n">
        <f aca="true">INDIRECT(ADDRESS(COLUMN()+119,ROW()+1,1,,"Cash"))</f>
        <v>100</v>
      </c>
      <c r="K7" s="10" t="n">
        <f aca="true">INDIRECT(ADDRESS(COLUMN()+119,ROW()+1,1,,"Cash"))</f>
        <v>100</v>
      </c>
      <c r="L7" s="10" t="n">
        <f aca="true">INDIRECT(ADDRESS(COLUMN()+119,ROW()+1,1,,"Cash"))</f>
        <v>100</v>
      </c>
      <c r="M7" s="10" t="n">
        <f aca="true">INDIRECT(ADDRESS(COLUMN()+119,ROW()+1,1,,"Cash"))</f>
        <v>100</v>
      </c>
      <c r="N7" s="10" t="n">
        <f aca="true">INDIRECT(ADDRESS(COLUMN()+119,ROW()+1,1,,"Cash"))</f>
        <v>100</v>
      </c>
      <c r="O7" s="10" t="n">
        <f aca="true">INDIRECT(ADDRESS(COLUMN()+119,ROW()+1,1,,"Cash"))</f>
        <v>100</v>
      </c>
      <c r="P7" s="10" t="n">
        <f aca="true">INDIRECT(ADDRESS(COLUMN()+119,ROW()+1,1,,"Cash"))</f>
        <v>100</v>
      </c>
      <c r="Q7" s="25" t="n">
        <f aca="true">INDIRECT(ADDRESS(COLUMN()+119,ROW()+1,1,,"Cash"))</f>
        <v>100</v>
      </c>
      <c r="R7" s="10" t="n">
        <f aca="true">INDIRECT(ADDRESS(COLUMN()+119,ROW()+1,1,,"Cash"))</f>
        <v>100</v>
      </c>
      <c r="S7" s="10" t="n">
        <f aca="true">INDIRECT(ADDRESS(COLUMN()+119,ROW()+1,1,,"Cash"))</f>
        <v>100</v>
      </c>
      <c r="T7" s="10" t="n">
        <f aca="true">INDIRECT(ADDRESS(COLUMN()+119,ROW()+1,1,,"Cash"))</f>
        <v>100</v>
      </c>
      <c r="U7" s="10" t="n">
        <f aca="true">INDIRECT(ADDRESS(COLUMN()+119,ROW()+1,1,,"Cash"))</f>
        <v>100</v>
      </c>
      <c r="V7" s="10" t="n">
        <f aca="true">INDIRECT(ADDRESS(COLUMN()+119,ROW()+1,1,,"Cash"))</f>
        <v>100</v>
      </c>
      <c r="W7" s="10" t="n">
        <f aca="true">INDIRECT(ADDRESS(COLUMN()+119,ROW()+1,1,,"Cash"))</f>
        <v>100</v>
      </c>
      <c r="X7" s="10" t="n">
        <f aca="true">INDIRECT(ADDRESS(COLUMN()+119,ROW()+1,1,,"Cash"))</f>
        <v>100</v>
      </c>
    </row>
    <row r="8" customFormat="false" ht="12.8" hidden="false" customHeight="false" outlineLevel="0" collapsed="false">
      <c r="A8" s="1" t="s">
        <v>333</v>
      </c>
      <c r="B8" s="10" t="n">
        <f aca="true">INDIRECT(ADDRESS(COLUMN()+119,ROW()+1,1,,"Cash"))</f>
        <v>1060.84991987665</v>
      </c>
      <c r="C8" s="10" t="n">
        <f aca="true">INDIRECT(ADDRESS(COLUMN()+119,ROW()+1,1,,"Cash"))</f>
        <v>515.72303581846</v>
      </c>
      <c r="D8" s="10" t="n">
        <f aca="true">INDIRECT(ADDRESS(COLUMN()+119,ROW()+1,1,,"Cash"))</f>
        <v>1106.41254974413</v>
      </c>
      <c r="E8" s="10" t="n">
        <f aca="true">INDIRECT(ADDRESS(COLUMN()+119,ROW()+1,1,,"Cash"))</f>
        <v>124.259182733423</v>
      </c>
      <c r="F8" s="10" t="n">
        <f aca="true">INDIRECT(ADDRESS(COLUMN()+119,ROW()+1,1,,"Cash"))</f>
        <v>1356.22976455885</v>
      </c>
      <c r="G8" s="10" t="n">
        <f aca="true">INDIRECT(ADDRESS(COLUMN()+119,ROW()+1,1,,"Cash"))</f>
        <v>2136.97553266699</v>
      </c>
      <c r="H8" s="10" t="n">
        <f aca="true">INDIRECT(ADDRESS(COLUMN()+119,ROW()+1,1,,"Cash"))</f>
        <v>1549.24857972125</v>
      </c>
      <c r="I8" s="10" t="n">
        <f aca="true">INDIRECT(ADDRESS(COLUMN()+119,ROW()+1,1,,"Cash"))</f>
        <v>671.031261798088</v>
      </c>
      <c r="J8" s="10" t="n">
        <f aca="true">INDIRECT(ADDRESS(COLUMN()+119,ROW()+1,1,,"Cash"))</f>
        <v>902.623189571774</v>
      </c>
      <c r="K8" s="10" t="n">
        <f aca="true">INDIRECT(ADDRESS(COLUMN()+119,ROW()+1,1,,"Cash"))</f>
        <v>921.827700387611</v>
      </c>
      <c r="L8" s="10" t="n">
        <f aca="true">INDIRECT(ADDRESS(COLUMN()+119,ROW()+1,1,,"Cash"))</f>
        <v>1189.77135642509</v>
      </c>
      <c r="M8" s="10" t="n">
        <f aca="true">INDIRECT(ADDRESS(COLUMN()+119,ROW()+1,1,,"Cash"))</f>
        <v>1323.74982993981</v>
      </c>
      <c r="N8" s="10" t="n">
        <f aca="true">INDIRECT(ADDRESS(COLUMN()+119,ROW()+1,1,,"Cash"))</f>
        <v>1673.79046626744</v>
      </c>
      <c r="O8" s="10" t="n">
        <f aca="true">INDIRECT(ADDRESS(COLUMN()+119,ROW()+1,1,,"Cash"))</f>
        <v>1134.48222782511</v>
      </c>
      <c r="P8" s="10" t="n">
        <f aca="true">INDIRECT(ADDRESS(COLUMN()+119,ROW()+1,1,,"Cash"))</f>
        <v>967.764034898189</v>
      </c>
      <c r="Q8" s="25" t="n">
        <f aca="true">INDIRECT(ADDRESS(COLUMN()+119,ROW()+1,1,,"Cash"))</f>
        <v>757.157631586537</v>
      </c>
      <c r="R8" s="10" t="n">
        <f aca="true">INDIRECT(ADDRESS(COLUMN()+119,ROW()+1,1,,"Cash"))</f>
        <v>1634.40986030682</v>
      </c>
      <c r="S8" s="10" t="n">
        <f aca="true">INDIRECT(ADDRESS(COLUMN()+119,ROW()+1,1,,"Cash"))</f>
        <v>3203.37164371916</v>
      </c>
      <c r="T8" s="10" t="n">
        <f aca="true">INDIRECT(ADDRESS(COLUMN()+119,ROW()+1,1,,"Cash"))</f>
        <v>796.068830139477</v>
      </c>
      <c r="U8" s="10" t="n">
        <f aca="true">INDIRECT(ADDRESS(COLUMN()+119,ROW()+1,1,,"Cash"))</f>
        <v>1250.09934625073</v>
      </c>
      <c r="V8" s="10" t="n">
        <f aca="true">INDIRECT(ADDRESS(COLUMN()+119,ROW()+1,1,,"Cash"))</f>
        <v>1430.95989350134</v>
      </c>
      <c r="W8" s="10" t="n">
        <f aca="true">INDIRECT(ADDRESS(COLUMN()+119,ROW()+1,1,,"Cash"))</f>
        <v>1456.21379687856</v>
      </c>
      <c r="X8" s="10" t="n">
        <f aca="true">INDIRECT(ADDRESS(COLUMN()+119,ROW()+1,1,,"Cash"))</f>
        <v>1175.42695088</v>
      </c>
    </row>
    <row r="9" customFormat="false" ht="12.8" hidden="false" customHeight="false" outlineLevel="0" collapsed="false">
      <c r="A9" s="1" t="s">
        <v>334</v>
      </c>
      <c r="B9" s="10" t="n">
        <f aca="true">INDIRECT(ADDRESS(COLUMN()+119,ROW()+1,1,,"Cash"))</f>
        <v>1165.91474515582</v>
      </c>
      <c r="C9" s="10" t="n">
        <f aca="true">INDIRECT(ADDRESS(COLUMN()+119,ROW()+1,1,,"Cash"))</f>
        <v>562.24077285121</v>
      </c>
      <c r="D9" s="10" t="n">
        <f aca="true">INDIRECT(ADDRESS(COLUMN()+119,ROW()+1,1,,"Cash"))</f>
        <v>1786.89955933833</v>
      </c>
      <c r="E9" s="10" t="n">
        <f aca="true">INDIRECT(ADDRESS(COLUMN()+119,ROW()+1,1,,"Cash"))</f>
        <v>242.329424160383</v>
      </c>
      <c r="F9" s="10" t="n">
        <f aca="true">INDIRECT(ADDRESS(COLUMN()+119,ROW()+1,1,,"Cash"))</f>
        <v>1549.0536314603</v>
      </c>
      <c r="G9" s="10" t="n">
        <f aca="true">INDIRECT(ADDRESS(COLUMN()+119,ROW()+1,1,,"Cash"))</f>
        <v>2316.95428775247</v>
      </c>
      <c r="H9" s="10" t="n">
        <f aca="true">INDIRECT(ADDRESS(COLUMN()+119,ROW()+1,1,,"Cash"))</f>
        <v>2262.21780910012</v>
      </c>
      <c r="I9" s="10" t="n">
        <f aca="true">INDIRECT(ADDRESS(COLUMN()+119,ROW()+1,1,,"Cash"))</f>
        <v>1318.45746011744</v>
      </c>
      <c r="J9" s="10" t="n">
        <f aca="true">INDIRECT(ADDRESS(COLUMN()+119,ROW()+1,1,,"Cash"))</f>
        <v>1224.61977667623</v>
      </c>
      <c r="K9" s="10" t="n">
        <f aca="true">INDIRECT(ADDRESS(COLUMN()+119,ROW()+1,1,,"Cash"))</f>
        <v>958.963563033956</v>
      </c>
      <c r="L9" s="10" t="n">
        <f aca="true">INDIRECT(ADDRESS(COLUMN()+119,ROW()+1,1,,"Cash"))</f>
        <v>1156.57257665215</v>
      </c>
      <c r="M9" s="10" t="n">
        <f aca="true">INDIRECT(ADDRESS(COLUMN()+119,ROW()+1,1,,"Cash"))</f>
        <v>1742.89121114086</v>
      </c>
      <c r="N9" s="10" t="n">
        <f aca="true">INDIRECT(ADDRESS(COLUMN()+119,ROW()+1,1,,"Cash"))</f>
        <v>2097.99396912658</v>
      </c>
      <c r="O9" s="10" t="n">
        <f aca="true">INDIRECT(ADDRESS(COLUMN()+119,ROW()+1,1,,"Cash"))</f>
        <v>1509.3244408583</v>
      </c>
      <c r="P9" s="10" t="n">
        <f aca="true">INDIRECT(ADDRESS(COLUMN()+119,ROW()+1,1,,"Cash"))</f>
        <v>925.711759405132</v>
      </c>
      <c r="Q9" s="25" t="n">
        <f aca="true">INDIRECT(ADDRESS(COLUMN()+119,ROW()+1,1,,"Cash"))</f>
        <v>1153.8417028766</v>
      </c>
      <c r="R9" s="10" t="n">
        <f aca="true">INDIRECT(ADDRESS(COLUMN()+119,ROW()+1,1,,"Cash"))</f>
        <v>1938.15309536419</v>
      </c>
      <c r="S9" s="10" t="n">
        <f aca="true">INDIRECT(ADDRESS(COLUMN()+119,ROW()+1,1,,"Cash"))</f>
        <v>3589.63838585337</v>
      </c>
      <c r="T9" s="10" t="n">
        <f aca="true">INDIRECT(ADDRESS(COLUMN()+119,ROW()+1,1,,"Cash"))</f>
        <v>428.599766108355</v>
      </c>
      <c r="U9" s="10" t="n">
        <f aca="true">INDIRECT(ADDRESS(COLUMN()+119,ROW()+1,1,,"Cash"))</f>
        <v>1121.37958650936</v>
      </c>
      <c r="V9" s="10" t="n">
        <f aca="true">INDIRECT(ADDRESS(COLUMN()+119,ROW()+1,1,,"Cash"))</f>
        <v>1101.60709481192</v>
      </c>
      <c r="W9" s="10" t="n">
        <f aca="true">INDIRECT(ADDRESS(COLUMN()+119,ROW()+1,1,,"Cash"))</f>
        <v>1524.61608987604</v>
      </c>
      <c r="X9" s="10" t="n">
        <f aca="true">INDIRECT(ADDRESS(COLUMN()+119,ROW()+1,1,,"Cash"))</f>
        <v>540.492596351911</v>
      </c>
    </row>
    <row r="10" customFormat="false" ht="12.8" hidden="false" customHeight="false" outlineLevel="0" collapsed="false">
      <c r="A10" s="1" t="s">
        <v>52</v>
      </c>
      <c r="B10" s="10" t="n">
        <f aca="true">INDIRECT(ADDRESS(COLUMN()+119,ROW()+1,1,,"Cash"))</f>
        <v>14530.1698450756</v>
      </c>
      <c r="C10" s="10" t="n">
        <f aca="true">INDIRECT(ADDRESS(COLUMN()+119,ROW()+1,1,,"Cash"))</f>
        <v>8364.71524904818</v>
      </c>
      <c r="D10" s="10" t="n">
        <f aca="true">INDIRECT(ADDRESS(COLUMN()+119,ROW()+1,1,,"Cash"))</f>
        <v>6473.53377660761</v>
      </c>
      <c r="E10" s="10" t="n">
        <f aca="true">INDIRECT(ADDRESS(COLUMN()+119,ROW()+1,1,,"Cash"))</f>
        <v>2200.53834497448</v>
      </c>
      <c r="F10" s="10" t="n">
        <f aca="true">INDIRECT(ADDRESS(COLUMN()+119,ROW()+1,1,,"Cash"))</f>
        <v>15122.6242440034</v>
      </c>
      <c r="G10" s="10" t="n">
        <f aca="true">INDIRECT(ADDRESS(COLUMN()+119,ROW()+1,1,,"Cash"))</f>
        <v>11493.4594714975</v>
      </c>
      <c r="H10" s="10" t="n">
        <f aca="true">INDIRECT(ADDRESS(COLUMN()+119,ROW()+1,1,,"Cash"))</f>
        <v>9805.65151248811</v>
      </c>
      <c r="I10" s="10" t="n">
        <f aca="true">INDIRECT(ADDRESS(COLUMN()+119,ROW()+1,1,,"Cash"))</f>
        <v>12343.6530702335</v>
      </c>
      <c r="J10" s="10" t="n">
        <f aca="true">INDIRECT(ADDRESS(COLUMN()+119,ROW()+1,1,,"Cash"))</f>
        <v>5404.20793846093</v>
      </c>
      <c r="K10" s="10" t="n">
        <f aca="true">INDIRECT(ADDRESS(COLUMN()+119,ROW()+1,1,,"Cash"))</f>
        <v>11446.4110685561</v>
      </c>
      <c r="L10" s="10" t="n">
        <f aca="true">INDIRECT(ADDRESS(COLUMN()+119,ROW()+1,1,,"Cash"))</f>
        <v>14441.2352313885</v>
      </c>
      <c r="M10" s="10" t="n">
        <f aca="true">INDIRECT(ADDRESS(COLUMN()+119,ROW()+1,1,,"Cash"))</f>
        <v>18250.0114283349</v>
      </c>
      <c r="N10" s="10" t="n">
        <f aca="true">INDIRECT(ADDRESS(COLUMN()+119,ROW()+1,1,,"Cash"))</f>
        <v>7991.10060121932</v>
      </c>
      <c r="O10" s="10" t="n">
        <f aca="true">INDIRECT(ADDRESS(COLUMN()+119,ROW()+1,1,,"Cash"))</f>
        <v>14133.5374298332</v>
      </c>
      <c r="P10" s="10" t="n">
        <f aca="true">INDIRECT(ADDRESS(COLUMN()+119,ROW()+1,1,,"Cash"))</f>
        <v>5027.94218316605</v>
      </c>
      <c r="Q10" s="25" t="n">
        <f aca="true">INDIRECT(ADDRESS(COLUMN()+119,ROW()+1,1,,"Cash"))</f>
        <v>5082.69983788</v>
      </c>
      <c r="R10" s="10" t="n">
        <f aca="true">INDIRECT(ADDRESS(COLUMN()+119,ROW()+1,1,,"Cash"))</f>
        <v>11598.5111041128</v>
      </c>
      <c r="S10" s="10" t="n">
        <f aca="true">INDIRECT(ADDRESS(COLUMN()+119,ROW()+1,1,,"Cash"))</f>
        <v>40746.4992214874</v>
      </c>
      <c r="T10" s="10" t="n">
        <f aca="true">INDIRECT(ADDRESS(COLUMN()+119,ROW()+1,1,,"Cash"))</f>
        <v>5789.68377417708</v>
      </c>
      <c r="U10" s="10" t="n">
        <f aca="true">INDIRECT(ADDRESS(COLUMN()+119,ROW()+1,1,,"Cash"))</f>
        <v>13162.1881692956</v>
      </c>
      <c r="V10" s="10" t="n">
        <f aca="true">INDIRECT(ADDRESS(COLUMN()+119,ROW()+1,1,,"Cash"))</f>
        <v>6278.62556336091</v>
      </c>
      <c r="W10" s="10" t="n">
        <f aca="true">INDIRECT(ADDRESS(COLUMN()+119,ROW()+1,1,,"Cash"))</f>
        <v>18304.7455931066</v>
      </c>
      <c r="X10" s="10" t="n">
        <f aca="true">INDIRECT(ADDRESS(COLUMN()+119,ROW()+1,1,,"Cash"))</f>
        <v>11826.4313126865</v>
      </c>
    </row>
    <row r="11" customFormat="false" ht="12.8" hidden="false" customHeight="false" outlineLevel="0" collapsed="false">
      <c r="A11" s="2" t="s">
        <v>53</v>
      </c>
      <c r="B11" s="10" t="n">
        <f aca="true">INDIRECT(ADDRESS(COLUMN()+119,ROW()+1,1,,"Cash"))</f>
        <v>79369.1717927925</v>
      </c>
      <c r="C11" s="10" t="n">
        <f aca="true">INDIRECT(ADDRESS(COLUMN()+119,ROW()+1,1,,"Cash"))</f>
        <v>30207.9109104842</v>
      </c>
      <c r="D11" s="10" t="n">
        <f aca="true">INDIRECT(ADDRESS(COLUMN()+119,ROW()+1,1,,"Cash"))</f>
        <v>22311.0491223187</v>
      </c>
      <c r="E11" s="10" t="n">
        <f aca="true">INDIRECT(ADDRESS(COLUMN()+119,ROW()+1,1,,"Cash"))</f>
        <v>6656.02957899286</v>
      </c>
      <c r="F11" s="10" t="n">
        <f aca="true">INDIRECT(ADDRESS(COLUMN()+119,ROW()+1,1,,"Cash"))</f>
        <v>60720.0751099874</v>
      </c>
      <c r="G11" s="10" t="n">
        <f aca="true">INDIRECT(ADDRESS(COLUMN()+119,ROW()+1,1,,"Cash"))</f>
        <v>36404.0801649862</v>
      </c>
      <c r="H11" s="10" t="n">
        <f aca="true">INDIRECT(ADDRESS(COLUMN()+119,ROW()+1,1,,"Cash"))</f>
        <v>30704.3915917471</v>
      </c>
      <c r="I11" s="10" t="n">
        <f aca="true">INDIRECT(ADDRESS(COLUMN()+119,ROW()+1,1,,"Cash"))</f>
        <v>41723.6772677688</v>
      </c>
      <c r="J11" s="10" t="n">
        <f aca="true">INDIRECT(ADDRESS(COLUMN()+119,ROW()+1,1,,"Cash"))</f>
        <v>15775.1002407826</v>
      </c>
      <c r="K11" s="10" t="n">
        <f aca="true">INDIRECT(ADDRESS(COLUMN()+119,ROW()+1,1,,"Cash"))</f>
        <v>37824.7356331624</v>
      </c>
      <c r="L11" s="10" t="n">
        <f aca="true">INDIRECT(ADDRESS(COLUMN()+119,ROW()+1,1,,"Cash"))</f>
        <v>33824.8267774197</v>
      </c>
      <c r="M11" s="10" t="n">
        <f aca="true">INDIRECT(ADDRESS(COLUMN()+119,ROW()+1,1,,"Cash"))</f>
        <v>45271.0397934975</v>
      </c>
      <c r="N11" s="10" t="n">
        <f aca="true">INDIRECT(ADDRESS(COLUMN()+119,ROW()+1,1,,"Cash"))</f>
        <v>21703.9119026504</v>
      </c>
      <c r="O11" s="10" t="n">
        <f aca="true">INDIRECT(ADDRESS(COLUMN()+119,ROW()+1,1,,"Cash"))</f>
        <v>35767.3314088143</v>
      </c>
      <c r="P11" s="10" t="n">
        <f aca="true">INDIRECT(ADDRESS(COLUMN()+119,ROW()+1,1,,"Cash"))</f>
        <v>14891.7931450977</v>
      </c>
      <c r="Q11" s="25" t="n">
        <f aca="true">INDIRECT(ADDRESS(COLUMN()+119,ROW()+1,1,,"Cash"))</f>
        <v>15266.6372328003</v>
      </c>
      <c r="R11" s="10" t="n">
        <f aca="true">INDIRECT(ADDRESS(COLUMN()+119,ROW()+1,1,,"Cash"))</f>
        <v>34698.2211173806</v>
      </c>
      <c r="S11" s="10" t="n">
        <f aca="true">INDIRECT(ADDRESS(COLUMN()+119,ROW()+1,1,,"Cash"))</f>
        <v>144695.043518582</v>
      </c>
      <c r="T11" s="10" t="n">
        <f aca="true">INDIRECT(ADDRESS(COLUMN()+119,ROW()+1,1,,"Cash"))</f>
        <v>14590.4863703744</v>
      </c>
      <c r="U11" s="10" t="n">
        <f aca="true">INDIRECT(ADDRESS(COLUMN()+119,ROW()+1,1,,"Cash"))</f>
        <v>48600.9560462033</v>
      </c>
      <c r="V11" s="10" t="n">
        <f aca="true">INDIRECT(ADDRESS(COLUMN()+119,ROW()+1,1,,"Cash"))</f>
        <v>20354.8730958335</v>
      </c>
      <c r="W11" s="10" t="n">
        <f aca="true">INDIRECT(ADDRESS(COLUMN()+119,ROW()+1,1,,"Cash"))</f>
        <v>101472.044563677</v>
      </c>
      <c r="X11" s="10" t="n">
        <f aca="true">INDIRECT(ADDRESS(COLUMN()+119,ROW()+1,1,,"Cash"))</f>
        <v>66181.4101962987</v>
      </c>
    </row>
    <row r="12" customFormat="false" ht="12.8" hidden="false" customHeight="false" outlineLevel="0" collapsed="false">
      <c r="A12" s="1" t="s">
        <v>54</v>
      </c>
      <c r="B12" s="10" t="n">
        <f aca="true">INDIRECT(ADDRESS(COLUMN()+119,ROW()+1,1,,"Cash"))</f>
        <v>57903.3940863881</v>
      </c>
      <c r="C12" s="10" t="n">
        <f aca="true">INDIRECT(ADDRESS(COLUMN()+119,ROW()+1,1,,"Cash"))</f>
        <v>20644.1390601721</v>
      </c>
      <c r="D12" s="10" t="n">
        <f aca="true">INDIRECT(ADDRESS(COLUMN()+119,ROW()+1,1,,"Cash"))</f>
        <v>15162.0046944655</v>
      </c>
      <c r="E12" s="10" t="n">
        <f aca="true">INDIRECT(ADDRESS(COLUMN()+119,ROW()+1,1,,"Cash"))</f>
        <v>4459.3548411311</v>
      </c>
      <c r="F12" s="10" t="n">
        <f aca="true">INDIRECT(ADDRESS(COLUMN()+119,ROW()+1,1,,"Cash"))</f>
        <v>42076.8216609651</v>
      </c>
      <c r="G12" s="10" t="n">
        <f aca="true">INDIRECT(ADDRESS(COLUMN()+119,ROW()+1,1,,"Cash"))</f>
        <v>24506.8262905347</v>
      </c>
      <c r="H12" s="10" t="n">
        <f aca="true">INDIRECT(ADDRESS(COLUMN()+119,ROW()+1,1,,"Cash"))</f>
        <v>20644.7881887555</v>
      </c>
      <c r="I12" s="10" t="n">
        <f aca="true">INDIRECT(ADDRESS(COLUMN()+119,ROW()+1,1,,"Cash"))</f>
        <v>28290.5571839351</v>
      </c>
      <c r="J12" s="10" t="n">
        <f aca="true">INDIRECT(ADDRESS(COLUMN()+119,ROW()+1,1,,"Cash"))</f>
        <v>10531.5928252721</v>
      </c>
      <c r="K12" s="10" t="n">
        <f aca="true">INDIRECT(ADDRESS(COLUMN()+119,ROW()+1,1,,"Cash"))</f>
        <v>25581.27411195</v>
      </c>
      <c r="L12" s="10" t="n">
        <f aca="true">INDIRECT(ADDRESS(COLUMN()+119,ROW()+1,1,,"Cash"))</f>
        <v>22155.1730060076</v>
      </c>
      <c r="M12" s="10" t="n">
        <f aca="true">INDIRECT(ADDRESS(COLUMN()+119,ROW()+1,1,,"Cash"))</f>
        <v>29787.3914389248</v>
      </c>
      <c r="N12" s="10" t="n">
        <f aca="true">INDIRECT(ADDRESS(COLUMN()+119,ROW()+1,1,,"Cash"))</f>
        <v>14392.179541772</v>
      </c>
      <c r="O12" s="10" t="n">
        <f aca="true">INDIRECT(ADDRESS(COLUMN()+119,ROW()+1,1,,"Cash"))</f>
        <v>23572.9799900481</v>
      </c>
      <c r="P12" s="10" t="n">
        <f aca="true">INDIRECT(ADDRESS(COLUMN()+119,ROW()+1,1,,"Cash"))</f>
        <v>9956.1023922858</v>
      </c>
      <c r="Q12" s="25" t="n">
        <f aca="true">INDIRECT(ADDRESS(COLUMN()+119,ROW()+1,1,,"Cash"))</f>
        <v>10221.0048929881</v>
      </c>
      <c r="R12" s="10" t="n">
        <f aca="true">INDIRECT(ADDRESS(COLUMN()+119,ROW()+1,1,,"Cash"))</f>
        <v>23221.0823084448</v>
      </c>
      <c r="S12" s="10" t="n">
        <f aca="true">INDIRECT(ADDRESS(COLUMN()+119,ROW()+1,1,,"Cash"))</f>
        <v>98681.6984937108</v>
      </c>
      <c r="T12" s="10" t="n">
        <f aca="true">INDIRECT(ADDRESS(COLUMN()+119,ROW()+1,1,,"Cash"))</f>
        <v>9612.71848583911</v>
      </c>
      <c r="U12" s="10" t="n">
        <f aca="true">INDIRECT(ADDRESS(COLUMN()+119,ROW()+1,1,,"Cash"))</f>
        <v>33306.2971735113</v>
      </c>
      <c r="V12" s="10" t="n">
        <f aca="true">INDIRECT(ADDRESS(COLUMN()+119,ROW()+1,1,,"Cash"))</f>
        <v>13737.1510291005</v>
      </c>
      <c r="W12" s="10" t="n">
        <f aca="true">INDIRECT(ADDRESS(COLUMN()+119,ROW()+1,1,,"Cash"))</f>
        <v>74248.1197877309</v>
      </c>
      <c r="X12" s="10" t="n">
        <f aca="true">INDIRECT(ADDRESS(COLUMN()+119,ROW()+1,1,,"Cash"))</f>
        <v>48518.9338945494</v>
      </c>
    </row>
    <row r="13" customFormat="false" ht="12.8" hidden="false" customHeight="false" outlineLevel="0" collapsed="false">
      <c r="A13" s="1" t="s">
        <v>335</v>
      </c>
      <c r="B13" s="10" t="n">
        <f aca="true">INDIRECT(ADDRESS(COLUMN()+119,ROW()+1,1,,"Cash"))</f>
        <v>53.8138961797868</v>
      </c>
      <c r="C13" s="10" t="n">
        <f aca="true">INDIRECT(ADDRESS(COLUMN()+119,ROW()+1,1,,"Cash"))</f>
        <v>29.3551028268822</v>
      </c>
      <c r="D13" s="10" t="n">
        <f aca="true">INDIRECT(ADDRESS(COLUMN()+119,ROW()+1,1,,"Cash"))</f>
        <v>6.44823081668208</v>
      </c>
      <c r="E13" s="10" t="n">
        <f aca="true">INDIRECT(ADDRESS(COLUMN()+119,ROW()+1,1,,"Cash"))</f>
        <v>1</v>
      </c>
      <c r="F13" s="10" t="n">
        <f aca="true">INDIRECT(ADDRESS(COLUMN()+119,ROW()+1,1,,"Cash"))</f>
        <v>57.0977605776683</v>
      </c>
      <c r="G13" s="10" t="n">
        <f aca="true">INDIRECT(ADDRESS(COLUMN()+119,ROW()+1,1,,"Cash"))</f>
        <v>9.39152092154118</v>
      </c>
      <c r="H13" s="10" t="n">
        <f aca="true">INDIRECT(ADDRESS(COLUMN()+119,ROW()+1,1,,"Cash"))</f>
        <v>9.10611236479425</v>
      </c>
      <c r="I13" s="10" t="n">
        <f aca="true">INDIRECT(ADDRESS(COLUMN()+119,ROW()+1,1,,"Cash"))</f>
        <v>25.5876210278182</v>
      </c>
      <c r="J13" s="10" t="n">
        <f aca="true">INDIRECT(ADDRESS(COLUMN()+119,ROW()+1,1,,"Cash"))</f>
        <v>2.2716090684249</v>
      </c>
      <c r="K13" s="10" t="n">
        <f aca="true">INDIRECT(ADDRESS(COLUMN()+119,ROW()+1,1,,"Cash"))</f>
        <v>20.3619266519613</v>
      </c>
      <c r="L13" s="10" t="n">
        <f aca="true">INDIRECT(ADDRESS(COLUMN()+119,ROW()+1,1,,"Cash"))</f>
        <v>10.2162256978492</v>
      </c>
      <c r="M13" s="10" t="n">
        <f aca="true">INDIRECT(ADDRESS(COLUMN()+119,ROW()+1,1,,"Cash"))</f>
        <v>17.7316822037611</v>
      </c>
      <c r="N13" s="10" t="n">
        <f aca="true">INDIRECT(ADDRESS(COLUMN()+119,ROW()+1,1,,"Cash"))</f>
        <v>11.8496305661979</v>
      </c>
      <c r="O13" s="10" t="n">
        <f aca="true">INDIRECT(ADDRESS(COLUMN()+119,ROW()+1,1,,"Cash"))</f>
        <v>9.27187480676777</v>
      </c>
      <c r="P13" s="10" t="n">
        <f aca="true">INDIRECT(ADDRESS(COLUMN()+119,ROW()+1,1,,"Cash"))</f>
        <v>2.4270622018845</v>
      </c>
      <c r="Q13" s="25" t="n">
        <f aca="true">INDIRECT(ADDRESS(COLUMN()+119,ROW()+1,1,,"Cash"))</f>
        <v>3.23234879591723</v>
      </c>
      <c r="R13" s="10" t="n">
        <f aca="true">INDIRECT(ADDRESS(COLUMN()+119,ROW()+1,1,,"Cash"))</f>
        <v>5.79662980732781</v>
      </c>
      <c r="S13" s="10" t="n">
        <f aca="true">INDIRECT(ADDRESS(COLUMN()+119,ROW()+1,1,,"Cash"))</f>
        <v>110.790651312345</v>
      </c>
      <c r="T13" s="10" t="n">
        <f aca="true">INDIRECT(ADDRESS(COLUMN()+119,ROW()+1,1,,"Cash"))</f>
        <v>1.98671987790255</v>
      </c>
      <c r="U13" s="10" t="n">
        <f aca="true">INDIRECT(ADDRESS(COLUMN()+119,ROW()+1,1,,"Cash"))</f>
        <v>40.4913637574055</v>
      </c>
      <c r="V13" s="10" t="n">
        <f aca="true">INDIRECT(ADDRESS(COLUMN()+119,ROW()+1,1,,"Cash"))</f>
        <v>4.79601657623566</v>
      </c>
      <c r="W13" s="10" t="n">
        <f aca="true">INDIRECT(ADDRESS(COLUMN()+119,ROW()+1,1,,"Cash"))</f>
        <v>57.2410305204863</v>
      </c>
      <c r="X13" s="10" t="n">
        <f aca="true">INDIRECT(ADDRESS(COLUMN()+119,ROW()+1,1,,"Cash"))</f>
        <v>32.947035076942</v>
      </c>
    </row>
    <row r="14" customFormat="false" ht="12.8" hidden="false" customHeight="false" outlineLevel="0" collapsed="false">
      <c r="A14" s="1" t="s">
        <v>336</v>
      </c>
      <c r="B14" s="10" t="n">
        <f aca="true">INDIRECT(ADDRESS(COLUMN()+119,ROW()+1,1,,"Cash"))</f>
        <v>8.29664027384179</v>
      </c>
      <c r="C14" s="10" t="n">
        <f aca="true">INDIRECT(ADDRESS(COLUMN()+119,ROW()+1,1,,"Cash"))</f>
        <v>4.09560218996532</v>
      </c>
      <c r="D14" s="10" t="n">
        <f aca="true">INDIRECT(ADDRESS(COLUMN()+119,ROW()+1,1,,"Cash"))</f>
        <v>2.19199759267036</v>
      </c>
      <c r="E14" s="10" t="n">
        <f aca="true">INDIRECT(ADDRESS(COLUMN()+119,ROW()+1,1,,"Cash"))</f>
        <v>1</v>
      </c>
      <c r="F14" s="10" t="n">
        <f aca="true">INDIRECT(ADDRESS(COLUMN()+119,ROW()+1,1,,"Cash"))</f>
        <v>7.74590808454983</v>
      </c>
      <c r="G14" s="10" t="n">
        <f aca="true">INDIRECT(ADDRESS(COLUMN()+119,ROW()+1,1,,"Cash"))</f>
        <v>3.66563651253199</v>
      </c>
      <c r="H14" s="10" t="n">
        <f aca="true">INDIRECT(ADDRESS(COLUMN()+119,ROW()+1,1,,"Cash"))</f>
        <v>3.06602590176566</v>
      </c>
      <c r="I14" s="10" t="n">
        <f aca="true">INDIRECT(ADDRESS(COLUMN()+119,ROW()+1,1,,"Cash"))</f>
        <v>5.68994721426803</v>
      </c>
      <c r="J14" s="10" t="n">
        <f aca="true">INDIRECT(ADDRESS(COLUMN()+119,ROW()+1,1,,"Cash"))</f>
        <v>1.6780301016284</v>
      </c>
      <c r="K14" s="10" t="n">
        <f aca="true">INDIRECT(ADDRESS(COLUMN()+119,ROW()+1,1,,"Cash"))</f>
        <v>5.2213187248745</v>
      </c>
      <c r="L14" s="10" t="n">
        <f aca="true">INDIRECT(ADDRESS(COLUMN()+119,ROW()+1,1,,"Cash"))</f>
        <v>3.211628138806</v>
      </c>
      <c r="M14" s="10" t="n">
        <f aca="true">INDIRECT(ADDRESS(COLUMN()+119,ROW()+1,1,,"Cash"))</f>
        <v>4.15243165275823</v>
      </c>
      <c r="N14" s="10" t="n">
        <f aca="true">INDIRECT(ADDRESS(COLUMN()+119,ROW()+1,1,,"Cash"))</f>
        <v>2.62124802072227</v>
      </c>
      <c r="O14" s="10" t="n">
        <f aca="true">INDIRECT(ADDRESS(COLUMN()+119,ROW()+1,1,,"Cash"))</f>
        <v>3.34564098126872</v>
      </c>
      <c r="P14" s="10" t="n">
        <f aca="true">INDIRECT(ADDRESS(COLUMN()+119,ROW()+1,1,,"Cash"))</f>
        <v>1.59053550416964</v>
      </c>
      <c r="Q14" s="25" t="n">
        <f aca="true">INDIRECT(ADDRESS(COLUMN()+119,ROW()+1,1,,"Cash"))</f>
        <v>1.58047599579341</v>
      </c>
      <c r="R14" s="10" t="n">
        <f aca="true">INDIRECT(ADDRESS(COLUMN()+119,ROW()+1,1,,"Cash"))</f>
        <v>3.09814236662643</v>
      </c>
      <c r="S14" s="10" t="n">
        <f aca="true">INDIRECT(ADDRESS(COLUMN()+119,ROW()+1,1,,"Cash"))</f>
        <v>18.9634765619168</v>
      </c>
      <c r="T14" s="10" t="n">
        <f aca="true">INDIRECT(ADDRESS(COLUMN()+119,ROW()+1,1,,"Cash"))</f>
        <v>1.40341677197248</v>
      </c>
      <c r="U14" s="10" t="n">
        <f aca="true">INDIRECT(ADDRESS(COLUMN()+119,ROW()+1,1,,"Cash"))</f>
        <v>6.42269471720148</v>
      </c>
      <c r="V14" s="10" t="n">
        <f aca="true">INDIRECT(ADDRESS(COLUMN()+119,ROW()+1,1,,"Cash"))</f>
        <v>2.04239270220554</v>
      </c>
      <c r="W14" s="10" t="n">
        <f aca="true">INDIRECT(ADDRESS(COLUMN()+119,ROW()+1,1,,"Cash"))</f>
        <v>10.5431575247388</v>
      </c>
      <c r="X14" s="10" t="n">
        <f aca="true">INDIRECT(ADDRESS(COLUMN()+119,ROW()+1,1,,"Cash"))</f>
        <v>6.91563181937996</v>
      </c>
    </row>
    <row r="15" customFormat="false" ht="12.8" hidden="false" customHeight="false" outlineLevel="0" collapsed="false">
      <c r="A15" s="1" t="s">
        <v>337</v>
      </c>
      <c r="B15" s="10" t="n">
        <f aca="true">INDIRECT(ADDRESS(COLUMN()+119,ROW()+1,1,,"Cash"))</f>
        <v>15.5562005134533</v>
      </c>
      <c r="C15" s="10" t="n">
        <f aca="true">INDIRECT(ADDRESS(COLUMN()+119,ROW()+1,1,,"Cash"))</f>
        <v>7.67925410618497</v>
      </c>
      <c r="D15" s="10" t="n">
        <f aca="true">INDIRECT(ADDRESS(COLUMN()+119,ROW()+1,1,,"Cash"))</f>
        <v>4.10999548625691</v>
      </c>
      <c r="E15" s="10" t="n">
        <f aca="true">INDIRECT(ADDRESS(COLUMN()+119,ROW()+1,1,,"Cash"))</f>
        <v>1.66108710850332</v>
      </c>
      <c r="F15" s="10" t="n">
        <f aca="true">INDIRECT(ADDRESS(COLUMN()+119,ROW()+1,1,,"Cash"))</f>
        <v>14.5235776585309</v>
      </c>
      <c r="G15" s="10" t="n">
        <f aca="true">INDIRECT(ADDRESS(COLUMN()+119,ROW()+1,1,,"Cash"))</f>
        <v>6.87306846099747</v>
      </c>
      <c r="H15" s="10" t="n">
        <f aca="true">INDIRECT(ADDRESS(COLUMN()+119,ROW()+1,1,,"Cash"))</f>
        <v>5.7487985658106</v>
      </c>
      <c r="I15" s="10" t="n">
        <f aca="true">INDIRECT(ADDRESS(COLUMN()+119,ROW()+1,1,,"Cash"))</f>
        <v>10.6686510267526</v>
      </c>
      <c r="J15" s="10" t="n">
        <f aca="true">INDIRECT(ADDRESS(COLUMN()+119,ROW()+1,1,,"Cash"))</f>
        <v>3.14630644055325</v>
      </c>
      <c r="K15" s="10" t="n">
        <f aca="true">INDIRECT(ADDRESS(COLUMN()+119,ROW()+1,1,,"Cash"))</f>
        <v>9.78997260913967</v>
      </c>
      <c r="L15" s="10" t="n">
        <f aca="true">INDIRECT(ADDRESS(COLUMN()+119,ROW()+1,1,,"Cash"))</f>
        <v>6.02180276026124</v>
      </c>
      <c r="M15" s="10" t="n">
        <f aca="true">INDIRECT(ADDRESS(COLUMN()+119,ROW()+1,1,,"Cash"))</f>
        <v>7.78580934892168</v>
      </c>
      <c r="N15" s="10" t="n">
        <f aca="true">INDIRECT(ADDRESS(COLUMN()+119,ROW()+1,1,,"Cash"))</f>
        <v>4.91484003885425</v>
      </c>
      <c r="O15" s="10" t="n">
        <f aca="true">INDIRECT(ADDRESS(COLUMN()+119,ROW()+1,1,,"Cash"))</f>
        <v>6.27307683987884</v>
      </c>
      <c r="P15" s="10" t="n">
        <f aca="true">INDIRECT(ADDRESS(COLUMN()+119,ROW()+1,1,,"Cash"))</f>
        <v>2.98225407031808</v>
      </c>
      <c r="Q15" s="25" t="n">
        <f aca="true">INDIRECT(ADDRESS(COLUMN()+119,ROW()+1,1,,"Cash"))</f>
        <v>2.96339249211264</v>
      </c>
      <c r="R15" s="10" t="n">
        <f aca="true">INDIRECT(ADDRESS(COLUMN()+119,ROW()+1,1,,"Cash"))</f>
        <v>5.80901693742456</v>
      </c>
      <c r="S15" s="10" t="n">
        <f aca="true">INDIRECT(ADDRESS(COLUMN()+119,ROW()+1,1,,"Cash"))</f>
        <v>35.5565185535939</v>
      </c>
      <c r="T15" s="10" t="n">
        <f aca="true">INDIRECT(ADDRESS(COLUMN()+119,ROW()+1,1,,"Cash"))</f>
        <v>2.6314064474484</v>
      </c>
      <c r="U15" s="10" t="n">
        <f aca="true">INDIRECT(ADDRESS(COLUMN()+119,ROW()+1,1,,"Cash"))</f>
        <v>12.0425525947528</v>
      </c>
      <c r="V15" s="10" t="n">
        <f aca="true">INDIRECT(ADDRESS(COLUMN()+119,ROW()+1,1,,"Cash"))</f>
        <v>3.82948631663539</v>
      </c>
      <c r="W15" s="10" t="n">
        <f aca="true">INDIRECT(ADDRESS(COLUMN()+119,ROW()+1,1,,"Cash"))</f>
        <v>19.7684203588853</v>
      </c>
      <c r="X15" s="10" t="n">
        <f aca="true">INDIRECT(ADDRESS(COLUMN()+119,ROW()+1,1,,"Cash"))</f>
        <v>12.9668096613374</v>
      </c>
    </row>
    <row r="16" customFormat="false" ht="12.8" hidden="false" customHeight="false" outlineLevel="0" collapsed="false">
      <c r="A16" s="1" t="s">
        <v>338</v>
      </c>
      <c r="B16" s="10" t="n">
        <f aca="true">INDIRECT(ADDRESS(COLUMN()+119,ROW()+1,1,,"Cash"))</f>
        <v>46694.4187146946</v>
      </c>
      <c r="C16" s="10" t="n">
        <f aca="true">INDIRECT(ADDRESS(COLUMN()+119,ROW()+1,1,,"Cash"))</f>
        <v>862.867786204507</v>
      </c>
      <c r="D16" s="10" t="n">
        <f aca="true">INDIRECT(ADDRESS(COLUMN()+119,ROW()+1,1,,"Cash"))</f>
        <v>255.710961900332</v>
      </c>
      <c r="E16" s="10" t="n">
        <f aca="true">INDIRECT(ADDRESS(COLUMN()+119,ROW()+1,1,,"Cash"))</f>
        <v>109.210692844193</v>
      </c>
      <c r="F16" s="10" t="n">
        <f aca="true">INDIRECT(ADDRESS(COLUMN()+119,ROW()+1,1,,"Cash"))</f>
        <v>1004.0722401176</v>
      </c>
      <c r="G16" s="10" t="n">
        <f aca="true">INDIRECT(ADDRESS(COLUMN()+119,ROW()+1,1,,"Cash"))</f>
        <v>658.643203153754</v>
      </c>
      <c r="H16" s="10" t="n">
        <f aca="true">INDIRECT(ADDRESS(COLUMN()+119,ROW()+1,1,,"Cash"))</f>
        <v>777.41719649021</v>
      </c>
      <c r="I16" s="10" t="n">
        <f aca="true">INDIRECT(ADDRESS(COLUMN()+119,ROW()+1,1,,"Cash"))</f>
        <v>13066.6451339751</v>
      </c>
      <c r="J16" s="10" t="n">
        <f aca="true">INDIRECT(ADDRESS(COLUMN()+119,ROW()+1,1,,"Cash"))</f>
        <v>266.25379525696</v>
      </c>
      <c r="K16" s="10" t="n">
        <f aca="true">INDIRECT(ADDRESS(COLUMN()+119,ROW()+1,1,,"Cash"))</f>
        <v>426.88236407696</v>
      </c>
      <c r="L16" s="10" t="n">
        <f aca="true">INDIRECT(ADDRESS(COLUMN()+119,ROW()+1,1,,"Cash"))</f>
        <v>312.224133287301</v>
      </c>
      <c r="M16" s="10" t="n">
        <f aca="true">INDIRECT(ADDRESS(COLUMN()+119,ROW()+1,1,,"Cash"))</f>
        <v>356.809804336261</v>
      </c>
      <c r="N16" s="10" t="n">
        <f aca="true">INDIRECT(ADDRESS(COLUMN()+119,ROW()+1,1,,"Cash"))</f>
        <v>310.907103375763</v>
      </c>
      <c r="O16" s="10" t="n">
        <f aca="true">INDIRECT(ADDRESS(COLUMN()+119,ROW()+1,1,,"Cash"))</f>
        <v>517.996154052526</v>
      </c>
      <c r="P16" s="10" t="n">
        <f aca="true">INDIRECT(ADDRESS(COLUMN()+119,ROW()+1,1,,"Cash"))</f>
        <v>221.819037723788</v>
      </c>
      <c r="Q16" s="25" t="n">
        <f aca="true">INDIRECT(ADDRESS(COLUMN()+119,ROW()+1,1,,"Cash"))</f>
        <v>6451.29641346682</v>
      </c>
      <c r="R16" s="10" t="n">
        <f aca="true">INDIRECT(ADDRESS(COLUMN()+119,ROW()+1,1,,"Cash"))</f>
        <v>1536.08697389786</v>
      </c>
      <c r="S16" s="10" t="n">
        <f aca="true">INDIRECT(ADDRESS(COLUMN()+119,ROW()+1,1,,"Cash"))</f>
        <v>5205.33815439874</v>
      </c>
      <c r="T16" s="10" t="n">
        <f aca="true">INDIRECT(ADDRESS(COLUMN()+119,ROW()+1,1,,"Cash"))</f>
        <v>106.766017991139</v>
      </c>
      <c r="U16" s="10" t="n">
        <f aca="true">INDIRECT(ADDRESS(COLUMN()+119,ROW()+1,1,,"Cash"))</f>
        <v>391.737878778844</v>
      </c>
      <c r="V16" s="10" t="n">
        <f aca="true">INDIRECT(ADDRESS(COLUMN()+119,ROW()+1,1,,"Cash"))</f>
        <v>517.46632012162</v>
      </c>
      <c r="W16" s="10" t="n">
        <f aca="true">INDIRECT(ADDRESS(COLUMN()+119,ROW()+1,1,,"Cash"))</f>
        <v>802.448656333268</v>
      </c>
      <c r="X16" s="10" t="n">
        <f aca="true">INDIRECT(ADDRESS(COLUMN()+119,ROW()+1,1,,"Cash"))</f>
        <v>666.641950023494</v>
      </c>
    </row>
    <row r="17" customFormat="false" ht="12.8" hidden="false" customHeight="false" outlineLevel="0" collapsed="false">
      <c r="A17" s="1" t="s">
        <v>339</v>
      </c>
      <c r="B17" s="10" t="n">
        <f aca="true">INDIRECT(ADDRESS(COLUMN()+119,ROW()+1,1,,"Cash"))</f>
        <v>28.4427662067164</v>
      </c>
      <c r="C17" s="10" t="n">
        <f aca="true">INDIRECT(ADDRESS(COLUMN()+119,ROW()+1,1,,"Cash"))</f>
        <v>20.5022652195679</v>
      </c>
      <c r="D17" s="10" t="n">
        <f aca="true">INDIRECT(ADDRESS(COLUMN()+119,ROW()+1,1,,"Cash"))</f>
        <v>16.5099437580742</v>
      </c>
      <c r="E17" s="10" t="n">
        <f aca="true">INDIRECT(ADDRESS(COLUMN()+119,ROW()+1,1,,"Cash"))</f>
        <v>6.02887217801228</v>
      </c>
      <c r="F17" s="10" t="n">
        <f aca="true">INDIRECT(ADDRESS(COLUMN()+119,ROW()+1,1,,"Cash"))</f>
        <v>20.6022191411231</v>
      </c>
      <c r="G17" s="10" t="n">
        <f aca="true">INDIRECT(ADDRESS(COLUMN()+119,ROW()+1,1,,"Cash"))</f>
        <v>31.4889300588973</v>
      </c>
      <c r="H17" s="10" t="n">
        <f aca="true">INDIRECT(ADDRESS(COLUMN()+119,ROW()+1,1,,"Cash"))</f>
        <v>23.7231775977961</v>
      </c>
      <c r="I17" s="10" t="n">
        <f aca="true">INDIRECT(ADDRESS(COLUMN()+119,ROW()+1,1,,"Cash"))</f>
        <v>18.7183089175777</v>
      </c>
      <c r="J17" s="10" t="n">
        <f aca="true">INDIRECT(ADDRESS(COLUMN()+119,ROW()+1,1,,"Cash"))</f>
        <v>14.8060491464683</v>
      </c>
      <c r="K17" s="10" t="n">
        <f aca="true">INDIRECT(ADDRESS(COLUMN()+119,ROW()+1,1,,"Cash"))</f>
        <v>18.4781197185625</v>
      </c>
      <c r="L17" s="10" t="n">
        <f aca="true">INDIRECT(ADDRESS(COLUMN()+119,ROW()+1,1,,"Cash"))</f>
        <v>32.9455077168409</v>
      </c>
      <c r="M17" s="10" t="n">
        <f aca="true">INDIRECT(ADDRESS(COLUMN()+119,ROW()+1,1,,"Cash"))</f>
        <v>27.3960352882875</v>
      </c>
      <c r="N17" s="10" t="n">
        <f aca="true">INDIRECT(ADDRESS(COLUMN()+119,ROW()+1,1,,"Cash"))</f>
        <v>21.8934263047104</v>
      </c>
      <c r="O17" s="10" t="n">
        <f aca="true">INDIRECT(ADDRESS(COLUMN()+119,ROW()+1,1,,"Cash"))</f>
        <v>24.0082288144976</v>
      </c>
      <c r="P17" s="10" t="n">
        <f aca="true">INDIRECT(ADDRESS(COLUMN()+119,ROW()+1,1,,"Cash"))</f>
        <v>13.7751840634686</v>
      </c>
      <c r="Q17" s="25" t="n">
        <f aca="true">INDIRECT(ADDRESS(COLUMN()+119,ROW()+1,1,,"Cash"))</f>
        <v>13.2893833887641</v>
      </c>
      <c r="R17" s="10" t="n">
        <f aca="true">INDIRECT(ADDRESS(COLUMN()+119,ROW()+1,1,,"Cash"))</f>
        <v>24.0558085545487</v>
      </c>
      <c r="S17" s="10" t="n">
        <f aca="true">INDIRECT(ADDRESS(COLUMN()+119,ROW()+1,1,,"Cash"))</f>
        <v>32.3483797553382</v>
      </c>
      <c r="T17" s="10" t="n">
        <f aca="true">INDIRECT(ADDRESS(COLUMN()+119,ROW()+1,1,,"Cash"))</f>
        <v>15.8621473265126</v>
      </c>
      <c r="U17" s="10" t="n">
        <f aca="true">INDIRECT(ADDRESS(COLUMN()+119,ROW()+1,1,,"Cash"))</f>
        <v>19.9751457656241</v>
      </c>
      <c r="V17" s="10" t="n">
        <f aca="true">INDIRECT(ADDRESS(COLUMN()+119,ROW()+1,1,,"Cash"))</f>
        <v>17.2017138722217</v>
      </c>
      <c r="W17" s="10" t="n">
        <f aca="true">INDIRECT(ADDRESS(COLUMN()+119,ROW()+1,1,,"Cash"))</f>
        <v>32.008237724211</v>
      </c>
      <c r="X17" s="10" t="n">
        <f aca="true">INDIRECT(ADDRESS(COLUMN()+119,ROW()+1,1,,"Cash"))</f>
        <v>29.0534331799763</v>
      </c>
    </row>
    <row r="18" customFormat="false" ht="12.8" hidden="false" customHeight="false" outlineLevel="0" collapsed="false">
      <c r="A18" s="1" t="s">
        <v>340</v>
      </c>
      <c r="B18" s="10" t="n">
        <f aca="true">INDIRECT(ADDRESS(COLUMN()+119,ROW()+1,1,,"Cash"))</f>
        <v>680.307186795363</v>
      </c>
      <c r="C18" s="10" t="n">
        <f aca="true">INDIRECT(ADDRESS(COLUMN()+119,ROW()+1,1,,"Cash"))</f>
        <v>258.924950661293</v>
      </c>
      <c r="D18" s="10" t="n">
        <f aca="true">INDIRECT(ADDRESS(COLUMN()+119,ROW()+1,1,,"Cash"))</f>
        <v>191.237563905588</v>
      </c>
      <c r="E18" s="10" t="n">
        <f aca="true">INDIRECT(ADDRESS(COLUMN()+119,ROW()+1,1,,"Cash"))</f>
        <v>57.051682105653</v>
      </c>
      <c r="F18" s="10" t="n">
        <f aca="true">INDIRECT(ADDRESS(COLUMN()+119,ROW()+1,1,,"Cash"))</f>
        <v>520.457786657033</v>
      </c>
      <c r="G18" s="10" t="n">
        <f aca="true">INDIRECT(ADDRESS(COLUMN()+119,ROW()+1,1,,"Cash"))</f>
        <v>312.034972842738</v>
      </c>
      <c r="H18" s="10" t="n">
        <f aca="true">INDIRECT(ADDRESS(COLUMN()+119,ROW()+1,1,,"Cash"))</f>
        <v>263.180499357832</v>
      </c>
      <c r="I18" s="10" t="n">
        <f aca="true">INDIRECT(ADDRESS(COLUMN()+119,ROW()+1,1,,"Cash"))</f>
        <v>357.631519438017</v>
      </c>
      <c r="J18" s="10" t="n">
        <f aca="true">INDIRECT(ADDRESS(COLUMN()+119,ROW()+1,1,,"Cash"))</f>
        <v>135.215144920993</v>
      </c>
      <c r="K18" s="10" t="n">
        <f aca="true">INDIRECT(ADDRESS(COLUMN()+119,ROW()+1,1,,"Cash"))</f>
        <v>324.21201971282</v>
      </c>
      <c r="L18" s="10" t="n">
        <f aca="true">INDIRECT(ADDRESS(COLUMN()+119,ROW()+1,1,,"Cash"))</f>
        <v>289.927086663597</v>
      </c>
      <c r="M18" s="10" t="n">
        <f aca="true">INDIRECT(ADDRESS(COLUMN()+119,ROW()+1,1,,"Cash"))</f>
        <v>388.037483944263</v>
      </c>
      <c r="N18" s="10" t="n">
        <f aca="true">INDIRECT(ADDRESS(COLUMN()+119,ROW()+1,1,,"Cash"))</f>
        <v>186.033530594146</v>
      </c>
      <c r="O18" s="10" t="n">
        <f aca="true">INDIRECT(ADDRESS(COLUMN()+119,ROW()+1,1,,"Cash"))</f>
        <v>306.577126361265</v>
      </c>
      <c r="P18" s="10" t="n">
        <f aca="true">INDIRECT(ADDRESS(COLUMN()+119,ROW()+1,1,,"Cash"))</f>
        <v>127.643941243695</v>
      </c>
      <c r="Q18" s="25" t="n">
        <f aca="true">INDIRECT(ADDRESS(COLUMN()+119,ROW()+1,1,,"Cash"))</f>
        <v>130.856890566859</v>
      </c>
      <c r="R18" s="10" t="n">
        <f aca="true">INDIRECT(ADDRESS(COLUMN()+119,ROW()+1,1,,"Cash"))</f>
        <v>297.413323863262</v>
      </c>
      <c r="S18" s="10" t="n">
        <f aca="true">INDIRECT(ADDRESS(COLUMN()+119,ROW()+1,1,,"Cash"))</f>
        <v>1240.24323015927</v>
      </c>
      <c r="T18" s="10" t="n">
        <f aca="true">INDIRECT(ADDRESS(COLUMN()+119,ROW()+1,1,,"Cash"))</f>
        <v>125.061311746066</v>
      </c>
      <c r="U18" s="10" t="n">
        <f aca="true">INDIRECT(ADDRESS(COLUMN()+119,ROW()+1,1,,"Cash"))</f>
        <v>416.57962325317</v>
      </c>
      <c r="V18" s="10" t="n">
        <f aca="true">INDIRECT(ADDRESS(COLUMN()+119,ROW()+1,1,,"Cash"))</f>
        <v>174.470340821429</v>
      </c>
      <c r="W18" s="10" t="n">
        <f aca="true">INDIRECT(ADDRESS(COLUMN()+119,ROW()+1,1,,"Cash"))</f>
        <v>869.760381974374</v>
      </c>
      <c r="X18" s="10" t="n">
        <f aca="true">INDIRECT(ADDRESS(COLUMN()+119,ROW()+1,1,,"Cash"))</f>
        <v>567.269230253987</v>
      </c>
    </row>
    <row r="19" customFormat="false" ht="12.8" hidden="false" customHeight="false" outlineLevel="0" collapsed="false">
      <c r="A19" s="1" t="s">
        <v>341</v>
      </c>
      <c r="B19" s="10" t="n">
        <f aca="true">INDIRECT(ADDRESS(COLUMN()+119,ROW()+1,1,,"Cash"))</f>
        <v>1217.21629009955</v>
      </c>
      <c r="C19" s="10" t="n">
        <f aca="true">INDIRECT(ADDRESS(COLUMN()+119,ROW()+1,1,,"Cash"))</f>
        <v>463.272583291038</v>
      </c>
      <c r="D19" s="10" t="n">
        <f aca="true">INDIRECT(ADDRESS(COLUMN()+119,ROW()+1,1,,"Cash"))</f>
        <v>342.165249144803</v>
      </c>
      <c r="E19" s="10" t="n">
        <f aca="true">INDIRECT(ADDRESS(COLUMN()+119,ROW()+1,1,,"Cash"))</f>
        <v>102.077764551781</v>
      </c>
      <c r="F19" s="10" t="n">
        <f aca="true">INDIRECT(ADDRESS(COLUMN()+119,ROW()+1,1,,"Cash"))</f>
        <v>931.211235930476</v>
      </c>
      <c r="G19" s="10" t="n">
        <f aca="true">INDIRECT(ADDRESS(COLUMN()+119,ROW()+1,1,,"Cash"))</f>
        <v>558.297868076468</v>
      </c>
      <c r="H19" s="10" t="n">
        <f aca="true">INDIRECT(ADDRESS(COLUMN()+119,ROW()+1,1,,"Cash"))</f>
        <v>470.886677772591</v>
      </c>
      <c r="I19" s="10" t="n">
        <f aca="true">INDIRECT(ADDRESS(COLUMN()+119,ROW()+1,1,,"Cash"))</f>
        <v>639.879924484687</v>
      </c>
      <c r="J19" s="10" t="n">
        <f aca="true">INDIRECT(ADDRESS(COLUMN()+119,ROW()+1,1,,"Cash"))</f>
        <v>241.929058314522</v>
      </c>
      <c r="K19" s="10" t="n">
        <f aca="true">INDIRECT(ADDRESS(COLUMN()+119,ROW()+1,1,,"Cash"))</f>
        <v>580.085231348918</v>
      </c>
      <c r="L19" s="10" t="n">
        <f aca="true">INDIRECT(ADDRESS(COLUMN()+119,ROW()+1,1,,"Cash"))</f>
        <v>518.742091334377</v>
      </c>
      <c r="M19" s="10" t="n">
        <f aca="true">INDIRECT(ADDRESS(COLUMN()+119,ROW()+1,1,,"Cash"))</f>
        <v>694.282753135568</v>
      </c>
      <c r="N19" s="10" t="n">
        <f aca="true">INDIRECT(ADDRESS(COLUMN()+119,ROW()+1,1,,"Cash"))</f>
        <v>332.854111112075</v>
      </c>
      <c r="O19" s="10" t="n">
        <f aca="true">INDIRECT(ADDRESS(COLUMN()+119,ROW()+1,1,,"Cash"))</f>
        <v>548.532603538538</v>
      </c>
      <c r="P19" s="10" t="n">
        <f aca="true">INDIRECT(ADDRESS(COLUMN()+119,ROW()+1,1,,"Cash"))</f>
        <v>228.38254193112</v>
      </c>
      <c r="Q19" s="25" t="n">
        <f aca="true">INDIRECT(ADDRESS(COLUMN()+119,ROW()+1,1,,"Cash"))</f>
        <v>234.131201259332</v>
      </c>
      <c r="R19" s="10" t="n">
        <f aca="true">INDIRECT(ADDRESS(COLUMN()+119,ROW()+1,1,,"Cash"))</f>
        <v>532.136584363189</v>
      </c>
      <c r="S19" s="10" t="n">
        <f aca="true">INDIRECT(ADDRESS(COLUMN()+119,ROW()+1,1,,"Cash"))</f>
        <v>2219.06264219674</v>
      </c>
      <c r="T19" s="10" t="n">
        <f aca="true">INDIRECT(ADDRESS(COLUMN()+119,ROW()+1,1,,"Cash"))</f>
        <v>223.761660722128</v>
      </c>
      <c r="U19" s="10" t="n">
        <f aca="true">INDIRECT(ADDRESS(COLUMN()+119,ROW()+1,1,,"Cash"))</f>
        <v>745.350796506898</v>
      </c>
      <c r="V19" s="10" t="n">
        <f aca="true">INDIRECT(ADDRESS(COLUMN()+119,ROW()+1,1,,"Cash"))</f>
        <v>312.165070587361</v>
      </c>
      <c r="W19" s="10" t="n">
        <f aca="true">INDIRECT(ADDRESS(COLUMN()+119,ROW()+1,1,,"Cash"))</f>
        <v>1556.18891872866</v>
      </c>
      <c r="X19" s="10" t="n">
        <f aca="true">INDIRECT(ADDRESS(COLUMN()+119,ROW()+1,1,,"Cash"))</f>
        <v>1014.9670051113</v>
      </c>
    </row>
    <row r="20" customFormat="false" ht="12.8" hidden="false" customHeight="false" outlineLevel="0" collapsed="false">
      <c r="A20" s="1" t="s">
        <v>342</v>
      </c>
      <c r="B20" s="10" t="n">
        <f aca="true">INDIRECT(ADDRESS(COLUMN()+119,ROW()+1,1,,"Cash"))</f>
        <v>241.264142026617</v>
      </c>
      <c r="C20" s="10" t="n">
        <f aca="true">INDIRECT(ADDRESS(COLUMN()+119,ROW()+1,1,,"Cash"))</f>
        <v>86.0172460840506</v>
      </c>
      <c r="D20" s="10" t="n">
        <f aca="true">INDIRECT(ADDRESS(COLUMN()+119,ROW()+1,1,,"Cash"))</f>
        <v>63.1750195602728</v>
      </c>
      <c r="E20" s="10" t="n">
        <f aca="true">INDIRECT(ADDRESS(COLUMN()+119,ROW()+1,1,,"Cash"))</f>
        <v>18.5806451713796</v>
      </c>
      <c r="F20" s="10" t="n">
        <f aca="true">INDIRECT(ADDRESS(COLUMN()+119,ROW()+1,1,,"Cash"))</f>
        <v>175.320090254021</v>
      </c>
      <c r="G20" s="10" t="n">
        <f aca="true">INDIRECT(ADDRESS(COLUMN()+119,ROW()+1,1,,"Cash"))</f>
        <v>102.111776210561</v>
      </c>
      <c r="H20" s="10" t="n">
        <f aca="true">INDIRECT(ADDRESS(COLUMN()+119,ROW()+1,1,,"Cash"))</f>
        <v>86.0199507864813</v>
      </c>
      <c r="I20" s="10" t="n">
        <f aca="true">INDIRECT(ADDRESS(COLUMN()+119,ROW()+1,1,,"Cash"))</f>
        <v>117.877321599729</v>
      </c>
      <c r="J20" s="10" t="n">
        <f aca="true">INDIRECT(ADDRESS(COLUMN()+119,ROW()+1,1,,"Cash"))</f>
        <v>43.8816367719669</v>
      </c>
      <c r="K20" s="10" t="n">
        <f aca="true">INDIRECT(ADDRESS(COLUMN()+119,ROW()+1,1,,"Cash"))</f>
        <v>106.588642133125</v>
      </c>
      <c r="L20" s="10" t="n">
        <f aca="true">INDIRECT(ADDRESS(COLUMN()+119,ROW()+1,1,,"Cash"))</f>
        <v>92.313220858365</v>
      </c>
      <c r="M20" s="10" t="n">
        <f aca="true">INDIRECT(ADDRESS(COLUMN()+119,ROW()+1,1,,"Cash"))</f>
        <v>124.11413099552</v>
      </c>
      <c r="N20" s="10" t="n">
        <f aca="true">INDIRECT(ADDRESS(COLUMN()+119,ROW()+1,1,,"Cash"))</f>
        <v>59.9674147573832</v>
      </c>
      <c r="O20" s="10" t="n">
        <f aca="true">INDIRECT(ADDRESS(COLUMN()+119,ROW()+1,1,,"Cash"))</f>
        <v>98.2207499585336</v>
      </c>
      <c r="P20" s="10" t="n">
        <f aca="true">INDIRECT(ADDRESS(COLUMN()+119,ROW()+1,1,,"Cash"))</f>
        <v>41.4837599678575</v>
      </c>
      <c r="Q20" s="25" t="n">
        <f aca="true">INDIRECT(ADDRESS(COLUMN()+119,ROW()+1,1,,"Cash"))</f>
        <v>42.5875203874505</v>
      </c>
      <c r="R20" s="10" t="n">
        <f aca="true">INDIRECT(ADDRESS(COLUMN()+119,ROW()+1,1,,"Cash"))</f>
        <v>96.7545096185201</v>
      </c>
      <c r="S20" s="10" t="n">
        <f aca="true">INDIRECT(ADDRESS(COLUMN()+119,ROW()+1,1,,"Cash"))</f>
        <v>411.173743723795</v>
      </c>
      <c r="T20" s="10" t="n">
        <f aca="true">INDIRECT(ADDRESS(COLUMN()+119,ROW()+1,1,,"Cash"))</f>
        <v>40.0529936909963</v>
      </c>
      <c r="U20" s="10" t="n">
        <f aca="true">INDIRECT(ADDRESS(COLUMN()+119,ROW()+1,1,,"Cash"))</f>
        <v>138.776238222964</v>
      </c>
      <c r="V20" s="10" t="n">
        <f aca="true">INDIRECT(ADDRESS(COLUMN()+119,ROW()+1,1,,"Cash"))</f>
        <v>57.2381292879186</v>
      </c>
      <c r="W20" s="10" t="n">
        <f aca="true">INDIRECT(ADDRESS(COLUMN()+119,ROW()+1,1,,"Cash"))</f>
        <v>309.367165782212</v>
      </c>
      <c r="X20" s="10" t="n">
        <f aca="true">INDIRECT(ADDRESS(COLUMN()+119,ROW()+1,1,,"Cash"))</f>
        <v>202.162224560622</v>
      </c>
    </row>
    <row r="21" customFormat="false" ht="12.8" hidden="false" customHeight="false" outlineLevel="0" collapsed="false">
      <c r="A21" s="1" t="s">
        <v>343</v>
      </c>
      <c r="B21" s="10" t="n">
        <f aca="true">INDIRECT(ADDRESS(COLUMN()+119,ROW()+1,1,,"Cash"))</f>
        <v>1273.75826908538</v>
      </c>
      <c r="C21" s="10" t="n">
        <f aca="true">INDIRECT(ADDRESS(COLUMN()+119,ROW()+1,1,,"Cash"))</f>
        <v>253.669914506792</v>
      </c>
      <c r="D21" s="10" t="n">
        <f aca="true">INDIRECT(ADDRESS(COLUMN()+119,ROW()+1,1,,"Cash"))</f>
        <v>363.386713299475</v>
      </c>
      <c r="E21" s="10" t="n">
        <f aca="true">INDIRECT(ADDRESS(COLUMN()+119,ROW()+1,1,,"Cash"))</f>
        <v>147.230051616082</v>
      </c>
      <c r="F21" s="10" t="n">
        <f aca="true">INDIRECT(ADDRESS(COLUMN()+119,ROW()+1,1,,"Cash"))</f>
        <v>2716.0654236791</v>
      </c>
      <c r="G21" s="10" t="n">
        <f aca="true">INDIRECT(ADDRESS(COLUMN()+119,ROW()+1,1,,"Cash"))</f>
        <v>495.526335454072</v>
      </c>
      <c r="H21" s="10" t="n">
        <f aca="true">INDIRECT(ADDRESS(COLUMN()+119,ROW()+1,1,,"Cash"))</f>
        <v>232.316456887114</v>
      </c>
      <c r="I21" s="10" t="n">
        <f aca="true">INDIRECT(ADDRESS(COLUMN()+119,ROW()+1,1,,"Cash"))</f>
        <v>420.786978136478</v>
      </c>
      <c r="J21" s="10" t="n">
        <f aca="true">INDIRECT(ADDRESS(COLUMN()+119,ROW()+1,1,,"Cash"))</f>
        <v>175.74049680428</v>
      </c>
      <c r="K21" s="10" t="n">
        <f aca="true">INDIRECT(ADDRESS(COLUMN()+119,ROW()+1,1,,"Cash"))</f>
        <v>165.819698281663</v>
      </c>
      <c r="L21" s="10" t="n">
        <f aca="true">INDIRECT(ADDRESS(COLUMN()+119,ROW()+1,1,,"Cash"))</f>
        <v>381.736969834728</v>
      </c>
      <c r="M21" s="10" t="n">
        <f aca="true">INDIRECT(ADDRESS(COLUMN()+119,ROW()+1,1,,"Cash"))</f>
        <v>298.744688852999</v>
      </c>
      <c r="N21" s="10" t="n">
        <f aca="true">INDIRECT(ADDRESS(COLUMN()+119,ROW()+1,1,,"Cash"))</f>
        <v>282.933807796221</v>
      </c>
      <c r="O21" s="10" t="n">
        <f aca="true">INDIRECT(ADDRESS(COLUMN()+119,ROW()+1,1,,"Cash"))</f>
        <v>270.562719198235</v>
      </c>
      <c r="P21" s="10" t="n">
        <f aca="true">INDIRECT(ADDRESS(COLUMN()+119,ROW()+1,1,,"Cash"))</f>
        <v>144.924692135307</v>
      </c>
      <c r="Q21" s="25" t="n">
        <f aca="true">INDIRECT(ADDRESS(COLUMN()+119,ROW()+1,1,,"Cash"))</f>
        <v>112.521711020935</v>
      </c>
      <c r="R21" s="10" t="n">
        <f aca="true">INDIRECT(ADDRESS(COLUMN()+119,ROW()+1,1,,"Cash"))</f>
        <v>286.962637018238</v>
      </c>
      <c r="S21" s="10" t="n">
        <f aca="true">INDIRECT(ADDRESS(COLUMN()+119,ROW()+1,1,,"Cash"))</f>
        <v>300.433138175052</v>
      </c>
      <c r="T21" s="10" t="n">
        <f aca="true">INDIRECT(ADDRESS(COLUMN()+119,ROW()+1,1,,"Cash"))</f>
        <v>115.618817412147</v>
      </c>
      <c r="U21" s="10" t="n">
        <f aca="true">INDIRECT(ADDRESS(COLUMN()+119,ROW()+1,1,,"Cash"))</f>
        <v>1902.158301014</v>
      </c>
      <c r="V21" s="10" t="n">
        <f aca="true">INDIRECT(ADDRESS(COLUMN()+119,ROW()+1,1,,"Cash"))</f>
        <v>258.53636398703</v>
      </c>
      <c r="W21" s="10" t="n">
        <f aca="true">INDIRECT(ADDRESS(COLUMN()+119,ROW()+1,1,,"Cash"))</f>
        <v>424.720099869698</v>
      </c>
      <c r="X21" s="10" t="n">
        <f aca="true">INDIRECT(ADDRESS(COLUMN()+119,ROW()+1,1,,"Cash"))</f>
        <v>354.940646095477</v>
      </c>
    </row>
    <row r="22" customFormat="false" ht="12.8" hidden="false" customHeight="false" outlineLevel="0" collapsed="false">
      <c r="A22" s="1" t="s">
        <v>344</v>
      </c>
      <c r="B22" s="10" t="n">
        <f aca="true">INDIRECT(ADDRESS(COLUMN()+119,ROW()+1,1,,"Cash"))</f>
        <v>53.8970544618781</v>
      </c>
      <c r="C22" s="10" t="n">
        <f aca="true">INDIRECT(ADDRESS(COLUMN()+119,ROW()+1,1,,"Cash"))</f>
        <v>10.5230431198664</v>
      </c>
      <c r="D22" s="10" t="n">
        <f aca="true">INDIRECT(ADDRESS(COLUMN()+119,ROW()+1,1,,"Cash"))</f>
        <v>5.21518953113676</v>
      </c>
      <c r="E22" s="10" t="n">
        <f aca="true">INDIRECT(ADDRESS(COLUMN()+119,ROW()+1,1,,"Cash"))</f>
        <v>3.17024897175124</v>
      </c>
      <c r="F22" s="10" t="n">
        <f aca="true">INDIRECT(ADDRESS(COLUMN()+119,ROW()+1,1,,"Cash"))</f>
        <v>15.898903236746</v>
      </c>
      <c r="G22" s="10" t="n">
        <f aca="true">INDIRECT(ADDRESS(COLUMN()+119,ROW()+1,1,,"Cash"))</f>
        <v>14.9682107284088</v>
      </c>
      <c r="H22" s="10" t="n">
        <f aca="true">INDIRECT(ADDRESS(COLUMN()+119,ROW()+1,1,,"Cash"))</f>
        <v>5.9761657292702</v>
      </c>
      <c r="I22" s="10" t="n">
        <f aca="true">INDIRECT(ADDRESS(COLUMN()+119,ROW()+1,1,,"Cash"))</f>
        <v>4.70646307770833</v>
      </c>
      <c r="J22" s="10" t="n">
        <f aca="true">INDIRECT(ADDRESS(COLUMN()+119,ROW()+1,1,,"Cash"))</f>
        <v>4.39298995163752</v>
      </c>
      <c r="K22" s="10" t="n">
        <f aca="true">INDIRECT(ADDRESS(COLUMN()+119,ROW()+1,1,,"Cash"))</f>
        <v>4.67651985229696</v>
      </c>
      <c r="L22" s="10" t="n">
        <f aca="true">INDIRECT(ADDRESS(COLUMN()+119,ROW()+1,1,,"Cash"))</f>
        <v>10.8791082490159</v>
      </c>
      <c r="M22" s="10" t="n">
        <f aca="true">INDIRECT(ADDRESS(COLUMN()+119,ROW()+1,1,,"Cash"))</f>
        <v>23.2891030920476</v>
      </c>
      <c r="N22" s="10" t="n">
        <f aca="true">INDIRECT(ADDRESS(COLUMN()+119,ROW()+1,1,,"Cash"))</f>
        <v>15.868696695352</v>
      </c>
      <c r="O22" s="10" t="n">
        <f aca="true">INDIRECT(ADDRESS(COLUMN()+119,ROW()+1,1,,"Cash"))</f>
        <v>8.48323957391571</v>
      </c>
      <c r="P22" s="10" t="n">
        <f aca="true">INDIRECT(ADDRESS(COLUMN()+119,ROW()+1,1,,"Cash"))</f>
        <v>5.81961153539374</v>
      </c>
      <c r="Q22" s="25" t="n">
        <f aca="true">INDIRECT(ADDRESS(COLUMN()+119,ROW()+1,1,,"Cash"))</f>
        <v>4.27532016195553</v>
      </c>
      <c r="R22" s="10" t="n">
        <f aca="true">INDIRECT(ADDRESS(COLUMN()+119,ROW()+1,1,,"Cash"))</f>
        <v>6.97102056813174</v>
      </c>
      <c r="S22" s="10" t="n">
        <f aca="true">INDIRECT(ADDRESS(COLUMN()+119,ROW()+1,1,,"Cash"))</f>
        <v>8.94397183871135</v>
      </c>
      <c r="T22" s="10" t="n">
        <f aca="true">INDIRECT(ADDRESS(COLUMN()+119,ROW()+1,1,,"Cash"))</f>
        <v>3.15768240362109</v>
      </c>
      <c r="U22" s="10" t="n">
        <f aca="true">INDIRECT(ADDRESS(COLUMN()+119,ROW()+1,1,,"Cash"))</f>
        <v>17.0294113656452</v>
      </c>
      <c r="V22" s="10" t="n">
        <f aca="true">INDIRECT(ADDRESS(COLUMN()+119,ROW()+1,1,,"Cash"))</f>
        <v>5.47105211591781</v>
      </c>
      <c r="W22" s="10" t="n">
        <f aca="true">INDIRECT(ADDRESS(COLUMN()+119,ROW()+1,1,,"Cash"))</f>
        <v>36.0108869743502</v>
      </c>
      <c r="X22" s="10" t="n">
        <f aca="true">INDIRECT(ADDRESS(COLUMN()+119,ROW()+1,1,,"Cash"))</f>
        <v>14.6182657729753</v>
      </c>
    </row>
    <row r="23" customFormat="false" ht="12.8" hidden="false" customHeight="false" outlineLevel="0" collapsed="false">
      <c r="A23" s="1" t="s">
        <v>345</v>
      </c>
      <c r="B23" s="10" t="n">
        <f aca="true">INDIRECT(ADDRESS(COLUMN()+119,ROW()+1,1,,"Cash"))</f>
        <v>1.33269846907582</v>
      </c>
      <c r="C23" s="10" t="n">
        <f aca="true">INDIRECT(ADDRESS(COLUMN()+119,ROW()+1,1,,"Cash"))</f>
        <v>2.62157780477009</v>
      </c>
      <c r="D23" s="10" t="n">
        <f aca="true">INDIRECT(ADDRESS(COLUMN()+119,ROW()+1,1,,"Cash"))</f>
        <v>1.52746498559956</v>
      </c>
      <c r="E23" s="10" t="n">
        <f aca="true">INDIRECT(ADDRESS(COLUMN()+119,ROW()+1,1,,"Cash"))</f>
        <v>1</v>
      </c>
      <c r="F23" s="10" t="n">
        <f aca="true">INDIRECT(ADDRESS(COLUMN()+119,ROW()+1,1,,"Cash"))</f>
        <v>6.87656174631174</v>
      </c>
      <c r="G23" s="10" t="n">
        <f aca="true">INDIRECT(ADDRESS(COLUMN()+119,ROW()+1,1,,"Cash"))</f>
        <v>2.72840236654045</v>
      </c>
      <c r="H23" s="10" t="n">
        <f aca="true">INDIRECT(ADDRESS(COLUMN()+119,ROW()+1,1,,"Cash"))</f>
        <v>3.11135820666873</v>
      </c>
      <c r="I23" s="10" t="n">
        <f aca="true">INDIRECT(ADDRESS(COLUMN()+119,ROW()+1,1,,"Cash"))</f>
        <v>3.68376446300799</v>
      </c>
      <c r="J23" s="10" t="n">
        <f aca="true">INDIRECT(ADDRESS(COLUMN()+119,ROW()+1,1,,"Cash"))</f>
        <v>1.49347196184791</v>
      </c>
      <c r="K23" s="10" t="n">
        <f aca="true">INDIRECT(ADDRESS(COLUMN()+119,ROW()+1,1,,"Cash"))</f>
        <v>2.49498177192561</v>
      </c>
      <c r="L23" s="10" t="n">
        <f aca="true">INDIRECT(ADDRESS(COLUMN()+119,ROW()+1,1,,"Cash"))</f>
        <v>5.59397746146494</v>
      </c>
      <c r="M23" s="10" t="n">
        <f aca="true">INDIRECT(ADDRESS(COLUMN()+119,ROW()+1,1,,"Cash"))</f>
        <v>2.4514208376962</v>
      </c>
      <c r="N23" s="10" t="n">
        <f aca="true">INDIRECT(ADDRESS(COLUMN()+119,ROW()+1,1,,"Cash"))</f>
        <v>4.63253312001303</v>
      </c>
      <c r="O23" s="10" t="n">
        <f aca="true">INDIRECT(ADDRESS(COLUMN()+119,ROW()+1,1,,"Cash"))</f>
        <v>1.78621866181322</v>
      </c>
      <c r="P23" s="10" t="n">
        <f aca="true">INDIRECT(ADDRESS(COLUMN()+119,ROW()+1,1,,"Cash"))</f>
        <v>1.66954497275895</v>
      </c>
      <c r="Q23" s="25" t="n">
        <f aca="true">INDIRECT(ADDRESS(COLUMN()+119,ROW()+1,1,,"Cash"))</f>
        <v>1.27810644519297</v>
      </c>
      <c r="R23" s="10" t="n">
        <f aca="true">INDIRECT(ADDRESS(COLUMN()+119,ROW()+1,1,,"Cash"))</f>
        <v>5.22024214268083</v>
      </c>
      <c r="S23" s="10" t="n">
        <f aca="true">INDIRECT(ADDRESS(COLUMN()+119,ROW()+1,1,,"Cash"))</f>
        <v>1.72361558500484</v>
      </c>
      <c r="T23" s="10" t="n">
        <f aca="true">INDIRECT(ADDRESS(COLUMN()+119,ROW()+1,1,,"Cash"))</f>
        <v>2.23400630377547</v>
      </c>
      <c r="U23" s="10" t="n">
        <f aca="true">INDIRECT(ADDRESS(COLUMN()+119,ROW()+1,1,,"Cash"))</f>
        <v>1.96921573402492</v>
      </c>
      <c r="V23" s="10" t="n">
        <f aca="true">INDIRECT(ADDRESS(COLUMN()+119,ROW()+1,1,,"Cash"))</f>
        <v>2.46543671828067</v>
      </c>
      <c r="W23" s="10" t="n">
        <f aca="true">INDIRECT(ADDRESS(COLUMN()+119,ROW()+1,1,,"Cash"))</f>
        <v>6.37421164793631</v>
      </c>
      <c r="X23" s="10" t="n">
        <f aca="true">INDIRECT(ADDRESS(COLUMN()+119,ROW()+1,1,,"Cash"))</f>
        <v>4.54601504389589</v>
      </c>
    </row>
    <row r="24" customFormat="false" ht="12.8" hidden="false" customHeight="false" outlineLevel="0" collapsed="false">
      <c r="A24" s="1" t="s">
        <v>346</v>
      </c>
      <c r="B24" s="10" t="n">
        <f aca="true">INDIRECT(ADDRESS(COLUMN()+119,ROW()+1,1,,"Cash"))</f>
        <v>396.845858963963</v>
      </c>
      <c r="C24" s="10" t="n">
        <f aca="true">INDIRECT(ADDRESS(COLUMN()+119,ROW()+1,1,,"Cash"))</f>
        <v>151.039554552421</v>
      </c>
      <c r="D24" s="10" t="n">
        <f aca="true">INDIRECT(ADDRESS(COLUMN()+119,ROW()+1,1,,"Cash"))</f>
        <v>111.555245611593</v>
      </c>
      <c r="E24" s="10" t="n">
        <f aca="true">INDIRECT(ADDRESS(COLUMN()+119,ROW()+1,1,,"Cash"))</f>
        <v>33.2801478949643</v>
      </c>
      <c r="F24" s="10" t="n">
        <f aca="true">INDIRECT(ADDRESS(COLUMN()+119,ROW()+1,1,,"Cash"))</f>
        <v>303.600375549937</v>
      </c>
      <c r="G24" s="10" t="n">
        <f aca="true">INDIRECT(ADDRESS(COLUMN()+119,ROW()+1,1,,"Cash"))</f>
        <v>182.020400824931</v>
      </c>
      <c r="H24" s="10" t="n">
        <f aca="true">INDIRECT(ADDRESS(COLUMN()+119,ROW()+1,1,,"Cash"))</f>
        <v>153.521957958736</v>
      </c>
      <c r="I24" s="10" t="n">
        <f aca="true">INDIRECT(ADDRESS(COLUMN()+119,ROW()+1,1,,"Cash"))</f>
        <v>208.618386338844</v>
      </c>
      <c r="J24" s="10" t="n">
        <f aca="true">INDIRECT(ADDRESS(COLUMN()+119,ROW()+1,1,,"Cash"))</f>
        <v>78.875501203913</v>
      </c>
      <c r="K24" s="10" t="n">
        <f aca="true">INDIRECT(ADDRESS(COLUMN()+119,ROW()+1,1,,"Cash"))</f>
        <v>189.123678165812</v>
      </c>
      <c r="L24" s="10" t="n">
        <f aca="true">INDIRECT(ADDRESS(COLUMN()+119,ROW()+1,1,,"Cash"))</f>
        <v>169.124133887099</v>
      </c>
      <c r="M24" s="10" t="n">
        <f aca="true">INDIRECT(ADDRESS(COLUMN()+119,ROW()+1,1,,"Cash"))</f>
        <v>226.355198967487</v>
      </c>
      <c r="N24" s="10" t="n">
        <f aca="true">INDIRECT(ADDRESS(COLUMN()+119,ROW()+1,1,,"Cash"))</f>
        <v>108.519559513252</v>
      </c>
      <c r="O24" s="10" t="n">
        <f aca="true">INDIRECT(ADDRESS(COLUMN()+119,ROW()+1,1,,"Cash"))</f>
        <v>178.836657044072</v>
      </c>
      <c r="P24" s="10" t="n">
        <f aca="true">INDIRECT(ADDRESS(COLUMN()+119,ROW()+1,1,,"Cash"))</f>
        <v>74.4589657254887</v>
      </c>
      <c r="Q24" s="25" t="n">
        <f aca="true">INDIRECT(ADDRESS(COLUMN()+119,ROW()+1,1,,"Cash"))</f>
        <v>76.3331861640014</v>
      </c>
      <c r="R24" s="10" t="n">
        <f aca="true">INDIRECT(ADDRESS(COLUMN()+119,ROW()+1,1,,"Cash"))</f>
        <v>173.491105586903</v>
      </c>
      <c r="S24" s="10" t="n">
        <f aca="true">INDIRECT(ADDRESS(COLUMN()+119,ROW()+1,1,,"Cash"))</f>
        <v>723.47521759291</v>
      </c>
      <c r="T24" s="10" t="n">
        <f aca="true">INDIRECT(ADDRESS(COLUMN()+119,ROW()+1,1,,"Cash"))</f>
        <v>72.952431851872</v>
      </c>
      <c r="U24" s="10" t="n">
        <f aca="true">INDIRECT(ADDRESS(COLUMN()+119,ROW()+1,1,,"Cash"))</f>
        <v>243.004780231017</v>
      </c>
      <c r="V24" s="10" t="n">
        <f aca="true">INDIRECT(ADDRESS(COLUMN()+119,ROW()+1,1,,"Cash"))</f>
        <v>101.774365479167</v>
      </c>
      <c r="W24" s="10" t="n">
        <f aca="true">INDIRECT(ADDRESS(COLUMN()+119,ROW()+1,1,,"Cash"))</f>
        <v>507.360222818386</v>
      </c>
      <c r="X24" s="10" t="n">
        <f aca="true">INDIRECT(ADDRESS(COLUMN()+119,ROW()+1,1,,"Cash"))</f>
        <v>330.907050981493</v>
      </c>
    </row>
    <row r="25" customFormat="false" ht="12.8" hidden="false" customHeight="false" outlineLevel="0" collapsed="false">
      <c r="A25" s="1" t="s">
        <v>347</v>
      </c>
      <c r="B25" s="10" t="n">
        <f aca="true">INDIRECT(ADDRESS(COLUMN()+119,ROW()+1,1,,"Cash"))</f>
        <v>51259.6374475183</v>
      </c>
      <c r="C25" s="10" t="n">
        <f aca="true">INDIRECT(ADDRESS(COLUMN()+119,ROW()+1,1,,"Cash"))</f>
        <v>95028.9242520482</v>
      </c>
      <c r="D25" s="10" t="n">
        <f aca="true">INDIRECT(ADDRESS(COLUMN()+119,ROW()+1,1,,"Cash"))</f>
        <v>4943.71369458471</v>
      </c>
      <c r="E25" s="10" t="n">
        <f aca="true">INDIRECT(ADDRESS(COLUMN()+119,ROW()+1,1,,"Cash"))</f>
        <v>3991.66149852589</v>
      </c>
      <c r="F25" s="10" t="n">
        <f aca="true">INDIRECT(ADDRESS(COLUMN()+119,ROW()+1,1,,"Cash"))</f>
        <v>175217.718472207</v>
      </c>
      <c r="G25" s="10" t="n">
        <f aca="true">INDIRECT(ADDRESS(COLUMN()+119,ROW()+1,1,,"Cash"))</f>
        <v>12369.4535864116</v>
      </c>
      <c r="H25" s="10" t="n">
        <f aca="true">INDIRECT(ADDRESS(COLUMN()+119,ROW()+1,1,,"Cash"))</f>
        <v>8137.08912367411</v>
      </c>
      <c r="I25" s="10" t="n">
        <f aca="true">INDIRECT(ADDRESS(COLUMN()+119,ROW()+1,1,,"Cash"))</f>
        <v>78689.0688783933</v>
      </c>
      <c r="J25" s="10" t="n">
        <f aca="true">INDIRECT(ADDRESS(COLUMN()+119,ROW()+1,1,,"Cash"))</f>
        <v>3757.56695259794</v>
      </c>
      <c r="K25" s="10" t="n">
        <f aca="true">INDIRECT(ADDRESS(COLUMN()+119,ROW()+1,1,,"Cash"))</f>
        <v>64208.9312018867</v>
      </c>
      <c r="L25" s="10" t="n">
        <f aca="true">INDIRECT(ADDRESS(COLUMN()+119,ROW()+1,1,,"Cash"))</f>
        <v>10858.3164685636</v>
      </c>
      <c r="M25" s="10" t="n">
        <f aca="true">INDIRECT(ADDRESS(COLUMN()+119,ROW()+1,1,,"Cash"))</f>
        <v>12970.7281182418</v>
      </c>
      <c r="N25" s="10" t="n">
        <f aca="true">INDIRECT(ADDRESS(COLUMN()+119,ROW()+1,1,,"Cash"))</f>
        <v>17542.9730049485</v>
      </c>
      <c r="O25" s="10" t="n">
        <f aca="true">INDIRECT(ADDRESS(COLUMN()+119,ROW()+1,1,,"Cash"))</f>
        <v>8963.97618844892</v>
      </c>
      <c r="P25" s="10" t="n">
        <f aca="true">INDIRECT(ADDRESS(COLUMN()+119,ROW()+1,1,,"Cash"))</f>
        <v>3768.17149934846</v>
      </c>
      <c r="Q25" s="25" t="n">
        <f aca="true">INDIRECT(ADDRESS(COLUMN()+119,ROW()+1,1,,"Cash"))</f>
        <v>3785.4761973767</v>
      </c>
      <c r="R25" s="10" t="n">
        <f aca="true">INDIRECT(ADDRESS(COLUMN()+119,ROW()+1,1,,"Cash"))</f>
        <v>7675.53604031271</v>
      </c>
      <c r="S25" s="10" t="n">
        <f aca="true">INDIRECT(ADDRESS(COLUMN()+119,ROW()+1,1,,"Cash"))</f>
        <v>484645.598306442</v>
      </c>
      <c r="T25" s="10" t="n">
        <f aca="true">INDIRECT(ADDRESS(COLUMN()+119,ROW()+1,1,,"Cash"))</f>
        <v>2979.36722930833</v>
      </c>
      <c r="U25" s="10" t="n">
        <f aca="true">INDIRECT(ADDRESS(COLUMN()+119,ROW()+1,1,,"Cash"))</f>
        <v>109312.709063825</v>
      </c>
      <c r="V25" s="10" t="n">
        <f aca="true">INDIRECT(ADDRESS(COLUMN()+119,ROW()+1,1,,"Cash"))</f>
        <v>7137.9604588733</v>
      </c>
      <c r="W25" s="10" t="n">
        <f aca="true">INDIRECT(ADDRESS(COLUMN()+119,ROW()+1,1,,"Cash"))</f>
        <v>62231.9764667943</v>
      </c>
      <c r="X25" s="10" t="n">
        <f aca="true">INDIRECT(ADDRESS(COLUMN()+119,ROW()+1,1,,"Cash"))</f>
        <v>46049.4592108274</v>
      </c>
    </row>
    <row r="26" customFormat="false" ht="12.8" hidden="false" customHeight="false" outlineLevel="0" collapsed="false">
      <c r="A26" s="1" t="s">
        <v>348</v>
      </c>
      <c r="B26" s="10" t="n">
        <f aca="true">INDIRECT(ADDRESS(COLUMN()+119,ROW()+1,1,,"Cash"))</f>
        <v>85817.7607168999</v>
      </c>
      <c r="C26" s="10" t="n">
        <f aca="true">INDIRECT(ADDRESS(COLUMN()+119,ROW()+1,1,,"Cash"))</f>
        <v>53409.1400784733</v>
      </c>
      <c r="D26" s="10" t="n">
        <f aca="true">INDIRECT(ADDRESS(COLUMN()+119,ROW()+1,1,,"Cash"))</f>
        <v>9823.53299323435</v>
      </c>
      <c r="E26" s="10" t="n">
        <f aca="true">INDIRECT(ADDRESS(COLUMN()+119,ROW()+1,1,,"Cash"))</f>
        <v>4405.68343394057</v>
      </c>
      <c r="F26" s="10" t="n">
        <f aca="true">INDIRECT(ADDRESS(COLUMN()+119,ROW()+1,1,,"Cash"))</f>
        <v>97715.7530449233</v>
      </c>
      <c r="G26" s="10" t="n">
        <f aca="true">INDIRECT(ADDRESS(COLUMN()+119,ROW()+1,1,,"Cash"))</f>
        <v>20592.3295414846</v>
      </c>
      <c r="H26" s="10" t="n">
        <f aca="true">INDIRECT(ADDRESS(COLUMN()+119,ROW()+1,1,,"Cash"))</f>
        <v>16367.0083255887</v>
      </c>
      <c r="I26" s="10" t="n">
        <f aca="true">INDIRECT(ADDRESS(COLUMN()+119,ROW()+1,1,,"Cash"))</f>
        <v>50210.4013399725</v>
      </c>
      <c r="J26" s="10" t="n">
        <f aca="true">INDIRECT(ADDRESS(COLUMN()+119,ROW()+1,1,,"Cash"))</f>
        <v>6113.55505261226</v>
      </c>
      <c r="K26" s="10" t="n">
        <f aca="true">INDIRECT(ADDRESS(COLUMN()+119,ROW()+1,1,,"Cash"))</f>
        <v>40696.5561082078</v>
      </c>
      <c r="L26" s="10" t="n">
        <f aca="true">INDIRECT(ADDRESS(COLUMN()+119,ROW()+1,1,,"Cash"))</f>
        <v>18831.4173936039</v>
      </c>
      <c r="M26" s="10" t="n">
        <f aca="true">INDIRECT(ADDRESS(COLUMN()+119,ROW()+1,1,,"Cash"))</f>
        <v>26650.0861129867</v>
      </c>
      <c r="N26" s="10" t="n">
        <f aca="true">INDIRECT(ADDRESS(COLUMN()+119,ROW()+1,1,,"Cash"))</f>
        <v>17101.2310788318</v>
      </c>
      <c r="O26" s="10" t="n">
        <f aca="true">INDIRECT(ADDRESS(COLUMN()+119,ROW()+1,1,,"Cash"))</f>
        <v>15531.3655104552</v>
      </c>
      <c r="P26" s="10" t="n">
        <f aca="true">INDIRECT(ADDRESS(COLUMN()+119,ROW()+1,1,,"Cash"))</f>
        <v>6306.21068496149</v>
      </c>
      <c r="Q26" s="25" t="n">
        <f aca="true">INDIRECT(ADDRESS(COLUMN()+119,ROW()+1,1,,"Cash"))</f>
        <v>5502.99587956873</v>
      </c>
      <c r="R26" s="10" t="n">
        <f aca="true">INDIRECT(ADDRESS(COLUMN()+119,ROW()+1,1,,"Cash"))</f>
        <v>10206.719916728</v>
      </c>
      <c r="S26" s="10" t="n">
        <f aca="true">INDIRECT(ADDRESS(COLUMN()+119,ROW()+1,1,,"Cash"))</f>
        <v>292101.176652591</v>
      </c>
      <c r="T26" s="10" t="n">
        <f aca="true">INDIRECT(ADDRESS(COLUMN()+119,ROW()+1,1,,"Cash"))</f>
        <v>3901.68691384509</v>
      </c>
      <c r="U26" s="10" t="n">
        <f aca="true">INDIRECT(ADDRESS(COLUMN()+119,ROW()+1,1,,"Cash"))</f>
        <v>66435.0215451988</v>
      </c>
      <c r="V26" s="10" t="n">
        <f aca="true">INDIRECT(ADDRESS(COLUMN()+119,ROW()+1,1,,"Cash"))</f>
        <v>8357.18489082894</v>
      </c>
      <c r="W26" s="10" t="n">
        <f aca="true">INDIRECT(ADDRESS(COLUMN()+119,ROW()+1,1,,"Cash"))</f>
        <v>101849.28997299</v>
      </c>
      <c r="X26" s="10" t="n">
        <f aca="true">INDIRECT(ADDRESS(COLUMN()+119,ROW()+1,1,,"Cash"))</f>
        <v>59017.5231048918</v>
      </c>
    </row>
    <row r="27" customFormat="false" ht="12.8" hidden="false" customHeight="false" outlineLevel="0" collapsed="false">
      <c r="A27" s="1" t="s">
        <v>349</v>
      </c>
      <c r="B27" s="10" t="n">
        <f aca="true">INDIRECT(ADDRESS(COLUMN()+119,ROW()+1,1,,"Cash"))</f>
        <v>57449.5418225646</v>
      </c>
      <c r="C27" s="10" t="n">
        <f aca="true">INDIRECT(ADDRESS(COLUMN()+119,ROW()+1,1,,"Cash"))</f>
        <v>27010.2413533867</v>
      </c>
      <c r="D27" s="10" t="n">
        <f aca="true">INDIRECT(ADDRESS(COLUMN()+119,ROW()+1,1,,"Cash"))</f>
        <v>9823.53299323434</v>
      </c>
      <c r="E27" s="10" t="n">
        <f aca="true">INDIRECT(ADDRESS(COLUMN()+119,ROW()+1,1,,"Cash"))</f>
        <v>4116.32885412576</v>
      </c>
      <c r="F27" s="10" t="n">
        <f aca="true">INDIRECT(ADDRESS(COLUMN()+119,ROW()+1,1,,"Cash"))</f>
        <v>54550.3484216784</v>
      </c>
      <c r="G27" s="10" t="n">
        <f aca="true">INDIRECT(ADDRESS(COLUMN()+119,ROW()+1,1,,"Cash"))</f>
        <v>16139.9377105114</v>
      </c>
      <c r="H27" s="10" t="n">
        <f aca="true">INDIRECT(ADDRESS(COLUMN()+119,ROW()+1,1,,"Cash"))</f>
        <v>13529.345782781</v>
      </c>
      <c r="I27" s="10" t="n">
        <f aca="true">INDIRECT(ADDRESS(COLUMN()+119,ROW()+1,1,,"Cash"))</f>
        <v>37879.2829805189</v>
      </c>
      <c r="J27" s="10" t="n">
        <f aca="true">INDIRECT(ADDRESS(COLUMN()+119,ROW()+1,1,,"Cash"))</f>
        <v>6216.87055397659</v>
      </c>
      <c r="K27" s="10" t="n">
        <f aca="true">INDIRECT(ADDRESS(COLUMN()+119,ROW()+1,1,,"Cash"))</f>
        <v>34564.6975263087</v>
      </c>
      <c r="L27" s="10" t="n">
        <f aca="true">INDIRECT(ADDRESS(COLUMN()+119,ROW()+1,1,,"Cash"))</f>
        <v>12439.6384657703</v>
      </c>
      <c r="M27" s="10" t="n">
        <f aca="true">INDIRECT(ADDRESS(COLUMN()+119,ROW()+1,1,,"Cash"))</f>
        <v>16416.2114751527</v>
      </c>
      <c r="N27" s="10" t="n">
        <f aca="true">INDIRECT(ADDRESS(COLUMN()+119,ROW()+1,1,,"Cash"))</f>
        <v>12588.0558056459</v>
      </c>
      <c r="O27" s="10" t="n">
        <f aca="true">INDIRECT(ADDRESS(COLUMN()+119,ROW()+1,1,,"Cash"))</f>
        <v>13350.7324336403</v>
      </c>
      <c r="P27" s="10" t="n">
        <f aca="true">INDIRECT(ADDRESS(COLUMN()+119,ROW()+1,1,,"Cash"))</f>
        <v>6306.21068496149</v>
      </c>
      <c r="Q27" s="25" t="n">
        <f aca="true">INDIRECT(ADDRESS(COLUMN()+119,ROW()+1,1,,"Cash"))</f>
        <v>5740.32686626575</v>
      </c>
      <c r="R27" s="10" t="n">
        <f aca="true">INDIRECT(ADDRESS(COLUMN()+119,ROW()+1,1,,"Cash"))</f>
        <v>10613.435832512</v>
      </c>
      <c r="S27" s="10" t="n">
        <f aca="true">INDIRECT(ADDRESS(COLUMN()+119,ROW()+1,1,,"Cash"))</f>
        <v>129374.870066191</v>
      </c>
      <c r="T27" s="10" t="n">
        <f aca="true">INDIRECT(ADDRESS(COLUMN()+119,ROW()+1,1,,"Cash"))</f>
        <v>4095.51319336159</v>
      </c>
      <c r="U27" s="10" t="n">
        <f aca="true">INDIRECT(ADDRESS(COLUMN()+119,ROW()+1,1,,"Cash"))</f>
        <v>43902.3643843921</v>
      </c>
      <c r="V27" s="10" t="n">
        <f aca="true">INDIRECT(ADDRESS(COLUMN()+119,ROW()+1,1,,"Cash"))</f>
        <v>8582.12217052714</v>
      </c>
      <c r="W27" s="10" t="n">
        <f aca="true">INDIRECT(ADDRESS(COLUMN()+119,ROW()+1,1,,"Cash"))</f>
        <v>73889.1912799935</v>
      </c>
      <c r="X27" s="10" t="n">
        <f aca="true">INDIRECT(ADDRESS(COLUMN()+119,ROW()+1,1,,"Cash"))</f>
        <v>48375.4497516018</v>
      </c>
    </row>
    <row r="28" customFormat="false" ht="12.8" hidden="false" customHeight="false" outlineLevel="0" collapsed="false">
      <c r="A28" s="1" t="s">
        <v>350</v>
      </c>
      <c r="B28" s="10" t="n">
        <f aca="true">INDIRECT(ADDRESS(COLUMN()+119,ROW()+1,1,,"Cash"))</f>
        <v>314895.112118103</v>
      </c>
      <c r="C28" s="10" t="n">
        <f aca="true">INDIRECT(ADDRESS(COLUMN()+119,ROW()+1,1,,"Cash"))</f>
        <v>157296.707183219</v>
      </c>
      <c r="D28" s="10" t="n">
        <f aca="true">INDIRECT(ADDRESS(COLUMN()+119,ROW()+1,1,,"Cash"))</f>
        <v>51979.4665281773</v>
      </c>
      <c r="E28" s="10" t="n">
        <f aca="true">INDIRECT(ADDRESS(COLUMN()+119,ROW()+1,1,,"Cash"))</f>
        <v>18100.0119263336</v>
      </c>
      <c r="F28" s="10" t="n">
        <f aca="true">INDIRECT(ADDRESS(COLUMN()+119,ROW()+1,1,,"Cash"))</f>
        <v>333117.578761279</v>
      </c>
      <c r="G28" s="10" t="n">
        <f aca="true">INDIRECT(ADDRESS(COLUMN()+119,ROW()+1,1,,"Cash"))</f>
        <v>95930.479277043</v>
      </c>
      <c r="H28" s="10" t="n">
        <f aca="true">INDIRECT(ADDRESS(COLUMN()+119,ROW()+1,1,,"Cash"))</f>
        <v>81929.1972026593</v>
      </c>
      <c r="I28" s="10" t="n">
        <f aca="true">INDIRECT(ADDRESS(COLUMN()+119,ROW()+1,1,,"Cash"))</f>
        <v>191200.807993446</v>
      </c>
      <c r="J28" s="10" t="n">
        <f aca="true">INDIRECT(ADDRESS(COLUMN()+119,ROW()+1,1,,"Cash"))</f>
        <v>32218.154219273</v>
      </c>
      <c r="K28" s="10" t="n">
        <f aca="true">INDIRECT(ADDRESS(COLUMN()+119,ROW()+1,1,,"Cash"))</f>
        <v>173547.752512709</v>
      </c>
      <c r="L28" s="10" t="n">
        <f aca="true">INDIRECT(ADDRESS(COLUMN()+119,ROW()+1,1,,"Cash"))</f>
        <v>88306.4631688998</v>
      </c>
      <c r="M28" s="10" t="n">
        <f aca="true">INDIRECT(ADDRESS(COLUMN()+119,ROW()+1,1,,"Cash"))</f>
        <v>129426.615867081</v>
      </c>
      <c r="N28" s="10" t="n">
        <f aca="true">INDIRECT(ADDRESS(COLUMN()+119,ROW()+1,1,,"Cash"))</f>
        <v>72658.3599844023</v>
      </c>
      <c r="O28" s="10" t="n">
        <f aca="true">INDIRECT(ADDRESS(COLUMN()+119,ROW()+1,1,,"Cash"))</f>
        <v>77624.1917257008</v>
      </c>
      <c r="P28" s="10" t="n">
        <f aca="true">INDIRECT(ADDRESS(COLUMN()+119,ROW()+1,1,,"Cash"))</f>
        <v>33298.2555482283</v>
      </c>
      <c r="Q28" s="25" t="n">
        <f aca="true">INDIRECT(ADDRESS(COLUMN()+119,ROW()+1,1,,"Cash"))</f>
        <v>40298.4639616058</v>
      </c>
      <c r="R28" s="10" t="n">
        <f aca="true">INDIRECT(ADDRESS(COLUMN()+119,ROW()+1,1,,"Cash"))</f>
        <v>50276.5551830217</v>
      </c>
      <c r="S28" s="10" t="n">
        <f aca="true">INDIRECT(ADDRESS(COLUMN()+119,ROW()+1,1,,"Cash"))</f>
        <v>746257.956395717</v>
      </c>
      <c r="T28" s="10" t="n">
        <f aca="true">INDIRECT(ADDRESS(COLUMN()+119,ROW()+1,1,,"Cash"))</f>
        <v>19700.0326430829</v>
      </c>
      <c r="U28" s="10" t="n">
        <f aca="true">INDIRECT(ADDRESS(COLUMN()+119,ROW()+1,1,,"Cash"))</f>
        <v>232225.878070083</v>
      </c>
      <c r="V28" s="10" t="n">
        <f aca="true">INDIRECT(ADDRESS(COLUMN()+119,ROW()+1,1,,"Cash"))</f>
        <v>37443.6593850568</v>
      </c>
      <c r="W28" s="10" t="n">
        <f aca="true">INDIRECT(ADDRESS(COLUMN()+119,ROW()+1,1,,"Cash"))</f>
        <v>392411.419471924</v>
      </c>
      <c r="X28" s="10" t="n">
        <f aca="true">INDIRECT(ADDRESS(COLUMN()+119,ROW()+1,1,,"Cash"))</f>
        <v>269510.282464712</v>
      </c>
    </row>
    <row r="29" customFormat="false" ht="12.8" hidden="false" customHeight="false" outlineLevel="0" collapsed="false">
      <c r="A29" s="1" t="s">
        <v>351</v>
      </c>
      <c r="B29" s="10" t="n">
        <f aca="true">INDIRECT(ADDRESS(COLUMN()+119,ROW()+1,1,,"Cash"))</f>
        <v>361887.486664595</v>
      </c>
      <c r="C29" s="10" t="n">
        <f aca="true">INDIRECT(ADDRESS(COLUMN()+119,ROW()+1,1,,"Cash"))</f>
        <v>170143.538964518</v>
      </c>
      <c r="D29" s="10" t="n">
        <f aca="true">INDIRECT(ADDRESS(COLUMN()+119,ROW()+1,1,,"Cash"))</f>
        <v>61880.6269346433</v>
      </c>
      <c r="E29" s="10" t="n">
        <f aca="true">INDIRECT(ADDRESS(COLUMN()+119,ROW()+1,1,,"Cash"))</f>
        <v>25929.674215773</v>
      </c>
      <c r="F29" s="10" t="n">
        <f aca="true">INDIRECT(ADDRESS(COLUMN()+119,ROW()+1,1,,"Cash"))</f>
        <v>343624.820333126</v>
      </c>
      <c r="G29" s="10" t="n">
        <f aca="true">INDIRECT(ADDRESS(COLUMN()+119,ROW()+1,1,,"Cash"))</f>
        <v>101669.070068823</v>
      </c>
      <c r="H29" s="10" t="n">
        <f aca="true">INDIRECT(ADDRESS(COLUMN()+119,ROW()+1,1,,"Cash"))</f>
        <v>85224.3688325433</v>
      </c>
      <c r="I29" s="10" t="n">
        <f aca="true">INDIRECT(ADDRESS(COLUMN()+119,ROW()+1,1,,"Cash"))</f>
        <v>238610.058141366</v>
      </c>
      <c r="J29" s="10" t="n">
        <f aca="true">INDIRECT(ADDRESS(COLUMN()+119,ROW()+1,1,,"Cash"))</f>
        <v>39161.4552235481</v>
      </c>
      <c r="K29" s="10" t="n">
        <f aca="true">INDIRECT(ADDRESS(COLUMN()+119,ROW()+1,1,,"Cash"))</f>
        <v>217730.7445506</v>
      </c>
      <c r="L29" s="10" t="n">
        <f aca="true">INDIRECT(ADDRESS(COLUMN()+119,ROW()+1,1,,"Cash"))</f>
        <v>78360.0592202751</v>
      </c>
      <c r="M29" s="10" t="n">
        <f aca="true">INDIRECT(ADDRESS(COLUMN()+119,ROW()+1,1,,"Cash"))</f>
        <v>103409.380176538</v>
      </c>
      <c r="N29" s="10" t="n">
        <f aca="true">INDIRECT(ADDRESS(COLUMN()+119,ROW()+1,1,,"Cash"))</f>
        <v>79294.9731708672</v>
      </c>
      <c r="O29" s="10" t="n">
        <f aca="true">INDIRECT(ADDRESS(COLUMN()+119,ROW()+1,1,,"Cash"))</f>
        <v>84099.2434798483</v>
      </c>
      <c r="P29" s="10" t="n">
        <f aca="true">INDIRECT(ADDRESS(COLUMN()+119,ROW()+1,1,,"Cash"))</f>
        <v>39724.2286493183</v>
      </c>
      <c r="Q29" s="25" t="n">
        <f aca="true">INDIRECT(ADDRESS(COLUMN()+119,ROW()+1,1,,"Cash"))</f>
        <v>36159.6001702183</v>
      </c>
      <c r="R29" s="10" t="n">
        <f aca="true">INDIRECT(ADDRESS(COLUMN()+119,ROW()+1,1,,"Cash"))</f>
        <v>66856.4012253817</v>
      </c>
      <c r="S29" s="10" t="n">
        <f aca="true">INDIRECT(ADDRESS(COLUMN()+119,ROW()+1,1,,"Cash"))</f>
        <v>814961.182987594</v>
      </c>
      <c r="T29" s="10" t="n">
        <f aca="true">INDIRECT(ADDRESS(COLUMN()+119,ROW()+1,1,,"Cash"))</f>
        <v>25798.5517225689</v>
      </c>
      <c r="U29" s="10" t="n">
        <f aca="true">INDIRECT(ADDRESS(COLUMN()+119,ROW()+1,1,,"Cash"))</f>
        <v>276550.79225472</v>
      </c>
      <c r="V29" s="10" t="n">
        <f aca="true">INDIRECT(ADDRESS(COLUMN()+119,ROW()+1,1,,"Cash"))</f>
        <v>54060.7030798062</v>
      </c>
      <c r="W29" s="10" t="n">
        <f aca="true">INDIRECT(ADDRESS(COLUMN()+119,ROW()+1,1,,"Cash"))</f>
        <v>465444.507922844</v>
      </c>
      <c r="X29" s="10" t="n">
        <f aca="true">INDIRECT(ADDRESS(COLUMN()+119,ROW()+1,1,,"Cash"))</f>
        <v>304727.755374379</v>
      </c>
    </row>
    <row r="30" customFormat="false" ht="12.8" hidden="false" customHeight="false" outlineLevel="0" collapsed="false">
      <c r="A30" s="1" t="s">
        <v>352</v>
      </c>
      <c r="B30" s="10" t="n">
        <f aca="true">INDIRECT(ADDRESS(COLUMN()+119,ROW()+1,1,,"Cash"))</f>
        <v>716309.104131596</v>
      </c>
      <c r="C30" s="10" t="n">
        <f aca="true">INDIRECT(ADDRESS(COLUMN()+119,ROW()+1,1,,"Cash"))</f>
        <v>212281.892864832</v>
      </c>
      <c r="D30" s="10" t="n">
        <f aca="true">INDIRECT(ADDRESS(COLUMN()+119,ROW()+1,1,,"Cash"))</f>
        <v>188776.459278031</v>
      </c>
      <c r="E30" s="10" t="n">
        <f aca="true">INDIRECT(ADDRESS(COLUMN()+119,ROW()+1,1,,"Cash"))</f>
        <v>97787.9526339242</v>
      </c>
      <c r="F30" s="10" t="n">
        <f aca="true">INDIRECT(ADDRESS(COLUMN()+119,ROW()+1,1,,"Cash"))</f>
        <v>551731.080300055</v>
      </c>
      <c r="G30" s="10" t="n">
        <f aca="true">INDIRECT(ADDRESS(COLUMN()+119,ROW()+1,1,,"Cash"))</f>
        <v>444605.947965908</v>
      </c>
      <c r="H30" s="10" t="n">
        <f aca="true">INDIRECT(ADDRESS(COLUMN()+119,ROW()+1,1,,"Cash"))</f>
        <v>196821.337899416</v>
      </c>
      <c r="I30" s="10" t="n">
        <f aca="true">INDIRECT(ADDRESS(COLUMN()+119,ROW()+1,1,,"Cash"))</f>
        <v>742667.220720492</v>
      </c>
      <c r="J30" s="10" t="n">
        <f aca="true">INDIRECT(ADDRESS(COLUMN()+119,ROW()+1,1,,"Cash"))</f>
        <v>134013.988561689</v>
      </c>
      <c r="K30" s="10" t="n">
        <f aca="true">INDIRECT(ADDRESS(COLUMN()+119,ROW()+1,1,,"Cash"))</f>
        <v>591858.852637705</v>
      </c>
      <c r="L30" s="10" t="n">
        <f aca="true">INDIRECT(ADDRESS(COLUMN()+119,ROW()+1,1,,"Cash"))</f>
        <v>260372.077903348</v>
      </c>
      <c r="M30" s="10" t="n">
        <f aca="true">INDIRECT(ADDRESS(COLUMN()+119,ROW()+1,1,,"Cash"))</f>
        <v>156429.451309332</v>
      </c>
      <c r="N30" s="10" t="n">
        <f aca="true">INDIRECT(ADDRESS(COLUMN()+119,ROW()+1,1,,"Cash"))</f>
        <v>288402.670390016</v>
      </c>
      <c r="O30" s="10" t="n">
        <f aca="true">INDIRECT(ADDRESS(COLUMN()+119,ROW()+1,1,,"Cash"))</f>
        <v>262410.103681337</v>
      </c>
      <c r="P30" s="10" t="n">
        <f aca="true">INDIRECT(ADDRESS(COLUMN()+119,ROW()+1,1,,"Cash"))</f>
        <v>127360.516395512</v>
      </c>
      <c r="Q30" s="25" t="n">
        <f aca="true">INDIRECT(ADDRESS(COLUMN()+119,ROW()+1,1,,"Cash"))</f>
        <v>123746.710888296</v>
      </c>
      <c r="R30" s="10" t="n">
        <f aca="true">INDIRECT(ADDRESS(COLUMN()+119,ROW()+1,1,,"Cash"))</f>
        <v>138259.191430807</v>
      </c>
      <c r="S30" s="10" t="n">
        <f aca="true">INDIRECT(ADDRESS(COLUMN()+119,ROW()+1,1,,"Cash"))</f>
        <v>903658.498227686</v>
      </c>
      <c r="T30" s="10" t="n">
        <f aca="true">INDIRECT(ADDRESS(COLUMN()+119,ROW()+1,1,,"Cash"))</f>
        <v>77699.6404287627</v>
      </c>
      <c r="U30" s="10" t="n">
        <f aca="true">INDIRECT(ADDRESS(COLUMN()+119,ROW()+1,1,,"Cash"))</f>
        <v>487370.456354208</v>
      </c>
      <c r="V30" s="10" t="n">
        <f aca="true">INDIRECT(ADDRESS(COLUMN()+119,ROW()+1,1,,"Cash"))</f>
        <v>104441.396363172</v>
      </c>
      <c r="W30" s="10" t="n">
        <f aca="true">INDIRECT(ADDRESS(COLUMN()+119,ROW()+1,1,,"Cash"))</f>
        <v>2013272.0028598</v>
      </c>
      <c r="X30" s="10" t="n">
        <f aca="true">INDIRECT(ADDRESS(COLUMN()+119,ROW()+1,1,,"Cash"))</f>
        <v>406867.138822011</v>
      </c>
    </row>
    <row r="31" customFormat="false" ht="12.8" hidden="false" customHeight="false" outlineLevel="0" collapsed="false">
      <c r="A31" s="1" t="s">
        <v>353</v>
      </c>
      <c r="B31" s="10" t="n">
        <f aca="true">INDIRECT(ADDRESS(COLUMN()+119,ROW()+1,1,,"Cash"))</f>
        <v>935.330177562627</v>
      </c>
      <c r="C31" s="10" t="n">
        <f aca="true">INDIRECT(ADDRESS(COLUMN()+119,ROW()+1,1,,"Cash"))</f>
        <v>1963.66472361338</v>
      </c>
      <c r="D31" s="10" t="n">
        <f aca="true">INDIRECT(ADDRESS(COLUMN()+119,ROW()+1,1,,"Cash"))</f>
        <v>994.745186218923</v>
      </c>
      <c r="E31" s="10" t="n">
        <f aca="true">INDIRECT(ADDRESS(COLUMN()+119,ROW()+1,1,,"Cash"))</f>
        <v>401.18002787702</v>
      </c>
      <c r="F31" s="10" t="n">
        <f aca="true">INDIRECT(ADDRESS(COLUMN()+119,ROW()+1,1,,"Cash"))</f>
        <v>5046.37984360955</v>
      </c>
      <c r="G31" s="10" t="n">
        <f aca="true">INDIRECT(ADDRESS(COLUMN()+119,ROW()+1,1,,"Cash"))</f>
        <v>788.318393071036</v>
      </c>
      <c r="H31" s="10" t="n">
        <f aca="true">INDIRECT(ADDRESS(COLUMN()+119,ROW()+1,1,,"Cash"))</f>
        <v>1496.8454593803</v>
      </c>
      <c r="I31" s="10" t="n">
        <f aca="true">INDIRECT(ADDRESS(COLUMN()+119,ROW()+1,1,,"Cash"))</f>
        <v>1100.72562553339</v>
      </c>
      <c r="J31" s="10" t="n">
        <f aca="true">INDIRECT(ADDRESS(COLUMN()+119,ROW()+1,1,,"Cash"))</f>
        <v>499.425035530254</v>
      </c>
      <c r="K31" s="10" t="n">
        <f aca="true">INDIRECT(ADDRESS(COLUMN()+119,ROW()+1,1,,"Cash"))</f>
        <v>630.271761912474</v>
      </c>
      <c r="L31" s="10" t="n">
        <f aca="true">INDIRECT(ADDRESS(COLUMN()+119,ROW()+1,1,,"Cash"))</f>
        <v>983.259309666969</v>
      </c>
      <c r="M31" s="10" t="n">
        <f aca="true">INDIRECT(ADDRESS(COLUMN()+119,ROW()+1,1,,"Cash"))</f>
        <v>1020.61757421209</v>
      </c>
      <c r="N31" s="10" t="n">
        <f aca="true">INDIRECT(ADDRESS(COLUMN()+119,ROW()+1,1,,"Cash"))</f>
        <v>1071.32517673207</v>
      </c>
      <c r="O31" s="10" t="n">
        <f aca="true">INDIRECT(ADDRESS(COLUMN()+119,ROW()+1,1,,"Cash"))</f>
        <v>1274.40547424399</v>
      </c>
      <c r="P31" s="10" t="n">
        <f aca="true">INDIRECT(ADDRESS(COLUMN()+119,ROW()+1,1,,"Cash"))</f>
        <v>460.465931390703</v>
      </c>
      <c r="Q31" s="25" t="n">
        <f aca="true">INDIRECT(ADDRESS(COLUMN()+119,ROW()+1,1,,"Cash"))</f>
        <v>442.581114275483</v>
      </c>
      <c r="R31" s="10" t="n">
        <f aca="true">INDIRECT(ADDRESS(COLUMN()+119,ROW()+1,1,,"Cash"))</f>
        <v>431.111281580358</v>
      </c>
      <c r="S31" s="10" t="n">
        <f aca="true">INDIRECT(ADDRESS(COLUMN()+119,ROW()+1,1,,"Cash"))</f>
        <v>1211.93540283852</v>
      </c>
      <c r="T31" s="10" t="n">
        <f aca="true">INDIRECT(ADDRESS(COLUMN()+119,ROW()+1,1,,"Cash"))</f>
        <v>303.499748872506</v>
      </c>
      <c r="U31" s="10" t="n">
        <f aca="true">INDIRECT(ADDRESS(COLUMN()+119,ROW()+1,1,,"Cash"))</f>
        <v>723.343809592462</v>
      </c>
      <c r="V31" s="10" t="n">
        <f aca="true">INDIRECT(ADDRESS(COLUMN()+119,ROW()+1,1,,"Cash"))</f>
        <v>575.731012278866</v>
      </c>
      <c r="W31" s="10" t="n">
        <f aca="true">INDIRECT(ADDRESS(COLUMN()+119,ROW()+1,1,,"Cash"))</f>
        <v>1220.55379371809</v>
      </c>
      <c r="X31" s="10" t="n">
        <f aca="true">INDIRECT(ADDRESS(COLUMN()+119,ROW()+1,1,,"Cash"))</f>
        <v>2331.73496696015</v>
      </c>
    </row>
    <row r="32" customFormat="false" ht="12.8" hidden="false" customHeight="false" outlineLevel="0" collapsed="false">
      <c r="A32" s="1" t="s">
        <v>354</v>
      </c>
      <c r="B32" s="10" t="n">
        <f aca="true">INDIRECT(ADDRESS(COLUMN()+119,ROW()+1,1,,"Cash"))</f>
        <v>2970.13249074566</v>
      </c>
      <c r="C32" s="10" t="n">
        <f aca="true">INDIRECT(ADDRESS(COLUMN()+119,ROW()+1,1,,"Cash"))</f>
        <v>1096.29664123376</v>
      </c>
      <c r="D32" s="10" t="n">
        <f aca="true">INDIRECT(ADDRESS(COLUMN()+119,ROW()+1,1,,"Cash"))</f>
        <v>491.837966166903</v>
      </c>
      <c r="E32" s="10" t="n">
        <f aca="true">INDIRECT(ADDRESS(COLUMN()+119,ROW()+1,1,,"Cash"))</f>
        <v>375.028826604996</v>
      </c>
      <c r="F32" s="10" t="n">
        <f aca="true">INDIRECT(ADDRESS(COLUMN()+119,ROW()+1,1,,"Cash"))</f>
        <v>1590.2662131044</v>
      </c>
      <c r="G32" s="10" t="n">
        <f aca="true">INDIRECT(ADDRESS(COLUMN()+119,ROW()+1,1,,"Cash"))</f>
        <v>1637.69180172396</v>
      </c>
      <c r="H32" s="10" t="n">
        <f aca="true">INDIRECT(ADDRESS(COLUMN()+119,ROW()+1,1,,"Cash"))</f>
        <v>876.259101648793</v>
      </c>
      <c r="I32" s="10" t="n">
        <f aca="true">INDIRECT(ADDRESS(COLUMN()+119,ROW()+1,1,,"Cash"))</f>
        <v>3369.67789851247</v>
      </c>
      <c r="J32" s="10" t="n">
        <f aca="true">INDIRECT(ADDRESS(COLUMN()+119,ROW()+1,1,,"Cash"))</f>
        <v>528.536386673737</v>
      </c>
      <c r="K32" s="10" t="n">
        <f aca="true">INDIRECT(ADDRESS(COLUMN()+119,ROW()+1,1,,"Cash"))</f>
        <v>2576.52359040824</v>
      </c>
      <c r="L32" s="10" t="n">
        <f aca="true">INDIRECT(ADDRESS(COLUMN()+119,ROW()+1,1,,"Cash"))</f>
        <v>1582.75279713715</v>
      </c>
      <c r="M32" s="10" t="n">
        <f aca="true">INDIRECT(ADDRESS(COLUMN()+119,ROW()+1,1,,"Cash"))</f>
        <v>758.909241592171</v>
      </c>
      <c r="N32" s="10" t="n">
        <f aca="true">INDIRECT(ADDRESS(COLUMN()+119,ROW()+1,1,,"Cash"))</f>
        <v>623.137659157486</v>
      </c>
      <c r="O32" s="10" t="n">
        <f aca="true">INDIRECT(ADDRESS(COLUMN()+119,ROW()+1,1,,"Cash"))</f>
        <v>559.10044469204</v>
      </c>
      <c r="P32" s="10" t="n">
        <f aca="true">INDIRECT(ADDRESS(COLUMN()+119,ROW()+1,1,,"Cash"))</f>
        <v>450.79412691899</v>
      </c>
      <c r="Q32" s="25" t="n">
        <f aca="true">INDIRECT(ADDRESS(COLUMN()+119,ROW()+1,1,,"Cash"))</f>
        <v>417.261235992291</v>
      </c>
      <c r="R32" s="10" t="n">
        <f aca="true">INDIRECT(ADDRESS(COLUMN()+119,ROW()+1,1,,"Cash"))</f>
        <v>860.011324382348</v>
      </c>
      <c r="S32" s="10" t="n">
        <f aca="true">INDIRECT(ADDRESS(COLUMN()+119,ROW()+1,1,,"Cash"))</f>
        <v>1741.66571549838</v>
      </c>
      <c r="T32" s="10" t="n">
        <f aca="true">INDIRECT(ADDRESS(COLUMN()+119,ROW()+1,1,,"Cash"))</f>
        <v>275.18443334295</v>
      </c>
      <c r="U32" s="10" t="n">
        <f aca="true">INDIRECT(ADDRESS(COLUMN()+119,ROW()+1,1,,"Cash"))</f>
        <v>1312.39487740061</v>
      </c>
      <c r="V32" s="10" t="n">
        <f aca="true">INDIRECT(ADDRESS(COLUMN()+119,ROW()+1,1,,"Cash"))</f>
        <v>379.769168350544</v>
      </c>
      <c r="W32" s="10" t="n">
        <f aca="true">INDIRECT(ADDRESS(COLUMN()+119,ROW()+1,1,,"Cash"))</f>
        <v>896.871026593309</v>
      </c>
      <c r="X32" s="10" t="n">
        <f aca="true">INDIRECT(ADDRESS(COLUMN()+119,ROW()+1,1,,"Cash"))</f>
        <v>962.292849218436</v>
      </c>
    </row>
    <row r="33" customFormat="false" ht="12.8" hidden="false" customHeight="false" outlineLevel="0" collapsed="false">
      <c r="A33" s="1" t="s">
        <v>355</v>
      </c>
      <c r="B33" s="10" t="n">
        <f aca="true">INDIRECT(ADDRESS(COLUMN()+119,ROW()+1,1,,"Cash"))</f>
        <v>538.657007677174</v>
      </c>
      <c r="C33" s="10" t="n">
        <f aca="true">INDIRECT(ADDRESS(COLUMN()+119,ROW()+1,1,,"Cash"))</f>
        <v>1223.08162599298</v>
      </c>
      <c r="D33" s="10" t="n">
        <f aca="true">INDIRECT(ADDRESS(COLUMN()+119,ROW()+1,1,,"Cash"))</f>
        <v>271.008656352546</v>
      </c>
      <c r="E33" s="10" t="n">
        <f aca="true">INDIRECT(ADDRESS(COLUMN()+119,ROW()+1,1,,"Cash"))</f>
        <v>192.418054663457</v>
      </c>
      <c r="F33" s="10" t="n">
        <f aca="true">INDIRECT(ADDRESS(COLUMN()+119,ROW()+1,1,,"Cash"))</f>
        <v>1595.84049738726</v>
      </c>
      <c r="G33" s="10" t="n">
        <f aca="true">INDIRECT(ADDRESS(COLUMN()+119,ROW()+1,1,,"Cash"))</f>
        <v>642.060716550731</v>
      </c>
      <c r="H33" s="10" t="n">
        <f aca="true">INDIRECT(ADDRESS(COLUMN()+119,ROW()+1,1,,"Cash"))</f>
        <v>354.815537776628</v>
      </c>
      <c r="I33" s="10" t="n">
        <f aca="true">INDIRECT(ADDRESS(COLUMN()+119,ROW()+1,1,,"Cash"))</f>
        <v>948.962388700162</v>
      </c>
      <c r="J33" s="10" t="n">
        <f aca="true">INDIRECT(ADDRESS(COLUMN()+119,ROW()+1,1,,"Cash"))</f>
        <v>279.73609674385</v>
      </c>
      <c r="K33" s="10" t="n">
        <f aca="true">INDIRECT(ADDRESS(COLUMN()+119,ROW()+1,1,,"Cash"))</f>
        <v>1727.01805602107</v>
      </c>
      <c r="L33" s="10" t="n">
        <f aca="true">INDIRECT(ADDRESS(COLUMN()+119,ROW()+1,1,,"Cash"))</f>
        <v>775.081857736657</v>
      </c>
      <c r="M33" s="10" t="n">
        <f aca="true">INDIRECT(ADDRESS(COLUMN()+119,ROW()+1,1,,"Cash"))</f>
        <v>743.299168616466</v>
      </c>
      <c r="N33" s="10" t="n">
        <f aca="true">INDIRECT(ADDRESS(COLUMN()+119,ROW()+1,1,,"Cash"))</f>
        <v>481.833269427497</v>
      </c>
      <c r="O33" s="10" t="n">
        <f aca="true">INDIRECT(ADDRESS(COLUMN()+119,ROW()+1,1,,"Cash"))</f>
        <v>379.065565785739</v>
      </c>
      <c r="P33" s="10" t="n">
        <f aca="true">INDIRECT(ADDRESS(COLUMN()+119,ROW()+1,1,,"Cash"))</f>
        <v>306.93738078716</v>
      </c>
      <c r="Q33" s="25" t="n">
        <f aca="true">INDIRECT(ADDRESS(COLUMN()+119,ROW()+1,1,,"Cash"))</f>
        <v>272.902528276978</v>
      </c>
      <c r="R33" s="10" t="n">
        <f aca="true">INDIRECT(ADDRESS(COLUMN()+119,ROW()+1,1,,"Cash"))</f>
        <v>269.134453136472</v>
      </c>
      <c r="S33" s="10" t="n">
        <f aca="true">INDIRECT(ADDRESS(COLUMN()+119,ROW()+1,1,,"Cash"))</f>
        <v>3382.37004254373</v>
      </c>
      <c r="T33" s="10" t="n">
        <f aca="true">INDIRECT(ADDRESS(COLUMN()+119,ROW()+1,1,,"Cash"))</f>
        <v>196.449311701466</v>
      </c>
      <c r="U33" s="10" t="n">
        <f aca="true">INDIRECT(ADDRESS(COLUMN()+119,ROW()+1,1,,"Cash"))</f>
        <v>893.82236237216</v>
      </c>
      <c r="V33" s="10" t="n">
        <f aca="true">INDIRECT(ADDRESS(COLUMN()+119,ROW()+1,1,,"Cash"))</f>
        <v>437.915325531689</v>
      </c>
      <c r="W33" s="10" t="n">
        <f aca="true">INDIRECT(ADDRESS(COLUMN()+119,ROW()+1,1,,"Cash"))</f>
        <v>648.567439642184</v>
      </c>
      <c r="X33" s="10" t="n">
        <f aca="true">INDIRECT(ADDRESS(COLUMN()+119,ROW()+1,1,,"Cash"))</f>
        <v>489.427819925882</v>
      </c>
    </row>
    <row r="34" customFormat="false" ht="12.8" hidden="false" customHeight="false" outlineLevel="0" collapsed="false">
      <c r="A34" s="1" t="s">
        <v>356</v>
      </c>
      <c r="B34" s="10" t="n">
        <f aca="true">INDIRECT(ADDRESS(COLUMN()+119,ROW()+1,1,,"Cash"))</f>
        <v>2729.13200763442</v>
      </c>
      <c r="C34" s="10" t="n">
        <f aca="true">INDIRECT(ADDRESS(COLUMN()+119,ROW()+1,1,,"Cash"))</f>
        <v>2672.70073850621</v>
      </c>
      <c r="D34" s="10" t="n">
        <f aca="true">INDIRECT(ADDRESS(COLUMN()+119,ROW()+1,1,,"Cash"))</f>
        <v>2789.74516919064</v>
      </c>
      <c r="E34" s="10" t="n">
        <f aca="true">INDIRECT(ADDRESS(COLUMN()+119,ROW()+1,1,,"Cash"))</f>
        <v>1213.60068012767</v>
      </c>
      <c r="F34" s="10" t="n">
        <f aca="true">INDIRECT(ADDRESS(COLUMN()+119,ROW()+1,1,,"Cash"))</f>
        <v>3307.77367046038</v>
      </c>
      <c r="G34" s="10" t="n">
        <f aca="true">INDIRECT(ADDRESS(COLUMN()+119,ROW()+1,1,,"Cash"))</f>
        <v>3774.68457092469</v>
      </c>
      <c r="H34" s="10" t="n">
        <f aca="true">INDIRECT(ADDRESS(COLUMN()+119,ROW()+1,1,,"Cash"))</f>
        <v>4788.27006150518</v>
      </c>
      <c r="I34" s="10" t="n">
        <f aca="true">INDIRECT(ADDRESS(COLUMN()+119,ROW()+1,1,,"Cash"))</f>
        <v>12343.0073688211</v>
      </c>
      <c r="J34" s="10" t="n">
        <f aca="true">INDIRECT(ADDRESS(COLUMN()+119,ROW()+1,1,,"Cash"))</f>
        <v>1591.01584274208</v>
      </c>
      <c r="K34" s="10" t="n">
        <f aca="true">INDIRECT(ADDRESS(COLUMN()+119,ROW()+1,1,,"Cash"))</f>
        <v>2878.57246671624</v>
      </c>
      <c r="L34" s="10" t="n">
        <f aca="true">INDIRECT(ADDRESS(COLUMN()+119,ROW()+1,1,,"Cash"))</f>
        <v>4825.00177165214</v>
      </c>
      <c r="M34" s="10" t="n">
        <f aca="true">INDIRECT(ADDRESS(COLUMN()+119,ROW()+1,1,,"Cash"))</f>
        <v>7214.11870464142</v>
      </c>
      <c r="N34" s="10" t="n">
        <f aca="true">INDIRECT(ADDRESS(COLUMN()+119,ROW()+1,1,,"Cash"))</f>
        <v>2330.28375635891</v>
      </c>
      <c r="O34" s="10" t="n">
        <f aca="true">INDIRECT(ADDRESS(COLUMN()+119,ROW()+1,1,,"Cash"))</f>
        <v>2316.42460945868</v>
      </c>
      <c r="P34" s="10" t="n">
        <f aca="true">INDIRECT(ADDRESS(COLUMN()+119,ROW()+1,1,,"Cash"))</f>
        <v>1248.22515182288</v>
      </c>
      <c r="Q34" s="25" t="n">
        <f aca="true">INDIRECT(ADDRESS(COLUMN()+119,ROW()+1,1,,"Cash"))</f>
        <v>1476.213509812</v>
      </c>
      <c r="R34" s="10" t="n">
        <f aca="true">INDIRECT(ADDRESS(COLUMN()+119,ROW()+1,1,,"Cash"))</f>
        <v>1626.27362603757</v>
      </c>
      <c r="S34" s="10" t="n">
        <f aca="true">INDIRECT(ADDRESS(COLUMN()+119,ROW()+1,1,,"Cash"))</f>
        <v>4203.32146378248</v>
      </c>
      <c r="T34" s="10" t="n">
        <f aca="true">INDIRECT(ADDRESS(COLUMN()+119,ROW()+1,1,,"Cash"))</f>
        <v>1046.54888656735</v>
      </c>
      <c r="U34" s="10" t="n">
        <f aca="true">INDIRECT(ADDRESS(COLUMN()+119,ROW()+1,1,,"Cash"))</f>
        <v>5959.55061800776</v>
      </c>
      <c r="V34" s="10" t="n">
        <f aca="true">INDIRECT(ADDRESS(COLUMN()+119,ROW()+1,1,,"Cash"))</f>
        <v>1842.62828568866</v>
      </c>
      <c r="W34" s="10" t="n">
        <f aca="true">INDIRECT(ADDRESS(COLUMN()+119,ROW()+1,1,,"Cash"))</f>
        <v>25692.8002573255</v>
      </c>
      <c r="X34" s="10" t="n">
        <f aca="true">INDIRECT(ADDRESS(COLUMN()+119,ROW()+1,1,,"Cash"))</f>
        <v>10854.4200320815</v>
      </c>
    </row>
    <row r="35" customFormat="false" ht="12.8" hidden="false" customHeight="false" outlineLevel="0" collapsed="false">
      <c r="A35" s="1" t="s">
        <v>357</v>
      </c>
      <c r="B35" s="10" t="n">
        <f aca="true">INDIRECT(ADDRESS(COLUMN()+119,ROW()+1,1,,"Cash"))</f>
        <v>1581.02341374163</v>
      </c>
      <c r="C35" s="10" t="n">
        <f aca="true">INDIRECT(ADDRESS(COLUMN()+119,ROW()+1,1,,"Cash"))</f>
        <v>5563.63755471867</v>
      </c>
      <c r="D35" s="10" t="n">
        <f aca="true">INDIRECT(ADDRESS(COLUMN()+119,ROW()+1,1,,"Cash"))</f>
        <v>1039.17235417194</v>
      </c>
      <c r="E35" s="10" t="n">
        <f aca="true">INDIRECT(ADDRESS(COLUMN()+119,ROW()+1,1,,"Cash"))</f>
        <v>492.598717515588</v>
      </c>
      <c r="F35" s="10" t="n">
        <f aca="true">INDIRECT(ADDRESS(COLUMN()+119,ROW()+1,1,,"Cash"))</f>
        <v>2060.78606416655</v>
      </c>
      <c r="G35" s="10" t="n">
        <f aca="true">INDIRECT(ADDRESS(COLUMN()+119,ROW()+1,1,,"Cash"))</f>
        <v>1559.57439252124</v>
      </c>
      <c r="H35" s="10" t="n">
        <f aca="true">INDIRECT(ADDRESS(COLUMN()+119,ROW()+1,1,,"Cash"))</f>
        <v>1992.54222319524</v>
      </c>
      <c r="I35" s="10" t="n">
        <f aca="true">INDIRECT(ADDRESS(COLUMN()+119,ROW()+1,1,,"Cash"))</f>
        <v>1256.96691381289</v>
      </c>
      <c r="J35" s="10" t="n">
        <f aca="true">INDIRECT(ADDRESS(COLUMN()+119,ROW()+1,1,,"Cash"))</f>
        <v>698.163732890947</v>
      </c>
      <c r="K35" s="10" t="n">
        <f aca="true">INDIRECT(ADDRESS(COLUMN()+119,ROW()+1,1,,"Cash"))</f>
        <v>2598.06633872823</v>
      </c>
      <c r="L35" s="10" t="n">
        <f aca="true">INDIRECT(ADDRESS(COLUMN()+119,ROW()+1,1,,"Cash"))</f>
        <v>1088.07116367234</v>
      </c>
      <c r="M35" s="10" t="n">
        <f aca="true">INDIRECT(ADDRESS(COLUMN()+119,ROW()+1,1,,"Cash"))</f>
        <v>3176.41264894978</v>
      </c>
      <c r="N35" s="10" t="n">
        <f aca="true">INDIRECT(ADDRESS(COLUMN()+119,ROW()+1,1,,"Cash"))</f>
        <v>2137.53872083616</v>
      </c>
      <c r="O35" s="10" t="n">
        <f aca="true">INDIRECT(ADDRESS(COLUMN()+119,ROW()+1,1,,"Cash"))</f>
        <v>1160.63040693601</v>
      </c>
      <c r="P35" s="10" t="n">
        <f aca="true">INDIRECT(ADDRESS(COLUMN()+119,ROW()+1,1,,"Cash"))</f>
        <v>710.151318972803</v>
      </c>
      <c r="Q35" s="25" t="n">
        <f aca="true">INDIRECT(ADDRESS(COLUMN()+119,ROW()+1,1,,"Cash"))</f>
        <v>607.160382064541</v>
      </c>
      <c r="R35" s="10" t="n">
        <f aca="true">INDIRECT(ADDRESS(COLUMN()+119,ROW()+1,1,,"Cash"))</f>
        <v>1152.84126183612</v>
      </c>
      <c r="S35" s="10" t="n">
        <f aca="true">INDIRECT(ADDRESS(COLUMN()+119,ROW()+1,1,,"Cash"))</f>
        <v>7919.39312581976</v>
      </c>
      <c r="T35" s="10" t="n">
        <f aca="true">INDIRECT(ADDRESS(COLUMN()+119,ROW()+1,1,,"Cash"))</f>
        <v>421.187622467203</v>
      </c>
      <c r="U35" s="10" t="n">
        <f aca="true">INDIRECT(ADDRESS(COLUMN()+119,ROW()+1,1,,"Cash"))</f>
        <v>6701.10578687267</v>
      </c>
      <c r="V35" s="10" t="n">
        <f aca="true">INDIRECT(ADDRESS(COLUMN()+119,ROW()+1,1,,"Cash"))</f>
        <v>528.170181460517</v>
      </c>
      <c r="W35" s="10" t="n">
        <f aca="true">INDIRECT(ADDRESS(COLUMN()+119,ROW()+1,1,,"Cash"))</f>
        <v>3753.16612217624</v>
      </c>
      <c r="X35" s="10" t="n">
        <f aca="true">INDIRECT(ADDRESS(COLUMN()+119,ROW()+1,1,,"Cash"))</f>
        <v>1069.5740784739</v>
      </c>
    </row>
    <row r="36" customFormat="false" ht="12.8" hidden="false" customHeight="false" outlineLevel="0" collapsed="false">
      <c r="A36" s="1" t="s">
        <v>358</v>
      </c>
      <c r="B36" s="10" t="n">
        <f aca="true">INDIRECT(ADDRESS(COLUMN()+119,ROW()+1,1,,"Cash"))</f>
        <v>900.453631667069</v>
      </c>
      <c r="C36" s="10" t="n">
        <f aca="true">INDIRECT(ADDRESS(COLUMN()+119,ROW()+1,1,,"Cash"))</f>
        <v>1285.55712071499</v>
      </c>
      <c r="D36" s="10" t="n">
        <f aca="true">INDIRECT(ADDRESS(COLUMN()+119,ROW()+1,1,,"Cash"))</f>
        <v>482.666466549215</v>
      </c>
      <c r="E36" s="10" t="n">
        <f aca="true">INDIRECT(ADDRESS(COLUMN()+119,ROW()+1,1,,"Cash"))</f>
        <v>198.487596905728</v>
      </c>
      <c r="F36" s="10" t="n">
        <f aca="true">INDIRECT(ADDRESS(COLUMN()+119,ROW()+1,1,,"Cash"))</f>
        <v>4824.975088412</v>
      </c>
      <c r="G36" s="10" t="n">
        <f aca="true">INDIRECT(ADDRESS(COLUMN()+119,ROW()+1,1,,"Cash"))</f>
        <v>1038.40011700773</v>
      </c>
      <c r="H36" s="10" t="n">
        <f aca="true">INDIRECT(ADDRESS(COLUMN()+119,ROW()+1,1,,"Cash"))</f>
        <v>786.709262949252</v>
      </c>
      <c r="I36" s="10" t="n">
        <f aca="true">INDIRECT(ADDRESS(COLUMN()+119,ROW()+1,1,,"Cash"))</f>
        <v>524.952379704854</v>
      </c>
      <c r="J36" s="10" t="n">
        <f aca="true">INDIRECT(ADDRESS(COLUMN()+119,ROW()+1,1,,"Cash"))</f>
        <v>242.069184849334</v>
      </c>
      <c r="K36" s="10" t="n">
        <f aca="true">INDIRECT(ADDRESS(COLUMN()+119,ROW()+1,1,,"Cash"))</f>
        <v>479.984737006953</v>
      </c>
      <c r="L36" s="10" t="n">
        <f aca="true">INDIRECT(ADDRESS(COLUMN()+119,ROW()+1,1,,"Cash"))</f>
        <v>378.742051816072</v>
      </c>
      <c r="M36" s="10" t="n">
        <f aca="true">INDIRECT(ADDRESS(COLUMN()+119,ROW()+1,1,,"Cash"))</f>
        <v>425.174539552522</v>
      </c>
      <c r="N36" s="10" t="n">
        <f aca="true">INDIRECT(ADDRESS(COLUMN()+119,ROW()+1,1,,"Cash"))</f>
        <v>1003.15715385393</v>
      </c>
      <c r="O36" s="10" t="n">
        <f aca="true">INDIRECT(ADDRESS(COLUMN()+119,ROW()+1,1,,"Cash"))</f>
        <v>389.070552349717</v>
      </c>
      <c r="P36" s="10" t="n">
        <f aca="true">INDIRECT(ADDRESS(COLUMN()+119,ROW()+1,1,,"Cash"))</f>
        <v>295.009893781747</v>
      </c>
      <c r="Q36" s="25" t="n">
        <f aca="true">INDIRECT(ADDRESS(COLUMN()+119,ROW()+1,1,,"Cash"))</f>
        <v>229.032943399413</v>
      </c>
      <c r="R36" s="10" t="n">
        <f aca="true">INDIRECT(ADDRESS(COLUMN()+119,ROW()+1,1,,"Cash"))</f>
        <v>268.971598868244</v>
      </c>
      <c r="S36" s="10" t="n">
        <f aca="true">INDIRECT(ADDRESS(COLUMN()+119,ROW()+1,1,,"Cash"))</f>
        <v>862.55839192444</v>
      </c>
      <c r="T36" s="10" t="n">
        <f aca="true">INDIRECT(ADDRESS(COLUMN()+119,ROW()+1,1,,"Cash"))</f>
        <v>182.290307072449</v>
      </c>
      <c r="U36" s="10" t="n">
        <f aca="true">INDIRECT(ADDRESS(COLUMN()+119,ROW()+1,1,,"Cash"))</f>
        <v>2844.42829833765</v>
      </c>
      <c r="V36" s="10" t="n">
        <f aca="true">INDIRECT(ADDRESS(COLUMN()+119,ROW()+1,1,,"Cash"))</f>
        <v>424.937753358403</v>
      </c>
      <c r="W36" s="10" t="n">
        <f aca="true">INDIRECT(ADDRESS(COLUMN()+119,ROW()+1,1,,"Cash"))</f>
        <v>3777.67026335376</v>
      </c>
      <c r="X36" s="10" t="n">
        <f aca="true">INDIRECT(ADDRESS(COLUMN()+119,ROW()+1,1,,"Cash"))</f>
        <v>436.889077956498</v>
      </c>
    </row>
    <row r="37" customFormat="false" ht="12.8" hidden="false" customHeight="false" outlineLevel="0" collapsed="false">
      <c r="A37" s="1" t="s">
        <v>359</v>
      </c>
      <c r="B37" s="10" t="n">
        <f aca="true">INDIRECT(ADDRESS(COLUMN()+119,ROW()+1,1,,"Cash"))</f>
        <v>1348.11644994153</v>
      </c>
      <c r="C37" s="10" t="n">
        <f aca="true">INDIRECT(ADDRESS(COLUMN()+119,ROW()+1,1,,"Cash"))</f>
        <v>3716.72677449085</v>
      </c>
      <c r="D37" s="10" t="n">
        <f aca="true">INDIRECT(ADDRESS(COLUMN()+119,ROW()+1,1,,"Cash"))</f>
        <v>1055.66819523431</v>
      </c>
      <c r="E37" s="10" t="n">
        <f aca="true">INDIRECT(ADDRESS(COLUMN()+119,ROW()+1,1,,"Cash"))</f>
        <v>422.392708339391</v>
      </c>
      <c r="F37" s="10" t="n">
        <f aca="true">INDIRECT(ADDRESS(COLUMN()+119,ROW()+1,1,,"Cash"))</f>
        <v>1717.3546783062</v>
      </c>
      <c r="G37" s="10" t="n">
        <f aca="true">INDIRECT(ADDRESS(COLUMN()+119,ROW()+1,1,,"Cash"))</f>
        <v>699.099455458799</v>
      </c>
      <c r="H37" s="10" t="n">
        <f aca="true">INDIRECT(ADDRESS(COLUMN()+119,ROW()+1,1,,"Cash"))</f>
        <v>1692.35662849397</v>
      </c>
      <c r="I37" s="10" t="n">
        <f aca="true">INDIRECT(ADDRESS(COLUMN()+119,ROW()+1,1,,"Cash"))</f>
        <v>1194.24903751573</v>
      </c>
      <c r="J37" s="10" t="n">
        <f aca="true">INDIRECT(ADDRESS(COLUMN()+119,ROW()+1,1,,"Cash"))</f>
        <v>507.369154696535</v>
      </c>
      <c r="K37" s="10" t="n">
        <f aca="true">INDIRECT(ADDRESS(COLUMN()+119,ROW()+1,1,,"Cash"))</f>
        <v>636.202878440385</v>
      </c>
      <c r="L37" s="10" t="n">
        <f aca="true">INDIRECT(ADDRESS(COLUMN()+119,ROW()+1,1,,"Cash"))</f>
        <v>1147.83955351585</v>
      </c>
      <c r="M37" s="10" t="n">
        <f aca="true">INDIRECT(ADDRESS(COLUMN()+119,ROW()+1,1,,"Cash"))</f>
        <v>1164.9452027754</v>
      </c>
      <c r="N37" s="10" t="n">
        <f aca="true">INDIRECT(ADDRESS(COLUMN()+119,ROW()+1,1,,"Cash"))</f>
        <v>1563.26363031866</v>
      </c>
      <c r="O37" s="10" t="n">
        <f aca="true">INDIRECT(ADDRESS(COLUMN()+119,ROW()+1,1,,"Cash"))</f>
        <v>738.170488564273</v>
      </c>
      <c r="P37" s="10" t="n">
        <f aca="true">INDIRECT(ADDRESS(COLUMN()+119,ROW()+1,1,,"Cash"))</f>
        <v>530.369421277168</v>
      </c>
      <c r="Q37" s="25" t="n">
        <f aca="true">INDIRECT(ADDRESS(COLUMN()+119,ROW()+1,1,,"Cash"))</f>
        <v>470.964495996407</v>
      </c>
      <c r="R37" s="10" t="n">
        <f aca="true">INDIRECT(ADDRESS(COLUMN()+119,ROW()+1,1,,"Cash"))</f>
        <v>615.605737850685</v>
      </c>
      <c r="S37" s="10" t="n">
        <f aca="true">INDIRECT(ADDRESS(COLUMN()+119,ROW()+1,1,,"Cash"))</f>
        <v>1874.66533400968</v>
      </c>
      <c r="T37" s="10" t="n">
        <f aca="true">INDIRECT(ADDRESS(COLUMN()+119,ROW()+1,1,,"Cash"))</f>
        <v>340.840811557574</v>
      </c>
      <c r="U37" s="10" t="n">
        <f aca="true">INDIRECT(ADDRESS(COLUMN()+119,ROW()+1,1,,"Cash"))</f>
        <v>2152.54361657272</v>
      </c>
      <c r="V37" s="10" t="n">
        <f aca="true">INDIRECT(ADDRESS(COLUMN()+119,ROW()+1,1,,"Cash"))</f>
        <v>527.287820279082</v>
      </c>
      <c r="W37" s="10" t="n">
        <f aca="true">INDIRECT(ADDRESS(COLUMN()+119,ROW()+1,1,,"Cash"))</f>
        <v>4114.18132533398</v>
      </c>
      <c r="X37" s="10" t="n">
        <f aca="true">INDIRECT(ADDRESS(COLUMN()+119,ROW()+1,1,,"Cash"))</f>
        <v>4420.99860901912</v>
      </c>
    </row>
    <row r="38" customFormat="false" ht="12.8" hidden="false" customHeight="false" outlineLevel="0" collapsed="false">
      <c r="A38" s="1" t="s">
        <v>360</v>
      </c>
      <c r="B38" s="10" t="n">
        <f aca="true">INDIRECT(ADDRESS(COLUMN()+119,ROW()+1,1,,"Cash"))</f>
        <v>12380.1651772409</v>
      </c>
      <c r="C38" s="10" t="n">
        <f aca="true">INDIRECT(ADDRESS(COLUMN()+119,ROW()+1,1,,"Cash"))</f>
        <v>2695.74251333592</v>
      </c>
      <c r="D38" s="10" t="n">
        <f aca="true">INDIRECT(ADDRESS(COLUMN()+119,ROW()+1,1,,"Cash"))</f>
        <v>1796.66818160169</v>
      </c>
      <c r="E38" s="10" t="n">
        <f aca="true">INDIRECT(ADDRESS(COLUMN()+119,ROW()+1,1,,"Cash"))</f>
        <v>812.416418745333</v>
      </c>
      <c r="F38" s="10" t="n">
        <f aca="true">INDIRECT(ADDRESS(COLUMN()+119,ROW()+1,1,,"Cash"))</f>
        <v>1850.76373117319</v>
      </c>
      <c r="G38" s="10" t="n">
        <f aca="true">INDIRECT(ADDRESS(COLUMN()+119,ROW()+1,1,,"Cash"))</f>
        <v>2624.17543809265</v>
      </c>
      <c r="H38" s="10" t="n">
        <f aca="true">INDIRECT(ADDRESS(COLUMN()+119,ROW()+1,1,,"Cash"))</f>
        <v>964.95323453437</v>
      </c>
      <c r="I38" s="10" t="n">
        <f aca="true">INDIRECT(ADDRESS(COLUMN()+119,ROW()+1,1,,"Cash"))</f>
        <v>4546.66635807397</v>
      </c>
      <c r="J38" s="10" t="n">
        <f aca="true">INDIRECT(ADDRESS(COLUMN()+119,ROW()+1,1,,"Cash"))</f>
        <v>1088.29918295493</v>
      </c>
      <c r="K38" s="10" t="n">
        <f aca="true">INDIRECT(ADDRESS(COLUMN()+119,ROW()+1,1,,"Cash"))</f>
        <v>1589.5679941577</v>
      </c>
      <c r="L38" s="10" t="n">
        <f aca="true">INDIRECT(ADDRESS(COLUMN()+119,ROW()+1,1,,"Cash"))</f>
        <v>1190.4502205608</v>
      </c>
      <c r="M38" s="10" t="n">
        <f aca="true">INDIRECT(ADDRESS(COLUMN()+119,ROW()+1,1,,"Cash"))</f>
        <v>3411.58730734079</v>
      </c>
      <c r="N38" s="10" t="n">
        <f aca="true">INDIRECT(ADDRESS(COLUMN()+119,ROW()+1,1,,"Cash"))</f>
        <v>2755.41694938599</v>
      </c>
      <c r="O38" s="10" t="n">
        <f aca="true">INDIRECT(ADDRESS(COLUMN()+119,ROW()+1,1,,"Cash"))</f>
        <v>890.060951903369</v>
      </c>
      <c r="P38" s="10" t="n">
        <f aca="true">INDIRECT(ADDRESS(COLUMN()+119,ROW()+1,1,,"Cash"))</f>
        <v>836.164417062712</v>
      </c>
      <c r="Q38" s="25" t="n">
        <f aca="true">INDIRECT(ADDRESS(COLUMN()+119,ROW()+1,1,,"Cash"))</f>
        <v>915.212915970879</v>
      </c>
      <c r="R38" s="10" t="n">
        <f aca="true">INDIRECT(ADDRESS(COLUMN()+119,ROW()+1,1,,"Cash"))</f>
        <v>1835.69429049464</v>
      </c>
      <c r="S38" s="10" t="n">
        <f aca="true">INDIRECT(ADDRESS(COLUMN()+119,ROW()+1,1,,"Cash"))</f>
        <v>2256.10509215407</v>
      </c>
      <c r="T38" s="10" t="n">
        <f aca="true">INDIRECT(ADDRESS(COLUMN()+119,ROW()+1,1,,"Cash"))</f>
        <v>609.122629708931</v>
      </c>
      <c r="U38" s="10" t="n">
        <f aca="true">INDIRECT(ADDRESS(COLUMN()+119,ROW()+1,1,,"Cash"))</f>
        <v>3514.16823294514</v>
      </c>
      <c r="V38" s="10" t="n">
        <f aca="true">INDIRECT(ADDRESS(COLUMN()+119,ROW()+1,1,,"Cash"))</f>
        <v>829.945675603778</v>
      </c>
      <c r="W38" s="10" t="n">
        <f aca="true">INDIRECT(ADDRESS(COLUMN()+119,ROW()+1,1,,"Cash"))</f>
        <v>15202.926737823</v>
      </c>
      <c r="X38" s="10" t="n">
        <f aca="true">INDIRECT(ADDRESS(COLUMN()+119,ROW()+1,1,,"Cash"))</f>
        <v>1625.02223464317</v>
      </c>
    </row>
    <row r="39" customFormat="false" ht="12.8" hidden="false" customHeight="false" outlineLevel="0" collapsed="false">
      <c r="A39" s="1" t="s">
        <v>361</v>
      </c>
      <c r="B39" s="10" t="n">
        <f aca="true">INDIRECT(ADDRESS(COLUMN()+119,ROW()+1,1,,"Cash"))</f>
        <v>16381.8861449474</v>
      </c>
      <c r="C39" s="10" t="n">
        <f aca="true">INDIRECT(ADDRESS(COLUMN()+119,ROW()+1,1,,"Cash"))</f>
        <v>2462.08147872665</v>
      </c>
      <c r="D39" s="10" t="n">
        <f aca="true">INDIRECT(ADDRESS(COLUMN()+119,ROW()+1,1,,"Cash"))</f>
        <v>1604.82169617778</v>
      </c>
      <c r="E39" s="10" t="n">
        <f aca="true">INDIRECT(ADDRESS(COLUMN()+119,ROW()+1,1,,"Cash"))</f>
        <v>792.277959188055</v>
      </c>
      <c r="F39" s="10" t="n">
        <f aca="true">INDIRECT(ADDRESS(COLUMN()+119,ROW()+1,1,,"Cash"))</f>
        <v>12540.8929860716</v>
      </c>
      <c r="G39" s="10" t="n">
        <f aca="true">INDIRECT(ADDRESS(COLUMN()+119,ROW()+1,1,,"Cash"))</f>
        <v>3943.46260223251</v>
      </c>
      <c r="H39" s="10" t="n">
        <f aca="true">INDIRECT(ADDRESS(COLUMN()+119,ROW()+1,1,,"Cash"))</f>
        <v>2993.128783849</v>
      </c>
      <c r="I39" s="10" t="n">
        <f aca="true">INDIRECT(ADDRESS(COLUMN()+119,ROW()+1,1,,"Cash"))</f>
        <v>7690.0468821553</v>
      </c>
      <c r="J39" s="10" t="n">
        <f aca="true">INDIRECT(ADDRESS(COLUMN()+119,ROW()+1,1,,"Cash"))</f>
        <v>898.21667560292</v>
      </c>
      <c r="K39" s="10" t="n">
        <f aca="true">INDIRECT(ADDRESS(COLUMN()+119,ROW()+1,1,,"Cash"))</f>
        <v>1726.60443405418</v>
      </c>
      <c r="L39" s="10" t="n">
        <f aca="true">INDIRECT(ADDRESS(COLUMN()+119,ROW()+1,1,,"Cash"))</f>
        <v>1673.76796981031</v>
      </c>
      <c r="M39" s="10" t="n">
        <f aca="true">INDIRECT(ADDRESS(COLUMN()+119,ROW()+1,1,,"Cash"))</f>
        <v>1506.80573240372</v>
      </c>
      <c r="N39" s="10" t="n">
        <f aca="true">INDIRECT(ADDRESS(COLUMN()+119,ROW()+1,1,,"Cash"))</f>
        <v>2086.87080483697</v>
      </c>
      <c r="O39" s="10" t="n">
        <f aca="true">INDIRECT(ADDRESS(COLUMN()+119,ROW()+1,1,,"Cash"))</f>
        <v>3013.98554363092</v>
      </c>
      <c r="P39" s="10" t="n">
        <f aca="true">INDIRECT(ADDRESS(COLUMN()+119,ROW()+1,1,,"Cash"))</f>
        <v>1231.7997646588</v>
      </c>
      <c r="Q39" s="25" t="n">
        <f aca="true">INDIRECT(ADDRESS(COLUMN()+119,ROW()+1,1,,"Cash"))</f>
        <v>1091.88177365389</v>
      </c>
      <c r="R39" s="10" t="n">
        <f aca="true">INDIRECT(ADDRESS(COLUMN()+119,ROW()+1,1,,"Cash"))</f>
        <v>1516.22277571744</v>
      </c>
      <c r="S39" s="10" t="n">
        <f aca="true">INDIRECT(ADDRESS(COLUMN()+119,ROW()+1,1,,"Cash"))</f>
        <v>5703.42172913001</v>
      </c>
      <c r="T39" s="10" t="n">
        <f aca="true">INDIRECT(ADDRESS(COLUMN()+119,ROW()+1,1,,"Cash"))</f>
        <v>733.457906422487</v>
      </c>
      <c r="U39" s="10" t="n">
        <f aca="true">INDIRECT(ADDRESS(COLUMN()+119,ROW()+1,1,,"Cash"))</f>
        <v>11396.5580538333</v>
      </c>
      <c r="V39" s="10" t="n">
        <f aca="true">INDIRECT(ADDRESS(COLUMN()+119,ROW()+1,1,,"Cash"))</f>
        <v>1077.25659612016</v>
      </c>
      <c r="W39" s="10" t="n">
        <f aca="true">INDIRECT(ADDRESS(COLUMN()+119,ROW()+1,1,,"Cash"))</f>
        <v>1961.79946973114</v>
      </c>
      <c r="X39" s="10" t="n">
        <f aca="true">INDIRECT(ADDRESS(COLUMN()+119,ROW()+1,1,,"Cash"))</f>
        <v>1692.47820839032</v>
      </c>
    </row>
    <row r="40" customFormat="false" ht="12.8" hidden="false" customHeight="false" outlineLevel="0" collapsed="false">
      <c r="A40" s="1" t="s">
        <v>362</v>
      </c>
      <c r="B40" s="10" t="n">
        <f aca="true">INDIRECT(ADDRESS(COLUMN()+119,ROW()+1,1,,"Cash"))</f>
        <v>178214.23932001</v>
      </c>
      <c r="C40" s="10" t="n">
        <f aca="true">INDIRECT(ADDRESS(COLUMN()+119,ROW()+1,1,,"Cash"))</f>
        <v>83870.7267811801</v>
      </c>
      <c r="D40" s="10" t="n">
        <f aca="true">INDIRECT(ADDRESS(COLUMN()+119,ROW()+1,1,,"Cash"))</f>
        <v>25483.5697121023</v>
      </c>
      <c r="E40" s="10" t="n">
        <f aca="true">INDIRECT(ADDRESS(COLUMN()+119,ROW()+1,1,,"Cash"))</f>
        <v>9270.07574319762</v>
      </c>
      <c r="F40" s="10" t="n">
        <f aca="true">INDIRECT(ADDRESS(COLUMN()+119,ROW()+1,1,,"Cash"))</f>
        <v>55112.7447691106</v>
      </c>
      <c r="G40" s="10" t="n">
        <f aca="true">INDIRECT(ADDRESS(COLUMN()+119,ROW()+1,1,,"Cash"))</f>
        <v>19584.2830385537</v>
      </c>
      <c r="H40" s="10" t="n">
        <f aca="true">INDIRECT(ADDRESS(COLUMN()+119,ROW()+1,1,,"Cash"))</f>
        <v>44001.3348501886</v>
      </c>
      <c r="I40" s="10" t="n">
        <f aca="true">INDIRECT(ADDRESS(COLUMN()+119,ROW()+1,1,,"Cash"))</f>
        <v>27358.6565755436</v>
      </c>
      <c r="J40" s="10" t="n">
        <f aca="true">INDIRECT(ADDRESS(COLUMN()+119,ROW()+1,1,,"Cash"))</f>
        <v>9824.3476447953</v>
      </c>
      <c r="K40" s="10" t="n">
        <f aca="true">INDIRECT(ADDRESS(COLUMN()+119,ROW()+1,1,,"Cash"))</f>
        <v>13758.0089272054</v>
      </c>
      <c r="L40" s="10" t="n">
        <f aca="true">INDIRECT(ADDRESS(COLUMN()+119,ROW()+1,1,,"Cash"))</f>
        <v>18085.1309811615</v>
      </c>
      <c r="M40" s="10" t="n">
        <f aca="true">INDIRECT(ADDRESS(COLUMN()+119,ROW()+1,1,,"Cash"))</f>
        <v>37270.2770317403</v>
      </c>
      <c r="N40" s="10" t="n">
        <f aca="true">INDIRECT(ADDRESS(COLUMN()+119,ROW()+1,1,,"Cash"))</f>
        <v>34327.914829333</v>
      </c>
      <c r="O40" s="10" t="n">
        <f aca="true">INDIRECT(ADDRESS(COLUMN()+119,ROW()+1,1,,"Cash"))</f>
        <v>12582.3344539465</v>
      </c>
      <c r="P40" s="10" t="n">
        <f aca="true">INDIRECT(ADDRESS(COLUMN()+119,ROW()+1,1,,"Cash"))</f>
        <v>12083.0443431499</v>
      </c>
      <c r="Q40" s="25" t="n">
        <f aca="true">INDIRECT(ADDRESS(COLUMN()+119,ROW()+1,1,,"Cash"))</f>
        <v>9122.03074300986</v>
      </c>
      <c r="R40" s="10" t="n">
        <f aca="true">INDIRECT(ADDRESS(COLUMN()+119,ROW()+1,1,,"Cash"))</f>
        <v>10017.5493211944</v>
      </c>
      <c r="S40" s="10" t="n">
        <f aca="true">INDIRECT(ADDRESS(COLUMN()+119,ROW()+1,1,,"Cash"))</f>
        <v>78038.5080141686</v>
      </c>
      <c r="T40" s="10" t="n">
        <f aca="true">INDIRECT(ADDRESS(COLUMN()+119,ROW()+1,1,,"Cash"))</f>
        <v>6865.72987659982</v>
      </c>
      <c r="U40" s="10" t="n">
        <f aca="true">INDIRECT(ADDRESS(COLUMN()+119,ROW()+1,1,,"Cash"))</f>
        <v>57340.9407338465</v>
      </c>
      <c r="V40" s="10" t="n">
        <f aca="true">INDIRECT(ADDRESS(COLUMN()+119,ROW()+1,1,,"Cash"))</f>
        <v>10979.968071903</v>
      </c>
      <c r="W40" s="10" t="n">
        <f aca="true">INDIRECT(ADDRESS(COLUMN()+119,ROW()+1,1,,"Cash"))</f>
        <v>38889.2914385944</v>
      </c>
      <c r="X40" s="10" t="n">
        <f aca="true">INDIRECT(ADDRESS(COLUMN()+119,ROW()+1,1,,"Cash"))</f>
        <v>40920.7219297127</v>
      </c>
    </row>
    <row r="41" customFormat="false" ht="12.8" hidden="false" customHeight="false" outlineLevel="0" collapsed="false">
      <c r="A41" s="1" t="s">
        <v>363</v>
      </c>
      <c r="B41" s="10" t="n">
        <f aca="true">INDIRECT(ADDRESS(COLUMN()+119,ROW()+1,1,,"Cash"))</f>
        <v>68729.8147461273</v>
      </c>
      <c r="C41" s="10" t="n">
        <f aca="true">INDIRECT(ADDRESS(COLUMN()+119,ROW()+1,1,,"Cash"))</f>
        <v>60508.9121691613</v>
      </c>
      <c r="D41" s="10" t="n">
        <f aca="true">INDIRECT(ADDRESS(COLUMN()+119,ROW()+1,1,,"Cash"))</f>
        <v>24881.2333531614</v>
      </c>
      <c r="E41" s="10" t="n">
        <f aca="true">INDIRECT(ADDRESS(COLUMN()+119,ROW()+1,1,,"Cash"))</f>
        <v>18044.1636034887</v>
      </c>
      <c r="F41" s="10" t="n">
        <f aca="true">INDIRECT(ADDRESS(COLUMN()+119,ROW()+1,1,,"Cash"))</f>
        <v>67543.1523023825</v>
      </c>
      <c r="G41" s="10" t="n">
        <f aca="true">INDIRECT(ADDRESS(COLUMN()+119,ROW()+1,1,,"Cash"))</f>
        <v>73639.9545036236</v>
      </c>
      <c r="H41" s="10" t="n">
        <f aca="true">INDIRECT(ADDRESS(COLUMN()+119,ROW()+1,1,,"Cash"))</f>
        <v>32815.4158633553</v>
      </c>
      <c r="I41" s="10" t="n">
        <f aca="true">INDIRECT(ADDRESS(COLUMN()+119,ROW()+1,1,,"Cash"))</f>
        <v>47939.9813896824</v>
      </c>
      <c r="J41" s="10" t="n">
        <f aca="true">INDIRECT(ADDRESS(COLUMN()+119,ROW()+1,1,,"Cash"))</f>
        <v>28156.0214090928</v>
      </c>
      <c r="K41" s="10" t="n">
        <f aca="true">INDIRECT(ADDRESS(COLUMN()+119,ROW()+1,1,,"Cash"))</f>
        <v>45728.5776943037</v>
      </c>
      <c r="L41" s="10" t="n">
        <f aca="true">INDIRECT(ADDRESS(COLUMN()+119,ROW()+1,1,,"Cash"))</f>
        <v>42233.3267657736</v>
      </c>
      <c r="M41" s="10" t="n">
        <f aca="true">INDIRECT(ADDRESS(COLUMN()+119,ROW()+1,1,,"Cash"))</f>
        <v>115209.649238793</v>
      </c>
      <c r="N41" s="10" t="n">
        <f aca="true">INDIRECT(ADDRESS(COLUMN()+119,ROW()+1,1,,"Cash"))</f>
        <v>40810.3180323703</v>
      </c>
      <c r="O41" s="10" t="n">
        <f aca="true">INDIRECT(ADDRESS(COLUMN()+119,ROW()+1,1,,"Cash"))</f>
        <v>32945.7049578473</v>
      </c>
      <c r="P41" s="10" t="n">
        <f aca="true">INDIRECT(ADDRESS(COLUMN()+119,ROW()+1,1,,"Cash"))</f>
        <v>30114.712388256</v>
      </c>
      <c r="Q41" s="25" t="n">
        <f aca="true">INDIRECT(ADDRESS(COLUMN()+119,ROW()+1,1,,"Cash"))</f>
        <v>24493.6934564449</v>
      </c>
      <c r="R41" s="10" t="n">
        <f aca="true">INDIRECT(ADDRESS(COLUMN()+119,ROW()+1,1,,"Cash"))</f>
        <v>45829.2014138463</v>
      </c>
      <c r="S41" s="10" t="n">
        <f aca="true">INDIRECT(ADDRESS(COLUMN()+119,ROW()+1,1,,"Cash"))</f>
        <v>243066.511091148</v>
      </c>
      <c r="T41" s="10" t="n">
        <f aca="true">INDIRECT(ADDRESS(COLUMN()+119,ROW()+1,1,,"Cash"))</f>
        <v>16464.5233217118</v>
      </c>
      <c r="U41" s="10" t="n">
        <f aca="true">INDIRECT(ADDRESS(COLUMN()+119,ROW()+1,1,,"Cash"))</f>
        <v>145874.919977895</v>
      </c>
      <c r="V41" s="10" t="n">
        <f aca="true">INDIRECT(ADDRESS(COLUMN()+119,ROW()+1,1,,"Cash"))</f>
        <v>22890.1186209931</v>
      </c>
      <c r="W41" s="10" t="n">
        <f aca="true">INDIRECT(ADDRESS(COLUMN()+119,ROW()+1,1,,"Cash"))</f>
        <v>64603.8634044765</v>
      </c>
      <c r="X41" s="10" t="n">
        <f aca="true">INDIRECT(ADDRESS(COLUMN()+119,ROW()+1,1,,"Cash"))</f>
        <v>206139.016748726</v>
      </c>
    </row>
    <row r="42" customFormat="false" ht="12.8" hidden="false" customHeight="false" outlineLevel="0" collapsed="false">
      <c r="A42" s="1" t="s">
        <v>364</v>
      </c>
      <c r="B42" s="10" t="n">
        <f aca="true">INDIRECT(ADDRESS(COLUMN()+119,ROW()+1,1,,"Cash"))</f>
        <v>77481.7623747151</v>
      </c>
      <c r="C42" s="10" t="n">
        <f aca="true">INDIRECT(ADDRESS(COLUMN()+119,ROW()+1,1,,"Cash"))</f>
        <v>17492.0896430435</v>
      </c>
      <c r="D42" s="10" t="n">
        <f aca="true">INDIRECT(ADDRESS(COLUMN()+119,ROW()+1,1,,"Cash"))</f>
        <v>13264.5153901242</v>
      </c>
      <c r="E42" s="10" t="n">
        <f aca="true">INDIRECT(ADDRESS(COLUMN()+119,ROW()+1,1,,"Cash"))</f>
        <v>6245.47218769968</v>
      </c>
      <c r="F42" s="10" t="n">
        <f aca="true">INDIRECT(ADDRESS(COLUMN()+119,ROW()+1,1,,"Cash"))</f>
        <v>87360.4168976366</v>
      </c>
      <c r="G42" s="10" t="n">
        <f aca="true">INDIRECT(ADDRESS(COLUMN()+119,ROW()+1,1,,"Cash"))</f>
        <v>32919.4222039756</v>
      </c>
      <c r="H42" s="10" t="n">
        <f aca="true">INDIRECT(ADDRESS(COLUMN()+119,ROW()+1,1,,"Cash"))</f>
        <v>13530.4393555747</v>
      </c>
      <c r="I42" s="10" t="n">
        <f aca="true">INDIRECT(ADDRESS(COLUMN()+119,ROW()+1,1,,"Cash"))</f>
        <v>10605.4607532276</v>
      </c>
      <c r="J42" s="10" t="n">
        <f aca="true">INDIRECT(ADDRESS(COLUMN()+119,ROW()+1,1,,"Cash"))</f>
        <v>7722.60592556211</v>
      </c>
      <c r="K42" s="10" t="n">
        <f aca="true">INDIRECT(ADDRESS(COLUMN()+119,ROW()+1,1,,"Cash"))</f>
        <v>52593.3809816732</v>
      </c>
      <c r="L42" s="10" t="n">
        <f aca="true">INDIRECT(ADDRESS(COLUMN()+119,ROW()+1,1,,"Cash"))</f>
        <v>27139.3538767138</v>
      </c>
      <c r="M42" s="10" t="n">
        <f aca="true">INDIRECT(ADDRESS(COLUMN()+119,ROW()+1,1,,"Cash"))</f>
        <v>25358.8503040772</v>
      </c>
      <c r="N42" s="10" t="n">
        <f aca="true">INDIRECT(ADDRESS(COLUMN()+119,ROW()+1,1,,"Cash"))</f>
        <v>28097.2733871942</v>
      </c>
      <c r="O42" s="10" t="n">
        <f aca="true">INDIRECT(ADDRESS(COLUMN()+119,ROW()+1,1,,"Cash"))</f>
        <v>12701.8123658277</v>
      </c>
      <c r="P42" s="10" t="n">
        <f aca="true">INDIRECT(ADDRESS(COLUMN()+119,ROW()+1,1,,"Cash"))</f>
        <v>8650.93183226987</v>
      </c>
      <c r="Q42" s="25" t="n">
        <f aca="true">INDIRECT(ADDRESS(COLUMN()+119,ROW()+1,1,,"Cash"))</f>
        <v>5609.73037442402</v>
      </c>
      <c r="R42" s="10" t="n">
        <f aca="true">INDIRECT(ADDRESS(COLUMN()+119,ROW()+1,1,,"Cash"))</f>
        <v>12320.2229599823</v>
      </c>
      <c r="S42" s="10" t="n">
        <f aca="true">INDIRECT(ADDRESS(COLUMN()+119,ROW()+1,1,,"Cash"))</f>
        <v>22884.02196295</v>
      </c>
      <c r="T42" s="10" t="n">
        <f aca="true">INDIRECT(ADDRESS(COLUMN()+119,ROW()+1,1,,"Cash"))</f>
        <v>4702.32832620565</v>
      </c>
      <c r="U42" s="10" t="n">
        <f aca="true">INDIRECT(ADDRESS(COLUMN()+119,ROW()+1,1,,"Cash"))</f>
        <v>26496.4549172027</v>
      </c>
      <c r="V42" s="10" t="n">
        <f aca="true">INDIRECT(ADDRESS(COLUMN()+119,ROW()+1,1,,"Cash"))</f>
        <v>7490.05050349459</v>
      </c>
      <c r="W42" s="10" t="n">
        <f aca="true">INDIRECT(ADDRESS(COLUMN()+119,ROW()+1,1,,"Cash"))</f>
        <v>27215.9212009396</v>
      </c>
      <c r="X42" s="10" t="n">
        <f aca="true">INDIRECT(ADDRESS(COLUMN()+119,ROW()+1,1,,"Cash"))</f>
        <v>13404.9349814227</v>
      </c>
    </row>
    <row r="43" customFormat="false" ht="12.8" hidden="false" customHeight="false" outlineLevel="0" collapsed="false">
      <c r="A43" s="1" t="s">
        <v>365</v>
      </c>
      <c r="B43" s="10" t="n">
        <f aca="true">INDIRECT(ADDRESS(COLUMN()+119,ROW()+1,1,,"Cash"))</f>
        <v>50801.339041751</v>
      </c>
      <c r="C43" s="10" t="n">
        <f aca="true">INDIRECT(ADDRESS(COLUMN()+119,ROW()+1,1,,"Cash"))</f>
        <v>45168.3419992627</v>
      </c>
      <c r="D43" s="10" t="n">
        <f aca="true">INDIRECT(ADDRESS(COLUMN()+119,ROW()+1,1,,"Cash"))</f>
        <v>25386.9306478393</v>
      </c>
      <c r="E43" s="10" t="n">
        <f aca="true">INDIRECT(ADDRESS(COLUMN()+119,ROW()+1,1,,"Cash"))</f>
        <v>9786.12074316016</v>
      </c>
      <c r="F43" s="10" t="n">
        <f aca="true">INDIRECT(ADDRESS(COLUMN()+119,ROW()+1,1,,"Cash"))</f>
        <v>57578.1548157318</v>
      </c>
      <c r="G43" s="10" t="n">
        <f aca="true">INDIRECT(ADDRESS(COLUMN()+119,ROW()+1,1,,"Cash"))</f>
        <v>14606.6619955834</v>
      </c>
      <c r="H43" s="10" t="n">
        <f aca="true">INDIRECT(ADDRESS(COLUMN()+119,ROW()+1,1,,"Cash"))</f>
        <v>21194.7380572423</v>
      </c>
      <c r="I43" s="10" t="n">
        <f aca="true">INDIRECT(ADDRESS(COLUMN()+119,ROW()+1,1,,"Cash"))</f>
        <v>20552.4192451784</v>
      </c>
      <c r="J43" s="10" t="n">
        <f aca="true">INDIRECT(ADDRESS(COLUMN()+119,ROW()+1,1,,"Cash"))</f>
        <v>10526.2970544256</v>
      </c>
      <c r="K43" s="10" t="n">
        <f aca="true">INDIRECT(ADDRESS(COLUMN()+119,ROW()+1,1,,"Cash"))</f>
        <v>70116.2382023318</v>
      </c>
      <c r="L43" s="10" t="n">
        <f aca="true">INDIRECT(ADDRESS(COLUMN()+119,ROW()+1,1,,"Cash"))</f>
        <v>30836.3964018349</v>
      </c>
      <c r="M43" s="10" t="n">
        <f aca="true">INDIRECT(ADDRESS(COLUMN()+119,ROW()+1,1,,"Cash"))</f>
        <v>23464.5466277499</v>
      </c>
      <c r="N43" s="10" t="n">
        <f aca="true">INDIRECT(ADDRESS(COLUMN()+119,ROW()+1,1,,"Cash"))</f>
        <v>12100.4825144291</v>
      </c>
      <c r="O43" s="10" t="n">
        <f aca="true">INDIRECT(ADDRESS(COLUMN()+119,ROW()+1,1,,"Cash"))</f>
        <v>24454.1862052246</v>
      </c>
      <c r="P43" s="10" t="n">
        <f aca="true">INDIRECT(ADDRESS(COLUMN()+119,ROW()+1,1,,"Cash"))</f>
        <v>7986.55632630184</v>
      </c>
      <c r="Q43" s="25" t="n">
        <f aca="true">INDIRECT(ADDRESS(COLUMN()+119,ROW()+1,1,,"Cash"))</f>
        <v>10023.6133734767</v>
      </c>
      <c r="R43" s="10" t="n">
        <f aca="true">INDIRECT(ADDRESS(COLUMN()+119,ROW()+1,1,,"Cash"))</f>
        <v>19787.0983213627</v>
      </c>
      <c r="S43" s="10" t="n">
        <f aca="true">INDIRECT(ADDRESS(COLUMN()+119,ROW()+1,1,,"Cash"))</f>
        <v>22757.9418698446</v>
      </c>
      <c r="T43" s="10" t="n">
        <f aca="true">INDIRECT(ADDRESS(COLUMN()+119,ROW()+1,1,,"Cash"))</f>
        <v>6730.92352825496</v>
      </c>
      <c r="U43" s="10" t="n">
        <f aca="true">INDIRECT(ADDRESS(COLUMN()+119,ROW()+1,1,,"Cash"))</f>
        <v>23383.918008103</v>
      </c>
      <c r="V43" s="10" t="n">
        <f aca="true">INDIRECT(ADDRESS(COLUMN()+119,ROW()+1,1,,"Cash"))</f>
        <v>10777.8634333691</v>
      </c>
      <c r="W43" s="10" t="n">
        <f aca="true">INDIRECT(ADDRESS(COLUMN()+119,ROW()+1,1,,"Cash"))</f>
        <v>94639.0685751082</v>
      </c>
      <c r="X43" s="10" t="n">
        <f aca="true">INDIRECT(ADDRESS(COLUMN()+119,ROW()+1,1,,"Cash"))</f>
        <v>92017.6824836467</v>
      </c>
    </row>
    <row r="44" customFormat="false" ht="12.8" hidden="false" customHeight="false" outlineLevel="0" collapsed="false">
      <c r="A44" s="1" t="s">
        <v>366</v>
      </c>
      <c r="B44" s="10" t="n">
        <f aca="true">INDIRECT(ADDRESS(COLUMN()+119,ROW()+1,1,,"Cash"))</f>
        <v>17471.0132797173</v>
      </c>
      <c r="C44" s="10" t="n">
        <f aca="true">INDIRECT(ADDRESS(COLUMN()+119,ROW()+1,1,,"Cash"))</f>
        <v>4994.10073504393</v>
      </c>
      <c r="D44" s="10" t="n">
        <f aca="true">INDIRECT(ADDRESS(COLUMN()+119,ROW()+1,1,,"Cash"))</f>
        <v>978.418880480934</v>
      </c>
      <c r="E44" s="10" t="n">
        <f aca="true">INDIRECT(ADDRESS(COLUMN()+119,ROW()+1,1,,"Cash"))</f>
        <v>856.591639522723</v>
      </c>
      <c r="F44" s="10" t="n">
        <f aca="true">INDIRECT(ADDRESS(COLUMN()+119,ROW()+1,1,,"Cash"))</f>
        <v>2511.14596240439</v>
      </c>
      <c r="G44" s="10" t="n">
        <f aca="true">INDIRECT(ADDRESS(COLUMN()+119,ROW()+1,1,,"Cash"))</f>
        <v>3511.45511387426</v>
      </c>
      <c r="H44" s="10" t="n">
        <f aca="true">INDIRECT(ADDRESS(COLUMN()+119,ROW()+1,1,,"Cash"))</f>
        <v>3224.73270572045</v>
      </c>
      <c r="I44" s="10" t="n">
        <f aca="true">INDIRECT(ADDRESS(COLUMN()+119,ROW()+1,1,,"Cash"))</f>
        <v>7186.32105625226</v>
      </c>
      <c r="J44" s="10" t="n">
        <f aca="true">INDIRECT(ADDRESS(COLUMN()+119,ROW()+1,1,,"Cash"))</f>
        <v>1486.85020913072</v>
      </c>
      <c r="K44" s="10" t="n">
        <f aca="true">INDIRECT(ADDRESS(COLUMN()+119,ROW()+1,1,,"Cash"))</f>
        <v>4417.35639690399</v>
      </c>
      <c r="L44" s="10" t="n">
        <f aca="true">INDIRECT(ADDRESS(COLUMN()+119,ROW()+1,1,,"Cash"))</f>
        <v>2291.20428281298</v>
      </c>
      <c r="M44" s="10" t="n">
        <f aca="true">INDIRECT(ADDRESS(COLUMN()+119,ROW()+1,1,,"Cash"))</f>
        <v>1281.61531483969</v>
      </c>
      <c r="N44" s="10" t="n">
        <f aca="true">INDIRECT(ADDRESS(COLUMN()+119,ROW()+1,1,,"Cash"))</f>
        <v>4533.66121289864</v>
      </c>
      <c r="O44" s="10" t="n">
        <f aca="true">INDIRECT(ADDRESS(COLUMN()+119,ROW()+1,1,,"Cash"))</f>
        <v>3379.65563830228</v>
      </c>
      <c r="P44" s="10" t="n">
        <f aca="true">INDIRECT(ADDRESS(COLUMN()+119,ROW()+1,1,,"Cash"))</f>
        <v>1425.49996151521</v>
      </c>
      <c r="Q44" s="25" t="n">
        <f aca="true">INDIRECT(ADDRESS(COLUMN()+119,ROW()+1,1,,"Cash"))</f>
        <v>1392.9196917196</v>
      </c>
      <c r="R44" s="10" t="n">
        <f aca="true">INDIRECT(ADDRESS(COLUMN()+119,ROW()+1,1,,"Cash"))</f>
        <v>2545.13218444273</v>
      </c>
      <c r="S44" s="10" t="n">
        <f aca="true">INDIRECT(ADDRESS(COLUMN()+119,ROW()+1,1,,"Cash"))</f>
        <v>5516.63146017486</v>
      </c>
      <c r="T44" s="10" t="n">
        <f aca="true">INDIRECT(ADDRESS(COLUMN()+119,ROW()+1,1,,"Cash"))</f>
        <v>1032.49979855241</v>
      </c>
      <c r="U44" s="10" t="n">
        <f aca="true">INDIRECT(ADDRESS(COLUMN()+119,ROW()+1,1,,"Cash"))</f>
        <v>2425.70811578497</v>
      </c>
      <c r="V44" s="10" t="n">
        <f aca="true">INDIRECT(ADDRESS(COLUMN()+119,ROW()+1,1,,"Cash"))</f>
        <v>2417.23111241852</v>
      </c>
      <c r="W44" s="10" t="n">
        <f aca="true">INDIRECT(ADDRESS(COLUMN()+119,ROW()+1,1,,"Cash"))</f>
        <v>3684.96573102269</v>
      </c>
      <c r="X44" s="10" t="n">
        <f aca="true">INDIRECT(ADDRESS(COLUMN()+119,ROW()+1,1,,"Cash"))</f>
        <v>2925.10216543553</v>
      </c>
    </row>
    <row r="45" customFormat="false" ht="12.8" hidden="false" customHeight="false" outlineLevel="0" collapsed="false">
      <c r="A45" s="1" t="s">
        <v>367</v>
      </c>
      <c r="B45" s="10" t="n">
        <f aca="true">INDIRECT(ADDRESS(COLUMN()+119,ROW()+1,1,,"Cash"))</f>
        <v>3760.15307201475</v>
      </c>
      <c r="C45" s="10" t="n">
        <f aca="true">INDIRECT(ADDRESS(COLUMN()+119,ROW()+1,1,,"Cash"))</f>
        <v>1060.8045126756</v>
      </c>
      <c r="D45" s="10" t="n">
        <f aca="true">INDIRECT(ADDRESS(COLUMN()+119,ROW()+1,1,,"Cash"))</f>
        <v>852.940756058394</v>
      </c>
      <c r="E45" s="10" t="n">
        <f aca="true">INDIRECT(ADDRESS(COLUMN()+119,ROW()+1,1,,"Cash"))</f>
        <v>349.686485474874</v>
      </c>
      <c r="F45" s="10" t="n">
        <f aca="true">INDIRECT(ADDRESS(COLUMN()+119,ROW()+1,1,,"Cash"))</f>
        <v>5565.68999747465</v>
      </c>
      <c r="G45" s="10" t="n">
        <f aca="true">INDIRECT(ADDRESS(COLUMN()+119,ROW()+1,1,,"Cash"))</f>
        <v>832.340160784777</v>
      </c>
      <c r="H45" s="10" t="n">
        <f aca="true">INDIRECT(ADDRESS(COLUMN()+119,ROW()+1,1,,"Cash"))</f>
        <v>1395.06461506517</v>
      </c>
      <c r="I45" s="10" t="n">
        <f aca="true">INDIRECT(ADDRESS(COLUMN()+119,ROW()+1,1,,"Cash"))</f>
        <v>1697.66842940709</v>
      </c>
      <c r="J45" s="10" t="n">
        <f aca="true">INDIRECT(ADDRESS(COLUMN()+119,ROW()+1,1,,"Cash"))</f>
        <v>408.570768859584</v>
      </c>
      <c r="K45" s="10" t="n">
        <f aca="true">INDIRECT(ADDRESS(COLUMN()+119,ROW()+1,1,,"Cash"))</f>
        <v>1185.30304982879</v>
      </c>
      <c r="L45" s="10" t="n">
        <f aca="true">INDIRECT(ADDRESS(COLUMN()+119,ROW()+1,1,,"Cash"))</f>
        <v>1082.06316492798</v>
      </c>
      <c r="M45" s="10" t="n">
        <f aca="true">INDIRECT(ADDRESS(COLUMN()+119,ROW()+1,1,,"Cash"))</f>
        <v>2076.59227116485</v>
      </c>
      <c r="N45" s="10" t="n">
        <f aca="true">INDIRECT(ADDRESS(COLUMN()+119,ROW()+1,1,,"Cash"))</f>
        <v>632.198288766271</v>
      </c>
      <c r="O45" s="10" t="n">
        <f aca="true">INDIRECT(ADDRESS(COLUMN()+119,ROW()+1,1,,"Cash"))</f>
        <v>632.362813388088</v>
      </c>
      <c r="P45" s="10" t="n">
        <f aca="true">INDIRECT(ADDRESS(COLUMN()+119,ROW()+1,1,,"Cash"))</f>
        <v>352.75812429298</v>
      </c>
      <c r="Q45" s="25" t="n">
        <f aca="true">INDIRECT(ADDRESS(COLUMN()+119,ROW()+1,1,,"Cash"))</f>
        <v>401.308087759394</v>
      </c>
      <c r="R45" s="10" t="n">
        <f aca="true">INDIRECT(ADDRESS(COLUMN()+119,ROW()+1,1,,"Cash"))</f>
        <v>339.762431564953</v>
      </c>
      <c r="S45" s="10" t="n">
        <f aca="true">INDIRECT(ADDRESS(COLUMN()+119,ROW()+1,1,,"Cash"))</f>
        <v>3171.10305910454</v>
      </c>
      <c r="T45" s="10" t="n">
        <f aca="true">INDIRECT(ADDRESS(COLUMN()+119,ROW()+1,1,,"Cash"))</f>
        <v>309.711255079687</v>
      </c>
      <c r="U45" s="10" t="n">
        <f aca="true">INDIRECT(ADDRESS(COLUMN()+119,ROW()+1,1,,"Cash"))</f>
        <v>1220.84941441066</v>
      </c>
      <c r="V45" s="10" t="n">
        <f aca="true">INDIRECT(ADDRESS(COLUMN()+119,ROW()+1,1,,"Cash"))</f>
        <v>712.077455067792</v>
      </c>
      <c r="W45" s="10" t="n">
        <f aca="true">INDIRECT(ADDRESS(COLUMN()+119,ROW()+1,1,,"Cash"))</f>
        <v>995.609569140419</v>
      </c>
      <c r="X45" s="10" t="n">
        <f aca="true">INDIRECT(ADDRESS(COLUMN()+119,ROW()+1,1,,"Cash"))</f>
        <v>714.367986510562</v>
      </c>
    </row>
    <row r="46" customFormat="false" ht="12.8" hidden="false" customHeight="false" outlineLevel="0" collapsed="false">
      <c r="A46" s="1" t="s">
        <v>368</v>
      </c>
      <c r="B46" s="10" t="n">
        <f aca="true">INDIRECT(ADDRESS(COLUMN()+119,ROW()+1,1,,"Cash"))</f>
        <v>1017.16236353763</v>
      </c>
      <c r="C46" s="10" t="n">
        <f aca="true">INDIRECT(ADDRESS(COLUMN()+119,ROW()+1,1,,"Cash"))</f>
        <v>6200.05239308162</v>
      </c>
      <c r="D46" s="10" t="n">
        <f aca="true">INDIRECT(ADDRESS(COLUMN()+119,ROW()+1,1,,"Cash"))</f>
        <v>1079.80355696584</v>
      </c>
      <c r="E46" s="10" t="n">
        <f aca="true">INDIRECT(ADDRESS(COLUMN()+119,ROW()+1,1,,"Cash"))</f>
        <v>503.813248709668</v>
      </c>
      <c r="F46" s="10" t="n">
        <f aca="true">INDIRECT(ADDRESS(COLUMN()+119,ROW()+1,1,,"Cash"))</f>
        <v>1021.26720056724</v>
      </c>
      <c r="G46" s="10" t="n">
        <f aca="true">INDIRECT(ADDRESS(COLUMN()+119,ROW()+1,1,,"Cash"))</f>
        <v>2327.05201493398</v>
      </c>
      <c r="H46" s="10" t="n">
        <f aca="true">INDIRECT(ADDRESS(COLUMN()+119,ROW()+1,1,,"Cash"))</f>
        <v>822.417005304157</v>
      </c>
      <c r="I46" s="10" t="n">
        <f aca="true">INDIRECT(ADDRESS(COLUMN()+119,ROW()+1,1,,"Cash"))</f>
        <v>1187.83703459322</v>
      </c>
      <c r="J46" s="10" t="n">
        <f aca="true">INDIRECT(ADDRESS(COLUMN()+119,ROW()+1,1,,"Cash"))</f>
        <v>806.148972073021</v>
      </c>
      <c r="K46" s="10" t="n">
        <f aca="true">INDIRECT(ADDRESS(COLUMN()+119,ROW()+1,1,,"Cash"))</f>
        <v>1652.9422824613</v>
      </c>
      <c r="L46" s="10" t="n">
        <f aca="true">INDIRECT(ADDRESS(COLUMN()+119,ROW()+1,1,,"Cash"))</f>
        <v>2138.48342250935</v>
      </c>
      <c r="M46" s="10" t="n">
        <f aca="true">INDIRECT(ADDRESS(COLUMN()+119,ROW()+1,1,,"Cash"))</f>
        <v>732.272267929361</v>
      </c>
      <c r="N46" s="10" t="n">
        <f aca="true">INDIRECT(ADDRESS(COLUMN()+119,ROW()+1,1,,"Cash"))</f>
        <v>2017.16330702708</v>
      </c>
      <c r="O46" s="10" t="n">
        <f aca="true">INDIRECT(ADDRESS(COLUMN()+119,ROW()+1,1,,"Cash"))</f>
        <v>1326.30540750744</v>
      </c>
      <c r="P46" s="10" t="n">
        <f aca="true">INDIRECT(ADDRESS(COLUMN()+119,ROW()+1,1,,"Cash"))</f>
        <v>409.746982126283</v>
      </c>
      <c r="Q46" s="25" t="n">
        <f aca="true">INDIRECT(ADDRESS(COLUMN()+119,ROW()+1,1,,"Cash"))</f>
        <v>652.281367871255</v>
      </c>
      <c r="R46" s="10" t="n">
        <f aca="true">INDIRECT(ADDRESS(COLUMN()+119,ROW()+1,1,,"Cash"))</f>
        <v>1247.82644673852</v>
      </c>
      <c r="S46" s="10" t="n">
        <f aca="true">INDIRECT(ADDRESS(COLUMN()+119,ROW()+1,1,,"Cash"))</f>
        <v>2295.26743014177</v>
      </c>
      <c r="T46" s="10" t="n">
        <f aca="true">INDIRECT(ADDRESS(COLUMN()+119,ROW()+1,1,,"Cash"))</f>
        <v>361.502140365213</v>
      </c>
      <c r="U46" s="10" t="n">
        <f aca="true">INDIRECT(ADDRESS(COLUMN()+119,ROW()+1,1,,"Cash"))</f>
        <v>4815.02664170153</v>
      </c>
      <c r="V46" s="10" t="n">
        <f aca="true">INDIRECT(ADDRESS(COLUMN()+119,ROW()+1,1,,"Cash"))</f>
        <v>834.559238862762</v>
      </c>
      <c r="W46" s="10" t="n">
        <f aca="true">INDIRECT(ADDRESS(COLUMN()+119,ROW()+1,1,,"Cash"))</f>
        <v>703.877454239194</v>
      </c>
      <c r="X46" s="10" t="n">
        <f aca="true">INDIRECT(ADDRESS(COLUMN()+119,ROW()+1,1,,"Cash"))</f>
        <v>1349.06506388134</v>
      </c>
    </row>
    <row r="47" customFormat="false" ht="12.8" hidden="false" customHeight="false" outlineLevel="0" collapsed="false">
      <c r="A47" s="1" t="s">
        <v>369</v>
      </c>
      <c r="B47" s="10" t="n">
        <f aca="true">INDIRECT(ADDRESS(COLUMN()+119,ROW()+1,1,,"Cash"))</f>
        <v>12878.8742534756</v>
      </c>
      <c r="C47" s="10" t="n">
        <f aca="true">INDIRECT(ADDRESS(COLUMN()+119,ROW()+1,1,,"Cash"))</f>
        <v>10613.0066607079</v>
      </c>
      <c r="D47" s="10" t="n">
        <f aca="true">INDIRECT(ADDRESS(COLUMN()+119,ROW()+1,1,,"Cash"))</f>
        <v>10296.2156243881</v>
      </c>
      <c r="E47" s="10" t="n">
        <f aca="true">INDIRECT(ADDRESS(COLUMN()+119,ROW()+1,1,,"Cash"))</f>
        <v>3284.00109860734</v>
      </c>
      <c r="F47" s="10" t="n">
        <f aca="true">INDIRECT(ADDRESS(COLUMN()+119,ROW()+1,1,,"Cash"))</f>
        <v>10218.0501903058</v>
      </c>
      <c r="G47" s="10" t="n">
        <f aca="true">INDIRECT(ADDRESS(COLUMN()+119,ROW()+1,1,,"Cash"))</f>
        <v>17529.0193449321</v>
      </c>
      <c r="H47" s="10" t="n">
        <f aca="true">INDIRECT(ADDRESS(COLUMN()+119,ROW()+1,1,,"Cash"))</f>
        <v>11725.8167292558</v>
      </c>
      <c r="I47" s="10" t="n">
        <f aca="true">INDIRECT(ADDRESS(COLUMN()+119,ROW()+1,1,,"Cash"))</f>
        <v>6136.05264174818</v>
      </c>
      <c r="J47" s="10" t="n">
        <f aca="true">INDIRECT(ADDRESS(COLUMN()+119,ROW()+1,1,,"Cash"))</f>
        <v>6223.94834842556</v>
      </c>
      <c r="K47" s="10" t="n">
        <f aca="true">INDIRECT(ADDRESS(COLUMN()+119,ROW()+1,1,,"Cash"))</f>
        <v>38051.6298249046</v>
      </c>
      <c r="L47" s="10" t="n">
        <f aca="true">INDIRECT(ADDRESS(COLUMN()+119,ROW()+1,1,,"Cash"))</f>
        <v>13385.4991223129</v>
      </c>
      <c r="M47" s="10" t="n">
        <f aca="true">INDIRECT(ADDRESS(COLUMN()+119,ROW()+1,1,,"Cash"))</f>
        <v>26665.1497676866</v>
      </c>
      <c r="N47" s="10" t="n">
        <f aca="true">INDIRECT(ADDRESS(COLUMN()+119,ROW()+1,1,,"Cash"))</f>
        <v>13203.7591566092</v>
      </c>
      <c r="O47" s="10" t="n">
        <f aca="true">INDIRECT(ADDRESS(COLUMN()+119,ROW()+1,1,,"Cash"))</f>
        <v>6036.03032205093</v>
      </c>
      <c r="P47" s="10" t="n">
        <f aca="true">INDIRECT(ADDRESS(COLUMN()+119,ROW()+1,1,,"Cash"))</f>
        <v>5312.17257066393</v>
      </c>
      <c r="Q47" s="25" t="n">
        <f aca="true">INDIRECT(ADDRESS(COLUMN()+119,ROW()+1,1,,"Cash"))</f>
        <v>5540.14354450842</v>
      </c>
      <c r="R47" s="10" t="n">
        <f aca="true">INDIRECT(ADDRESS(COLUMN()+119,ROW()+1,1,,"Cash"))</f>
        <v>10907.1464064718</v>
      </c>
      <c r="S47" s="10" t="n">
        <f aca="true">INDIRECT(ADDRESS(COLUMN()+119,ROW()+1,1,,"Cash"))</f>
        <v>16897.2270543603</v>
      </c>
      <c r="T47" s="10" t="n">
        <f aca="true">INDIRECT(ADDRESS(COLUMN()+119,ROW()+1,1,,"Cash"))</f>
        <v>4124.14488177041</v>
      </c>
      <c r="U47" s="10" t="n">
        <f aca="true">INDIRECT(ADDRESS(COLUMN()+119,ROW()+1,1,,"Cash"))</f>
        <v>11826.6162655876</v>
      </c>
      <c r="V47" s="10" t="n">
        <f aca="true">INDIRECT(ADDRESS(COLUMN()+119,ROW()+1,1,,"Cash"))</f>
        <v>8698.65399802199</v>
      </c>
      <c r="W47" s="10" t="n">
        <f aca="true">INDIRECT(ADDRESS(COLUMN()+119,ROW()+1,1,,"Cash"))</f>
        <v>62626.5134861036</v>
      </c>
      <c r="X47" s="10" t="n">
        <f aca="true">INDIRECT(ADDRESS(COLUMN()+119,ROW()+1,1,,"Cash"))</f>
        <v>6622.23826783162</v>
      </c>
    </row>
    <row r="48" customFormat="false" ht="12.8" hidden="false" customHeight="false" outlineLevel="0" collapsed="false">
      <c r="A48" s="1" t="s">
        <v>370</v>
      </c>
      <c r="B48" s="10" t="n">
        <f aca="true">INDIRECT(ADDRESS(COLUMN()+119,ROW()+1,1,,"Cash"))</f>
        <v>98.4216470646711</v>
      </c>
      <c r="C48" s="10" t="n">
        <f aca="true">INDIRECT(ADDRESS(COLUMN()+119,ROW()+1,1,,"Cash"))</f>
        <v>49.2550919688429</v>
      </c>
      <c r="D48" s="10" t="n">
        <f aca="true">INDIRECT(ADDRESS(COLUMN()+119,ROW()+1,1,,"Cash"))</f>
        <v>16.2176263971887</v>
      </c>
      <c r="E48" s="10" t="n">
        <f aca="true">INDIRECT(ADDRESS(COLUMN()+119,ROW()+1,1,,"Cash"))</f>
        <v>5.69214529698751</v>
      </c>
      <c r="F48" s="10" t="n">
        <f aca="true">INDIRECT(ADDRESS(COLUMN()+119,ROW()+1,1,,"Cash"))</f>
        <v>104.222302758519</v>
      </c>
      <c r="G48" s="10" t="n">
        <f aca="true">INDIRECT(ADDRESS(COLUMN()+119,ROW()+1,1,,"Cash"))</f>
        <v>29.7036607283582</v>
      </c>
      <c r="H48" s="10" t="n">
        <f aca="true">INDIRECT(ADDRESS(COLUMN()+119,ROW()+1,1,,"Cash"))</f>
        <v>25.5169585553202</v>
      </c>
      <c r="I48" s="10" t="n">
        <f aca="true">INDIRECT(ADDRESS(COLUMN()+119,ROW()+1,1,,"Cash"))</f>
        <v>60.915642419104</v>
      </c>
      <c r="J48" s="10" t="n">
        <f aca="true">INDIRECT(ADDRESS(COLUMN()+119,ROW()+1,1,,"Cash"))</f>
        <v>10.4057998538029</v>
      </c>
      <c r="K48" s="10" t="n">
        <f aca="true">INDIRECT(ADDRESS(COLUMN()+119,ROW()+1,1,,"Cash"))</f>
        <v>54.9452131868789</v>
      </c>
      <c r="L48" s="10" t="n">
        <f aca="true">INDIRECT(ADDRESS(COLUMN()+119,ROW()+1,1,,"Cash"))</f>
        <v>27.4328821862783</v>
      </c>
      <c r="M48" s="10" t="n">
        <f aca="true">INDIRECT(ADDRESS(COLUMN()+119,ROW()+1,1,,"Cash"))</f>
        <v>40.4534376224627</v>
      </c>
      <c r="N48" s="10" t="n">
        <f aca="true">INDIRECT(ADDRESS(COLUMN()+119,ROW()+1,1,,"Cash"))</f>
        <v>22.7704293413042</v>
      </c>
      <c r="O48" s="10" t="n">
        <f aca="true">INDIRECT(ADDRESS(COLUMN()+119,ROW()+1,1,,"Cash"))</f>
        <v>25.5986717178849</v>
      </c>
      <c r="P48" s="10" t="n">
        <f aca="true">INDIRECT(ADDRESS(COLUMN()+119,ROW()+1,1,,"Cash"))</f>
        <v>10.5911101979659</v>
      </c>
      <c r="Q48" s="25" t="n">
        <f aca="true">INDIRECT(ADDRESS(COLUMN()+119,ROW()+1,1,,"Cash"))</f>
        <v>12.8792781181169</v>
      </c>
      <c r="R48" s="10" t="n">
        <f aca="true">INDIRECT(ADDRESS(COLUMN()+119,ROW()+1,1,,"Cash"))</f>
        <v>16.167478841998</v>
      </c>
      <c r="S48" s="10" t="n">
        <f aca="true">INDIRECT(ADDRESS(COLUMN()+119,ROW()+1,1,,"Cash"))</f>
        <v>235.121865529553</v>
      </c>
      <c r="T48" s="10" t="n">
        <f aca="true">INDIRECT(ADDRESS(COLUMN()+119,ROW()+1,1,,"Cash"))</f>
        <v>6.34342984018585</v>
      </c>
      <c r="U48" s="10" t="n">
        <f aca="true">INDIRECT(ADDRESS(COLUMN()+119,ROW()+1,1,,"Cash"))</f>
        <v>73.148519231125</v>
      </c>
      <c r="V48" s="10" t="n">
        <f aca="true">INDIRECT(ADDRESS(COLUMN()+119,ROW()+1,1,,"Cash"))</f>
        <v>11.8658856879329</v>
      </c>
      <c r="W48" s="10" t="n">
        <f aca="true">INDIRECT(ADDRESS(COLUMN()+119,ROW()+1,1,,"Cash"))</f>
        <v>123.578806535473</v>
      </c>
      <c r="X48" s="10" t="n">
        <f aca="true">INDIRECT(ADDRESS(COLUMN()+119,ROW()+1,1,,"Cash"))</f>
        <v>84.7325351015603</v>
      </c>
    </row>
    <row r="49" customFormat="false" ht="12.8" hidden="false" customHeight="false" outlineLevel="0" collapsed="false">
      <c r="A49" s="1" t="s">
        <v>371</v>
      </c>
      <c r="B49" s="10" t="n">
        <f aca="true">INDIRECT(ADDRESS(COLUMN()+119,ROW()+1,1,,"Cash"))</f>
        <v>3003.65040639714</v>
      </c>
      <c r="C49" s="10" t="n">
        <f aca="true">INDIRECT(ADDRESS(COLUMN()+119,ROW()+1,1,,"Cash"))</f>
        <v>5442.63129933847</v>
      </c>
      <c r="D49" s="10" t="n">
        <f aca="true">INDIRECT(ADDRESS(COLUMN()+119,ROW()+1,1,,"Cash"))</f>
        <v>2019.36609749693</v>
      </c>
      <c r="E49" s="10" t="n">
        <f aca="true">INDIRECT(ADDRESS(COLUMN()+119,ROW()+1,1,,"Cash"))</f>
        <v>1042.42355368533</v>
      </c>
      <c r="F49" s="10" t="n">
        <f aca="true">INDIRECT(ADDRESS(COLUMN()+119,ROW()+1,1,,"Cash"))</f>
        <v>15046.6260352158</v>
      </c>
      <c r="G49" s="10" t="n">
        <f aca="true">INDIRECT(ADDRESS(COLUMN()+119,ROW()+1,1,,"Cash"))</f>
        <v>4001.3626382249</v>
      </c>
      <c r="H49" s="10" t="n">
        <f aca="true">INDIRECT(ADDRESS(COLUMN()+119,ROW()+1,1,,"Cash"))</f>
        <v>1726.21954421811</v>
      </c>
      <c r="I49" s="10" t="n">
        <f aca="true">INDIRECT(ADDRESS(COLUMN()+119,ROW()+1,1,,"Cash"))</f>
        <v>6181.14328689232</v>
      </c>
      <c r="J49" s="10" t="n">
        <f aca="true">INDIRECT(ADDRESS(COLUMN()+119,ROW()+1,1,,"Cash"))</f>
        <v>2843.1552903705</v>
      </c>
      <c r="K49" s="10" t="n">
        <f aca="true">INDIRECT(ADDRESS(COLUMN()+119,ROW()+1,1,,"Cash"))</f>
        <v>5801.78964132435</v>
      </c>
      <c r="L49" s="10" t="n">
        <f aca="true">INDIRECT(ADDRESS(COLUMN()+119,ROW()+1,1,,"Cash"))</f>
        <v>5253.54730577746</v>
      </c>
      <c r="M49" s="10" t="n">
        <f aca="true">INDIRECT(ADDRESS(COLUMN()+119,ROW()+1,1,,"Cash"))</f>
        <v>5149.15201971532</v>
      </c>
      <c r="N49" s="10" t="n">
        <f aca="true">INDIRECT(ADDRESS(COLUMN()+119,ROW()+1,1,,"Cash"))</f>
        <v>3798.33778300225</v>
      </c>
      <c r="O49" s="10" t="n">
        <f aca="true">INDIRECT(ADDRESS(COLUMN()+119,ROW()+1,1,,"Cash"))</f>
        <v>6867.57087093529</v>
      </c>
      <c r="P49" s="10" t="n">
        <f aca="true">INDIRECT(ADDRESS(COLUMN()+119,ROW()+1,1,,"Cash"))</f>
        <v>2227.09844290341</v>
      </c>
      <c r="Q49" s="25" t="n">
        <f aca="true">INDIRECT(ADDRESS(COLUMN()+119,ROW()+1,1,,"Cash"))</f>
        <v>2827.60055004536</v>
      </c>
      <c r="R49" s="10" t="n">
        <f aca="true">INDIRECT(ADDRESS(COLUMN()+119,ROW()+1,1,,"Cash"))</f>
        <v>2948.41633790816</v>
      </c>
      <c r="S49" s="10" t="n">
        <f aca="true">INDIRECT(ADDRESS(COLUMN()+119,ROW()+1,1,,"Cash"))</f>
        <v>5107.54452204658</v>
      </c>
      <c r="T49" s="10" t="n">
        <f aca="true">INDIRECT(ADDRESS(COLUMN()+119,ROW()+1,1,,"Cash"))</f>
        <v>1518.57515792591</v>
      </c>
      <c r="U49" s="10" t="n">
        <f aca="true">INDIRECT(ADDRESS(COLUMN()+119,ROW()+1,1,,"Cash"))</f>
        <v>5065.98752874301</v>
      </c>
      <c r="V49" s="10" t="n">
        <f aca="true">INDIRECT(ADDRESS(COLUMN()+119,ROW()+1,1,,"Cash"))</f>
        <v>2062.41049959607</v>
      </c>
      <c r="W49" s="10" t="n">
        <f aca="true">INDIRECT(ADDRESS(COLUMN()+119,ROW()+1,1,,"Cash"))</f>
        <v>3779.32679809838</v>
      </c>
      <c r="X49" s="10" t="n">
        <f aca="true">INDIRECT(ADDRESS(COLUMN()+119,ROW()+1,1,,"Cash"))</f>
        <v>3683.97079961068</v>
      </c>
    </row>
    <row r="50" customFormat="false" ht="12.8" hidden="false" customHeight="false" outlineLevel="0" collapsed="false">
      <c r="A50" s="1" t="s">
        <v>372</v>
      </c>
      <c r="B50" s="10" t="n">
        <f aca="true">INDIRECT(ADDRESS(COLUMN()+119,ROW()+1,1,,"Cash"))</f>
        <v>4068.03793980743</v>
      </c>
      <c r="C50" s="10" t="n">
        <f aca="true">INDIRECT(ADDRESS(COLUMN()+119,ROW()+1,1,,"Cash"))</f>
        <v>3209.83863570252</v>
      </c>
      <c r="D50" s="10" t="n">
        <f aca="true">INDIRECT(ADDRESS(COLUMN()+119,ROW()+1,1,,"Cash"))</f>
        <v>523.893812944644</v>
      </c>
      <c r="E50" s="10" t="n">
        <f aca="true">INDIRECT(ADDRESS(COLUMN()+119,ROW()+1,1,,"Cash"))</f>
        <v>223.131423554628</v>
      </c>
      <c r="F50" s="10" t="n">
        <f aca="true">INDIRECT(ADDRESS(COLUMN()+119,ROW()+1,1,,"Cash"))</f>
        <v>5765.20012175252</v>
      </c>
      <c r="G50" s="10" t="n">
        <f aca="true">INDIRECT(ADDRESS(COLUMN()+119,ROW()+1,1,,"Cash"))</f>
        <v>863.414039438287</v>
      </c>
      <c r="H50" s="10" t="n">
        <f aca="true">INDIRECT(ADDRESS(COLUMN()+119,ROW()+1,1,,"Cash"))</f>
        <v>922.242225538249</v>
      </c>
      <c r="I50" s="10" t="n">
        <f aca="true">INDIRECT(ADDRESS(COLUMN()+119,ROW()+1,1,,"Cash"))</f>
        <v>2689.70532498811</v>
      </c>
      <c r="J50" s="10" t="n">
        <f aca="true">INDIRECT(ADDRESS(COLUMN()+119,ROW()+1,1,,"Cash"))</f>
        <v>290.477534575205</v>
      </c>
      <c r="K50" s="10" t="n">
        <f aca="true">INDIRECT(ADDRESS(COLUMN()+119,ROW()+1,1,,"Cash"))</f>
        <v>2108.82552986547</v>
      </c>
      <c r="L50" s="10" t="n">
        <f aca="true">INDIRECT(ADDRESS(COLUMN()+119,ROW()+1,1,,"Cash"))</f>
        <v>726.720073104135</v>
      </c>
      <c r="M50" s="10" t="n">
        <f aca="true">INDIRECT(ADDRESS(COLUMN()+119,ROW()+1,1,,"Cash"))</f>
        <v>1380.34989566016</v>
      </c>
      <c r="N50" s="10" t="n">
        <f aca="true">INDIRECT(ADDRESS(COLUMN()+119,ROW()+1,1,,"Cash"))</f>
        <v>830.007146187267</v>
      </c>
      <c r="O50" s="10" t="n">
        <f aca="true">INDIRECT(ADDRESS(COLUMN()+119,ROW()+1,1,,"Cash"))</f>
        <v>693.83716685325</v>
      </c>
      <c r="P50" s="10" t="n">
        <f aca="true">INDIRECT(ADDRESS(COLUMN()+119,ROW()+1,1,,"Cash"))</f>
        <v>326.538682404454</v>
      </c>
      <c r="Q50" s="25" t="n">
        <f aca="true">INDIRECT(ADDRESS(COLUMN()+119,ROW()+1,1,,"Cash"))</f>
        <v>289.765192017221</v>
      </c>
      <c r="R50" s="10" t="n">
        <f aca="true">INDIRECT(ADDRESS(COLUMN()+119,ROW()+1,1,,"Cash"))</f>
        <v>453.937319802303</v>
      </c>
      <c r="S50" s="10" t="n">
        <f aca="true">INDIRECT(ADDRESS(COLUMN()+119,ROW()+1,1,,"Cash"))</f>
        <v>16069.3661467908</v>
      </c>
      <c r="T50" s="10" t="n">
        <f aca="true">INDIRECT(ADDRESS(COLUMN()+119,ROW()+1,1,,"Cash"))</f>
        <v>195.178467459186</v>
      </c>
      <c r="U50" s="10" t="n">
        <f aca="true">INDIRECT(ADDRESS(COLUMN()+119,ROW()+1,1,,"Cash"))</f>
        <v>3669.0131570214</v>
      </c>
      <c r="V50" s="10" t="n">
        <f aca="true">INDIRECT(ADDRESS(COLUMN()+119,ROW()+1,1,,"Cash"))</f>
        <v>433.647713007929</v>
      </c>
      <c r="W50" s="10" t="n">
        <f aca="true">INDIRECT(ADDRESS(COLUMN()+119,ROW()+1,1,,"Cash"))</f>
        <v>5212.09238975461</v>
      </c>
      <c r="X50" s="10" t="n">
        <f aca="true">INDIRECT(ADDRESS(COLUMN()+119,ROW()+1,1,,"Cash"))</f>
        <v>2743.69711352556</v>
      </c>
    </row>
    <row r="51" customFormat="false" ht="12.8" hidden="false" customHeight="false" outlineLevel="0" collapsed="false">
      <c r="A51" s="1" t="s">
        <v>373</v>
      </c>
      <c r="B51" s="10" t="n">
        <f aca="true">INDIRECT(ADDRESS(COLUMN()+119,ROW()+1,1,,"Cash"))</f>
        <v>941.878975314561</v>
      </c>
      <c r="C51" s="10" t="n">
        <f aca="true">INDIRECT(ADDRESS(COLUMN()+119,ROW()+1,1,,"Cash"))</f>
        <v>691.093246239758</v>
      </c>
      <c r="D51" s="10" t="n">
        <f aca="true">INDIRECT(ADDRESS(COLUMN()+119,ROW()+1,1,,"Cash"))</f>
        <v>145.056915957591</v>
      </c>
      <c r="E51" s="10" t="n">
        <f aca="true">INDIRECT(ADDRESS(COLUMN()+119,ROW()+1,1,,"Cash"))</f>
        <v>59.5024505971407</v>
      </c>
      <c r="F51" s="10" t="n">
        <f aca="true">INDIRECT(ADDRESS(COLUMN()+119,ROW()+1,1,,"Cash"))</f>
        <v>1397.71853132801</v>
      </c>
      <c r="G51" s="10" t="n">
        <f aca="true">INDIRECT(ADDRESS(COLUMN()+119,ROW()+1,1,,"Cash"))</f>
        <v>204.820542328995</v>
      </c>
      <c r="H51" s="10" t="n">
        <f aca="true">INDIRECT(ADDRESS(COLUMN()+119,ROW()+1,1,,"Cash"))</f>
        <v>211.926151366484</v>
      </c>
      <c r="I51" s="10" t="n">
        <f aca="true">INDIRECT(ADDRESS(COLUMN()+119,ROW()+1,1,,"Cash"))</f>
        <v>771.331390693445</v>
      </c>
      <c r="J51" s="10" t="n">
        <f aca="true">INDIRECT(ADDRESS(COLUMN()+119,ROW()+1,1,,"Cash"))</f>
        <v>91.4808790327472</v>
      </c>
      <c r="K51" s="10" t="n">
        <f aca="true">INDIRECT(ADDRESS(COLUMN()+119,ROW()+1,1,,"Cash"))</f>
        <v>603.565440604831</v>
      </c>
      <c r="L51" s="10" t="n">
        <f aca="true">INDIRECT(ADDRESS(COLUMN()+119,ROW()+1,1,,"Cash"))</f>
        <v>162.689901704157</v>
      </c>
      <c r="M51" s="10" t="n">
        <f aca="true">INDIRECT(ADDRESS(COLUMN()+119,ROW()+1,1,,"Cash"))</f>
        <v>256.171979613596</v>
      </c>
      <c r="N51" s="10" t="n">
        <f aca="true">INDIRECT(ADDRESS(COLUMN()+119,ROW()+1,1,,"Cash"))</f>
        <v>190.456407230108</v>
      </c>
      <c r="O51" s="10" t="n">
        <f aca="true">INDIRECT(ADDRESS(COLUMN()+119,ROW()+1,1,,"Cash"))</f>
        <v>179.185986367446</v>
      </c>
      <c r="P51" s="10" t="n">
        <f aca="true">INDIRECT(ADDRESS(COLUMN()+119,ROW()+1,1,,"Cash"))</f>
        <v>93.2192093103501</v>
      </c>
      <c r="Q51" s="25" t="n">
        <f aca="true">INDIRECT(ADDRESS(COLUMN()+119,ROW()+1,1,,"Cash"))</f>
        <v>86.5331095476425</v>
      </c>
      <c r="R51" s="10" t="n">
        <f aca="true">INDIRECT(ADDRESS(COLUMN()+119,ROW()+1,1,,"Cash"))</f>
        <v>155.69990107296</v>
      </c>
      <c r="S51" s="10" t="n">
        <f aca="true">INDIRECT(ADDRESS(COLUMN()+119,ROW()+1,1,,"Cash"))</f>
        <v>3379.4862809553</v>
      </c>
      <c r="T51" s="10" t="n">
        <f aca="true">INDIRECT(ADDRESS(COLUMN()+119,ROW()+1,1,,"Cash"))</f>
        <v>60.2327271164874</v>
      </c>
      <c r="U51" s="10" t="n">
        <f aca="true">INDIRECT(ADDRESS(COLUMN()+119,ROW()+1,1,,"Cash"))</f>
        <v>1003.78358347323</v>
      </c>
      <c r="V51" s="10" t="n">
        <f aca="true">INDIRECT(ADDRESS(COLUMN()+119,ROW()+1,1,,"Cash"))</f>
        <v>124.506103888437</v>
      </c>
      <c r="W51" s="10" t="n">
        <f aca="true">INDIRECT(ADDRESS(COLUMN()+119,ROW()+1,1,,"Cash"))</f>
        <v>1198.13445308417</v>
      </c>
      <c r="X51" s="10" t="n">
        <f aca="true">INDIRECT(ADDRESS(COLUMN()+119,ROW()+1,1,,"Cash"))</f>
        <v>732.002179547513</v>
      </c>
    </row>
    <row r="52" customFormat="false" ht="12.8" hidden="false" customHeight="false" outlineLevel="0" collapsed="false">
      <c r="A52" s="1" t="s">
        <v>374</v>
      </c>
      <c r="B52" s="10" t="n">
        <f aca="true">INDIRECT(ADDRESS(COLUMN()+119,ROW()+1,1,,"Cash"))</f>
        <v>4047.82776143242</v>
      </c>
      <c r="C52" s="10" t="n">
        <f aca="true">INDIRECT(ADDRESS(COLUMN()+119,ROW()+1,1,,"Cash"))</f>
        <v>1540.6034564347</v>
      </c>
      <c r="D52" s="10" t="n">
        <f aca="true">INDIRECT(ADDRESS(COLUMN()+119,ROW()+1,1,,"Cash"))</f>
        <v>1137.86350523825</v>
      </c>
      <c r="E52" s="10" t="n">
        <f aca="true">INDIRECT(ADDRESS(COLUMN()+119,ROW()+1,1,,"Cash"))</f>
        <v>339.457508528636</v>
      </c>
      <c r="F52" s="10" t="n">
        <f aca="true">INDIRECT(ADDRESS(COLUMN()+119,ROW()+1,1,,"Cash"))</f>
        <v>3096.72383060936</v>
      </c>
      <c r="G52" s="10" t="n">
        <f aca="true">INDIRECT(ADDRESS(COLUMN()+119,ROW()+1,1,,"Cash"))</f>
        <v>1856.6080884143</v>
      </c>
      <c r="H52" s="10" t="n">
        <f aca="true">INDIRECT(ADDRESS(COLUMN()+119,ROW()+1,1,,"Cash"))</f>
        <v>1565.9239711791</v>
      </c>
      <c r="I52" s="10" t="n">
        <f aca="true">INDIRECT(ADDRESS(COLUMN()+119,ROW()+1,1,,"Cash"))</f>
        <v>2127.90754065621</v>
      </c>
      <c r="J52" s="10" t="n">
        <f aca="true">INDIRECT(ADDRESS(COLUMN()+119,ROW()+1,1,,"Cash"))</f>
        <v>804.530112279912</v>
      </c>
      <c r="K52" s="10" t="n">
        <f aca="true">INDIRECT(ADDRESS(COLUMN()+119,ROW()+1,1,,"Cash"))</f>
        <v>1929.06151729128</v>
      </c>
      <c r="L52" s="10" t="n">
        <f aca="true">INDIRECT(ADDRESS(COLUMN()+119,ROW()+1,1,,"Cash"))</f>
        <v>1725.06616564841</v>
      </c>
      <c r="M52" s="10" t="n">
        <f aca="true">INDIRECT(ADDRESS(COLUMN()+119,ROW()+1,1,,"Cash"))</f>
        <v>2308.82302946837</v>
      </c>
      <c r="N52" s="10" t="n">
        <f aca="true">INDIRECT(ADDRESS(COLUMN()+119,ROW()+1,1,,"Cash"))</f>
        <v>1106.89950703517</v>
      </c>
      <c r="O52" s="10" t="n">
        <f aca="true">INDIRECT(ADDRESS(COLUMN()+119,ROW()+1,1,,"Cash"))</f>
        <v>1824.13390184953</v>
      </c>
      <c r="P52" s="10" t="n">
        <f aca="true">INDIRECT(ADDRESS(COLUMN()+119,ROW()+1,1,,"Cash"))</f>
        <v>759.481450399985</v>
      </c>
      <c r="Q52" s="25" t="n">
        <f aca="true">INDIRECT(ADDRESS(COLUMN()+119,ROW()+1,1,,"Cash"))</f>
        <v>778.598498872815</v>
      </c>
      <c r="R52" s="10" t="n">
        <f aca="true">INDIRECT(ADDRESS(COLUMN()+119,ROW()+1,1,,"Cash"))</f>
        <v>1769.60927698641</v>
      </c>
      <c r="S52" s="10" t="n">
        <f aca="true">INDIRECT(ADDRESS(COLUMN()+119,ROW()+1,1,,"Cash"))</f>
        <v>7379.44721944768</v>
      </c>
      <c r="T52" s="10" t="n">
        <f aca="true">INDIRECT(ADDRESS(COLUMN()+119,ROW()+1,1,,"Cash"))</f>
        <v>744.114804889095</v>
      </c>
      <c r="U52" s="10" t="n">
        <f aca="true">INDIRECT(ADDRESS(COLUMN()+119,ROW()+1,1,,"Cash"))</f>
        <v>2478.64875835637</v>
      </c>
      <c r="V52" s="10" t="n">
        <f aca="true">INDIRECT(ADDRESS(COLUMN()+119,ROW()+1,1,,"Cash"))</f>
        <v>1038.09852788751</v>
      </c>
      <c r="W52" s="10" t="n">
        <f aca="true">INDIRECT(ADDRESS(COLUMN()+119,ROW()+1,1,,"Cash"))</f>
        <v>5175.07427274754</v>
      </c>
      <c r="X52" s="10" t="n">
        <f aca="true">INDIRECT(ADDRESS(COLUMN()+119,ROW()+1,1,,"Cash"))</f>
        <v>3375.25192001123</v>
      </c>
    </row>
    <row r="53" customFormat="false" ht="12.8" hidden="false" customHeight="false" outlineLevel="0" collapsed="false">
      <c r="A53" s="1" t="s">
        <v>375</v>
      </c>
      <c r="B53" s="10" t="n">
        <f aca="true">INDIRECT(ADDRESS(COLUMN()+119,ROW()+1,1,,"Cash"))</f>
        <v>5925.70194510089</v>
      </c>
      <c r="C53" s="10" t="n">
        <f aca="true">INDIRECT(ADDRESS(COLUMN()+119,ROW()+1,1,,"Cash"))</f>
        <v>18502.2436829614</v>
      </c>
      <c r="D53" s="10" t="n">
        <f aca="true">INDIRECT(ADDRESS(COLUMN()+119,ROW()+1,1,,"Cash"))</f>
        <v>2363.5651139074</v>
      </c>
      <c r="E53" s="10" t="n">
        <f aca="true">INDIRECT(ADDRESS(COLUMN()+119,ROW()+1,1,,"Cash"))</f>
        <v>1485.71760613223</v>
      </c>
      <c r="F53" s="10" t="n">
        <f aca="true">INDIRECT(ADDRESS(COLUMN()+119,ROW()+1,1,,"Cash"))</f>
        <v>7585.10536260378</v>
      </c>
      <c r="G53" s="10" t="n">
        <f aca="true">INDIRECT(ADDRESS(COLUMN()+119,ROW()+1,1,,"Cash"))</f>
        <v>7521.8597963128</v>
      </c>
      <c r="H53" s="10" t="n">
        <f aca="true">INDIRECT(ADDRESS(COLUMN()+119,ROW()+1,1,,"Cash"))</f>
        <v>5296.4772172398</v>
      </c>
      <c r="I53" s="10" t="n">
        <f aca="true">INDIRECT(ADDRESS(COLUMN()+119,ROW()+1,1,,"Cash"))</f>
        <v>3211.21436111152</v>
      </c>
      <c r="J53" s="10" t="n">
        <f aca="true">INDIRECT(ADDRESS(COLUMN()+119,ROW()+1,1,,"Cash"))</f>
        <v>2240.99190955072</v>
      </c>
      <c r="K53" s="10" t="n">
        <f aca="true">INDIRECT(ADDRESS(COLUMN()+119,ROW()+1,1,,"Cash"))</f>
        <v>14901.8014071672</v>
      </c>
      <c r="L53" s="10" t="n">
        <f aca="true">INDIRECT(ADDRESS(COLUMN()+119,ROW()+1,1,,"Cash"))</f>
        <v>3777.97581437134</v>
      </c>
      <c r="M53" s="10" t="n">
        <f aca="true">INDIRECT(ADDRESS(COLUMN()+119,ROW()+1,1,,"Cash"))</f>
        <v>4250.90042226641</v>
      </c>
      <c r="N53" s="10" t="n">
        <f aca="true">INDIRECT(ADDRESS(COLUMN()+119,ROW()+1,1,,"Cash"))</f>
        <v>3460.1958011404</v>
      </c>
      <c r="O53" s="10" t="n">
        <f aca="true">INDIRECT(ADDRESS(COLUMN()+119,ROW()+1,1,,"Cash"))</f>
        <v>3068.90800947187</v>
      </c>
      <c r="P53" s="10" t="n">
        <f aca="true">INDIRECT(ADDRESS(COLUMN()+119,ROW()+1,1,,"Cash"))</f>
        <v>2277.88042571423</v>
      </c>
      <c r="Q53" s="25" t="n">
        <f aca="true">INDIRECT(ADDRESS(COLUMN()+119,ROW()+1,1,,"Cash"))</f>
        <v>2171.02889508004</v>
      </c>
      <c r="R53" s="10" t="n">
        <f aca="true">INDIRECT(ADDRESS(COLUMN()+119,ROW()+1,1,,"Cash"))</f>
        <v>4152.23705520855</v>
      </c>
      <c r="S53" s="10" t="n">
        <f aca="true">INDIRECT(ADDRESS(COLUMN()+119,ROW()+1,1,,"Cash"))</f>
        <v>7982.66320782985</v>
      </c>
      <c r="T53" s="10" t="n">
        <f aca="true">INDIRECT(ADDRESS(COLUMN()+119,ROW()+1,1,,"Cash"))</f>
        <v>1654.92613024984</v>
      </c>
      <c r="U53" s="10" t="n">
        <f aca="true">INDIRECT(ADDRESS(COLUMN()+119,ROW()+1,1,,"Cash"))</f>
        <v>3956.53681284923</v>
      </c>
      <c r="V53" s="10" t="n">
        <f aca="true">INDIRECT(ADDRESS(COLUMN()+119,ROW()+1,1,,"Cash"))</f>
        <v>3748.57529917588</v>
      </c>
      <c r="W53" s="10" t="n">
        <f aca="true">INDIRECT(ADDRESS(COLUMN()+119,ROW()+1,1,,"Cash"))</f>
        <v>17021.7655127592</v>
      </c>
      <c r="X53" s="10" t="n">
        <f aca="true">INDIRECT(ADDRESS(COLUMN()+119,ROW()+1,1,,"Cash"))</f>
        <v>3619.7844335004</v>
      </c>
    </row>
    <row r="54" customFormat="false" ht="12.8" hidden="false" customHeight="false" outlineLevel="0" collapsed="false">
      <c r="A54" s="1" t="s">
        <v>376</v>
      </c>
      <c r="B54" s="10" t="n">
        <f aca="true">INDIRECT(ADDRESS(COLUMN()+119,ROW()+1,1,,"Cash"))</f>
        <v>1963.26807028542</v>
      </c>
      <c r="C54" s="10" t="n">
        <f aca="true">INDIRECT(ADDRESS(COLUMN()+119,ROW()+1,1,,"Cash"))</f>
        <v>5348.04941210823</v>
      </c>
      <c r="D54" s="10" t="n">
        <f aca="true">INDIRECT(ADDRESS(COLUMN()+119,ROW()+1,1,,"Cash"))</f>
        <v>1231.94952806737</v>
      </c>
      <c r="E54" s="10" t="n">
        <f aca="true">INDIRECT(ADDRESS(COLUMN()+119,ROW()+1,1,,"Cash"))</f>
        <v>700.833528251839</v>
      </c>
      <c r="F54" s="10" t="n">
        <f aca="true">INDIRECT(ADDRESS(COLUMN()+119,ROW()+1,1,,"Cash"))</f>
        <v>1832.08314686218</v>
      </c>
      <c r="G54" s="10" t="n">
        <f aca="true">INDIRECT(ADDRESS(COLUMN()+119,ROW()+1,1,,"Cash"))</f>
        <v>3025.96174478806</v>
      </c>
      <c r="H54" s="10" t="n">
        <f aca="true">INDIRECT(ADDRESS(COLUMN()+119,ROW()+1,1,,"Cash"))</f>
        <v>3104.94871525208</v>
      </c>
      <c r="I54" s="10" t="n">
        <f aca="true">INDIRECT(ADDRESS(COLUMN()+119,ROW()+1,1,,"Cash"))</f>
        <v>3078.74634319397</v>
      </c>
      <c r="J54" s="10" t="n">
        <f aca="true">INDIRECT(ADDRESS(COLUMN()+119,ROW()+1,1,,"Cash"))</f>
        <v>935.526317304506</v>
      </c>
      <c r="K54" s="10" t="n">
        <f aca="true">INDIRECT(ADDRESS(COLUMN()+119,ROW()+1,1,,"Cash"))</f>
        <v>1837.17309916567</v>
      </c>
      <c r="L54" s="10" t="n">
        <f aca="true">INDIRECT(ADDRESS(COLUMN()+119,ROW()+1,1,,"Cash"))</f>
        <v>2614.02846862793</v>
      </c>
      <c r="M54" s="10" t="n">
        <f aca="true">INDIRECT(ADDRESS(COLUMN()+119,ROW()+1,1,,"Cash"))</f>
        <v>3275.54806814205</v>
      </c>
      <c r="N54" s="10" t="n">
        <f aca="true">INDIRECT(ADDRESS(COLUMN()+119,ROW()+1,1,,"Cash"))</f>
        <v>2239.78583727986</v>
      </c>
      <c r="O54" s="10" t="n">
        <f aca="true">INDIRECT(ADDRESS(COLUMN()+119,ROW()+1,1,,"Cash"))</f>
        <v>1032.26660868667</v>
      </c>
      <c r="P54" s="10" t="n">
        <f aca="true">INDIRECT(ADDRESS(COLUMN()+119,ROW()+1,1,,"Cash"))</f>
        <v>1012.80417272329</v>
      </c>
      <c r="Q54" s="25" t="n">
        <f aca="true">INDIRECT(ADDRESS(COLUMN()+119,ROW()+1,1,,"Cash"))</f>
        <v>845.304750278601</v>
      </c>
      <c r="R54" s="10" t="n">
        <f aca="true">INDIRECT(ADDRESS(COLUMN()+119,ROW()+1,1,,"Cash"))</f>
        <v>878.656452598329</v>
      </c>
      <c r="S54" s="10" t="n">
        <f aca="true">INDIRECT(ADDRESS(COLUMN()+119,ROW()+1,1,,"Cash"))</f>
        <v>2322.84031864694</v>
      </c>
      <c r="T54" s="10" t="n">
        <f aca="true">INDIRECT(ADDRESS(COLUMN()+119,ROW()+1,1,,"Cash"))</f>
        <v>636.632954139055</v>
      </c>
      <c r="U54" s="10" t="n">
        <f aca="true">INDIRECT(ADDRESS(COLUMN()+119,ROW()+1,1,,"Cash"))</f>
        <v>1316.58483829142</v>
      </c>
      <c r="V54" s="10" t="n">
        <f aca="true">INDIRECT(ADDRESS(COLUMN()+119,ROW()+1,1,,"Cash"))</f>
        <v>1465.31620706976</v>
      </c>
      <c r="W54" s="10" t="n">
        <f aca="true">INDIRECT(ADDRESS(COLUMN()+119,ROW()+1,1,,"Cash"))</f>
        <v>2567.35565166587</v>
      </c>
      <c r="X54" s="10" t="n">
        <f aca="true">INDIRECT(ADDRESS(COLUMN()+119,ROW()+1,1,,"Cash"))</f>
        <v>2410.42645910233</v>
      </c>
    </row>
    <row r="55" customFormat="false" ht="12.8" hidden="false" customHeight="false" outlineLevel="0" collapsed="false">
      <c r="A55" s="1" t="s">
        <v>377</v>
      </c>
      <c r="B55" s="10" t="n">
        <f aca="true">INDIRECT(ADDRESS(COLUMN()+119,ROW()+1,1,,"Cash"))</f>
        <v>8040.98859773017</v>
      </c>
      <c r="C55" s="10" t="n">
        <f aca="true">INDIRECT(ADDRESS(COLUMN()+119,ROW()+1,1,,"Cash"))</f>
        <v>30191.0892482036</v>
      </c>
      <c r="D55" s="10" t="n">
        <f aca="true">INDIRECT(ADDRESS(COLUMN()+119,ROW()+1,1,,"Cash"))</f>
        <v>5962.71406337842</v>
      </c>
      <c r="E55" s="10" t="n">
        <f aca="true">INDIRECT(ADDRESS(COLUMN()+119,ROW()+1,1,,"Cash"))</f>
        <v>2669.62320113395</v>
      </c>
      <c r="F55" s="10" t="n">
        <f aca="true">INDIRECT(ADDRESS(COLUMN()+119,ROW()+1,1,,"Cash"))</f>
        <v>14300.2158363269</v>
      </c>
      <c r="G55" s="10" t="n">
        <f aca="true">INDIRECT(ADDRESS(COLUMN()+119,ROW()+1,1,,"Cash"))</f>
        <v>7312.02999916568</v>
      </c>
      <c r="H55" s="10" t="n">
        <f aca="true">INDIRECT(ADDRESS(COLUMN()+119,ROW()+1,1,,"Cash"))</f>
        <v>10924.9767311834</v>
      </c>
      <c r="I55" s="10" t="n">
        <f aca="true">INDIRECT(ADDRESS(COLUMN()+119,ROW()+1,1,,"Cash"))</f>
        <v>25602.4060859581</v>
      </c>
      <c r="J55" s="10" t="n">
        <f aca="true">INDIRECT(ADDRESS(COLUMN()+119,ROW()+1,1,,"Cash"))</f>
        <v>3567.95803229906</v>
      </c>
      <c r="K55" s="10" t="n">
        <f aca="true">INDIRECT(ADDRESS(COLUMN()+119,ROW()+1,1,,"Cash"))</f>
        <v>9965.98399143246</v>
      </c>
      <c r="L55" s="10" t="n">
        <f aca="true">INDIRECT(ADDRESS(COLUMN()+119,ROW()+1,1,,"Cash"))</f>
        <v>5517.01596539614</v>
      </c>
      <c r="M55" s="10" t="n">
        <f aca="true">INDIRECT(ADDRESS(COLUMN()+119,ROW()+1,1,,"Cash"))</f>
        <v>7500.11980507</v>
      </c>
      <c r="N55" s="10" t="n">
        <f aca="true">INDIRECT(ADDRESS(COLUMN()+119,ROW()+1,1,,"Cash"))</f>
        <v>5335.23802873354</v>
      </c>
      <c r="O55" s="10" t="n">
        <f aca="true">INDIRECT(ADDRESS(COLUMN()+119,ROW()+1,1,,"Cash"))</f>
        <v>4076.84578869143</v>
      </c>
      <c r="P55" s="10" t="n">
        <f aca="true">INDIRECT(ADDRESS(COLUMN()+119,ROW()+1,1,,"Cash"))</f>
        <v>4961.46513073079</v>
      </c>
      <c r="Q55" s="25" t="n">
        <f aca="true">INDIRECT(ADDRESS(COLUMN()+119,ROW()+1,1,,"Cash"))</f>
        <v>3489.53233271164</v>
      </c>
      <c r="R55" s="10" t="n">
        <f aca="true">INDIRECT(ADDRESS(COLUMN()+119,ROW()+1,1,,"Cash"))</f>
        <v>4578.27465201329</v>
      </c>
      <c r="S55" s="10" t="n">
        <f aca="true">INDIRECT(ADDRESS(COLUMN()+119,ROW()+1,1,,"Cash"))</f>
        <v>10546.8556335715</v>
      </c>
      <c r="T55" s="10" t="n">
        <f aca="true">INDIRECT(ADDRESS(COLUMN()+119,ROW()+1,1,,"Cash"))</f>
        <v>2752.99328731312</v>
      </c>
      <c r="U55" s="10" t="n">
        <f aca="true">INDIRECT(ADDRESS(COLUMN()+119,ROW()+1,1,,"Cash"))</f>
        <v>10489.3685974469</v>
      </c>
      <c r="V55" s="10" t="n">
        <f aca="true">INDIRECT(ADDRESS(COLUMN()+119,ROW()+1,1,,"Cash"))</f>
        <v>6485.85582130768</v>
      </c>
      <c r="W55" s="10" t="n">
        <f aca="true">INDIRECT(ADDRESS(COLUMN()+119,ROW()+1,1,,"Cash"))</f>
        <v>29239.7175469436</v>
      </c>
      <c r="X55" s="10" t="n">
        <f aca="true">INDIRECT(ADDRESS(COLUMN()+119,ROW()+1,1,,"Cash"))</f>
        <v>38453.370859088</v>
      </c>
    </row>
    <row r="56" customFormat="false" ht="12.8" hidden="false" customHeight="false" outlineLevel="0" collapsed="false">
      <c r="A56" s="1" t="s">
        <v>378</v>
      </c>
      <c r="B56" s="10" t="n">
        <f aca="true">INDIRECT(ADDRESS(COLUMN()+119,ROW()+1,1,,"Cash"))</f>
        <v>51151.5066597759</v>
      </c>
      <c r="C56" s="10" t="n">
        <f aca="true">INDIRECT(ADDRESS(COLUMN()+119,ROW()+1,1,,"Cash"))</f>
        <v>20546.9374557599</v>
      </c>
      <c r="D56" s="10" t="n">
        <f aca="true">INDIRECT(ADDRESS(COLUMN()+119,ROW()+1,1,,"Cash"))</f>
        <v>9120.64632747166</v>
      </c>
      <c r="E56" s="10" t="n">
        <f aca="true">INDIRECT(ADDRESS(COLUMN()+119,ROW()+1,1,,"Cash"))</f>
        <v>5737.12304518191</v>
      </c>
      <c r="F56" s="10" t="n">
        <f aca="true">INDIRECT(ADDRESS(COLUMN()+119,ROW()+1,1,,"Cash"))</f>
        <v>26801.5511500318</v>
      </c>
      <c r="G56" s="10" t="n">
        <f aca="true">INDIRECT(ADDRESS(COLUMN()+119,ROW()+1,1,,"Cash"))</f>
        <v>29912.0876567179</v>
      </c>
      <c r="H56" s="10" t="n">
        <f aca="true">INDIRECT(ADDRESS(COLUMN()+119,ROW()+1,1,,"Cash"))</f>
        <v>25371.4575053216</v>
      </c>
      <c r="I56" s="10" t="n">
        <f aca="true">INDIRECT(ADDRESS(COLUMN()+119,ROW()+1,1,,"Cash"))</f>
        <v>13573.2828672569</v>
      </c>
      <c r="J56" s="10" t="n">
        <f aca="true">INDIRECT(ADDRESS(COLUMN()+119,ROW()+1,1,,"Cash"))</f>
        <v>7696.68606741679</v>
      </c>
      <c r="K56" s="10" t="n">
        <f aca="true">INDIRECT(ADDRESS(COLUMN()+119,ROW()+1,1,,"Cash"))</f>
        <v>25853.5927365752</v>
      </c>
      <c r="L56" s="10" t="n">
        <f aca="true">INDIRECT(ADDRESS(COLUMN()+119,ROW()+1,1,,"Cash"))</f>
        <v>20928.9388926494</v>
      </c>
      <c r="M56" s="10" t="n">
        <f aca="true">INDIRECT(ADDRESS(COLUMN()+119,ROW()+1,1,,"Cash"))</f>
        <v>21436.2225637915</v>
      </c>
      <c r="N56" s="10" t="n">
        <f aca="true">INDIRECT(ADDRESS(COLUMN()+119,ROW()+1,1,,"Cash"))</f>
        <v>16483.3379387643</v>
      </c>
      <c r="O56" s="10" t="n">
        <f aca="true">INDIRECT(ADDRESS(COLUMN()+119,ROW()+1,1,,"Cash"))</f>
        <v>9694.76953736687</v>
      </c>
      <c r="P56" s="10" t="n">
        <f aca="true">INDIRECT(ADDRESS(COLUMN()+119,ROW()+1,1,,"Cash"))</f>
        <v>8666.23835679889</v>
      </c>
      <c r="Q56" s="25" t="n">
        <f aca="true">INDIRECT(ADDRESS(COLUMN()+119,ROW()+1,1,,"Cash"))</f>
        <v>7004.30226676797</v>
      </c>
      <c r="R56" s="10" t="n">
        <f aca="true">INDIRECT(ADDRESS(COLUMN()+119,ROW()+1,1,,"Cash"))</f>
        <v>13098.6229741359</v>
      </c>
      <c r="S56" s="10" t="n">
        <f aca="true">INDIRECT(ADDRESS(COLUMN()+119,ROW()+1,1,,"Cash"))</f>
        <v>35259.0194369005</v>
      </c>
      <c r="T56" s="10" t="n">
        <f aca="true">INDIRECT(ADDRESS(COLUMN()+119,ROW()+1,1,,"Cash"))</f>
        <v>5500.45324304839</v>
      </c>
      <c r="U56" s="10" t="n">
        <f aca="true">INDIRECT(ADDRESS(COLUMN()+119,ROW()+1,1,,"Cash"))</f>
        <v>65391.4308728129</v>
      </c>
      <c r="V56" s="10" t="n">
        <f aca="true">INDIRECT(ADDRESS(COLUMN()+119,ROW()+1,1,,"Cash"))</f>
        <v>12237.1408427</v>
      </c>
      <c r="W56" s="10" t="n">
        <f aca="true">INDIRECT(ADDRESS(COLUMN()+119,ROW()+1,1,,"Cash"))</f>
        <v>16663.8947597501</v>
      </c>
      <c r="X56" s="10" t="n">
        <f aca="true">INDIRECT(ADDRESS(COLUMN()+119,ROW()+1,1,,"Cash"))</f>
        <v>20944.6632671509</v>
      </c>
    </row>
    <row r="57" customFormat="false" ht="12.8" hidden="false" customHeight="false" outlineLevel="0" collapsed="false">
      <c r="A57" s="1" t="s">
        <v>379</v>
      </c>
      <c r="B57" s="10" t="n">
        <f aca="true">INDIRECT(ADDRESS(COLUMN()+119,ROW()+1,1,,"Cash"))</f>
        <v>2416.9395791643</v>
      </c>
      <c r="C57" s="10" t="n">
        <f aca="true">INDIRECT(ADDRESS(COLUMN()+119,ROW()+1,1,,"Cash"))</f>
        <v>827.214649605229</v>
      </c>
      <c r="D57" s="10" t="n">
        <f aca="true">INDIRECT(ADDRESS(COLUMN()+119,ROW()+1,1,,"Cash"))</f>
        <v>163.541421457532</v>
      </c>
      <c r="E57" s="10" t="n">
        <f aca="true">INDIRECT(ADDRESS(COLUMN()+119,ROW()+1,1,,"Cash"))</f>
        <v>170.846065388511</v>
      </c>
      <c r="F57" s="10" t="n">
        <f aca="true">INDIRECT(ADDRESS(COLUMN()+119,ROW()+1,1,,"Cash"))</f>
        <v>2028.44611814718</v>
      </c>
      <c r="G57" s="10" t="n">
        <f aca="true">INDIRECT(ADDRESS(COLUMN()+119,ROW()+1,1,,"Cash"))</f>
        <v>540.169916402467</v>
      </c>
      <c r="H57" s="10" t="n">
        <f aca="true">INDIRECT(ADDRESS(COLUMN()+119,ROW()+1,1,,"Cash"))</f>
        <v>724.065554506142</v>
      </c>
      <c r="I57" s="10" t="n">
        <f aca="true">INDIRECT(ADDRESS(COLUMN()+119,ROW()+1,1,,"Cash"))</f>
        <v>915.980219790427</v>
      </c>
      <c r="J57" s="10" t="n">
        <f aca="true">INDIRECT(ADDRESS(COLUMN()+119,ROW()+1,1,,"Cash"))</f>
        <v>482.729077887528</v>
      </c>
      <c r="K57" s="10" t="n">
        <f aca="true">INDIRECT(ADDRESS(COLUMN()+119,ROW()+1,1,,"Cash"))</f>
        <v>1817.82108513375</v>
      </c>
      <c r="L57" s="10" t="n">
        <f aca="true">INDIRECT(ADDRESS(COLUMN()+119,ROW()+1,1,,"Cash"))</f>
        <v>709.432113330125</v>
      </c>
      <c r="M57" s="10" t="n">
        <f aca="true">INDIRECT(ADDRESS(COLUMN()+119,ROW()+1,1,,"Cash"))</f>
        <v>595.482459807298</v>
      </c>
      <c r="N57" s="10" t="n">
        <f aca="true">INDIRECT(ADDRESS(COLUMN()+119,ROW()+1,1,,"Cash"))</f>
        <v>625.319942773843</v>
      </c>
      <c r="O57" s="10" t="n">
        <f aca="true">INDIRECT(ADDRESS(COLUMN()+119,ROW()+1,1,,"Cash"))</f>
        <v>305.927946284246</v>
      </c>
      <c r="P57" s="10" t="n">
        <f aca="true">INDIRECT(ADDRESS(COLUMN()+119,ROW()+1,1,,"Cash"))</f>
        <v>251.965821464329</v>
      </c>
      <c r="Q57" s="25" t="n">
        <f aca="true">INDIRECT(ADDRESS(COLUMN()+119,ROW()+1,1,,"Cash"))</f>
        <v>480.651383648154</v>
      </c>
      <c r="R57" s="10" t="n">
        <f aca="true">INDIRECT(ADDRESS(COLUMN()+119,ROW()+1,1,,"Cash"))</f>
        <v>1055.04887587675</v>
      </c>
      <c r="S57" s="10" t="n">
        <f aca="true">INDIRECT(ADDRESS(COLUMN()+119,ROW()+1,1,,"Cash"))</f>
        <v>1145.51708037899</v>
      </c>
      <c r="T57" s="10" t="n">
        <f aca="true">INDIRECT(ADDRESS(COLUMN()+119,ROW()+1,1,,"Cash"))</f>
        <v>430.032281809093</v>
      </c>
      <c r="U57" s="10" t="n">
        <f aca="true">INDIRECT(ADDRESS(COLUMN()+119,ROW()+1,1,,"Cash"))</f>
        <v>973.075845718086</v>
      </c>
      <c r="V57" s="10" t="n">
        <f aca="true">INDIRECT(ADDRESS(COLUMN()+119,ROW()+1,1,,"Cash"))</f>
        <v>584.774243364117</v>
      </c>
      <c r="W57" s="10" t="n">
        <f aca="true">INDIRECT(ADDRESS(COLUMN()+119,ROW()+1,1,,"Cash"))</f>
        <v>4518.18221672523</v>
      </c>
      <c r="X57" s="10" t="n">
        <f aca="true">INDIRECT(ADDRESS(COLUMN()+119,ROW()+1,1,,"Cash"))</f>
        <v>100</v>
      </c>
    </row>
    <row r="58" customFormat="false" ht="12.8" hidden="false" customHeight="false" outlineLevel="0" collapsed="false">
      <c r="A58" s="1" t="s">
        <v>380</v>
      </c>
      <c r="B58" s="10" t="n">
        <f aca="true">INDIRECT(ADDRESS(COLUMN()+119,ROW()+1,1,,"Cash"))</f>
        <v>866.487159234878</v>
      </c>
      <c r="C58" s="10" t="n">
        <f aca="true">INDIRECT(ADDRESS(COLUMN()+119,ROW()+1,1,,"Cash"))</f>
        <v>345.332001918466</v>
      </c>
      <c r="D58" s="10" t="n">
        <f aca="true">INDIRECT(ADDRESS(COLUMN()+119,ROW()+1,1,,"Cash"))</f>
        <v>142.402618097433</v>
      </c>
      <c r="E58" s="10" t="n">
        <f aca="true">INDIRECT(ADDRESS(COLUMN()+119,ROW()+1,1,,"Cash"))</f>
        <v>52.2278510828752</v>
      </c>
      <c r="F58" s="10" t="n">
        <f aca="true">INDIRECT(ADDRESS(COLUMN()+119,ROW()+1,1,,"Cash"))</f>
        <v>697.520592892869</v>
      </c>
      <c r="G58" s="10" t="n">
        <f aca="true">INDIRECT(ADDRESS(COLUMN()+119,ROW()+1,1,,"Cash"))</f>
        <v>288.861893650638</v>
      </c>
      <c r="H58" s="10" t="n">
        <f aca="true">INDIRECT(ADDRESS(COLUMN()+119,ROW()+1,1,,"Cash"))</f>
        <v>223.896713195884</v>
      </c>
      <c r="I58" s="10" t="n">
        <f aca="true">INDIRECT(ADDRESS(COLUMN()+119,ROW()+1,1,,"Cash"))</f>
        <v>484.32213184342</v>
      </c>
      <c r="J58" s="10" t="n">
        <f aca="true">INDIRECT(ADDRESS(COLUMN()+119,ROW()+1,1,,"Cash"))</f>
        <v>121.580989498419</v>
      </c>
      <c r="K58" s="10" t="n">
        <f aca="true">INDIRECT(ADDRESS(COLUMN()+119,ROW()+1,1,,"Cash"))</f>
        <v>441.937613656802</v>
      </c>
      <c r="L58" s="10" t="n">
        <f aca="true">INDIRECT(ADDRESS(COLUMN()+119,ROW()+1,1,,"Cash"))</f>
        <v>222.636393522852</v>
      </c>
      <c r="M58" s="10" t="n">
        <f aca="true">INDIRECT(ADDRESS(COLUMN()+119,ROW()+1,1,,"Cash"))</f>
        <v>293.806458137298</v>
      </c>
      <c r="N58" s="10" t="n">
        <f aca="true">INDIRECT(ADDRESS(COLUMN()+119,ROW()+1,1,,"Cash"))</f>
        <v>160.933116929465</v>
      </c>
      <c r="O58" s="10" t="n">
        <f aca="true">INDIRECT(ADDRESS(COLUMN()+119,ROW()+1,1,,"Cash"))</f>
        <v>238.942548699722</v>
      </c>
      <c r="P58" s="10" t="n">
        <f aca="true">INDIRECT(ADDRESS(COLUMN()+119,ROW()+1,1,,"Cash"))</f>
        <v>117.300213302712</v>
      </c>
      <c r="Q58" s="25" t="n">
        <f aca="true">INDIRECT(ADDRESS(COLUMN()+119,ROW()+1,1,,"Cash"))</f>
        <v>125.659757121905</v>
      </c>
      <c r="R58" s="10" t="n">
        <f aca="true">INDIRECT(ADDRESS(COLUMN()+119,ROW()+1,1,,"Cash"))</f>
        <v>225.722868451389</v>
      </c>
      <c r="S58" s="10" t="n">
        <f aca="true">INDIRECT(ADDRESS(COLUMN()+119,ROW()+1,1,,"Cash"))</f>
        <v>1654.78115593971</v>
      </c>
      <c r="T58" s="10" t="n">
        <f aca="true">INDIRECT(ADDRESS(COLUMN()+119,ROW()+1,1,,"Cash"))</f>
        <v>95.5785659998031</v>
      </c>
      <c r="U58" s="10" t="n">
        <f aca="true">INDIRECT(ADDRESS(COLUMN()+119,ROW()+1,1,,"Cash"))</f>
        <v>561.345287613889</v>
      </c>
      <c r="V58" s="10" t="n">
        <f aca="true">INDIRECT(ADDRESS(COLUMN()+119,ROW()+1,1,,"Cash"))</f>
        <v>127.348133763134</v>
      </c>
      <c r="W58" s="10" t="n">
        <f aca="true">INDIRECT(ADDRESS(COLUMN()+119,ROW()+1,1,,"Cash"))</f>
        <v>1182.42284960788</v>
      </c>
      <c r="X58" s="10" t="n">
        <f aca="true">INDIRECT(ADDRESS(COLUMN()+119,ROW()+1,1,,"Cash"))</f>
        <v>768.158558242308</v>
      </c>
    </row>
    <row r="59" customFormat="false" ht="12.8" hidden="false" customHeight="false" outlineLevel="0" collapsed="false">
      <c r="A59" s="1" t="s">
        <v>381</v>
      </c>
      <c r="B59" s="10" t="n">
        <f aca="true">INDIRECT(ADDRESS(COLUMN()+119,ROW()+1,1,,"Cash"))</f>
        <v>468.156107284036</v>
      </c>
      <c r="C59" s="10" t="n">
        <f aca="true">INDIRECT(ADDRESS(COLUMN()+119,ROW()+1,1,,"Cash"))</f>
        <v>624898.366369768</v>
      </c>
      <c r="D59" s="10" t="n">
        <f aca="true">INDIRECT(ADDRESS(COLUMN()+119,ROW()+1,1,,"Cash"))</f>
        <v>86.0915310198811</v>
      </c>
      <c r="E59" s="10" t="n">
        <f aca="true">INDIRECT(ADDRESS(COLUMN()+119,ROW()+1,1,,"Cash"))</f>
        <v>273.636338756002</v>
      </c>
      <c r="F59" s="10" t="n">
        <f aca="true">INDIRECT(ADDRESS(COLUMN()+119,ROW()+1,1,,"Cash"))</f>
        <v>611038.479906607</v>
      </c>
      <c r="G59" s="10" t="n">
        <f aca="true">INDIRECT(ADDRESS(COLUMN()+119,ROW()+1,1,,"Cash"))</f>
        <v>144.430946825319</v>
      </c>
      <c r="H59" s="10" t="n">
        <f aca="true">INDIRECT(ADDRESS(COLUMN()+119,ROW()+1,1,,"Cash"))</f>
        <v>113.098639125373</v>
      </c>
      <c r="I59" s="10" t="n">
        <f aca="true">INDIRECT(ADDRESS(COLUMN()+119,ROW()+1,1,,"Cash"))</f>
        <v>582593.198439841</v>
      </c>
      <c r="J59" s="10" t="n">
        <f aca="true">INDIRECT(ADDRESS(COLUMN()+119,ROW()+1,1,,"Cash"))</f>
        <v>63.3691922024866</v>
      </c>
      <c r="K59" s="10" t="n">
        <f aca="true">INDIRECT(ADDRESS(COLUMN()+119,ROW()+1,1,,"Cash"))</f>
        <v>565777.434810635</v>
      </c>
      <c r="L59" s="10" t="n">
        <f aca="true">INDIRECT(ADDRESS(COLUMN()+119,ROW()+1,1,,"Cash"))</f>
        <v>111.318196761426</v>
      </c>
      <c r="M59" s="10" t="n">
        <f aca="true">INDIRECT(ADDRESS(COLUMN()+119,ROW()+1,1,,"Cash"))</f>
        <v>146.903229068649</v>
      </c>
      <c r="N59" s="10" t="n">
        <f aca="true">INDIRECT(ADDRESS(COLUMN()+119,ROW()+1,1,,"Cash"))</f>
        <v>529488.296893499</v>
      </c>
      <c r="O59" s="10" t="n">
        <f aca="true">INDIRECT(ADDRESS(COLUMN()+119,ROW()+1,1,,"Cash"))</f>
        <v>119.471274349861</v>
      </c>
      <c r="P59" s="10" t="n">
        <f aca="true">INDIRECT(ADDRESS(COLUMN()+119,ROW()+1,1,,"Cash"))</f>
        <v>56.4999600019341</v>
      </c>
      <c r="Q59" s="25" t="n">
        <f aca="true">INDIRECT(ADDRESS(COLUMN()+119,ROW()+1,1,,"Cash"))</f>
        <v>61.7278197074709</v>
      </c>
      <c r="R59" s="10" t="n">
        <f aca="true">INDIRECT(ADDRESS(COLUMN()+119,ROW()+1,1,,"Cash"))</f>
        <v>112.861434225695</v>
      </c>
      <c r="S59" s="10" t="n">
        <f aca="true">INDIRECT(ADDRESS(COLUMN()+119,ROW()+1,1,,"Cash"))</f>
        <v>624009.166904312</v>
      </c>
      <c r="T59" s="10" t="n">
        <f aca="true">INDIRECT(ADDRESS(COLUMN()+119,ROW()+1,1,,"Cash"))</f>
        <v>47.3921584375198</v>
      </c>
      <c r="U59" s="10" t="n">
        <f aca="true">INDIRECT(ADDRESS(COLUMN()+119,ROW()+1,1,,"Cash"))</f>
        <v>595953.154980672</v>
      </c>
      <c r="V59" s="10" t="n">
        <f aca="true">INDIRECT(ADDRESS(COLUMN()+119,ROW()+1,1,,"Cash"))</f>
        <v>60.883990781697</v>
      </c>
      <c r="W59" s="10" t="n">
        <f aca="true">INDIRECT(ADDRESS(COLUMN()+119,ROW()+1,1,,"Cash"))</f>
        <v>599.652729585115</v>
      </c>
      <c r="X59" s="10" t="n">
        <f aca="true">INDIRECT(ADDRESS(COLUMN()+119,ROW()+1,1,,"Cash"))</f>
        <v>388.41680437171</v>
      </c>
    </row>
    <row r="60" customFormat="false" ht="12.8" hidden="false" customHeight="false" outlineLevel="0" collapsed="false">
      <c r="A60" s="1" t="s">
        <v>382</v>
      </c>
      <c r="B60" s="10" t="n">
        <f aca="true">INDIRECT(ADDRESS(COLUMN()+119,ROW()+1,1,,"Cash"))</f>
        <v>385.572664635034</v>
      </c>
      <c r="C60" s="10" t="n">
        <f aca="true">INDIRECT(ADDRESS(COLUMN()+119,ROW()+1,1,,"Cash"))</f>
        <v>129.499500719425</v>
      </c>
      <c r="D60" s="10" t="n">
        <f aca="true">INDIRECT(ADDRESS(COLUMN()+119,ROW()+1,1,,"Cash"))</f>
        <v>66.4505896254184</v>
      </c>
      <c r="E60" s="10" t="n">
        <f aca="true">INDIRECT(ADDRESS(COLUMN()+119,ROW()+1,1,,"Cash"))</f>
        <v>8.48192870629179</v>
      </c>
      <c r="F60" s="10" t="n">
        <f aca="true">INDIRECT(ADDRESS(COLUMN()+119,ROW()+1,1,,"Cash"))</f>
        <v>261.570222334826</v>
      </c>
      <c r="G60" s="10" t="n">
        <f aca="true">INDIRECT(ADDRESS(COLUMN()+119,ROW()+1,1,,"Cash"))</f>
        <v>108.323210118989</v>
      </c>
      <c r="H60" s="10" t="n">
        <f aca="true">INDIRECT(ADDRESS(COLUMN()+119,ROW()+1,1,,"Cash"))</f>
        <v>90.8022194562869</v>
      </c>
      <c r="I60" s="10" t="n">
        <f aca="true">INDIRECT(ADDRESS(COLUMN()+119,ROW()+1,1,,"Cash"))</f>
        <v>181.620799441283</v>
      </c>
      <c r="J60" s="10" t="n">
        <f aca="true">INDIRECT(ADDRESS(COLUMN()+119,ROW()+1,1,,"Cash"))</f>
        <v>40.5108455260176</v>
      </c>
      <c r="K60" s="10" t="n">
        <f aca="true">INDIRECT(ADDRESS(COLUMN()+119,ROW()+1,1,,"Cash"))</f>
        <v>165.726605121301</v>
      </c>
      <c r="L60" s="10" t="n">
        <f aca="true">INDIRECT(ADDRESS(COLUMN()+119,ROW()+1,1,,"Cash"))</f>
        <v>83.4886475710696</v>
      </c>
      <c r="M60" s="10" t="n">
        <f aca="true">INDIRECT(ADDRESS(COLUMN()+119,ROW()+1,1,,"Cash"))</f>
        <v>110.177421801487</v>
      </c>
      <c r="N60" s="10" t="n">
        <f aca="true">INDIRECT(ADDRESS(COLUMN()+119,ROW()+1,1,,"Cash"))</f>
        <v>56.7347180318775</v>
      </c>
      <c r="O60" s="10" t="n">
        <f aca="true">INDIRECT(ADDRESS(COLUMN()+119,ROW()+1,1,,"Cash"))</f>
        <v>89.6034557623955</v>
      </c>
      <c r="P60" s="10" t="n">
        <f aca="true">INDIRECT(ADDRESS(COLUMN()+119,ROW()+1,1,,"Cash"))</f>
        <v>32.6002237087004</v>
      </c>
      <c r="Q60" s="25" t="n">
        <f aca="true">INDIRECT(ADDRESS(COLUMN()+119,ROW()+1,1,,"Cash"))</f>
        <v>39.1114455660148</v>
      </c>
      <c r="R60" s="10" t="n">
        <f aca="true">INDIRECT(ADDRESS(COLUMN()+119,ROW()+1,1,,"Cash"))</f>
        <v>84.6460756692709</v>
      </c>
      <c r="S60" s="10" t="n">
        <f aca="true">INDIRECT(ADDRESS(COLUMN()+119,ROW()+1,1,,"Cash"))</f>
        <v>620.542933477393</v>
      </c>
      <c r="T60" s="10" t="n">
        <f aca="true">INDIRECT(ADDRESS(COLUMN()+119,ROW()+1,1,,"Cash"))</f>
        <v>25.0517845529751</v>
      </c>
      <c r="U60" s="10" t="n">
        <f aca="true">INDIRECT(ADDRESS(COLUMN()+119,ROW()+1,1,,"Cash"))</f>
        <v>210.504482855208</v>
      </c>
      <c r="V60" s="10" t="n">
        <f aca="true">INDIRECT(ADDRESS(COLUMN()+119,ROW()+1,1,,"Cash"))</f>
        <v>49.8047579178349</v>
      </c>
      <c r="W60" s="10" t="n">
        <f aca="true">INDIRECT(ADDRESS(COLUMN()+119,ROW()+1,1,,"Cash"))</f>
        <v>495.907390480961</v>
      </c>
      <c r="X60" s="10" t="n">
        <f aca="true">INDIRECT(ADDRESS(COLUMN()+119,ROW()+1,1,,"Cash"))</f>
        <v>324.671885482596</v>
      </c>
    </row>
    <row r="61" customFormat="false" ht="12.8" hidden="false" customHeight="false" outlineLevel="0" collapsed="false">
      <c r="A61" s="1" t="s">
        <v>383</v>
      </c>
      <c r="B61" s="10" t="n">
        <f aca="true">INDIRECT(ADDRESS(COLUMN()+119,ROW()+1,1,,"Cash"))</f>
        <v>5.95756042021276</v>
      </c>
      <c r="C61" s="10" t="n">
        <f aca="true">INDIRECT(ADDRESS(COLUMN()+119,ROW()+1,1,,"Cash"))</f>
        <v>6.74216689531228</v>
      </c>
      <c r="D61" s="10" t="n">
        <f aca="true">INDIRECT(ADDRESS(COLUMN()+119,ROW()+1,1,,"Cash"))</f>
        <v>3.21511823320388</v>
      </c>
      <c r="E61" s="10" t="n">
        <f aca="true">INDIRECT(ADDRESS(COLUMN()+119,ROW()+1,1,,"Cash"))</f>
        <v>1.76279992524298</v>
      </c>
      <c r="F61" s="10" t="n">
        <f aca="true">INDIRECT(ADDRESS(COLUMN()+119,ROW()+1,1,,"Cash"))</f>
        <v>13.1035827677296</v>
      </c>
      <c r="G61" s="10" t="n">
        <f aca="true">INDIRECT(ADDRESS(COLUMN()+119,ROW()+1,1,,"Cash"))</f>
        <v>9.03408602746005</v>
      </c>
      <c r="H61" s="10" t="n">
        <f aca="true">INDIRECT(ADDRESS(COLUMN()+119,ROW()+1,1,,"Cash"))</f>
        <v>3.9953603060976</v>
      </c>
      <c r="I61" s="10" t="n">
        <f aca="true">INDIRECT(ADDRESS(COLUMN()+119,ROW()+1,1,,"Cash"))</f>
        <v>4.49592969247229</v>
      </c>
      <c r="J61" s="10" t="n">
        <f aca="true">INDIRECT(ADDRESS(COLUMN()+119,ROW()+1,1,,"Cash"))</f>
        <v>55.6026478852672</v>
      </c>
      <c r="K61" s="10" t="n">
        <f aca="true">INDIRECT(ADDRESS(COLUMN()+119,ROW()+1,1,,"Cash"))</f>
        <v>9.99100539403496</v>
      </c>
      <c r="L61" s="10" t="n">
        <f aca="true">INDIRECT(ADDRESS(COLUMN()+119,ROW()+1,1,,"Cash"))</f>
        <v>10.9369357120064</v>
      </c>
      <c r="M61" s="10" t="n">
        <f aca="true">INDIRECT(ADDRESS(COLUMN()+119,ROW()+1,1,,"Cash"))</f>
        <v>5.10158009037067</v>
      </c>
      <c r="N61" s="10" t="n">
        <f aca="true">INDIRECT(ADDRESS(COLUMN()+119,ROW()+1,1,,"Cash"))</f>
        <v>43.6353714700516</v>
      </c>
      <c r="O61" s="10" t="n">
        <f aca="true">INDIRECT(ADDRESS(COLUMN()+119,ROW()+1,1,,"Cash"))</f>
        <v>3.87098702958593</v>
      </c>
      <c r="P61" s="10" t="n">
        <f aca="true">INDIRECT(ADDRESS(COLUMN()+119,ROW()+1,1,,"Cash"))</f>
        <v>9.21175129337158</v>
      </c>
      <c r="Q61" s="25" t="n">
        <f aca="true">INDIRECT(ADDRESS(COLUMN()+119,ROW()+1,1,,"Cash"))</f>
        <v>3.20514766778753</v>
      </c>
      <c r="R61" s="10" t="n">
        <f aca="true">INDIRECT(ADDRESS(COLUMN()+119,ROW()+1,1,,"Cash"))</f>
        <v>83.7726451873437</v>
      </c>
      <c r="S61" s="10" t="n">
        <f aca="true">INDIRECT(ADDRESS(COLUMN()+119,ROW()+1,1,,"Cash"))</f>
        <v>11.061754363568</v>
      </c>
      <c r="T61" s="10" t="n">
        <f aca="true">INDIRECT(ADDRESS(COLUMN()+119,ROW()+1,1,,"Cash"))</f>
        <v>4.56512853729098</v>
      </c>
      <c r="U61" s="10" t="n">
        <f aca="true">INDIRECT(ADDRESS(COLUMN()+119,ROW()+1,1,,"Cash"))</f>
        <v>12.1666978647011</v>
      </c>
      <c r="V61" s="10" t="n">
        <f aca="true">INDIRECT(ADDRESS(COLUMN()+119,ROW()+1,1,,"Cash"))</f>
        <v>2.67440526428514</v>
      </c>
      <c r="W61" s="10" t="n">
        <f aca="true">INDIRECT(ADDRESS(COLUMN()+119,ROW()+1,1,,"Cash"))</f>
        <v>12.8000617168222</v>
      </c>
      <c r="X61" s="10" t="n">
        <f aca="true">INDIRECT(ADDRESS(COLUMN()+119,ROW()+1,1,,"Cash"))</f>
        <v>8.66100620952185</v>
      </c>
    </row>
    <row r="62" customFormat="false" ht="12.8" hidden="false" customHeight="false" outlineLevel="0" collapsed="false">
      <c r="A62" s="1" t="s">
        <v>384</v>
      </c>
      <c r="B62" s="10" t="n">
        <f aca="true">INDIRECT(ADDRESS(COLUMN()+119,ROW()+1,1,,"Cash"))</f>
        <v>771.145329270068</v>
      </c>
      <c r="C62" s="10" t="n">
        <f aca="true">INDIRECT(ADDRESS(COLUMN()+119,ROW()+1,1,,"Cash"))</f>
        <v>258.999001438849</v>
      </c>
      <c r="D62" s="10" t="n">
        <f aca="true">INDIRECT(ADDRESS(COLUMN()+119,ROW()+1,1,,"Cash"))</f>
        <v>132.901179250837</v>
      </c>
      <c r="E62" s="10" t="n">
        <f aca="true">INDIRECT(ADDRESS(COLUMN()+119,ROW()+1,1,,"Cash"))</f>
        <v>16.9638574125836</v>
      </c>
      <c r="F62" s="10" t="n">
        <f aca="true">INDIRECT(ADDRESS(COLUMN()+119,ROW()+1,1,,"Cash"))</f>
        <v>523.140444669651</v>
      </c>
      <c r="G62" s="10" t="n">
        <f aca="true">INDIRECT(ADDRESS(COLUMN()+119,ROW()+1,1,,"Cash"))</f>
        <v>216.646420237979</v>
      </c>
      <c r="H62" s="10" t="n">
        <f aca="true">INDIRECT(ADDRESS(COLUMN()+119,ROW()+1,1,,"Cash"))</f>
        <v>181.604438912574</v>
      </c>
      <c r="I62" s="10" t="n">
        <f aca="true">INDIRECT(ADDRESS(COLUMN()+119,ROW()+1,1,,"Cash"))</f>
        <v>363.241598882565</v>
      </c>
      <c r="J62" s="10" t="n">
        <f aca="true">INDIRECT(ADDRESS(COLUMN()+119,ROW()+1,1,,"Cash"))</f>
        <v>81.0216910520351</v>
      </c>
      <c r="K62" s="10" t="n">
        <f aca="true">INDIRECT(ADDRESS(COLUMN()+119,ROW()+1,1,,"Cash"))</f>
        <v>331.453210242601</v>
      </c>
      <c r="L62" s="10" t="n">
        <f aca="true">INDIRECT(ADDRESS(COLUMN()+119,ROW()+1,1,,"Cash"))</f>
        <v>166.977295142139</v>
      </c>
      <c r="M62" s="10" t="n">
        <f aca="true">INDIRECT(ADDRESS(COLUMN()+119,ROW()+1,1,,"Cash"))</f>
        <v>220.354843602974</v>
      </c>
      <c r="N62" s="10" t="n">
        <f aca="true">INDIRECT(ADDRESS(COLUMN()+119,ROW()+1,1,,"Cash"))</f>
        <v>113.469436063755</v>
      </c>
      <c r="O62" s="10" t="n">
        <f aca="true">INDIRECT(ADDRESS(COLUMN()+119,ROW()+1,1,,"Cash"))</f>
        <v>179.206911524791</v>
      </c>
      <c r="P62" s="10" t="n">
        <f aca="true">INDIRECT(ADDRESS(COLUMN()+119,ROW()+1,1,,"Cash"))</f>
        <v>65.2004474174008</v>
      </c>
      <c r="Q62" s="25" t="n">
        <f aca="true">INDIRECT(ADDRESS(COLUMN()+119,ROW()+1,1,,"Cash"))</f>
        <v>78.2228911320295</v>
      </c>
      <c r="R62" s="10" t="n">
        <f aca="true">INDIRECT(ADDRESS(COLUMN()+119,ROW()+1,1,,"Cash"))</f>
        <v>169.292151338542</v>
      </c>
      <c r="S62" s="10" t="n">
        <f aca="true">INDIRECT(ADDRESS(COLUMN()+119,ROW()+1,1,,"Cash"))</f>
        <v>1241.08586695479</v>
      </c>
      <c r="T62" s="10" t="n">
        <f aca="true">INDIRECT(ADDRESS(COLUMN()+119,ROW()+1,1,,"Cash"))</f>
        <v>50.1035691059503</v>
      </c>
      <c r="U62" s="10" t="n">
        <f aca="true">INDIRECT(ADDRESS(COLUMN()+119,ROW()+1,1,,"Cash"))</f>
        <v>421.008965710416</v>
      </c>
      <c r="V62" s="10" t="n">
        <f aca="true">INDIRECT(ADDRESS(COLUMN()+119,ROW()+1,1,,"Cash"))</f>
        <v>99.6095158356697</v>
      </c>
      <c r="W62" s="10" t="n">
        <f aca="true">INDIRECT(ADDRESS(COLUMN()+119,ROW()+1,1,,"Cash"))</f>
        <v>991.814780961922</v>
      </c>
      <c r="X62" s="10" t="n">
        <f aca="true">INDIRECT(ADDRESS(COLUMN()+119,ROW()+1,1,,"Cash"))</f>
        <v>649.343770965192</v>
      </c>
    </row>
    <row r="63" customFormat="false" ht="12.8" hidden="false" customHeight="false" outlineLevel="0" collapsed="false">
      <c r="A63" s="3" t="s">
        <v>385</v>
      </c>
      <c r="B63" s="10" t="n">
        <f aca="true">INDIRECT(ADDRESS(COLUMN()+119,ROW()+1,1,,"Cash"))</f>
        <v>163.488463393986</v>
      </c>
      <c r="C63" s="10" t="n">
        <f aca="true">INDIRECT(ADDRESS(COLUMN()+119,ROW()+1,1,,"Cash"))</f>
        <v>256.785683550531</v>
      </c>
      <c r="D63" s="10" t="n">
        <f aca="true">INDIRECT(ADDRESS(COLUMN()+119,ROW()+1,1,,"Cash"))</f>
        <v>255.774146847191</v>
      </c>
      <c r="E63" s="10" t="n">
        <f aca="true">INDIRECT(ADDRESS(COLUMN()+119,ROW()+1,1,,"Cash"))</f>
        <v>1083.116664286</v>
      </c>
      <c r="F63" s="10" t="n">
        <f aca="true">INDIRECT(ADDRESS(COLUMN()+119,ROW()+1,1,,"Cash"))</f>
        <v>248.728611255321</v>
      </c>
      <c r="G63" s="10" t="n">
        <f aca="true">INDIRECT(ADDRESS(COLUMN()+119,ROW()+1,1,,"Cash"))</f>
        <v>206.336320923788</v>
      </c>
      <c r="H63" s="10" t="n">
        <f aca="true">INDIRECT(ADDRESS(COLUMN()+119,ROW()+1,1,,"Cash"))</f>
        <v>171.333753308957</v>
      </c>
      <c r="I63" s="10" t="n">
        <f aca="true">INDIRECT(ADDRESS(COLUMN()+119,ROW()+1,1,,"Cash"))</f>
        <v>181.758882750591</v>
      </c>
      <c r="J63" s="10" t="n">
        <f aca="true">INDIRECT(ADDRESS(COLUMN()+119,ROW()+1,1,,"Cash"))</f>
        <v>175.810694806551</v>
      </c>
      <c r="K63" s="10" t="n">
        <f aca="true">INDIRECT(ADDRESS(COLUMN()+119,ROW()+1,1,,"Cash"))</f>
        <v>239.399390524416</v>
      </c>
      <c r="L63" s="10" t="n">
        <f aca="true">INDIRECT(ADDRESS(COLUMN()+119,ROW()+1,1,,"Cash"))</f>
        <v>197.192777284933</v>
      </c>
      <c r="M63" s="10" t="n">
        <f aca="true">INDIRECT(ADDRESS(COLUMN()+119,ROW()+1,1,,"Cash"))</f>
        <v>2873.39711746929</v>
      </c>
      <c r="N63" s="10" t="n">
        <f aca="true">INDIRECT(ADDRESS(COLUMN()+119,ROW()+1,1,,"Cash"))</f>
        <v>204.456448046128</v>
      </c>
      <c r="O63" s="10" t="n">
        <f aca="true">INDIRECT(ADDRESS(COLUMN()+119,ROW()+1,1,,"Cash"))</f>
        <v>145.676794513528</v>
      </c>
      <c r="P63" s="10" t="n">
        <f aca="true">INDIRECT(ADDRESS(COLUMN()+119,ROW()+1,1,,"Cash"))</f>
        <v>133.823635434009</v>
      </c>
      <c r="Q63" s="25" t="n">
        <f aca="true">INDIRECT(ADDRESS(COLUMN()+119,ROW()+1,1,,"Cash"))</f>
        <v>76.4782160619173</v>
      </c>
      <c r="R63" s="10" t="n">
        <f aca="true">INDIRECT(ADDRESS(COLUMN()+119,ROW()+1,1,,"Cash"))</f>
        <v>185.588455803904</v>
      </c>
      <c r="S63" s="10" t="n">
        <f aca="true">INDIRECT(ADDRESS(COLUMN()+119,ROW()+1,1,,"Cash"))</f>
        <v>358.154211053888</v>
      </c>
      <c r="T63" s="10" t="n">
        <f aca="true">INDIRECT(ADDRESS(COLUMN()+119,ROW()+1,1,,"Cash"))</f>
        <v>3231.79839031958</v>
      </c>
      <c r="U63" s="10" t="n">
        <f aca="true">INDIRECT(ADDRESS(COLUMN()+119,ROW()+1,1,,"Cash"))</f>
        <v>124.408375512883</v>
      </c>
      <c r="V63" s="10" t="n">
        <f aca="true">INDIRECT(ADDRESS(COLUMN()+119,ROW()+1,1,,"Cash"))</f>
        <v>182.656772479411</v>
      </c>
      <c r="W63" s="10" t="n">
        <f aca="true">INDIRECT(ADDRESS(COLUMN()+119,ROW()+1,1,,"Cash"))</f>
        <v>196.004271053977</v>
      </c>
      <c r="X63" s="10" t="n">
        <f aca="true">INDIRECT(ADDRESS(COLUMN()+119,ROW()+1,1,,"Cash"))</f>
        <v>215.235481752455</v>
      </c>
    </row>
    <row r="64" customFormat="false" ht="12.8" hidden="false" customHeight="false" outlineLevel="0" collapsed="false">
      <c r="A64" s="1" t="s">
        <v>386</v>
      </c>
      <c r="B64" s="10" t="n">
        <f aca="true">INDIRECT(ADDRESS(COLUMN()+119,ROW()+1,1,,"Cash"))</f>
        <v>261.647127146006</v>
      </c>
      <c r="C64" s="10" t="n">
        <f aca="true">INDIRECT(ADDRESS(COLUMN()+119,ROW()+1,1,,"Cash"))</f>
        <v>188.542518600099</v>
      </c>
      <c r="D64" s="10" t="n">
        <f aca="true">INDIRECT(ADDRESS(COLUMN()+119,ROW()+1,1,,"Cash"))</f>
        <v>26.6540523101347</v>
      </c>
      <c r="E64" s="10" t="n">
        <f aca="true">INDIRECT(ADDRESS(COLUMN()+119,ROW()+1,1,,"Cash"))</f>
        <v>33.8083675137474</v>
      </c>
      <c r="F64" s="10" t="n">
        <f aca="true">INDIRECT(ADDRESS(COLUMN()+119,ROW()+1,1,,"Cash"))</f>
        <v>83.5040565678709</v>
      </c>
      <c r="G64" s="10" t="n">
        <f aca="true">INDIRECT(ADDRESS(COLUMN()+119,ROW()+1,1,,"Cash"))</f>
        <v>133.921780661968</v>
      </c>
      <c r="H64" s="10" t="n">
        <f aca="true">INDIRECT(ADDRESS(COLUMN()+119,ROW()+1,1,,"Cash"))</f>
        <v>172.601338617489</v>
      </c>
      <c r="I64" s="10" t="n">
        <f aca="true">INDIRECT(ADDRESS(COLUMN()+119,ROW()+1,1,,"Cash"))</f>
        <v>55.7425933544818</v>
      </c>
      <c r="J64" s="10" t="n">
        <f aca="true">INDIRECT(ADDRESS(COLUMN()+119,ROW()+1,1,,"Cash"))</f>
        <v>36.8046434945008</v>
      </c>
      <c r="K64" s="10" t="n">
        <f aca="true">INDIRECT(ADDRESS(COLUMN()+119,ROW()+1,1,,"Cash"))</f>
        <v>84.3440687547318</v>
      </c>
      <c r="L64" s="10" t="n">
        <f aca="true">INDIRECT(ADDRESS(COLUMN()+119,ROW()+1,1,,"Cash"))</f>
        <v>63.8762130125775</v>
      </c>
      <c r="M64" s="10" t="n">
        <f aca="true">INDIRECT(ADDRESS(COLUMN()+119,ROW()+1,1,,"Cash"))</f>
        <v>32.0687031026237</v>
      </c>
      <c r="N64" s="10" t="n">
        <f aca="true">INDIRECT(ADDRESS(COLUMN()+119,ROW()+1,1,,"Cash"))</f>
        <v>381.635652446326</v>
      </c>
      <c r="O64" s="10" t="n">
        <f aca="true">INDIRECT(ADDRESS(COLUMN()+119,ROW()+1,1,,"Cash"))</f>
        <v>47.3985473013136</v>
      </c>
      <c r="P64" s="10" t="n">
        <f aca="true">INDIRECT(ADDRESS(COLUMN()+119,ROW()+1,1,,"Cash"))</f>
        <v>101.893269039177</v>
      </c>
      <c r="Q64" s="25" t="n">
        <f aca="true">INDIRECT(ADDRESS(COLUMN()+119,ROW()+1,1,,"Cash"))</f>
        <v>38.0984985595905</v>
      </c>
      <c r="R64" s="10" t="n">
        <f aca="true">INDIRECT(ADDRESS(COLUMN()+119,ROW()+1,1,,"Cash"))</f>
        <v>29.3602545051914</v>
      </c>
      <c r="S64" s="10" t="n">
        <f aca="true">INDIRECT(ADDRESS(COLUMN()+119,ROW()+1,1,,"Cash"))</f>
        <v>228.745733990904</v>
      </c>
      <c r="T64" s="10" t="n">
        <f aca="true">INDIRECT(ADDRESS(COLUMN()+119,ROW()+1,1,,"Cash"))</f>
        <v>14.2477415317962</v>
      </c>
      <c r="U64" s="10" t="n">
        <f aca="true">INDIRECT(ADDRESS(COLUMN()+119,ROW()+1,1,,"Cash"))</f>
        <v>61.6193598617143</v>
      </c>
      <c r="V64" s="10" t="n">
        <f aca="true">INDIRECT(ADDRESS(COLUMN()+119,ROW()+1,1,,"Cash"))</f>
        <v>32.902763683616</v>
      </c>
      <c r="W64" s="10" t="n">
        <f aca="true">INDIRECT(ADDRESS(COLUMN()+119,ROW()+1,1,,"Cash"))</f>
        <v>217.942332152762</v>
      </c>
      <c r="X64" s="10" t="n">
        <f aca="true">INDIRECT(ADDRESS(COLUMN()+119,ROW()+1,1,,"Cash"))</f>
        <v>120.688742209809</v>
      </c>
    </row>
    <row r="65" customFormat="false" ht="12.8" hidden="false" customHeight="false" outlineLevel="0" collapsed="false">
      <c r="A65" s="1" t="s">
        <v>387</v>
      </c>
      <c r="B65" s="10" t="n">
        <f aca="true">INDIRECT(ADDRESS(COLUMN()+119,ROW()+1,1,,"Cash"))</f>
        <v>2144018.09896671</v>
      </c>
      <c r="C65" s="10" t="n">
        <f aca="true">INDIRECT(ADDRESS(COLUMN()+119,ROW()+1,1,,"Cash"))</f>
        <v>1</v>
      </c>
      <c r="D65" s="10" t="n">
        <f aca="true">INDIRECT(ADDRESS(COLUMN()+119,ROW()+1,1,,"Cash"))</f>
        <v>167141.357218797</v>
      </c>
      <c r="E65" s="10" t="n">
        <f aca="true">INDIRECT(ADDRESS(COLUMN()+119,ROW()+1,1,,"Cash"))</f>
        <v>49881.1862978724</v>
      </c>
      <c r="F65" s="10" t="n">
        <f aca="true">INDIRECT(ADDRESS(COLUMN()+119,ROW()+1,1,,"Cash"))</f>
        <v>1.04794361962035</v>
      </c>
      <c r="G65" s="10" t="n">
        <f aca="true">INDIRECT(ADDRESS(COLUMN()+119,ROW()+1,1,,"Cash"))</f>
        <v>469386.117970097</v>
      </c>
      <c r="H65" s="10" t="n">
        <f aca="true">INDIRECT(ADDRESS(COLUMN()+119,ROW()+1,1,,"Cash"))</f>
        <v>218712.974952739</v>
      </c>
      <c r="I65" s="10" t="n">
        <f aca="true">INDIRECT(ADDRESS(COLUMN()+119,ROW()+1,1,,"Cash"))</f>
        <v>1</v>
      </c>
      <c r="J65" s="10" t="n">
        <f aca="true">INDIRECT(ADDRESS(COLUMN()+119,ROW()+1,1,,"Cash"))</f>
        <v>166804.570617838</v>
      </c>
      <c r="K65" s="10" t="n">
        <f aca="true">INDIRECT(ADDRESS(COLUMN()+119,ROW()+1,1,,"Cash"))</f>
        <v>1</v>
      </c>
      <c r="L65" s="10" t="n">
        <f aca="true">INDIRECT(ADDRESS(COLUMN()+119,ROW()+1,1,,"Cash"))</f>
        <v>406118.321286063</v>
      </c>
      <c r="M65" s="10" t="n">
        <f aca="true">INDIRECT(ADDRESS(COLUMN()+119,ROW()+1,1,,"Cash"))</f>
        <v>457438.088466581</v>
      </c>
      <c r="N65" s="10" t="n">
        <f aca="true">INDIRECT(ADDRESS(COLUMN()+119,ROW()+1,1,,"Cash"))</f>
        <v>232867.797811798</v>
      </c>
      <c r="O65" s="10" t="n">
        <f aca="true">INDIRECT(ADDRESS(COLUMN()+119,ROW()+1,1,,"Cash"))</f>
        <v>809645.364086635</v>
      </c>
      <c r="P65" s="10" t="n">
        <f aca="true">INDIRECT(ADDRESS(COLUMN()+119,ROW()+1,1,,"Cash"))</f>
        <v>107083.529891982</v>
      </c>
      <c r="Q65" s="25" t="n">
        <f aca="true">INDIRECT(ADDRESS(COLUMN()+119,ROW()+1,1,,"Cash"))</f>
        <v>1</v>
      </c>
      <c r="R65" s="10" t="n">
        <f aca="true">INDIRECT(ADDRESS(COLUMN()+119,ROW()+1,1,,"Cash"))</f>
        <v>412578.830979467</v>
      </c>
      <c r="S65" s="10" t="n">
        <f aca="true">INDIRECT(ADDRESS(COLUMN()+119,ROW()+1,1,,"Cash"))</f>
        <v>9.73831302925294</v>
      </c>
      <c r="T65" s="10" t="n">
        <f aca="true">INDIRECT(ADDRESS(COLUMN()+119,ROW()+1,1,,"Cash"))</f>
        <v>103791.632716609</v>
      </c>
      <c r="U65" s="10" t="n">
        <f aca="true">INDIRECT(ADDRESS(COLUMN()+119,ROW()+1,1,,"Cash"))</f>
        <v>1</v>
      </c>
      <c r="V65" s="10" t="n">
        <f aca="true">INDIRECT(ADDRESS(COLUMN()+119,ROW()+1,1,,"Cash"))</f>
        <v>252516.40499944</v>
      </c>
      <c r="W65" s="10" t="n">
        <f aca="true">INDIRECT(ADDRESS(COLUMN()+119,ROW()+1,1,,"Cash"))</f>
        <v>3677293.12414215</v>
      </c>
      <c r="X65" s="10" t="n">
        <f aca="true">INDIRECT(ADDRESS(COLUMN()+119,ROW()+1,1,,"Cash"))</f>
        <v>1574830.46851496</v>
      </c>
    </row>
    <row r="66" customFormat="false" ht="12.8" hidden="false" customHeight="false" outlineLevel="0" collapsed="false">
      <c r="A66" s="1" t="s">
        <v>388</v>
      </c>
      <c r="B66" s="10" t="n">
        <f aca="true">INDIRECT(ADDRESS(COLUMN()+119,ROW()+1,1,,"Cash"))</f>
        <v>264.591798515092</v>
      </c>
      <c r="C66" s="10" t="n">
        <f aca="true">INDIRECT(ADDRESS(COLUMN()+119,ROW()+1,1,,"Cash"))</f>
        <v>37.7787067564033</v>
      </c>
      <c r="D66" s="10" t="n">
        <f aca="true">INDIRECT(ADDRESS(COLUMN()+119,ROW()+1,1,,"Cash"))</f>
        <v>17.7952020262237</v>
      </c>
      <c r="E66" s="10" t="n">
        <f aca="true">INDIRECT(ADDRESS(COLUMN()+119,ROW()+1,1,,"Cash"))</f>
        <v>3.34147808595572</v>
      </c>
      <c r="F66" s="10" t="n">
        <f aca="true">INDIRECT(ADDRESS(COLUMN()+119,ROW()+1,1,,"Cash"))</f>
        <v>174.657269936726</v>
      </c>
      <c r="G66" s="10" t="n">
        <f aca="true">INDIRECT(ADDRESS(COLUMN()+119,ROW()+1,1,,"Cash"))</f>
        <v>23.4362647490566</v>
      </c>
      <c r="H66" s="10" t="n">
        <f aca="true">INDIRECT(ADDRESS(COLUMN()+119,ROW()+1,1,,"Cash"))</f>
        <v>29.4556957152375</v>
      </c>
      <c r="I66" s="10" t="n">
        <f aca="true">INDIRECT(ADDRESS(COLUMN()+119,ROW()+1,1,,"Cash"))</f>
        <v>108.352821791252</v>
      </c>
      <c r="J66" s="10" t="n">
        <f aca="true">INDIRECT(ADDRESS(COLUMN()+119,ROW()+1,1,,"Cash"))</f>
        <v>7.82134790418273</v>
      </c>
      <c r="K66" s="10" t="n">
        <f aca="true">INDIRECT(ADDRESS(COLUMN()+119,ROW()+1,1,,"Cash"))</f>
        <v>64.0790642227658</v>
      </c>
      <c r="L66" s="10" t="n">
        <f aca="true">INDIRECT(ADDRESS(COLUMN()+119,ROW()+1,1,,"Cash"))</f>
        <v>22.13132449252</v>
      </c>
      <c r="M66" s="10" t="n">
        <f aca="true">INDIRECT(ADDRESS(COLUMN()+119,ROW()+1,1,,"Cash"))</f>
        <v>53.4579905464741</v>
      </c>
      <c r="N66" s="10" t="n">
        <f aca="true">INDIRECT(ADDRESS(COLUMN()+119,ROW()+1,1,,"Cash"))</f>
        <v>23.3679420065541</v>
      </c>
      <c r="O66" s="10" t="n">
        <f aca="true">INDIRECT(ADDRESS(COLUMN()+119,ROW()+1,1,,"Cash"))</f>
        <v>31.4508330793962</v>
      </c>
      <c r="P66" s="10" t="n">
        <f aca="true">INDIRECT(ADDRESS(COLUMN()+119,ROW()+1,1,,"Cash"))</f>
        <v>6.99015503241648</v>
      </c>
      <c r="Q66" s="25" t="n">
        <f aca="true">INDIRECT(ADDRESS(COLUMN()+119,ROW()+1,1,,"Cash"))</f>
        <v>2.21981995779299</v>
      </c>
      <c r="R66" s="10" t="n">
        <f aca="true">INDIRECT(ADDRESS(COLUMN()+119,ROW()+1,1,,"Cash"))</f>
        <v>19.0065988363537</v>
      </c>
      <c r="S66" s="10" t="n">
        <f aca="true">INDIRECT(ADDRESS(COLUMN()+119,ROW()+1,1,,"Cash"))</f>
        <v>1623.05217154216</v>
      </c>
      <c r="T66" s="10" t="n">
        <f aca="true">INDIRECT(ADDRESS(COLUMN()+119,ROW()+1,1,,"Cash"))</f>
        <v>4.37353933246155</v>
      </c>
      <c r="U66" s="10" t="n">
        <f aca="true">INDIRECT(ADDRESS(COLUMN()+119,ROW()+1,1,,"Cash"))</f>
        <v>118.770882109948</v>
      </c>
      <c r="V66" s="10" t="n">
        <f aca="true">INDIRECT(ADDRESS(COLUMN()+119,ROW()+1,1,,"Cash"))</f>
        <v>14.723112689465</v>
      </c>
      <c r="W66" s="10" t="n">
        <f aca="true">INDIRECT(ADDRESS(COLUMN()+119,ROW()+1,1,,"Cash"))</f>
        <v>372.778545053541</v>
      </c>
      <c r="X66" s="10" t="n">
        <f aca="true">INDIRECT(ADDRESS(COLUMN()+119,ROW()+1,1,,"Cash"))</f>
        <v>150.099663299674</v>
      </c>
    </row>
    <row r="67" customFormat="false" ht="12.8" hidden="false" customHeight="false" outlineLevel="0" collapsed="false">
      <c r="A67" s="1" t="s">
        <v>389</v>
      </c>
      <c r="B67" s="10" t="n">
        <f aca="true">INDIRECT(ADDRESS(COLUMN()+119,ROW()+1,1,,"Cash"))</f>
        <v>438.464591867707</v>
      </c>
      <c r="C67" s="10" t="n">
        <f aca="true">INDIRECT(ADDRESS(COLUMN()+119,ROW()+1,1,,"Cash"))</f>
        <v>137.557029529565</v>
      </c>
      <c r="D67" s="10" t="n">
        <f aca="true">INDIRECT(ADDRESS(COLUMN()+119,ROW()+1,1,,"Cash"))</f>
        <v>56.6772405521879</v>
      </c>
      <c r="E67" s="10" t="n">
        <f aca="true">INDIRECT(ADDRESS(COLUMN()+119,ROW()+1,1,,"Cash"))</f>
        <v>23.5941070204501</v>
      </c>
      <c r="F67" s="10" t="n">
        <f aca="true">INDIRECT(ADDRESS(COLUMN()+119,ROW()+1,1,,"Cash"))</f>
        <v>387.789355473037</v>
      </c>
      <c r="G67" s="10" t="n">
        <f aca="true">INDIRECT(ADDRESS(COLUMN()+119,ROW()+1,1,,"Cash"))</f>
        <v>77.9608209872296</v>
      </c>
      <c r="H67" s="10" t="n">
        <f aca="true">INDIRECT(ADDRESS(COLUMN()+119,ROW()+1,1,,"Cash"))</f>
        <v>85.7692748727365</v>
      </c>
      <c r="I67" s="10" t="n">
        <f aca="true">INDIRECT(ADDRESS(COLUMN()+119,ROW()+1,1,,"Cash"))</f>
        <v>209.492905276801</v>
      </c>
      <c r="J67" s="10" t="n">
        <f aca="true">INDIRECT(ADDRESS(COLUMN()+119,ROW()+1,1,,"Cash"))</f>
        <v>29.371784058393</v>
      </c>
      <c r="K67" s="10" t="n">
        <f aca="true">INDIRECT(ADDRESS(COLUMN()+119,ROW()+1,1,,"Cash"))</f>
        <v>128.424835559145</v>
      </c>
      <c r="L67" s="10" t="n">
        <f aca="true">INDIRECT(ADDRESS(COLUMN()+119,ROW()+1,1,,"Cash"))</f>
        <v>71.8251655550554</v>
      </c>
      <c r="M67" s="10" t="n">
        <f aca="true">INDIRECT(ADDRESS(COLUMN()+119,ROW()+1,1,,"Cash"))</f>
        <v>130.675229179868</v>
      </c>
      <c r="N67" s="10" t="n">
        <f aca="true">INDIRECT(ADDRESS(COLUMN()+119,ROW()+1,1,,"Cash"))</f>
        <v>84.0743270543548</v>
      </c>
      <c r="O67" s="10" t="n">
        <f aca="true">INDIRECT(ADDRESS(COLUMN()+119,ROW()+1,1,,"Cash"))</f>
        <v>68.8917627295747</v>
      </c>
      <c r="P67" s="10" t="n">
        <f aca="true">INDIRECT(ADDRESS(COLUMN()+119,ROW()+1,1,,"Cash"))</f>
        <v>29.9600086236887</v>
      </c>
      <c r="Q67" s="25" t="n">
        <f aca="true">INDIRECT(ADDRESS(COLUMN()+119,ROW()+1,1,,"Cash"))</f>
        <v>8.4671713864342</v>
      </c>
      <c r="R67" s="10" t="n">
        <f aca="true">INDIRECT(ADDRESS(COLUMN()+119,ROW()+1,1,,"Cash"))</f>
        <v>42.6806419780826</v>
      </c>
      <c r="S67" s="10" t="n">
        <f aca="true">INDIRECT(ADDRESS(COLUMN()+119,ROW()+1,1,,"Cash"))</f>
        <v>1725.1829784719</v>
      </c>
      <c r="T67" s="10" t="n">
        <f aca="true">INDIRECT(ADDRESS(COLUMN()+119,ROW()+1,1,,"Cash"))</f>
        <v>16.983258562592</v>
      </c>
      <c r="U67" s="10" t="n">
        <f aca="true">INDIRECT(ADDRESS(COLUMN()+119,ROW()+1,1,,"Cash"))</f>
        <v>241.716377498147</v>
      </c>
      <c r="V67" s="10" t="n">
        <f aca="true">INDIRECT(ADDRESS(COLUMN()+119,ROW()+1,1,,"Cash"))</f>
        <v>41.6032184325471</v>
      </c>
      <c r="W67" s="10" t="n">
        <f aca="true">INDIRECT(ADDRESS(COLUMN()+119,ROW()+1,1,,"Cash"))</f>
        <v>453.537939898826</v>
      </c>
      <c r="X67" s="10" t="n">
        <f aca="true">INDIRECT(ADDRESS(COLUMN()+119,ROW()+1,1,,"Cash"))</f>
        <v>263.128272730185</v>
      </c>
    </row>
    <row r="68" customFormat="false" ht="12.8" hidden="false" customHeight="false" outlineLevel="0" collapsed="false">
      <c r="A68" s="1" t="s">
        <v>390</v>
      </c>
      <c r="B68" s="10" t="n">
        <f aca="true">INDIRECT(ADDRESS(COLUMN()+119,ROW()+1,1,,"Cash"))</f>
        <v>100</v>
      </c>
      <c r="C68" s="10" t="n">
        <f aca="true">INDIRECT(ADDRESS(COLUMN()+119,ROW()+1,1,,"Cash"))</f>
        <v>100</v>
      </c>
      <c r="D68" s="10" t="n">
        <f aca="true">INDIRECT(ADDRESS(COLUMN()+119,ROW()+1,1,,"Cash"))</f>
        <v>100</v>
      </c>
      <c r="E68" s="10" t="n">
        <f aca="true">INDIRECT(ADDRESS(COLUMN()+119,ROW()+1,1,,"Cash"))</f>
        <v>100</v>
      </c>
      <c r="F68" s="10" t="n">
        <f aca="true">INDIRECT(ADDRESS(COLUMN()+119,ROW()+1,1,,"Cash"))</f>
        <v>100</v>
      </c>
      <c r="G68" s="10" t="n">
        <f aca="true">INDIRECT(ADDRESS(COLUMN()+119,ROW()+1,1,,"Cash"))</f>
        <v>100</v>
      </c>
      <c r="H68" s="10" t="n">
        <f aca="true">INDIRECT(ADDRESS(COLUMN()+119,ROW()+1,1,,"Cash"))</f>
        <v>100</v>
      </c>
      <c r="I68" s="10" t="n">
        <f aca="true">INDIRECT(ADDRESS(COLUMN()+119,ROW()+1,1,,"Cash"))</f>
        <v>100</v>
      </c>
      <c r="J68" s="10" t="n">
        <f aca="true">INDIRECT(ADDRESS(COLUMN()+119,ROW()+1,1,,"Cash"))</f>
        <v>100</v>
      </c>
      <c r="K68" s="10" t="n">
        <f aca="true">INDIRECT(ADDRESS(COLUMN()+119,ROW()+1,1,,"Cash"))</f>
        <v>100</v>
      </c>
      <c r="L68" s="10" t="n">
        <f aca="true">INDIRECT(ADDRESS(COLUMN()+119,ROW()+1,1,,"Cash"))</f>
        <v>100</v>
      </c>
      <c r="M68" s="10" t="n">
        <f aca="true">INDIRECT(ADDRESS(COLUMN()+119,ROW()+1,1,,"Cash"))</f>
        <v>100</v>
      </c>
      <c r="N68" s="10" t="n">
        <f aca="true">INDIRECT(ADDRESS(COLUMN()+119,ROW()+1,1,,"Cash"))</f>
        <v>100</v>
      </c>
      <c r="O68" s="10" t="n">
        <f aca="true">INDIRECT(ADDRESS(COLUMN()+119,ROW()+1,1,,"Cash"))</f>
        <v>100</v>
      </c>
      <c r="P68" s="10" t="n">
        <f aca="true">INDIRECT(ADDRESS(COLUMN()+119,ROW()+1,1,,"Cash"))</f>
        <v>100</v>
      </c>
      <c r="Q68" s="25" t="n">
        <f aca="true">INDIRECT(ADDRESS(COLUMN()+119,ROW()+1,1,,"Cash"))</f>
        <v>100</v>
      </c>
      <c r="R68" s="10" t="n">
        <f aca="true">INDIRECT(ADDRESS(COLUMN()+119,ROW()+1,1,,"Cash"))</f>
        <v>100</v>
      </c>
      <c r="S68" s="10" t="n">
        <f aca="true">INDIRECT(ADDRESS(COLUMN()+119,ROW()+1,1,,"Cash"))</f>
        <v>100</v>
      </c>
      <c r="T68" s="10" t="n">
        <f aca="true">INDIRECT(ADDRESS(COLUMN()+119,ROW()+1,1,,"Cash"))</f>
        <v>100</v>
      </c>
      <c r="U68" s="10" t="n">
        <f aca="true">INDIRECT(ADDRESS(COLUMN()+119,ROW()+1,1,,"Cash"))</f>
        <v>100</v>
      </c>
      <c r="V68" s="10" t="n">
        <f aca="true">INDIRECT(ADDRESS(COLUMN()+119,ROW()+1,1,,"Cash"))</f>
        <v>100</v>
      </c>
      <c r="W68" s="10" t="n">
        <f aca="true">INDIRECT(ADDRESS(COLUMN()+119,ROW()+1,1,,"Cash"))</f>
        <v>100</v>
      </c>
      <c r="X68" s="10" t="n">
        <f aca="true">INDIRECT(ADDRESS(COLUMN()+119,ROW()+1,1,,"Cash"))</f>
        <v>100</v>
      </c>
    </row>
    <row r="69" customFormat="false" ht="12.8" hidden="false" customHeight="false" outlineLevel="0" collapsed="false">
      <c r="A69" s="1" t="s">
        <v>391</v>
      </c>
      <c r="B69" s="10" t="n">
        <f aca="true">INDIRECT(ADDRESS(COLUMN()+119,ROW()+1,1,,"Cash"))</f>
        <v>7937.74618159024</v>
      </c>
      <c r="C69" s="10" t="n">
        <f aca="true">INDIRECT(ADDRESS(COLUMN()+119,ROW()+1,1,,"Cash"))</f>
        <v>1133.3612026921</v>
      </c>
      <c r="D69" s="10" t="n">
        <f aca="true">INDIRECT(ADDRESS(COLUMN()+119,ROW()+1,1,,"Cash"))</f>
        <v>533.855449149579</v>
      </c>
      <c r="E69" s="10" t="n">
        <f aca="true">INDIRECT(ADDRESS(COLUMN()+119,ROW()+1,1,,"Cash"))</f>
        <v>100.24426467235</v>
      </c>
      <c r="F69" s="10" t="n">
        <f aca="true">INDIRECT(ADDRESS(COLUMN()+119,ROW()+1,1,,"Cash"))</f>
        <v>5239.71809810176</v>
      </c>
      <c r="G69" s="10" t="n">
        <f aca="true">INDIRECT(ADDRESS(COLUMN()+119,ROW()+1,1,,"Cash"))</f>
        <v>703.087668933626</v>
      </c>
      <c r="H69" s="10" t="n">
        <f aca="true">INDIRECT(ADDRESS(COLUMN()+119,ROW()+1,1,,"Cash"))</f>
        <v>883.66961688057</v>
      </c>
      <c r="I69" s="10" t="n">
        <f aca="true">INDIRECT(ADDRESS(COLUMN()+119,ROW()+1,1,,"Cash"))</f>
        <v>3250.58465373756</v>
      </c>
      <c r="J69" s="10" t="n">
        <f aca="true">INDIRECT(ADDRESS(COLUMN()+119,ROW()+1,1,,"Cash"))</f>
        <v>234.640325071283</v>
      </c>
      <c r="K69" s="10" t="n">
        <f aca="true">INDIRECT(ADDRESS(COLUMN()+119,ROW()+1,1,,"Cash"))</f>
        <v>1922.37192668297</v>
      </c>
      <c r="L69" s="10" t="n">
        <f aca="true">INDIRECT(ADDRESS(COLUMN()+119,ROW()+1,1,,"Cash"))</f>
        <v>663.939437722491</v>
      </c>
      <c r="M69" s="10" t="n">
        <f aca="true">INDIRECT(ADDRESS(COLUMN()+119,ROW()+1,1,,"Cash"))</f>
        <v>1603.73791273471</v>
      </c>
      <c r="N69" s="10" t="n">
        <f aca="true">INDIRECT(ADDRESS(COLUMN()+119,ROW()+1,1,,"Cash"))</f>
        <v>701.037567530485</v>
      </c>
      <c r="O69" s="10" t="n">
        <f aca="true">INDIRECT(ADDRESS(COLUMN()+119,ROW()+1,1,,"Cash"))</f>
        <v>943.524700767035</v>
      </c>
      <c r="P69" s="10" t="n">
        <f aca="true">INDIRECT(ADDRESS(COLUMN()+119,ROW()+1,1,,"Cash"))</f>
        <v>209.704498068926</v>
      </c>
      <c r="Q69" s="25" t="n">
        <f aca="true">INDIRECT(ADDRESS(COLUMN()+119,ROW()+1,1,,"Cash"))</f>
        <v>66.5945987337898</v>
      </c>
      <c r="R69" s="10" t="n">
        <f aca="true">INDIRECT(ADDRESS(COLUMN()+119,ROW()+1,1,,"Cash"))</f>
        <v>570.197731321615</v>
      </c>
      <c r="S69" s="10" t="n">
        <f aca="true">INDIRECT(ADDRESS(COLUMN()+119,ROW()+1,1,,"Cash"))</f>
        <v>48691.5651462647</v>
      </c>
      <c r="T69" s="10" t="n">
        <f aca="true">INDIRECT(ADDRESS(COLUMN()+119,ROW()+1,1,,"Cash"))</f>
        <v>131.206121537256</v>
      </c>
      <c r="U69" s="10" t="n">
        <f aca="true">INDIRECT(ADDRESS(COLUMN()+119,ROW()+1,1,,"Cash"))</f>
        <v>3563.12646329845</v>
      </c>
      <c r="V69" s="10" t="n">
        <f aca="true">INDIRECT(ADDRESS(COLUMN()+119,ROW()+1,1,,"Cash"))</f>
        <v>441.693123870226</v>
      </c>
      <c r="W69" s="10" t="n">
        <f aca="true">INDIRECT(ADDRESS(COLUMN()+119,ROW()+1,1,,"Cash"))</f>
        <v>11183.3479712655</v>
      </c>
      <c r="X69" s="10" t="n">
        <f aca="true">INDIRECT(ADDRESS(COLUMN()+119,ROW()+1,1,,"Cash"))</f>
        <v>4502.98654783497</v>
      </c>
    </row>
    <row r="70" customFormat="false" ht="12.8" hidden="false" customHeight="false" outlineLevel="0" collapsed="false">
      <c r="A70" s="1" t="s">
        <v>392</v>
      </c>
      <c r="B70" s="10" t="n">
        <f aca="true">INDIRECT(ADDRESS(COLUMN()+119,ROW()+1,1,,"Cash"))</f>
        <v>79377.4618159024</v>
      </c>
      <c r="C70" s="10" t="n">
        <f aca="true">INDIRECT(ADDRESS(COLUMN()+119,ROW()+1,1,,"Cash"))</f>
        <v>11333.6170182361</v>
      </c>
      <c r="D70" s="10" t="n">
        <f aca="true">INDIRECT(ADDRESS(COLUMN()+119,ROW()+1,1,,"Cash"))</f>
        <v>5338.55449149578</v>
      </c>
      <c r="E70" s="10" t="n">
        <f aca="true">INDIRECT(ADDRESS(COLUMN()+119,ROW()+1,1,,"Cash"))</f>
        <v>1002.4426467235</v>
      </c>
      <c r="F70" s="10" t="n">
        <f aca="true">INDIRECT(ADDRESS(COLUMN()+119,ROW()+1,1,,"Cash"))</f>
        <v>52397.2073598453</v>
      </c>
      <c r="G70" s="10" t="n">
        <f aca="true">INDIRECT(ADDRESS(COLUMN()+119,ROW()+1,1,,"Cash"))</f>
        <v>7030.87668933626</v>
      </c>
      <c r="H70" s="10" t="n">
        <f aca="true">INDIRECT(ADDRESS(COLUMN()+119,ROW()+1,1,,"Cash"))</f>
        <v>8836.6961688057</v>
      </c>
      <c r="I70" s="10" t="n">
        <f aca="true">INDIRECT(ADDRESS(COLUMN()+119,ROW()+1,1,,"Cash"))</f>
        <v>32505.8609375803</v>
      </c>
      <c r="J70" s="10" t="n">
        <f aca="true">INDIRECT(ADDRESS(COLUMN()+119,ROW()+1,1,,"Cash"))</f>
        <v>2346.40325071283</v>
      </c>
      <c r="K70" s="10" t="n">
        <f aca="true">INDIRECT(ADDRESS(COLUMN()+119,ROW()+1,1,,"Cash"))</f>
        <v>19223.7308775891</v>
      </c>
      <c r="L70" s="10" t="n">
        <f aca="true">INDIRECT(ADDRESS(COLUMN()+119,ROW()+1,1,,"Cash"))</f>
        <v>6639.39437722492</v>
      </c>
      <c r="M70" s="10" t="n">
        <f aca="true">INDIRECT(ADDRESS(COLUMN()+119,ROW()+1,1,,"Cash"))</f>
        <v>16037.3791273471</v>
      </c>
      <c r="N70" s="10" t="n">
        <f aca="true">INDIRECT(ADDRESS(COLUMN()+119,ROW()+1,1,,"Cash"))</f>
        <v>7010.37567530486</v>
      </c>
      <c r="O70" s="10" t="n">
        <f aca="true">INDIRECT(ADDRESS(COLUMN()+119,ROW()+1,1,,"Cash"))</f>
        <v>9435.24700767035</v>
      </c>
      <c r="P70" s="10" t="n">
        <f aca="true">INDIRECT(ADDRESS(COLUMN()+119,ROW()+1,1,,"Cash"))</f>
        <v>2097.04498068926</v>
      </c>
      <c r="Q70" s="25" t="n">
        <f aca="true">INDIRECT(ADDRESS(COLUMN()+119,ROW()+1,1,,"Cash"))</f>
        <v>665.946296913424</v>
      </c>
      <c r="R70" s="10" t="n">
        <f aca="true">INDIRECT(ADDRESS(COLUMN()+119,ROW()+1,1,,"Cash"))</f>
        <v>5701.97731321615</v>
      </c>
      <c r="S70" s="10" t="n">
        <f aca="true">INDIRECT(ADDRESS(COLUMN()+119,ROW()+1,1,,"Cash"))</f>
        <v>486915.873207114</v>
      </c>
      <c r="T70" s="10" t="n">
        <f aca="true">INDIRECT(ADDRESS(COLUMN()+119,ROW()+1,1,,"Cash"))</f>
        <v>1312.06121537256</v>
      </c>
      <c r="U70" s="10" t="n">
        <f aca="true">INDIRECT(ADDRESS(COLUMN()+119,ROW()+1,1,,"Cash"))</f>
        <v>35631.282957201</v>
      </c>
      <c r="V70" s="10" t="n">
        <f aca="true">INDIRECT(ADDRESS(COLUMN()+119,ROW()+1,1,,"Cash"))</f>
        <v>4416.93123870226</v>
      </c>
      <c r="W70" s="10" t="n">
        <f aca="true">INDIRECT(ADDRESS(COLUMN()+119,ROW()+1,1,,"Cash"))</f>
        <v>111833.479712655</v>
      </c>
      <c r="X70" s="10" t="n">
        <f aca="true">INDIRECT(ADDRESS(COLUMN()+119,ROW()+1,1,,"Cash"))</f>
        <v>45029.8654783497</v>
      </c>
    </row>
    <row r="71" customFormat="false" ht="12.8" hidden="false" customHeight="false" outlineLevel="0" collapsed="false">
      <c r="A71" s="1" t="s">
        <v>393</v>
      </c>
      <c r="B71" s="39" t="n">
        <f aca="true">INDIRECT(ADDRESS(COLUMN()+119,ROW()+1,1,,"Cash"))</f>
        <v>31.9067544793344</v>
      </c>
      <c r="C71" s="39" t="n">
        <f aca="true">INDIRECT(ADDRESS(COLUMN()+119,ROW()+1,1,,"Cash"))</f>
        <v>8.80562808400574</v>
      </c>
      <c r="D71" s="39" t="n">
        <f aca="true">INDIRECT(ADDRESS(COLUMN()+119,ROW()+1,1,,"Cash"))</f>
        <v>2.36631396167401</v>
      </c>
      <c r="E71" s="39" t="n">
        <f aca="true">INDIRECT(ADDRESS(COLUMN()+119,ROW()+1,1,,"Cash"))</f>
        <v>1</v>
      </c>
      <c r="F71" s="39" t="n">
        <f aca="true">INDIRECT(ADDRESS(COLUMN()+119,ROW()+1,1,,"Cash"))</f>
        <v>25.412000435704</v>
      </c>
      <c r="G71" s="39" t="n">
        <f aca="true">INDIRECT(ADDRESS(COLUMN()+119,ROW()+1,1,,"Cash"))</f>
        <v>3.80281619573118</v>
      </c>
      <c r="H71" s="39" t="n">
        <f aca="true">INDIRECT(ADDRESS(COLUMN()+119,ROW()+1,1,,"Cash"))</f>
        <v>3.84810383615247</v>
      </c>
      <c r="I71" s="39" t="n">
        <f aca="true">INDIRECT(ADDRESS(COLUMN()+119,ROW()+1,1,,"Cash"))</f>
        <v>16.0739051379857</v>
      </c>
      <c r="J71" s="39" t="n">
        <f aca="true">INDIRECT(ADDRESS(COLUMN()+119,ROW()+1,1,,"Cash"))</f>
        <v>1.1408296727838</v>
      </c>
      <c r="K71" s="39" t="n">
        <f aca="true">INDIRECT(ADDRESS(COLUMN()+119,ROW()+1,1,,"Cash"))</f>
        <v>12.3514136369012</v>
      </c>
      <c r="L71" s="39" t="n">
        <f aca="true">INDIRECT(ADDRESS(COLUMN()+119,ROW()+1,1,,"Cash"))</f>
        <v>3.56751635881319</v>
      </c>
      <c r="M71" s="39" t="n">
        <f aca="true">INDIRECT(ADDRESS(COLUMN()+119,ROW()+1,1,,"Cash"))</f>
        <v>7.27499585141573</v>
      </c>
      <c r="N71" s="39" t="n">
        <f aca="true">INDIRECT(ADDRESS(COLUMN()+119,ROW()+1,1,,"Cash"))</f>
        <v>3.09039617707113</v>
      </c>
      <c r="O71" s="39" t="n">
        <f aca="true">INDIRECT(ADDRESS(COLUMN()+119,ROW()+1,1,,"Cash"))</f>
        <v>4.91788683330658</v>
      </c>
      <c r="P71" s="39" t="n">
        <f aca="true">INDIRECT(ADDRESS(COLUMN()+119,ROW()+1,1,,"Cash"))</f>
        <v>1.00069499653098</v>
      </c>
      <c r="Q71" s="40" t="n">
        <f aca="true">INDIRECT(ADDRESS(COLUMN()+119,ROW()+1,1,,"Cash"))</f>
        <v>1</v>
      </c>
      <c r="R71" s="39" t="n">
        <f aca="true">INDIRECT(ADDRESS(COLUMN()+119,ROW()+1,1,,"Cash"))</f>
        <v>3.03293399193856</v>
      </c>
      <c r="S71" s="39" t="n">
        <f aca="true">INDIRECT(ADDRESS(COLUMN()+119,ROW()+1,1,,"Cash"))</f>
        <v>138.539783456822</v>
      </c>
      <c r="T71" s="39" t="n">
        <f aca="true">INDIRECT(ADDRESS(COLUMN()+119,ROW()+1,1,,"Cash"))</f>
        <v>1</v>
      </c>
      <c r="U71" s="39" t="n">
        <f aca="true">INDIRECT(ADDRESS(COLUMN()+119,ROW()+1,1,,"Cash"))</f>
        <v>19.4891634761389</v>
      </c>
      <c r="V71" s="39" t="n">
        <f aca="true">INDIRECT(ADDRESS(COLUMN()+119,ROW()+1,1,,"Cash"))</f>
        <v>2.06855228322402</v>
      </c>
      <c r="W71" s="39" t="n">
        <f aca="true">INDIRECT(ADDRESS(COLUMN()+119,ROW()+1,1,,"Cash"))</f>
        <v>46.3664612040963</v>
      </c>
      <c r="X71" s="39" t="n">
        <f aca="true">INDIRECT(ADDRESS(COLUMN()+119,ROW()+1,1,,"Cash"))</f>
        <v>19.525644969032</v>
      </c>
    </row>
    <row r="72" customFormat="false" ht="12.8" hidden="false" customHeight="false" outlineLevel="0" collapsed="false">
      <c r="A72" s="1" t="s">
        <v>394</v>
      </c>
      <c r="B72" s="39" t="n">
        <f aca="true">INDIRECT(ADDRESS(COLUMN()+119,ROW()+1,1,,"Cash"))</f>
        <v>319.067544793344</v>
      </c>
      <c r="C72" s="39" t="n">
        <f aca="true">INDIRECT(ADDRESS(COLUMN()+119,ROW()+1,1,,"Cash"))</f>
        <v>88.0562808400575</v>
      </c>
      <c r="D72" s="39" t="n">
        <f aca="true">INDIRECT(ADDRESS(COLUMN()+119,ROW()+1,1,,"Cash"))</f>
        <v>23.6631396167401</v>
      </c>
      <c r="E72" s="39" t="n">
        <f aca="true">INDIRECT(ADDRESS(COLUMN()+119,ROW()+1,1,,"Cash"))</f>
        <v>4.5078377466378</v>
      </c>
      <c r="F72" s="39" t="n">
        <f aca="true">INDIRECT(ADDRESS(COLUMN()+119,ROW()+1,1,,"Cash"))</f>
        <v>254.12000435704</v>
      </c>
      <c r="G72" s="39" t="n">
        <f aca="true">INDIRECT(ADDRESS(COLUMN()+119,ROW()+1,1,,"Cash"))</f>
        <v>38.0281619573118</v>
      </c>
      <c r="H72" s="39" t="n">
        <f aca="true">INDIRECT(ADDRESS(COLUMN()+119,ROW()+1,1,,"Cash"))</f>
        <v>38.4810383615247</v>
      </c>
      <c r="I72" s="39" t="n">
        <f aca="true">INDIRECT(ADDRESS(COLUMN()+119,ROW()+1,1,,"Cash"))</f>
        <v>160.739051379857</v>
      </c>
      <c r="J72" s="39" t="n">
        <f aca="true">INDIRECT(ADDRESS(COLUMN()+119,ROW()+1,1,,"Cash"))</f>
        <v>11.4082967278381</v>
      </c>
      <c r="K72" s="39" t="n">
        <f aca="true">INDIRECT(ADDRESS(COLUMN()+119,ROW()+1,1,,"Cash"))</f>
        <v>123.514136369012</v>
      </c>
      <c r="L72" s="39" t="n">
        <f aca="true">INDIRECT(ADDRESS(COLUMN()+119,ROW()+1,1,,"Cash"))</f>
        <v>35.675163588132</v>
      </c>
      <c r="M72" s="39" t="n">
        <f aca="true">INDIRECT(ADDRESS(COLUMN()+119,ROW()+1,1,,"Cash"))</f>
        <v>72.7499585141572</v>
      </c>
      <c r="N72" s="39" t="n">
        <f aca="true">INDIRECT(ADDRESS(COLUMN()+119,ROW()+1,1,,"Cash"))</f>
        <v>30.9039617707113</v>
      </c>
      <c r="O72" s="39" t="n">
        <f aca="true">INDIRECT(ADDRESS(COLUMN()+119,ROW()+1,1,,"Cash"))</f>
        <v>49.1788683330658</v>
      </c>
      <c r="P72" s="39" t="n">
        <f aca="true">INDIRECT(ADDRESS(COLUMN()+119,ROW()+1,1,,"Cash"))</f>
        <v>10.0069499653098</v>
      </c>
      <c r="Q72" s="40" t="n">
        <f aca="true">INDIRECT(ADDRESS(COLUMN()+119,ROW()+1,1,,"Cash"))</f>
        <v>10</v>
      </c>
      <c r="R72" s="39" t="n">
        <f aca="true">INDIRECT(ADDRESS(COLUMN()+119,ROW()+1,1,,"Cash"))</f>
        <v>30.3293399193855</v>
      </c>
      <c r="S72" s="39" t="n">
        <f aca="true">INDIRECT(ADDRESS(COLUMN()+119,ROW()+1,1,,"Cash"))</f>
        <v>1385.39783456822</v>
      </c>
      <c r="T72" s="39" t="n">
        <f aca="true">INDIRECT(ADDRESS(COLUMN()+119,ROW()+1,1,,"Cash"))</f>
        <v>6.87293868822108</v>
      </c>
      <c r="U72" s="39" t="n">
        <f aca="true">INDIRECT(ADDRESS(COLUMN()+119,ROW()+1,1,,"Cash"))</f>
        <v>194.891634761389</v>
      </c>
      <c r="V72" s="39" t="n">
        <f aca="true">INDIRECT(ADDRESS(COLUMN()+119,ROW()+1,1,,"Cash"))</f>
        <v>20.6855228322402</v>
      </c>
      <c r="W72" s="39" t="n">
        <f aca="true">INDIRECT(ADDRESS(COLUMN()+119,ROW()+1,1,,"Cash"))</f>
        <v>463.664612040963</v>
      </c>
      <c r="X72" s="39" t="n">
        <f aca="true">INDIRECT(ADDRESS(COLUMN()+119,ROW()+1,1,,"Cash"))</f>
        <v>195.25644969032</v>
      </c>
    </row>
    <row r="73" customFormat="false" ht="12.8" hidden="false" customHeight="false" outlineLevel="0" collapsed="false">
      <c r="A73" s="1" t="s">
        <v>395</v>
      </c>
      <c r="B73" s="39" t="n">
        <f aca="true">INDIRECT(ADDRESS(COLUMN()+119,ROW()+1,1,,"Cash"))</f>
        <v>3190.67544793344</v>
      </c>
      <c r="C73" s="39" t="n">
        <f aca="true">INDIRECT(ADDRESS(COLUMN()+119,ROW()+1,1,,"Cash"))</f>
        <v>880.562808400574</v>
      </c>
      <c r="D73" s="39" t="n">
        <f aca="true">INDIRECT(ADDRESS(COLUMN()+119,ROW()+1,1,,"Cash"))</f>
        <v>236.631396167401</v>
      </c>
      <c r="E73" s="39" t="n">
        <f aca="true">INDIRECT(ADDRESS(COLUMN()+119,ROW()+1,1,,"Cash"))</f>
        <v>45.078377466378</v>
      </c>
      <c r="F73" s="39" t="n">
        <f aca="true">INDIRECT(ADDRESS(COLUMN()+119,ROW()+1,1,,"Cash"))</f>
        <v>2541.2000435704</v>
      </c>
      <c r="G73" s="39" t="n">
        <f aca="true">INDIRECT(ADDRESS(COLUMN()+119,ROW()+1,1,,"Cash"))</f>
        <v>380.281619573118</v>
      </c>
      <c r="H73" s="39" t="n">
        <f aca="true">INDIRECT(ADDRESS(COLUMN()+119,ROW()+1,1,,"Cash"))</f>
        <v>384.810383615247</v>
      </c>
      <c r="I73" s="39" t="n">
        <f aca="true">INDIRECT(ADDRESS(COLUMN()+119,ROW()+1,1,,"Cash"))</f>
        <v>1607.39051379857</v>
      </c>
      <c r="J73" s="39" t="n">
        <f aca="true">INDIRECT(ADDRESS(COLUMN()+119,ROW()+1,1,,"Cash"))</f>
        <v>114.082967278381</v>
      </c>
      <c r="K73" s="39" t="n">
        <f aca="true">INDIRECT(ADDRESS(COLUMN()+119,ROW()+1,1,,"Cash"))</f>
        <v>1235.14136369012</v>
      </c>
      <c r="L73" s="39" t="n">
        <f aca="true">INDIRECT(ADDRESS(COLUMN()+119,ROW()+1,1,,"Cash"))</f>
        <v>356.75163588132</v>
      </c>
      <c r="M73" s="39" t="n">
        <f aca="true">INDIRECT(ADDRESS(COLUMN()+119,ROW()+1,1,,"Cash"))</f>
        <v>727.499585141572</v>
      </c>
      <c r="N73" s="39" t="n">
        <f aca="true">INDIRECT(ADDRESS(COLUMN()+119,ROW()+1,1,,"Cash"))</f>
        <v>309.039617707113</v>
      </c>
      <c r="O73" s="39" t="n">
        <f aca="true">INDIRECT(ADDRESS(COLUMN()+119,ROW()+1,1,,"Cash"))</f>
        <v>491.788683330658</v>
      </c>
      <c r="P73" s="39" t="n">
        <f aca="true">INDIRECT(ADDRESS(COLUMN()+119,ROW()+1,1,,"Cash"))</f>
        <v>100.069499653099</v>
      </c>
      <c r="Q73" s="40" t="n">
        <f aca="true">INDIRECT(ADDRESS(COLUMN()+119,ROW()+1,1,,"Cash"))</f>
        <v>100</v>
      </c>
      <c r="R73" s="39" t="n">
        <f aca="true">INDIRECT(ADDRESS(COLUMN()+119,ROW()+1,1,,"Cash"))</f>
        <v>303.293399193856</v>
      </c>
      <c r="S73" s="39" t="n">
        <f aca="true">INDIRECT(ADDRESS(COLUMN()+119,ROW()+1,1,,"Cash"))</f>
        <v>13853.9783456822</v>
      </c>
      <c r="T73" s="39" t="n">
        <f aca="true">INDIRECT(ADDRESS(COLUMN()+119,ROW()+1,1,,"Cash"))</f>
        <v>68.7293868822108</v>
      </c>
      <c r="U73" s="39" t="n">
        <f aca="true">INDIRECT(ADDRESS(COLUMN()+119,ROW()+1,1,,"Cash"))</f>
        <v>1948.91634761389</v>
      </c>
      <c r="V73" s="39" t="n">
        <f aca="true">INDIRECT(ADDRESS(COLUMN()+119,ROW()+1,1,,"Cash"))</f>
        <v>206.855228322402</v>
      </c>
      <c r="W73" s="39" t="n">
        <f aca="true">INDIRECT(ADDRESS(COLUMN()+119,ROW()+1,1,,"Cash"))</f>
        <v>4636.64612040963</v>
      </c>
      <c r="X73" s="39" t="n">
        <f aca="true">INDIRECT(ADDRESS(COLUMN()+119,ROW()+1,1,,"Cash"))</f>
        <v>1952.5644969032</v>
      </c>
      <c r="Z73" s="10"/>
    </row>
    <row r="74" customFormat="false" ht="12.8" hidden="false" customHeight="false" outlineLevel="0" collapsed="false">
      <c r="A74" s="1" t="s">
        <v>396</v>
      </c>
      <c r="B74" s="10" t="n">
        <f aca="true">INDIRECT(ADDRESS(COLUMN()+119,ROW()+1,1,,"Cash"))</f>
        <v>103.278392312956</v>
      </c>
      <c r="C74" s="10" t="n">
        <f aca="true">INDIRECT(ADDRESS(COLUMN()+119,ROW()+1,1,,"Cash"))</f>
        <v>48.556946051518</v>
      </c>
      <c r="D74" s="10" t="n">
        <f aca="true">INDIRECT(ADDRESS(COLUMN()+119,ROW()+1,1,,"Cash"))</f>
        <v>17.7992650782371</v>
      </c>
      <c r="E74" s="10" t="n">
        <f aca="true">INDIRECT(ADDRESS(COLUMN()+119,ROW()+1,1,,"Cash"))</f>
        <v>7.40002118030053</v>
      </c>
      <c r="F74" s="10" t="n">
        <f aca="true">INDIRECT(ADDRESS(COLUMN()+119,ROW()+1,1,,"Cash"))</f>
        <v>98.0664441589974</v>
      </c>
      <c r="G74" s="10" t="n">
        <f aca="true">INDIRECT(ADDRESS(COLUMN()+119,ROW()+1,1,,"Cash"))</f>
        <v>29.0151455675865</v>
      </c>
      <c r="H74" s="10" t="n">
        <f aca="true">INDIRECT(ADDRESS(COLUMN()+119,ROW()+1,1,,"Cash"))</f>
        <v>24.3220230686483</v>
      </c>
      <c r="I74" s="10" t="n">
        <f aca="true">INDIRECT(ADDRESS(COLUMN()+119,ROW()+1,1,,"Cash"))</f>
        <v>68.0964777800704</v>
      </c>
      <c r="J74" s="10" t="n">
        <f aca="true">INDIRECT(ADDRESS(COLUMN()+119,ROW()+1,1,,"Cash"))</f>
        <v>12.8983282524171</v>
      </c>
      <c r="K74" s="10" t="n">
        <f aca="true">INDIRECT(ADDRESS(COLUMN()+119,ROW()+1,1,,"Cash"))</f>
        <v>62.1377695635275</v>
      </c>
      <c r="L74" s="10" t="n">
        <f aca="true">INDIRECT(ADDRESS(COLUMN()+119,ROW()+1,1,,"Cash"))</f>
        <v>22.3630305993936</v>
      </c>
      <c r="M74" s="10" t="n">
        <f aca="true">INDIRECT(ADDRESS(COLUMN()+119,ROW()+1,1,,"Cash"))</f>
        <v>29.5118094111126</v>
      </c>
      <c r="N74" s="10" t="n">
        <f aca="true">INDIRECT(ADDRESS(COLUMN()+119,ROW()+1,1,,"Cash"))</f>
        <v>22.6298439414576</v>
      </c>
      <c r="O74" s="10" t="n">
        <f aca="true">INDIRECT(ADDRESS(COLUMN()+119,ROW()+1,1,,"Cash"))</f>
        <v>24.0009256506417</v>
      </c>
      <c r="P74" s="10" t="n">
        <f aca="true">INDIRECT(ADDRESS(COLUMN()+119,ROW()+1,1,,"Cash"))</f>
        <v>12.0833829865707</v>
      </c>
      <c r="Q74" s="25" t="n">
        <f aca="true">INDIRECT(ADDRESS(COLUMN()+119,ROW()+1,1,,"Cash"))</f>
        <v>12.6220738180485</v>
      </c>
      <c r="R74" s="10" t="n">
        <f aca="true">INDIRECT(ADDRESS(COLUMN()+119,ROW()+1,1,,"Cash"))</f>
        <v>22.6730559828404</v>
      </c>
      <c r="S74" s="10" t="n">
        <f aca="true">INDIRECT(ADDRESS(COLUMN()+119,ROW()+1,1,,"Cash"))</f>
        <v>232.580246286414</v>
      </c>
      <c r="T74" s="10" t="n">
        <f aca="true">INDIRECT(ADDRESS(COLUMN()+119,ROW()+1,1,,"Cash"))</f>
        <v>9.60052560265879</v>
      </c>
      <c r="U74" s="10" t="n">
        <f aca="true">INDIRECT(ADDRESS(COLUMN()+119,ROW()+1,1,,"Cash"))</f>
        <v>78.9243128580825</v>
      </c>
      <c r="V74" s="10" t="n">
        <f aca="true">INDIRECT(ADDRESS(COLUMN()+119,ROW()+1,1,,"Cash"))</f>
        <v>15.4282828424105</v>
      </c>
      <c r="W74" s="10" t="n">
        <f aca="true">INDIRECT(ADDRESS(COLUMN()+119,ROW()+1,1,,"Cash"))</f>
        <v>132.832336735972</v>
      </c>
      <c r="X74" s="10" t="n">
        <f aca="true">INDIRECT(ADDRESS(COLUMN()+119,ROW()+1,1,,"Cash"))</f>
        <v>86.9656836114097</v>
      </c>
      <c r="Z74" s="10"/>
    </row>
    <row r="75" customFormat="false" ht="12.8" hidden="false" customHeight="false" outlineLevel="0" collapsed="false">
      <c r="A75" s="1" t="s">
        <v>397</v>
      </c>
      <c r="B75" s="10" t="n">
        <f aca="true">INDIRECT(ADDRESS(COLUMN()+119,ROW()+1,1,,"Cash"))</f>
        <v>61.4694924422578</v>
      </c>
      <c r="C75" s="10" t="n">
        <f aca="true">INDIRECT(ADDRESS(COLUMN()+119,ROW()+1,1,,"Cash"))</f>
        <v>29.2059329385872</v>
      </c>
      <c r="D75" s="10" t="n">
        <f aca="true">INDIRECT(ADDRESS(COLUMN()+119,ROW()+1,1,,"Cash"))</f>
        <v>13.6989822181359</v>
      </c>
      <c r="E75" s="10" t="n">
        <f aca="true">INDIRECT(ADDRESS(COLUMN()+119,ROW()+1,1,,"Cash"))</f>
        <v>12.232707580227</v>
      </c>
      <c r="F75" s="10" t="n">
        <f aca="true">INDIRECT(ADDRESS(COLUMN()+119,ROW()+1,1,,"Cash"))</f>
        <v>40.1098387362764</v>
      </c>
      <c r="G75" s="10" t="n">
        <f aca="true">INDIRECT(ADDRESS(COLUMN()+119,ROW()+1,1,,"Cash"))</f>
        <v>20.928100036785</v>
      </c>
      <c r="H75" s="10" t="n">
        <f aca="true">INDIRECT(ADDRESS(COLUMN()+119,ROW()+1,1,,"Cash"))</f>
        <v>14.2539701898708</v>
      </c>
      <c r="I75" s="10" t="n">
        <f aca="true">INDIRECT(ADDRESS(COLUMN()+119,ROW()+1,1,,"Cash"))</f>
        <v>356.229285076223</v>
      </c>
      <c r="J75" s="10" t="n">
        <f aca="true">INDIRECT(ADDRESS(COLUMN()+119,ROW()+1,1,,"Cash"))</f>
        <v>7.99657287337655</v>
      </c>
      <c r="K75" s="10" t="n">
        <f aca="true">INDIRECT(ADDRESS(COLUMN()+119,ROW()+1,1,,"Cash"))</f>
        <v>26.1588863683681</v>
      </c>
      <c r="L75" s="10" t="n">
        <f aca="true">INDIRECT(ADDRESS(COLUMN()+119,ROW()+1,1,,"Cash"))</f>
        <v>122.531815249202</v>
      </c>
      <c r="M75" s="10" t="n">
        <f aca="true">INDIRECT(ADDRESS(COLUMN()+119,ROW()+1,1,,"Cash"))</f>
        <v>277.338514250109</v>
      </c>
      <c r="N75" s="10" t="n">
        <f aca="true">INDIRECT(ADDRESS(COLUMN()+119,ROW()+1,1,,"Cash"))</f>
        <v>18.2485713204103</v>
      </c>
      <c r="O75" s="10" t="n">
        <f aca="true">INDIRECT(ADDRESS(COLUMN()+119,ROW()+1,1,,"Cash"))</f>
        <v>16.3896914163275</v>
      </c>
      <c r="P75" s="10" t="n">
        <f aca="true">INDIRECT(ADDRESS(COLUMN()+119,ROW()+1,1,,"Cash"))</f>
        <v>73.3568164627345</v>
      </c>
      <c r="Q75" s="25" t="n">
        <f aca="true">INDIRECT(ADDRESS(COLUMN()+119,ROW()+1,1,,"Cash"))</f>
        <v>8.6815882484004</v>
      </c>
      <c r="R75" s="10" t="n">
        <f aca="true">INDIRECT(ADDRESS(COLUMN()+119,ROW()+1,1,,"Cash"))</f>
        <v>1248.35153001475</v>
      </c>
      <c r="S75" s="10" t="n">
        <f aca="true">INDIRECT(ADDRESS(COLUMN()+119,ROW()+1,1,,"Cash"))</f>
        <v>66.5216008535586</v>
      </c>
      <c r="T75" s="10" t="n">
        <f aca="true">INDIRECT(ADDRESS(COLUMN()+119,ROW()+1,1,,"Cash"))</f>
        <v>6.19598353124919</v>
      </c>
      <c r="U75" s="10" t="n">
        <f aca="true">INDIRECT(ADDRESS(COLUMN()+119,ROW()+1,1,,"Cash"))</f>
        <v>87.3730898379841</v>
      </c>
      <c r="V75" s="10" t="n">
        <f aca="true">INDIRECT(ADDRESS(COLUMN()+119,ROW()+1,1,,"Cash"))</f>
        <v>36.7604599049559</v>
      </c>
      <c r="W75" s="10" t="n">
        <f aca="true">INDIRECT(ADDRESS(COLUMN()+119,ROW()+1,1,,"Cash"))</f>
        <v>32.648178625176</v>
      </c>
      <c r="X75" s="10" t="n">
        <f aca="true">INDIRECT(ADDRESS(COLUMN()+119,ROW()+1,1,,"Cash"))</f>
        <v>27.6944754705366</v>
      </c>
    </row>
    <row r="76" customFormat="false" ht="12.8" hidden="false" customHeight="false" outlineLevel="0" collapsed="false">
      <c r="A76" s="1" t="s">
        <v>398</v>
      </c>
      <c r="B76" s="10" t="n">
        <f aca="true">INDIRECT(ADDRESS(COLUMN()+119,ROW()+1,1,,"Cash"))</f>
        <v>22.6238466554939</v>
      </c>
      <c r="C76" s="10" t="n">
        <f aca="true">INDIRECT(ADDRESS(COLUMN()+119,ROW()+1,1,,"Cash"))</f>
        <v>65.1486605100601</v>
      </c>
      <c r="D76" s="10" t="n">
        <f aca="true">INDIRECT(ADDRESS(COLUMN()+119,ROW()+1,1,,"Cash"))</f>
        <v>18.0240499002783</v>
      </c>
      <c r="E76" s="10" t="n">
        <f aca="true">INDIRECT(ADDRESS(COLUMN()+119,ROW()+1,1,,"Cash"))</f>
        <v>97.1466751104368</v>
      </c>
      <c r="F76" s="10" t="n">
        <f aca="true">INDIRECT(ADDRESS(COLUMN()+119,ROW()+1,1,,"Cash"))</f>
        <v>52.4539457628537</v>
      </c>
      <c r="G76" s="10" t="n">
        <f aca="true">INDIRECT(ADDRESS(COLUMN()+119,ROW()+1,1,,"Cash"))</f>
        <v>47.750655976926</v>
      </c>
      <c r="H76" s="10" t="n">
        <f aca="true">INDIRECT(ADDRESS(COLUMN()+119,ROW()+1,1,,"Cash"))</f>
        <v>31.1291455304619</v>
      </c>
      <c r="I76" s="10" t="n">
        <f aca="true">INDIRECT(ADDRESS(COLUMN()+119,ROW()+1,1,,"Cash"))</f>
        <v>43.6313181495959</v>
      </c>
      <c r="J76" s="10" t="n">
        <f aca="true">INDIRECT(ADDRESS(COLUMN()+119,ROW()+1,1,,"Cash"))</f>
        <v>10.2452252904578</v>
      </c>
      <c r="K76" s="10" t="n">
        <f aca="true">INDIRECT(ADDRESS(COLUMN()+119,ROW()+1,1,,"Cash"))</f>
        <v>28.6990118089786</v>
      </c>
      <c r="L76" s="10" t="n">
        <f aca="true">INDIRECT(ADDRESS(COLUMN()+119,ROW()+1,1,,"Cash"))</f>
        <v>64.6142385463978</v>
      </c>
      <c r="M76" s="10" t="n">
        <f aca="true">INDIRECT(ADDRESS(COLUMN()+119,ROW()+1,1,,"Cash"))</f>
        <v>19.0086526091794</v>
      </c>
      <c r="N76" s="10" t="n">
        <f aca="true">INDIRECT(ADDRESS(COLUMN()+119,ROW()+1,1,,"Cash"))</f>
        <v>32.9427986351319</v>
      </c>
      <c r="O76" s="10" t="n">
        <f aca="true">INDIRECT(ADDRESS(COLUMN()+119,ROW()+1,1,,"Cash"))</f>
        <v>135.38332991301</v>
      </c>
      <c r="P76" s="10" t="n">
        <f aca="true">INDIRECT(ADDRESS(COLUMN()+119,ROW()+1,1,,"Cash"))</f>
        <v>18.544719694944</v>
      </c>
      <c r="Q76" s="25" t="n">
        <f aca="true">INDIRECT(ADDRESS(COLUMN()+119,ROW()+1,1,,"Cash"))</f>
        <v>15.5280452493006</v>
      </c>
      <c r="R76" s="10" t="n">
        <f aca="true">INDIRECT(ADDRESS(COLUMN()+119,ROW()+1,1,,"Cash"))</f>
        <v>20.8862615485005</v>
      </c>
      <c r="S76" s="10" t="n">
        <f aca="true">INDIRECT(ADDRESS(COLUMN()+119,ROW()+1,1,,"Cash"))</f>
        <v>59.488376590157</v>
      </c>
      <c r="T76" s="10" t="n">
        <f aca="true">INDIRECT(ADDRESS(COLUMN()+119,ROW()+1,1,,"Cash"))</f>
        <v>44.2773528772151</v>
      </c>
      <c r="U76" s="10" t="n">
        <f aca="true">INDIRECT(ADDRESS(COLUMN()+119,ROW()+1,1,,"Cash"))</f>
        <v>392.930666381681</v>
      </c>
      <c r="V76" s="10" t="n">
        <f aca="true">INDIRECT(ADDRESS(COLUMN()+119,ROW()+1,1,,"Cash"))</f>
        <v>50.9186661098914</v>
      </c>
      <c r="W76" s="10" t="n">
        <f aca="true">INDIRECT(ADDRESS(COLUMN()+119,ROW()+1,1,,"Cash"))</f>
        <v>37.8820731956648</v>
      </c>
      <c r="X76" s="10" t="n">
        <f aca="true">INDIRECT(ADDRESS(COLUMN()+119,ROW()+1,1,,"Cash"))</f>
        <v>80.1056152330818</v>
      </c>
    </row>
    <row r="77" customFormat="false" ht="12.8" hidden="false" customHeight="false" outlineLevel="0" collapsed="false">
      <c r="A77" s="1" t="s">
        <v>399</v>
      </c>
      <c r="B77" s="10" t="n">
        <f aca="true">INDIRECT(ADDRESS(COLUMN()+119,ROW()+1,1,,"Cash"))</f>
        <v>42949.2304241409</v>
      </c>
      <c r="C77" s="10" t="n">
        <f aca="true">INDIRECT(ADDRESS(COLUMN()+119,ROW()+1,1,,"Cash"))</f>
        <v>43150.1394248712</v>
      </c>
      <c r="D77" s="10" t="n">
        <f aca="true">INDIRECT(ADDRESS(COLUMN()+119,ROW()+1,1,,"Cash"))</f>
        <v>258029.280723047</v>
      </c>
      <c r="E77" s="10" t="n">
        <f aca="true">INDIRECT(ADDRESS(COLUMN()+119,ROW()+1,1,,"Cash"))</f>
        <v>53636.2336018758</v>
      </c>
      <c r="F77" s="10" t="n">
        <f aca="true">INDIRECT(ADDRESS(COLUMN()+119,ROW()+1,1,,"Cash"))</f>
        <v>73119.7836757571</v>
      </c>
      <c r="G77" s="10" t="n">
        <f aca="true">INDIRECT(ADDRESS(COLUMN()+119,ROW()+1,1,,"Cash"))</f>
        <v>47088.3107699657</v>
      </c>
      <c r="H77" s="10" t="n">
        <f aca="true">INDIRECT(ADDRESS(COLUMN()+119,ROW()+1,1,,"Cash"))</f>
        <v>26132.131768315</v>
      </c>
      <c r="I77" s="10" t="n">
        <f aca="true">INDIRECT(ADDRESS(COLUMN()+119,ROW()+1,1,,"Cash"))</f>
        <v>342732.849543423</v>
      </c>
      <c r="J77" s="10" t="n">
        <f aca="true">INDIRECT(ADDRESS(COLUMN()+119,ROW()+1,1,,"Cash"))</f>
        <v>85319.9486362593</v>
      </c>
      <c r="K77" s="10" t="n">
        <f aca="true">INDIRECT(ADDRESS(COLUMN()+119,ROW()+1,1,,"Cash"))</f>
        <v>45728.7056157371</v>
      </c>
      <c r="L77" s="10" t="n">
        <f aca="true">INDIRECT(ADDRESS(COLUMN()+119,ROW()+1,1,,"Cash"))</f>
        <v>115652.105407705</v>
      </c>
      <c r="M77" s="10" t="n">
        <f aca="true">INDIRECT(ADDRESS(COLUMN()+119,ROW()+1,1,,"Cash"))</f>
        <v>30568.6611247926</v>
      </c>
      <c r="N77" s="10" t="n">
        <f aca="true">INDIRECT(ADDRESS(COLUMN()+119,ROW()+1,1,,"Cash"))</f>
        <v>38732.4572478566</v>
      </c>
      <c r="O77" s="10" t="n">
        <f aca="true">INDIRECT(ADDRESS(COLUMN()+119,ROW()+1,1,,"Cash"))</f>
        <v>45878.3177465477</v>
      </c>
      <c r="P77" s="10" t="n">
        <f aca="true">INDIRECT(ADDRESS(COLUMN()+119,ROW()+1,1,,"Cash"))</f>
        <v>108678.13346085</v>
      </c>
      <c r="Q77" s="25" t="n">
        <f aca="true">INDIRECT(ADDRESS(COLUMN()+119,ROW()+1,1,,"Cash"))</f>
        <v>36538.8533716491</v>
      </c>
      <c r="R77" s="10" t="n">
        <f aca="true">INDIRECT(ADDRESS(COLUMN()+119,ROW()+1,1,,"Cash"))</f>
        <v>65195.3668460917</v>
      </c>
      <c r="S77" s="10" t="n">
        <f aca="true">INDIRECT(ADDRESS(COLUMN()+119,ROW()+1,1,,"Cash"))</f>
        <v>341431.90840609</v>
      </c>
      <c r="T77" s="10" t="n">
        <f aca="true">INDIRECT(ADDRESS(COLUMN()+119,ROW()+1,1,,"Cash"))</f>
        <v>188623.638827232</v>
      </c>
      <c r="U77" s="10" t="n">
        <f aca="true">INDIRECT(ADDRESS(COLUMN()+119,ROW()+1,1,,"Cash"))</f>
        <v>48022.5275448239</v>
      </c>
      <c r="V77" s="10" t="n">
        <f aca="true">INDIRECT(ADDRESS(COLUMN()+119,ROW()+1,1,,"Cash"))</f>
        <v>31440.6671770194</v>
      </c>
      <c r="W77" s="10" t="n">
        <f aca="true">INDIRECT(ADDRESS(COLUMN()+119,ROW()+1,1,,"Cash"))</f>
        <v>75742.4315056341</v>
      </c>
      <c r="X77" s="10" t="n">
        <f aca="true">INDIRECT(ADDRESS(COLUMN()+119,ROW()+1,1,,"Cash"))</f>
        <v>47321.6508804069</v>
      </c>
    </row>
    <row r="78" customFormat="false" ht="12.8" hidden="false" customHeight="false" outlineLevel="0" collapsed="false">
      <c r="A78" s="1" t="s">
        <v>400</v>
      </c>
      <c r="B78" s="10" t="n">
        <f aca="true">INDIRECT(ADDRESS(COLUMN()+119,ROW()+1,1,,"Cash"))</f>
        <v>16654.247535714</v>
      </c>
      <c r="C78" s="10" t="n">
        <f aca="true">INDIRECT(ADDRESS(COLUMN()+119,ROW()+1,1,,"Cash"))</f>
        <v>26694.0145639736</v>
      </c>
      <c r="D78" s="10" t="n">
        <f aca="true">INDIRECT(ADDRESS(COLUMN()+119,ROW()+1,1,,"Cash"))</f>
        <v>27008.8456108822</v>
      </c>
      <c r="E78" s="10" t="n">
        <f aca="true">INDIRECT(ADDRESS(COLUMN()+119,ROW()+1,1,,"Cash"))</f>
        <v>46266.8284726562</v>
      </c>
      <c r="F78" s="10" t="n">
        <f aca="true">INDIRECT(ADDRESS(COLUMN()+119,ROW()+1,1,,"Cash"))</f>
        <v>26519.953545799</v>
      </c>
      <c r="G78" s="10" t="n">
        <f aca="true">INDIRECT(ADDRESS(COLUMN()+119,ROW()+1,1,,"Cash"))</f>
        <v>153060.993929344</v>
      </c>
      <c r="H78" s="10" t="n">
        <f aca="true">INDIRECT(ADDRESS(COLUMN()+119,ROW()+1,1,,"Cash"))</f>
        <v>43109.5419397207</v>
      </c>
      <c r="I78" s="10" t="n">
        <f aca="true">INDIRECT(ADDRESS(COLUMN()+119,ROW()+1,1,,"Cash"))</f>
        <v>31040.48661267</v>
      </c>
      <c r="J78" s="10" t="n">
        <f aca="true">INDIRECT(ADDRESS(COLUMN()+119,ROW()+1,1,,"Cash"))</f>
        <v>48269.2560700914</v>
      </c>
      <c r="K78" s="10" t="n">
        <f aca="true">INDIRECT(ADDRESS(COLUMN()+119,ROW()+1,1,,"Cash"))</f>
        <v>125506.887802577</v>
      </c>
      <c r="L78" s="10" t="n">
        <f aca="true">INDIRECT(ADDRESS(COLUMN()+119,ROW()+1,1,,"Cash"))</f>
        <v>41070.2892113562</v>
      </c>
      <c r="M78" s="10" t="n">
        <f aca="true">INDIRECT(ADDRESS(COLUMN()+119,ROW()+1,1,,"Cash"))</f>
        <v>1165393.02955333</v>
      </c>
      <c r="N78" s="10" t="n">
        <f aca="true">INDIRECT(ADDRESS(COLUMN()+119,ROW()+1,1,,"Cash"))</f>
        <v>17391.8465072706</v>
      </c>
      <c r="O78" s="10" t="n">
        <f aca="true">INDIRECT(ADDRESS(COLUMN()+119,ROW()+1,1,,"Cash"))</f>
        <v>50062.8082229896</v>
      </c>
      <c r="P78" s="10" t="n">
        <f aca="true">INDIRECT(ADDRESS(COLUMN()+119,ROW()+1,1,,"Cash"))</f>
        <v>14541.195845445</v>
      </c>
      <c r="Q78" s="25" t="n">
        <f aca="true">INDIRECT(ADDRESS(COLUMN()+119,ROW()+1,1,,"Cash"))</f>
        <v>67314.9591133332</v>
      </c>
      <c r="R78" s="10" t="n">
        <f aca="true">INDIRECT(ADDRESS(COLUMN()+119,ROW()+1,1,,"Cash"))</f>
        <v>18742.6569760106</v>
      </c>
      <c r="S78" s="10" t="n">
        <f aca="true">INDIRECT(ADDRESS(COLUMN()+119,ROW()+1,1,,"Cash"))</f>
        <v>110178.041173817</v>
      </c>
      <c r="T78" s="10" t="n">
        <f aca="true">INDIRECT(ADDRESS(COLUMN()+119,ROW()+1,1,,"Cash"))</f>
        <v>93768.1401510666</v>
      </c>
      <c r="U78" s="10" t="n">
        <f aca="true">INDIRECT(ADDRESS(COLUMN()+119,ROW()+1,1,,"Cash"))</f>
        <v>146235.780335692</v>
      </c>
      <c r="V78" s="10" t="n">
        <f aca="true">INDIRECT(ADDRESS(COLUMN()+119,ROW()+1,1,,"Cash"))</f>
        <v>49088.9568948637</v>
      </c>
      <c r="W78" s="10" t="n">
        <f aca="true">INDIRECT(ADDRESS(COLUMN()+119,ROW()+1,1,,"Cash"))</f>
        <v>34034.8032541251</v>
      </c>
      <c r="X78" s="10" t="n">
        <f aca="true">INDIRECT(ADDRESS(COLUMN()+119,ROW()+1,1,,"Cash"))</f>
        <v>75285.8153344824</v>
      </c>
    </row>
    <row r="79" customFormat="false" ht="12.8" hidden="false" customHeight="false" outlineLevel="0" collapsed="false">
      <c r="A79" s="1" t="s">
        <v>401</v>
      </c>
      <c r="B79" s="10" t="n">
        <f aca="true">INDIRECT(ADDRESS(COLUMN()+119,ROW()+1,1,,"Cash"))</f>
        <v>126.73345815613</v>
      </c>
      <c r="C79" s="10" t="n">
        <f aca="true">INDIRECT(ADDRESS(COLUMN()+119,ROW()+1,1,,"Cash"))</f>
        <v>390.469602531761</v>
      </c>
      <c r="D79" s="10" t="n">
        <f aca="true">INDIRECT(ADDRESS(COLUMN()+119,ROW()+1,1,,"Cash"))</f>
        <v>162.490172380869</v>
      </c>
      <c r="E79" s="10" t="n">
        <f aca="true">INDIRECT(ADDRESS(COLUMN()+119,ROW()+1,1,,"Cash"))</f>
        <v>24.4234965741064</v>
      </c>
      <c r="F79" s="10" t="n">
        <f aca="true">INDIRECT(ADDRESS(COLUMN()+119,ROW()+1,1,,"Cash"))</f>
        <v>360.870784815623</v>
      </c>
      <c r="G79" s="10" t="n">
        <f aca="true">INDIRECT(ADDRESS(COLUMN()+119,ROW()+1,1,,"Cash"))</f>
        <v>97.8469911718512</v>
      </c>
      <c r="H79" s="10" t="n">
        <f aca="true">INDIRECT(ADDRESS(COLUMN()+119,ROW()+1,1,,"Cash"))</f>
        <v>129.842661746841</v>
      </c>
      <c r="I79" s="10" t="n">
        <f aca="true">INDIRECT(ADDRESS(COLUMN()+119,ROW()+1,1,,"Cash"))</f>
        <v>103.122195747106</v>
      </c>
      <c r="J79" s="10" t="n">
        <f aca="true">INDIRECT(ADDRESS(COLUMN()+119,ROW()+1,1,,"Cash"))</f>
        <v>31.345122837754</v>
      </c>
      <c r="K79" s="10" t="n">
        <f aca="true">INDIRECT(ADDRESS(COLUMN()+119,ROW()+1,1,,"Cash"))</f>
        <v>70.9601948297925</v>
      </c>
      <c r="L79" s="10" t="n">
        <f aca="true">INDIRECT(ADDRESS(COLUMN()+119,ROW()+1,1,,"Cash"))</f>
        <v>66.1560500277667</v>
      </c>
      <c r="M79" s="10" t="n">
        <f aca="true">INDIRECT(ADDRESS(COLUMN()+119,ROW()+1,1,,"Cash"))</f>
        <v>124.431003645634</v>
      </c>
      <c r="N79" s="10" t="n">
        <f aca="true">INDIRECT(ADDRESS(COLUMN()+119,ROW()+1,1,,"Cash"))</f>
        <v>31.8317416897474</v>
      </c>
      <c r="O79" s="10" t="n">
        <f aca="true">INDIRECT(ADDRESS(COLUMN()+119,ROW()+1,1,,"Cash"))</f>
        <v>109.177525040926</v>
      </c>
      <c r="P79" s="10" t="n">
        <f aca="true">INDIRECT(ADDRESS(COLUMN()+119,ROW()+1,1,,"Cash"))</f>
        <v>24.6101607516545</v>
      </c>
      <c r="Q79" s="25" t="n">
        <f aca="true">INDIRECT(ADDRESS(COLUMN()+119,ROW()+1,1,,"Cash"))</f>
        <v>34.3595444089017</v>
      </c>
      <c r="R79" s="10" t="n">
        <f aca="true">INDIRECT(ADDRESS(COLUMN()+119,ROW()+1,1,,"Cash"))</f>
        <v>26.2295389544119</v>
      </c>
      <c r="S79" s="10" t="n">
        <f aca="true">INDIRECT(ADDRESS(COLUMN()+119,ROW()+1,1,,"Cash"))</f>
        <v>169.446841166292</v>
      </c>
      <c r="T79" s="10" t="n">
        <f aca="true">INDIRECT(ADDRESS(COLUMN()+119,ROW()+1,1,,"Cash"))</f>
        <v>293.21893649426</v>
      </c>
      <c r="U79" s="10" t="n">
        <f aca="true">INDIRECT(ADDRESS(COLUMN()+119,ROW()+1,1,,"Cash"))</f>
        <v>72.7832700854482</v>
      </c>
      <c r="V79" s="10" t="n">
        <f aca="true">INDIRECT(ADDRESS(COLUMN()+119,ROW()+1,1,,"Cash"))</f>
        <v>145.587268759933</v>
      </c>
      <c r="W79" s="10" t="n">
        <f aca="true">INDIRECT(ADDRESS(COLUMN()+119,ROW()+1,1,,"Cash"))</f>
        <v>92.960488991756</v>
      </c>
      <c r="X79" s="10" t="n">
        <f aca="true">INDIRECT(ADDRESS(COLUMN()+119,ROW()+1,1,,"Cash"))</f>
        <v>154.492907188195</v>
      </c>
    </row>
    <row r="80" customFormat="false" ht="12.8" hidden="false" customHeight="false" outlineLevel="0" collapsed="false">
      <c r="A80" s="1" t="s">
        <v>402</v>
      </c>
      <c r="B80" s="10" t="n">
        <f aca="true">INDIRECT(ADDRESS(COLUMN()+119,ROW()+1,1,,"Cash"))</f>
        <v>13.6669855100275</v>
      </c>
      <c r="C80" s="10" t="n">
        <f aca="true">INDIRECT(ADDRESS(COLUMN()+119,ROW()+1,1,,"Cash"))</f>
        <v>4967.20427129667</v>
      </c>
      <c r="D80" s="10" t="n">
        <f aca="true">INDIRECT(ADDRESS(COLUMN()+119,ROW()+1,1,,"Cash"))</f>
        <v>51.1564027981237</v>
      </c>
      <c r="E80" s="10" t="n">
        <f aca="true">INDIRECT(ADDRESS(COLUMN()+119,ROW()+1,1,,"Cash"))</f>
        <v>17.5853483698228</v>
      </c>
      <c r="F80" s="10" t="n">
        <f aca="true">INDIRECT(ADDRESS(COLUMN()+119,ROW()+1,1,,"Cash"))</f>
        <v>16.8569158825301</v>
      </c>
      <c r="G80" s="10" t="n">
        <f aca="true">INDIRECT(ADDRESS(COLUMN()+119,ROW()+1,1,,"Cash"))</f>
        <v>47.7190462804872</v>
      </c>
      <c r="H80" s="10" t="n">
        <f aca="true">INDIRECT(ADDRESS(COLUMN()+119,ROW()+1,1,,"Cash"))</f>
        <v>7.50779997364259</v>
      </c>
      <c r="I80" s="10" t="n">
        <f aca="true">INDIRECT(ADDRESS(COLUMN()+119,ROW()+1,1,,"Cash"))</f>
        <v>89.3849837341531</v>
      </c>
      <c r="J80" s="10" t="n">
        <f aca="true">INDIRECT(ADDRESS(COLUMN()+119,ROW()+1,1,,"Cash"))</f>
        <v>27.6578988120268</v>
      </c>
      <c r="K80" s="10" t="n">
        <f aca="true">INDIRECT(ADDRESS(COLUMN()+119,ROW()+1,1,,"Cash"))</f>
        <v>61.2421097276385</v>
      </c>
      <c r="L80" s="10" t="n">
        <f aca="true">INDIRECT(ADDRESS(COLUMN()+119,ROW()+1,1,,"Cash"))</f>
        <v>15.4423956565279</v>
      </c>
      <c r="M80" s="10" t="n">
        <f aca="true">INDIRECT(ADDRESS(COLUMN()+119,ROW()+1,1,,"Cash"))</f>
        <v>9.79117337043624</v>
      </c>
      <c r="N80" s="10" t="n">
        <f aca="true">INDIRECT(ADDRESS(COLUMN()+119,ROW()+1,1,,"Cash"))</f>
        <v>9.04481420623713</v>
      </c>
      <c r="O80" s="10" t="n">
        <f aca="true">INDIRECT(ADDRESS(COLUMN()+119,ROW()+1,1,,"Cash"))</f>
        <v>124.246872522433</v>
      </c>
      <c r="P80" s="10" t="n">
        <f aca="true">INDIRECT(ADDRESS(COLUMN()+119,ROW()+1,1,,"Cash"))</f>
        <v>9.05339657200771</v>
      </c>
      <c r="Q80" s="25" t="n">
        <f aca="true">INDIRECT(ADDRESS(COLUMN()+119,ROW()+1,1,,"Cash"))</f>
        <v>14.0812778612904</v>
      </c>
      <c r="R80" s="10" t="n">
        <f aca="true">INDIRECT(ADDRESS(COLUMN()+119,ROW()+1,1,,"Cash"))</f>
        <v>10.492965690373</v>
      </c>
      <c r="S80" s="10" t="n">
        <f aca="true">INDIRECT(ADDRESS(COLUMN()+119,ROW()+1,1,,"Cash"))</f>
        <v>25.2885643663402</v>
      </c>
      <c r="T80" s="10" t="n">
        <f aca="true">INDIRECT(ADDRESS(COLUMN()+119,ROW()+1,1,,"Cash"))</f>
        <v>45.27927943791</v>
      </c>
      <c r="U80" s="10" t="n">
        <f aca="true">INDIRECT(ADDRESS(COLUMN()+119,ROW()+1,1,,"Cash"))</f>
        <v>16.4595950059669</v>
      </c>
      <c r="V80" s="10" t="n">
        <f aca="true">INDIRECT(ADDRESS(COLUMN()+119,ROW()+1,1,,"Cash"))</f>
        <v>9.0948595287234</v>
      </c>
      <c r="W80" s="10" t="n">
        <f aca="true">INDIRECT(ADDRESS(COLUMN()+119,ROW()+1,1,,"Cash"))</f>
        <v>9.28928559829623</v>
      </c>
      <c r="X80" s="10" t="n">
        <f aca="true">INDIRECT(ADDRESS(COLUMN()+119,ROW()+1,1,,"Cash"))</f>
        <v>15.2321736721834</v>
      </c>
    </row>
    <row r="81" customFormat="false" ht="12.8" hidden="false" customHeight="false" outlineLevel="0" collapsed="false">
      <c r="A81" s="1" t="s">
        <v>403</v>
      </c>
      <c r="B81" s="10" t="n">
        <f aca="true">INDIRECT(ADDRESS(COLUMN()+119,ROW()+1,1,,"Cash"))</f>
        <v>388.889320441392</v>
      </c>
      <c r="C81" s="10" t="n">
        <f aca="true">INDIRECT(ADDRESS(COLUMN()+119,ROW()+1,1,,"Cash"))</f>
        <v>118.229290395352</v>
      </c>
      <c r="D81" s="10" t="n">
        <f aca="true">INDIRECT(ADDRESS(COLUMN()+119,ROW()+1,1,,"Cash"))</f>
        <v>49.8385449077928</v>
      </c>
      <c r="E81" s="10" t="n">
        <f aca="true">INDIRECT(ADDRESS(COLUMN()+119,ROW()+1,1,,"Cash"))</f>
        <v>15.6157977085344</v>
      </c>
      <c r="F81" s="10" t="n">
        <f aca="true">INDIRECT(ADDRESS(COLUMN()+119,ROW()+1,1,,"Cash"))</f>
        <v>239.636240122352</v>
      </c>
      <c r="G81" s="10" t="n">
        <f aca="true">INDIRECT(ADDRESS(COLUMN()+119,ROW()+1,1,,"Cash"))</f>
        <v>81.2124548337986</v>
      </c>
      <c r="H81" s="10" t="n">
        <f aca="true">INDIRECT(ADDRESS(COLUMN()+119,ROW()+1,1,,"Cash"))</f>
        <v>67.9073420402617</v>
      </c>
      <c r="I81" s="10" t="n">
        <f aca="true">INDIRECT(ADDRESS(COLUMN()+119,ROW()+1,1,,"Cash"))</f>
        <v>167.651897687538</v>
      </c>
      <c r="J81" s="10" t="n">
        <f aca="true">INDIRECT(ADDRESS(COLUMN()+119,ROW()+1,1,,"Cash"))</f>
        <v>36.484757880953</v>
      </c>
      <c r="K81" s="10" t="n">
        <f aca="true">INDIRECT(ADDRESS(COLUMN()+119,ROW()+1,1,,"Cash"))</f>
        <v>153.715422253788</v>
      </c>
      <c r="L81" s="10" t="n">
        <f aca="true">INDIRECT(ADDRESS(COLUMN()+119,ROW()+1,1,,"Cash"))</f>
        <v>58.5436910146969</v>
      </c>
      <c r="M81" s="10" t="n">
        <f aca="true">INDIRECT(ADDRESS(COLUMN()+119,ROW()+1,1,,"Cash"))</f>
        <v>76.9195280476017</v>
      </c>
      <c r="N81" s="10" t="n">
        <f aca="true">INDIRECT(ADDRESS(COLUMN()+119,ROW()+1,1,,"Cash"))</f>
        <v>44.0740013930681</v>
      </c>
      <c r="O81" s="10" t="n">
        <f aca="true">INDIRECT(ADDRESS(COLUMN()+119,ROW()+1,1,,"Cash"))</f>
        <v>63.1286645506231</v>
      </c>
      <c r="P81" s="10" t="n">
        <f aca="true">INDIRECT(ADDRESS(COLUMN()+119,ROW()+1,1,,"Cash"))</f>
        <v>34.0704387676951</v>
      </c>
      <c r="Q81" s="25" t="n">
        <f aca="true">INDIRECT(ADDRESS(COLUMN()+119,ROW()+1,1,,"Cash"))</f>
        <v>35.871942200509</v>
      </c>
      <c r="R81" s="10" t="n">
        <f aca="true">INDIRECT(ADDRESS(COLUMN()+119,ROW()+1,1,,"Cash"))</f>
        <v>59.1382999115794</v>
      </c>
      <c r="S81" s="10" t="n">
        <f aca="true">INDIRECT(ADDRESS(COLUMN()+119,ROW()+1,1,,"Cash"))</f>
        <v>566.696365323602</v>
      </c>
      <c r="T81" s="10" t="n">
        <f aca="true">INDIRECT(ADDRESS(COLUMN()+119,ROW()+1,1,,"Cash"))</f>
        <v>25.0954472380349</v>
      </c>
      <c r="U81" s="10" t="n">
        <f aca="true">INDIRECT(ADDRESS(COLUMN()+119,ROW()+1,1,,"Cash"))</f>
        <v>193.610013148331</v>
      </c>
      <c r="V81" s="10" t="n">
        <f aca="true">INDIRECT(ADDRESS(COLUMN()+119,ROW()+1,1,,"Cash"))</f>
        <v>42.3412588026995</v>
      </c>
      <c r="W81" s="10" t="n">
        <f aca="true">INDIRECT(ADDRESS(COLUMN()+119,ROW()+1,1,,"Cash"))</f>
        <v>502.863700278446</v>
      </c>
      <c r="X81" s="10" t="n">
        <f aca="true">INDIRECT(ADDRESS(COLUMN()+119,ROW()+1,1,,"Cash"))</f>
        <v>330.362701921429</v>
      </c>
    </row>
    <row r="82" customFormat="false" ht="12.8" hidden="false" customHeight="false" outlineLevel="0" collapsed="false">
      <c r="A82" s="1" t="s">
        <v>124</v>
      </c>
      <c r="B82" s="10" t="n">
        <f aca="true">INDIRECT(ADDRESS(COLUMN()+119,ROW()+1,1,,"Cash"))</f>
        <v>97.3757604768084</v>
      </c>
      <c r="C82" s="10" t="n">
        <f aca="true">INDIRECT(ADDRESS(COLUMN()+119,ROW()+1,1,,"Cash"))</f>
        <v>64.2014370699757</v>
      </c>
      <c r="D82" s="10" t="n">
        <f aca="true">INDIRECT(ADDRESS(COLUMN()+119,ROW()+1,1,,"Cash"))</f>
        <v>14.8508399170195</v>
      </c>
      <c r="E82" s="10" t="n">
        <f aca="true">INDIRECT(ADDRESS(COLUMN()+119,ROW()+1,1,,"Cash"))</f>
        <v>2.45264600563223</v>
      </c>
      <c r="F82" s="10" t="n">
        <f aca="true">INDIRECT(ADDRESS(COLUMN()+119,ROW()+1,1,,"Cash"))</f>
        <v>695.841405043711</v>
      </c>
      <c r="G82" s="10" t="n">
        <f aca="true">INDIRECT(ADDRESS(COLUMN()+119,ROW()+1,1,,"Cash"))</f>
        <v>14.5890622805781</v>
      </c>
      <c r="H82" s="10" t="n">
        <f aca="true">INDIRECT(ADDRESS(COLUMN()+119,ROW()+1,1,,"Cash"))</f>
        <v>13.1736868123681</v>
      </c>
      <c r="I82" s="10" t="n">
        <f aca="true">INDIRECT(ADDRESS(COLUMN()+119,ROW()+1,1,,"Cash"))</f>
        <v>152.778834793236</v>
      </c>
      <c r="J82" s="10" t="n">
        <f aca="true">INDIRECT(ADDRESS(COLUMN()+119,ROW()+1,1,,"Cash"))</f>
        <v>39.0859715024951</v>
      </c>
      <c r="K82" s="10" t="n">
        <f aca="true">INDIRECT(ADDRESS(COLUMN()+119,ROW()+1,1,,"Cash"))</f>
        <v>44.818090677196</v>
      </c>
      <c r="L82" s="10" t="n">
        <f aca="true">INDIRECT(ADDRESS(COLUMN()+119,ROW()+1,1,,"Cash"))</f>
        <v>18.1906148221937</v>
      </c>
      <c r="M82" s="10" t="n">
        <f aca="true">INDIRECT(ADDRESS(COLUMN()+119,ROW()+1,1,,"Cash"))</f>
        <v>169.001290773524</v>
      </c>
      <c r="N82" s="10" t="n">
        <f aca="true">INDIRECT(ADDRESS(COLUMN()+119,ROW()+1,1,,"Cash"))</f>
        <v>35.1171139485946</v>
      </c>
      <c r="O82" s="10" t="n">
        <f aca="true">INDIRECT(ADDRESS(COLUMN()+119,ROW()+1,1,,"Cash"))</f>
        <v>19.4249255109914</v>
      </c>
      <c r="P82" s="10" t="n">
        <f aca="true">INDIRECT(ADDRESS(COLUMN()+119,ROW()+1,1,,"Cash"))</f>
        <v>60.8092068058097</v>
      </c>
      <c r="Q82" s="25" t="n">
        <f aca="true">INDIRECT(ADDRESS(COLUMN()+119,ROW()+1,1,,"Cash"))</f>
        <v>13.2032073260545</v>
      </c>
      <c r="R82" s="10" t="n">
        <f aca="true">INDIRECT(ADDRESS(COLUMN()+119,ROW()+1,1,,"Cash"))</f>
        <v>17.352696488827</v>
      </c>
      <c r="S82" s="10" t="n">
        <f aca="true">INDIRECT(ADDRESS(COLUMN()+119,ROW()+1,1,,"Cash"))</f>
        <v>554.545503124606</v>
      </c>
      <c r="T82" s="10" t="n">
        <f aca="true">INDIRECT(ADDRESS(COLUMN()+119,ROW()+1,1,,"Cash"))</f>
        <v>3.12103382855898</v>
      </c>
      <c r="U82" s="10" t="n">
        <f aca="true">INDIRECT(ADDRESS(COLUMN()+119,ROW()+1,1,,"Cash"))</f>
        <v>71.9429876047434</v>
      </c>
      <c r="V82" s="10" t="n">
        <f aca="true">INDIRECT(ADDRESS(COLUMN()+119,ROW()+1,1,,"Cash"))</f>
        <v>172.418601405757</v>
      </c>
      <c r="W82" s="10" t="n">
        <f aca="true">INDIRECT(ADDRESS(COLUMN()+119,ROW()+1,1,,"Cash"))</f>
        <v>1976.88279189191</v>
      </c>
      <c r="X82" s="10" t="n">
        <f aca="true">INDIRECT(ADDRESS(COLUMN()+119,ROW()+1,1,,"Cash"))</f>
        <v>174.498173145732</v>
      </c>
    </row>
    <row r="83" customFormat="false" ht="12.8" hidden="false" customHeight="false" outlineLevel="0" collapsed="false">
      <c r="A83" s="1" t="s">
        <v>404</v>
      </c>
      <c r="B83" s="10" t="n">
        <f aca="true">INDIRECT(ADDRESS(COLUMN()+119,ROW()+1,1,,"Cash"))</f>
        <v>2.57149648482949</v>
      </c>
      <c r="C83" s="10" t="n">
        <f aca="true">INDIRECT(ADDRESS(COLUMN()+119,ROW()+1,1,,"Cash"))</f>
        <v>1</v>
      </c>
      <c r="D83" s="10" t="n">
        <f aca="true">INDIRECT(ADDRESS(COLUMN()+119,ROW()+1,1,,"Cash"))</f>
        <v>1</v>
      </c>
      <c r="E83" s="10" t="n">
        <f aca="true">INDIRECT(ADDRESS(COLUMN()+119,ROW()+1,1,,"Cash"))</f>
        <v>1</v>
      </c>
      <c r="F83" s="10" t="n">
        <f aca="true">INDIRECT(ADDRESS(COLUMN()+119,ROW()+1,1,,"Cash"))</f>
        <v>1</v>
      </c>
      <c r="G83" s="10" t="n">
        <f aca="true">INDIRECT(ADDRESS(COLUMN()+119,ROW()+1,1,,"Cash"))</f>
        <v>1</v>
      </c>
      <c r="H83" s="10" t="n">
        <f aca="true">INDIRECT(ADDRESS(COLUMN()+119,ROW()+1,1,,"Cash"))</f>
        <v>1</v>
      </c>
      <c r="I83" s="10" t="n">
        <f aca="true">INDIRECT(ADDRESS(COLUMN()+119,ROW()+1,1,,"Cash"))</f>
        <v>1</v>
      </c>
      <c r="J83" s="10" t="n">
        <f aca="true">INDIRECT(ADDRESS(COLUMN()+119,ROW()+1,1,,"Cash"))</f>
        <v>1</v>
      </c>
      <c r="K83" s="10" t="n">
        <f aca="true">INDIRECT(ADDRESS(COLUMN()+119,ROW()+1,1,,"Cash"))</f>
        <v>1</v>
      </c>
      <c r="L83" s="10" t="n">
        <f aca="true">INDIRECT(ADDRESS(COLUMN()+119,ROW()+1,1,,"Cash"))</f>
        <v>1</v>
      </c>
      <c r="M83" s="10" t="n">
        <f aca="true">INDIRECT(ADDRESS(COLUMN()+119,ROW()+1,1,,"Cash"))</f>
        <v>1</v>
      </c>
      <c r="N83" s="10" t="n">
        <f aca="true">INDIRECT(ADDRESS(COLUMN()+119,ROW()+1,1,,"Cash"))</f>
        <v>1.04714665914757</v>
      </c>
      <c r="O83" s="10" t="n">
        <f aca="true">INDIRECT(ADDRESS(COLUMN()+119,ROW()+1,1,,"Cash"))</f>
        <v>1.27017378037528</v>
      </c>
      <c r="P83" s="10" t="n">
        <f aca="true">INDIRECT(ADDRESS(COLUMN()+119,ROW()+1,1,,"Cash"))</f>
        <v>1</v>
      </c>
      <c r="Q83" s="25" t="n">
        <f aca="true">INDIRECT(ADDRESS(COLUMN()+119,ROW()+1,1,,"Cash"))</f>
        <v>1</v>
      </c>
      <c r="R83" s="10" t="n">
        <f aca="true">INDIRECT(ADDRESS(COLUMN()+119,ROW()+1,1,,"Cash"))</f>
        <v>1</v>
      </c>
      <c r="S83" s="10" t="n">
        <f aca="true">INDIRECT(ADDRESS(COLUMN()+119,ROW()+1,1,,"Cash"))</f>
        <v>1</v>
      </c>
      <c r="T83" s="10" t="n">
        <f aca="true">INDIRECT(ADDRESS(COLUMN()+119,ROW()+1,1,,"Cash"))</f>
        <v>6.44849899887972</v>
      </c>
      <c r="U83" s="10" t="n">
        <f aca="true">INDIRECT(ADDRESS(COLUMN()+119,ROW()+1,1,,"Cash"))</f>
        <v>1</v>
      </c>
      <c r="V83" s="10" t="n">
        <f aca="true">INDIRECT(ADDRESS(COLUMN()+119,ROW()+1,1,,"Cash"))</f>
        <v>1</v>
      </c>
      <c r="W83" s="10" t="n">
        <f aca="true">INDIRECT(ADDRESS(COLUMN()+119,ROW()+1,1,,"Cash"))</f>
        <v>1</v>
      </c>
      <c r="X83" s="10" t="n">
        <f aca="true">INDIRECT(ADDRESS(COLUMN()+119,ROW()+1,1,,"Cash"))</f>
        <v>1</v>
      </c>
    </row>
    <row r="84" customFormat="false" ht="12.8" hidden="false" customHeight="false" outlineLevel="0" collapsed="false">
      <c r="A84" s="1" t="s">
        <v>405</v>
      </c>
      <c r="B84" s="10" t="n">
        <f aca="true">INDIRECT(ADDRESS(COLUMN()+119,ROW()+1,1,,"Cash"))</f>
        <v>1651.27662629693</v>
      </c>
      <c r="C84" s="10" t="n">
        <f aca="true">INDIRECT(ADDRESS(COLUMN()+119,ROW()+1,1,,"Cash"))</f>
        <v>11.2592894572664</v>
      </c>
      <c r="D84" s="10" t="n">
        <f aca="true">INDIRECT(ADDRESS(COLUMN()+119,ROW()+1,1,,"Cash"))</f>
        <v>54.6556875545083</v>
      </c>
      <c r="E84" s="10" t="n">
        <f aca="true">INDIRECT(ADDRESS(COLUMN()+119,ROW()+1,1,,"Cash"))</f>
        <v>2884.85767486619</v>
      </c>
      <c r="F84" s="10" t="n">
        <f aca="true">INDIRECT(ADDRESS(COLUMN()+119,ROW()+1,1,,"Cash"))</f>
        <v>42.37305278617</v>
      </c>
      <c r="G84" s="10" t="n">
        <f aca="true">INDIRECT(ADDRESS(COLUMN()+119,ROW()+1,1,,"Cash"))</f>
        <v>67.6608649708958</v>
      </c>
      <c r="H84" s="10" t="n">
        <f aca="true">INDIRECT(ADDRESS(COLUMN()+119,ROW()+1,1,,"Cash"))</f>
        <v>8157.96866316185</v>
      </c>
      <c r="I84" s="10" t="n">
        <f aca="true">INDIRECT(ADDRESS(COLUMN()+119,ROW()+1,1,,"Cash"))</f>
        <v>15.2248282568091</v>
      </c>
      <c r="J84" s="10" t="n">
        <f aca="true">INDIRECT(ADDRESS(COLUMN()+119,ROW()+1,1,,"Cash"))</f>
        <v>40.4616576771857</v>
      </c>
      <c r="K84" s="10" t="n">
        <f aca="true">INDIRECT(ADDRESS(COLUMN()+119,ROW()+1,1,,"Cash"))</f>
        <v>19.211239397981</v>
      </c>
      <c r="L84" s="10" t="n">
        <f aca="true">INDIRECT(ADDRESS(COLUMN()+119,ROW()+1,1,,"Cash"))</f>
        <v>102.736296210309</v>
      </c>
      <c r="M84" s="10" t="n">
        <f aca="true">INDIRECT(ADDRESS(COLUMN()+119,ROW()+1,1,,"Cash"))</f>
        <v>1012.57959125506</v>
      </c>
      <c r="N84" s="10" t="n">
        <f aca="true">INDIRECT(ADDRESS(COLUMN()+119,ROW()+1,1,,"Cash"))</f>
        <v>74.9535040224889</v>
      </c>
      <c r="O84" s="10" t="n">
        <f aca="true">INDIRECT(ADDRESS(COLUMN()+119,ROW()+1,1,,"Cash"))</f>
        <v>22.4698910993581</v>
      </c>
      <c r="P84" s="10" t="n">
        <f aca="true">INDIRECT(ADDRESS(COLUMN()+119,ROW()+1,1,,"Cash"))</f>
        <v>69.057329740324</v>
      </c>
      <c r="Q84" s="25" t="n">
        <f aca="true">INDIRECT(ADDRESS(COLUMN()+119,ROW()+1,1,,"Cash"))</f>
        <v>7.38516079254991</v>
      </c>
      <c r="R84" s="10" t="n">
        <f aca="true">INDIRECT(ADDRESS(COLUMN()+119,ROW()+1,1,,"Cash"))</f>
        <v>59.412821038556</v>
      </c>
      <c r="S84" s="10" t="n">
        <f aca="true">INDIRECT(ADDRESS(COLUMN()+119,ROW()+1,1,,"Cash"))</f>
        <v>535.741525712405</v>
      </c>
      <c r="T84" s="10" t="n">
        <f aca="true">INDIRECT(ADDRESS(COLUMN()+119,ROW()+1,1,,"Cash"))</f>
        <v>137.216626021272</v>
      </c>
      <c r="U84" s="10" t="n">
        <f aca="true">INDIRECT(ADDRESS(COLUMN()+119,ROW()+1,1,,"Cash"))</f>
        <v>51.8470443037851</v>
      </c>
      <c r="V84" s="10" t="n">
        <f aca="true">INDIRECT(ADDRESS(COLUMN()+119,ROW()+1,1,,"Cash"))</f>
        <v>64.9177422549069</v>
      </c>
      <c r="W84" s="10" t="n">
        <f aca="true">INDIRECT(ADDRESS(COLUMN()+119,ROW()+1,1,,"Cash"))</f>
        <v>829.394499643948</v>
      </c>
      <c r="X84" s="10" t="n">
        <f aca="true">INDIRECT(ADDRESS(COLUMN()+119,ROW()+1,1,,"Cash"))</f>
        <v>150.339693225669</v>
      </c>
    </row>
    <row r="85" customFormat="false" ht="12.8" hidden="false" customHeight="false" outlineLevel="0" collapsed="false">
      <c r="A85" s="1" t="s">
        <v>127</v>
      </c>
      <c r="B85" s="10" t="n">
        <f aca="true">INDIRECT(ADDRESS(COLUMN()+119,ROW()+1,1,,"Cash"))</f>
        <v>303.017599562904</v>
      </c>
      <c r="C85" s="10" t="n">
        <f aca="true">INDIRECT(ADDRESS(COLUMN()+119,ROW()+1,1,,"Cash"))</f>
        <v>26.3298691476064</v>
      </c>
      <c r="D85" s="10" t="n">
        <f aca="true">INDIRECT(ADDRESS(COLUMN()+119,ROW()+1,1,,"Cash"))</f>
        <v>363.71272050846</v>
      </c>
      <c r="E85" s="10" t="n">
        <f aca="true">INDIRECT(ADDRESS(COLUMN()+119,ROW()+1,1,,"Cash"))</f>
        <v>1746.25009374481</v>
      </c>
      <c r="F85" s="10" t="n">
        <f aca="true">INDIRECT(ADDRESS(COLUMN()+119,ROW()+1,1,,"Cash"))</f>
        <v>25.7359093950257</v>
      </c>
      <c r="G85" s="10" t="n">
        <f aca="true">INDIRECT(ADDRESS(COLUMN()+119,ROW()+1,1,,"Cash"))</f>
        <v>874.949483843602</v>
      </c>
      <c r="H85" s="10" t="n">
        <f aca="true">INDIRECT(ADDRESS(COLUMN()+119,ROW()+1,1,,"Cash"))</f>
        <v>164.639772018489</v>
      </c>
      <c r="I85" s="10" t="n">
        <f aca="true">INDIRECT(ADDRESS(COLUMN()+119,ROW()+1,1,,"Cash"))</f>
        <v>12.1495891461112</v>
      </c>
      <c r="J85" s="10" t="n">
        <f aca="true">INDIRECT(ADDRESS(COLUMN()+119,ROW()+1,1,,"Cash"))</f>
        <v>281.078766070353</v>
      </c>
      <c r="K85" s="10" t="n">
        <f aca="true">INDIRECT(ADDRESS(COLUMN()+119,ROW()+1,1,,"Cash"))</f>
        <v>14.7260056153856</v>
      </c>
      <c r="L85" s="10" t="n">
        <f aca="true">INDIRECT(ADDRESS(COLUMN()+119,ROW()+1,1,,"Cash"))</f>
        <v>94.9727920194992</v>
      </c>
      <c r="M85" s="10" t="n">
        <f aca="true">INDIRECT(ADDRESS(COLUMN()+119,ROW()+1,1,,"Cash"))</f>
        <v>86.9144237368378</v>
      </c>
      <c r="N85" s="10" t="n">
        <f aca="true">INDIRECT(ADDRESS(COLUMN()+119,ROW()+1,1,,"Cash"))</f>
        <v>7473.76201773257</v>
      </c>
      <c r="O85" s="10" t="n">
        <f aca="true">INDIRECT(ADDRESS(COLUMN()+119,ROW()+1,1,,"Cash"))</f>
        <v>67.3776076947757</v>
      </c>
      <c r="P85" s="10" t="n">
        <f aca="true">INDIRECT(ADDRESS(COLUMN()+119,ROW()+1,1,,"Cash"))</f>
        <v>1036.37591395548</v>
      </c>
      <c r="Q85" s="25" t="n">
        <f aca="true">INDIRECT(ADDRESS(COLUMN()+119,ROW()+1,1,,"Cash"))</f>
        <v>5.49962619648678</v>
      </c>
      <c r="R85" s="10" t="n">
        <f aca="true">INDIRECT(ADDRESS(COLUMN()+119,ROW()+1,1,,"Cash"))</f>
        <v>159.101156565248</v>
      </c>
      <c r="S85" s="10" t="n">
        <f aca="true">INDIRECT(ADDRESS(COLUMN()+119,ROW()+1,1,,"Cash"))</f>
        <v>30.1522984810851</v>
      </c>
      <c r="T85" s="10" t="n">
        <f aca="true">INDIRECT(ADDRESS(COLUMN()+119,ROW()+1,1,,"Cash"))</f>
        <v>136.970137978336</v>
      </c>
      <c r="U85" s="10" t="n">
        <f aca="true">INDIRECT(ADDRESS(COLUMN()+119,ROW()+1,1,,"Cash"))</f>
        <v>20.7815236375045</v>
      </c>
      <c r="V85" s="10" t="n">
        <f aca="true">INDIRECT(ADDRESS(COLUMN()+119,ROW()+1,1,,"Cash"))</f>
        <v>105.19294924418</v>
      </c>
      <c r="W85" s="10" t="n">
        <f aca="true">INDIRECT(ADDRESS(COLUMN()+119,ROW()+1,1,,"Cash"))</f>
        <v>222.369549592154</v>
      </c>
      <c r="X85" s="10" t="n">
        <f aca="true">INDIRECT(ADDRESS(COLUMN()+119,ROW()+1,1,,"Cash"))</f>
        <v>53.2327233591583</v>
      </c>
    </row>
    <row r="86" customFormat="false" ht="12.8" hidden="false" customHeight="false" outlineLevel="0" collapsed="false">
      <c r="A86" s="1" t="s">
        <v>128</v>
      </c>
      <c r="B86" s="10" t="n">
        <f aca="true">INDIRECT(ADDRESS(COLUMN()+119,ROW()+1,1,,"Cash"))</f>
        <v>291.245425602263</v>
      </c>
      <c r="C86" s="10" t="n">
        <f aca="true">INDIRECT(ADDRESS(COLUMN()+119,ROW()+1,1,,"Cash"))</f>
        <v>571.450553241862</v>
      </c>
      <c r="D86" s="10" t="n">
        <f aca="true">INDIRECT(ADDRESS(COLUMN()+119,ROW()+1,1,,"Cash"))</f>
        <v>219.616911119669</v>
      </c>
      <c r="E86" s="10" t="n">
        <f aca="true">INDIRECT(ADDRESS(COLUMN()+119,ROW()+1,1,,"Cash"))</f>
        <v>120.403083201673</v>
      </c>
      <c r="F86" s="10" t="n">
        <f aca="true">INDIRECT(ADDRESS(COLUMN()+119,ROW()+1,1,,"Cash"))</f>
        <v>644.902289893828</v>
      </c>
      <c r="G86" s="10" t="n">
        <f aca="true">INDIRECT(ADDRESS(COLUMN()+119,ROW()+1,1,,"Cash"))</f>
        <v>246.981806007446</v>
      </c>
      <c r="H86" s="10" t="n">
        <f aca="true">INDIRECT(ADDRESS(COLUMN()+119,ROW()+1,1,,"Cash"))</f>
        <v>1026.71267998479</v>
      </c>
      <c r="I86" s="10" t="n">
        <f aca="true">INDIRECT(ADDRESS(COLUMN()+119,ROW()+1,1,,"Cash"))</f>
        <v>192.683176566577</v>
      </c>
      <c r="J86" s="10" t="n">
        <f aca="true">INDIRECT(ADDRESS(COLUMN()+119,ROW()+1,1,,"Cash"))</f>
        <v>247.937305765444</v>
      </c>
      <c r="K86" s="10" t="n">
        <f aca="true">INDIRECT(ADDRESS(COLUMN()+119,ROW()+1,1,,"Cash"))</f>
        <v>252.883783105733</v>
      </c>
      <c r="L86" s="10" t="n">
        <f aca="true">INDIRECT(ADDRESS(COLUMN()+119,ROW()+1,1,,"Cash"))</f>
        <v>220.644099936021</v>
      </c>
      <c r="M86" s="10" t="n">
        <f aca="true">INDIRECT(ADDRESS(COLUMN()+119,ROW()+1,1,,"Cash"))</f>
        <v>1620.12204592864</v>
      </c>
      <c r="N86" s="10" t="n">
        <f aca="true">INDIRECT(ADDRESS(COLUMN()+119,ROW()+1,1,,"Cash"))</f>
        <v>840.893744167227</v>
      </c>
      <c r="O86" s="10" t="n">
        <f aca="true">INDIRECT(ADDRESS(COLUMN()+119,ROW()+1,1,,"Cash"))</f>
        <v>241.781111177564</v>
      </c>
      <c r="P86" s="10" t="n">
        <f aca="true">INDIRECT(ADDRESS(COLUMN()+119,ROW()+1,1,,"Cash"))</f>
        <v>209.378161240622</v>
      </c>
      <c r="Q86" s="25" t="n">
        <f aca="true">INDIRECT(ADDRESS(COLUMN()+119,ROW()+1,1,,"Cash"))</f>
        <v>87.4294368559607</v>
      </c>
      <c r="R86" s="10" t="n">
        <f aca="true">INDIRECT(ADDRESS(COLUMN()+119,ROW()+1,1,,"Cash"))</f>
        <v>1076.84373593201</v>
      </c>
      <c r="S86" s="10" t="n">
        <f aca="true">INDIRECT(ADDRESS(COLUMN()+119,ROW()+1,1,,"Cash"))</f>
        <v>639.222171736718</v>
      </c>
      <c r="T86" s="10" t="n">
        <f aca="true">INDIRECT(ADDRESS(COLUMN()+119,ROW()+1,1,,"Cash"))</f>
        <v>99.7712142198845</v>
      </c>
      <c r="U86" s="10" t="n">
        <f aca="true">INDIRECT(ADDRESS(COLUMN()+119,ROW()+1,1,,"Cash"))</f>
        <v>194.141324183072</v>
      </c>
      <c r="V86" s="10" t="n">
        <f aca="true">INDIRECT(ADDRESS(COLUMN()+119,ROW()+1,1,,"Cash"))</f>
        <v>151.302505147922</v>
      </c>
      <c r="W86" s="10" t="n">
        <f aca="true">INDIRECT(ADDRESS(COLUMN()+119,ROW()+1,1,,"Cash"))</f>
        <v>276.79877342857</v>
      </c>
      <c r="X86" s="10" t="n">
        <f aca="true">INDIRECT(ADDRESS(COLUMN()+119,ROW()+1,1,,"Cash"))</f>
        <v>632.992704263587</v>
      </c>
    </row>
    <row r="87" customFormat="false" ht="12.8" hidden="false" customHeight="false" outlineLevel="0" collapsed="false">
      <c r="A87" s="1" t="s">
        <v>129</v>
      </c>
      <c r="B87" s="10" t="n">
        <f aca="true">INDIRECT(ADDRESS(COLUMN()+119,ROW()+1,1,,"Cash"))</f>
        <v>2947.90150525669</v>
      </c>
      <c r="C87" s="10" t="n">
        <f aca="true">INDIRECT(ADDRESS(COLUMN()+119,ROW()+1,1,,"Cash"))</f>
        <v>5638.97004827767</v>
      </c>
      <c r="D87" s="10" t="n">
        <f aca="true">INDIRECT(ADDRESS(COLUMN()+119,ROW()+1,1,,"Cash"))</f>
        <v>11069.3541915947</v>
      </c>
      <c r="E87" s="10" t="n">
        <f aca="true">INDIRECT(ADDRESS(COLUMN()+119,ROW()+1,1,,"Cash"))</f>
        <v>849.191634956864</v>
      </c>
      <c r="F87" s="10" t="n">
        <f aca="true">INDIRECT(ADDRESS(COLUMN()+119,ROW()+1,1,,"Cash"))</f>
        <v>31595.3908178851</v>
      </c>
      <c r="G87" s="10" t="n">
        <f aca="true">INDIRECT(ADDRESS(COLUMN()+119,ROW()+1,1,,"Cash"))</f>
        <v>11243.4309646392</v>
      </c>
      <c r="H87" s="10" t="n">
        <f aca="true">INDIRECT(ADDRESS(COLUMN()+119,ROW()+1,1,,"Cash"))</f>
        <v>11650.2576367792</v>
      </c>
      <c r="I87" s="10" t="n">
        <f aca="true">INDIRECT(ADDRESS(COLUMN()+119,ROW()+1,1,,"Cash"))</f>
        <v>2460.19159666504</v>
      </c>
      <c r="J87" s="10" t="n">
        <f aca="true">INDIRECT(ADDRESS(COLUMN()+119,ROW()+1,1,,"Cash"))</f>
        <v>1181.34687850515</v>
      </c>
      <c r="K87" s="10" t="n">
        <f aca="true">INDIRECT(ADDRESS(COLUMN()+119,ROW()+1,1,,"Cash"))</f>
        <v>1860.82781508666</v>
      </c>
      <c r="L87" s="10" t="n">
        <f aca="true">INDIRECT(ADDRESS(COLUMN()+119,ROW()+1,1,,"Cash"))</f>
        <v>1365.08561380449</v>
      </c>
      <c r="M87" s="10" t="n">
        <f aca="true">INDIRECT(ADDRESS(COLUMN()+119,ROW()+1,1,,"Cash"))</f>
        <v>1809.93336676434</v>
      </c>
      <c r="N87" s="10" t="n">
        <f aca="true">INDIRECT(ADDRESS(COLUMN()+119,ROW()+1,1,,"Cash"))</f>
        <v>6358.1473818779</v>
      </c>
      <c r="O87" s="10" t="n">
        <f aca="true">INDIRECT(ADDRESS(COLUMN()+119,ROW()+1,1,,"Cash"))</f>
        <v>3651.19515226252</v>
      </c>
      <c r="P87" s="10" t="n">
        <f aca="true">INDIRECT(ADDRESS(COLUMN()+119,ROW()+1,1,,"Cash"))</f>
        <v>1184.74165931184</v>
      </c>
      <c r="Q87" s="25" t="n">
        <f aca="true">INDIRECT(ADDRESS(COLUMN()+119,ROW()+1,1,,"Cash"))</f>
        <v>1005.57430855617</v>
      </c>
      <c r="R87" s="10" t="n">
        <f aca="true">INDIRECT(ADDRESS(COLUMN()+119,ROW()+1,1,,"Cash"))</f>
        <v>1370.68260115302</v>
      </c>
      <c r="S87" s="10" t="n">
        <f aca="true">INDIRECT(ADDRESS(COLUMN()+119,ROW()+1,1,,"Cash"))</f>
        <v>22556.0878224662</v>
      </c>
      <c r="T87" s="10" t="n">
        <f aca="true">INDIRECT(ADDRESS(COLUMN()+119,ROW()+1,1,,"Cash"))</f>
        <v>887.96274082806</v>
      </c>
      <c r="U87" s="10" t="n">
        <f aca="true">INDIRECT(ADDRESS(COLUMN()+119,ROW()+1,1,,"Cash"))</f>
        <v>11182.2949174703</v>
      </c>
      <c r="V87" s="10" t="n">
        <f aca="true">INDIRECT(ADDRESS(COLUMN()+119,ROW()+1,1,,"Cash"))</f>
        <v>820.473215090468</v>
      </c>
      <c r="W87" s="10" t="n">
        <f aca="true">INDIRECT(ADDRESS(COLUMN()+119,ROW()+1,1,,"Cash"))</f>
        <v>1700.17394151744</v>
      </c>
      <c r="X87" s="10" t="n">
        <f aca="true">INDIRECT(ADDRESS(COLUMN()+119,ROW()+1,1,,"Cash"))</f>
        <v>5827.00502434995</v>
      </c>
    </row>
    <row r="88" customFormat="false" ht="12.8" hidden="false" customHeight="false" outlineLevel="0" collapsed="false">
      <c r="A88" s="1" t="s">
        <v>130</v>
      </c>
      <c r="B88" s="10" t="n">
        <f aca="true">INDIRECT(ADDRESS(COLUMN()+119,ROW()+1,1,,"Cash"))</f>
        <v>1173.83835694589</v>
      </c>
      <c r="C88" s="10" t="n">
        <f aca="true">INDIRECT(ADDRESS(COLUMN()+119,ROW()+1,1,,"Cash"))</f>
        <v>916.721146637719</v>
      </c>
      <c r="D88" s="10" t="n">
        <f aca="true">INDIRECT(ADDRESS(COLUMN()+119,ROW()+1,1,,"Cash"))</f>
        <v>705.28668427556</v>
      </c>
      <c r="E88" s="10" t="n">
        <f aca="true">INDIRECT(ADDRESS(COLUMN()+119,ROW()+1,1,,"Cash"))</f>
        <v>329.686068115778</v>
      </c>
      <c r="F88" s="10" t="n">
        <f aca="true">INDIRECT(ADDRESS(COLUMN()+119,ROW()+1,1,,"Cash"))</f>
        <v>5705.36011967056</v>
      </c>
      <c r="G88" s="10" t="n">
        <f aca="true">INDIRECT(ADDRESS(COLUMN()+119,ROW()+1,1,,"Cash"))</f>
        <v>883.365207256868</v>
      </c>
      <c r="H88" s="10" t="n">
        <f aca="true">INDIRECT(ADDRESS(COLUMN()+119,ROW()+1,1,,"Cash"))</f>
        <v>531.264700123648</v>
      </c>
      <c r="I88" s="10" t="n">
        <f aca="true">INDIRECT(ADDRESS(COLUMN()+119,ROW()+1,1,,"Cash"))</f>
        <v>1596.69433119093</v>
      </c>
      <c r="J88" s="10" t="n">
        <f aca="true">INDIRECT(ADDRESS(COLUMN()+119,ROW()+1,1,,"Cash"))</f>
        <v>2761.79537048649</v>
      </c>
      <c r="K88" s="10" t="n">
        <f aca="true">INDIRECT(ADDRESS(COLUMN()+119,ROW()+1,1,,"Cash"))</f>
        <v>573.43206370897</v>
      </c>
      <c r="L88" s="10" t="n">
        <f aca="true">INDIRECT(ADDRESS(COLUMN()+119,ROW()+1,1,,"Cash"))</f>
        <v>1032.13137356807</v>
      </c>
      <c r="M88" s="10" t="n">
        <f aca="true">INDIRECT(ADDRESS(COLUMN()+119,ROW()+1,1,,"Cash"))</f>
        <v>4996.27084121605</v>
      </c>
      <c r="N88" s="10" t="n">
        <f aca="true">INDIRECT(ADDRESS(COLUMN()+119,ROW()+1,1,,"Cash"))</f>
        <v>1585.97639948806</v>
      </c>
      <c r="O88" s="10" t="n">
        <f aca="true">INDIRECT(ADDRESS(COLUMN()+119,ROW()+1,1,,"Cash"))</f>
        <v>799.613061318388</v>
      </c>
      <c r="P88" s="10" t="n">
        <f aca="true">INDIRECT(ADDRESS(COLUMN()+119,ROW()+1,1,,"Cash"))</f>
        <v>4791.89417275808</v>
      </c>
      <c r="Q88" s="25" t="n">
        <f aca="true">INDIRECT(ADDRESS(COLUMN()+119,ROW()+1,1,,"Cash"))</f>
        <v>602.523420968815</v>
      </c>
      <c r="R88" s="10" t="n">
        <f aca="true">INDIRECT(ADDRESS(COLUMN()+119,ROW()+1,1,,"Cash"))</f>
        <v>1108.31910308115</v>
      </c>
      <c r="S88" s="10" t="n">
        <f aca="true">INDIRECT(ADDRESS(COLUMN()+119,ROW()+1,1,,"Cash"))</f>
        <v>2164.71605654926</v>
      </c>
      <c r="T88" s="10" t="n">
        <f aca="true">INDIRECT(ADDRESS(COLUMN()+119,ROW()+1,1,,"Cash"))</f>
        <v>292.009808446772</v>
      </c>
      <c r="U88" s="10" t="n">
        <f aca="true">INDIRECT(ADDRESS(COLUMN()+119,ROW()+1,1,,"Cash"))</f>
        <v>720.611449008491</v>
      </c>
      <c r="V88" s="10" t="n">
        <f aca="true">INDIRECT(ADDRESS(COLUMN()+119,ROW()+1,1,,"Cash"))</f>
        <v>11237.6486725857</v>
      </c>
      <c r="W88" s="10" t="n">
        <f aca="true">INDIRECT(ADDRESS(COLUMN()+119,ROW()+1,1,,"Cash"))</f>
        <v>19174.6396689356</v>
      </c>
      <c r="X88" s="10" t="n">
        <f aca="true">INDIRECT(ADDRESS(COLUMN()+119,ROW()+1,1,,"Cash"))</f>
        <v>3004.53357160749</v>
      </c>
    </row>
    <row r="89" customFormat="false" ht="12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21"/>
      <c r="R89" s="7"/>
      <c r="S89" s="7"/>
      <c r="T89" s="7"/>
      <c r="U89" s="7"/>
      <c r="V89" s="7"/>
      <c r="W89" s="7"/>
      <c r="X89" s="7"/>
    </row>
    <row r="90" customFormat="false" ht="12.8" hidden="false" customHeight="false" outlineLevel="0" collapsed="false">
      <c r="A90" s="41" t="s">
        <v>631</v>
      </c>
    </row>
    <row r="91" customFormat="false" ht="12.8" hidden="false" customHeight="false" outlineLevel="0" collapsed="false">
      <c r="A91" s="1" t="s">
        <v>422</v>
      </c>
      <c r="B91" s="0" t="s">
        <v>282</v>
      </c>
      <c r="C91" s="0" t="s">
        <v>632</v>
      </c>
      <c r="D91" s="0" t="s">
        <v>633</v>
      </c>
      <c r="E91" s="0" t="s">
        <v>634</v>
      </c>
      <c r="F91" s="0" t="s">
        <v>635</v>
      </c>
      <c r="G91" s="0" t="s">
        <v>635</v>
      </c>
      <c r="H91" s="0" t="s">
        <v>635</v>
      </c>
      <c r="I91" s="0" t="s">
        <v>635</v>
      </c>
      <c r="J91" s="0" t="s">
        <v>636</v>
      </c>
      <c r="K91" s="0" t="s">
        <v>282</v>
      </c>
      <c r="L91" s="0" t="s">
        <v>282</v>
      </c>
      <c r="M91" s="0" t="s">
        <v>637</v>
      </c>
      <c r="N91" s="0" t="s">
        <v>638</v>
      </c>
      <c r="O91" s="0" t="s">
        <v>282</v>
      </c>
      <c r="P91" s="0" t="s">
        <v>637</v>
      </c>
      <c r="Q91" s="17" t="s">
        <v>635</v>
      </c>
      <c r="R91" s="0" t="s">
        <v>633</v>
      </c>
      <c r="S91" s="0" t="s">
        <v>635</v>
      </c>
      <c r="T91" s="0" t="s">
        <v>633</v>
      </c>
      <c r="U91" s="0" t="s">
        <v>633</v>
      </c>
      <c r="V91" s="0" t="s">
        <v>282</v>
      </c>
      <c r="W91" s="0" t="s">
        <v>282</v>
      </c>
      <c r="X91" s="0" t="s">
        <v>636</v>
      </c>
    </row>
    <row r="92" customFormat="false" ht="12.8" hidden="false" customHeight="false" outlineLevel="0" collapsed="false">
      <c r="A92" s="1" t="s">
        <v>423</v>
      </c>
      <c r="B92" s="0" t="s">
        <v>639</v>
      </c>
      <c r="C92" s="0" t="s">
        <v>176</v>
      </c>
      <c r="D92" s="0" t="s">
        <v>635</v>
      </c>
      <c r="E92" s="0" t="s">
        <v>638</v>
      </c>
      <c r="F92" s="0" t="s">
        <v>282</v>
      </c>
      <c r="G92" s="0" t="s">
        <v>282</v>
      </c>
      <c r="H92" s="0" t="s">
        <v>636</v>
      </c>
      <c r="I92" s="0" t="s">
        <v>640</v>
      </c>
      <c r="J92" s="0" t="s">
        <v>282</v>
      </c>
      <c r="K92" s="0" t="s">
        <v>181</v>
      </c>
      <c r="L92" s="0" t="s">
        <v>641</v>
      </c>
      <c r="M92" s="0" t="s">
        <v>635</v>
      </c>
      <c r="N92" s="0" t="s">
        <v>635</v>
      </c>
      <c r="O92" s="0" t="s">
        <v>635</v>
      </c>
      <c r="P92" s="0" t="s">
        <v>634</v>
      </c>
      <c r="Q92" s="17" t="s">
        <v>637</v>
      </c>
      <c r="R92" s="0" t="s">
        <v>636</v>
      </c>
      <c r="S92" s="0" t="s">
        <v>282</v>
      </c>
      <c r="T92" s="0" t="s">
        <v>638</v>
      </c>
      <c r="U92" s="0" t="s">
        <v>282</v>
      </c>
      <c r="V92" s="0" t="s">
        <v>636</v>
      </c>
      <c r="W92" s="0" t="s">
        <v>635</v>
      </c>
      <c r="X92" s="0" t="s">
        <v>282</v>
      </c>
    </row>
    <row r="93" customFormat="false" ht="12.8" hidden="false" customHeight="false" outlineLevel="0" collapsed="false">
      <c r="A93" s="1" t="s">
        <v>424</v>
      </c>
      <c r="B93" s="0" t="s">
        <v>642</v>
      </c>
      <c r="C93" s="0" t="s">
        <v>643</v>
      </c>
      <c r="D93" s="0" t="s">
        <v>282</v>
      </c>
      <c r="E93" s="0" t="s">
        <v>633</v>
      </c>
      <c r="F93" s="0" t="s">
        <v>633</v>
      </c>
      <c r="G93" s="0" t="s">
        <v>637</v>
      </c>
      <c r="H93" s="0" t="s">
        <v>282</v>
      </c>
      <c r="I93" s="0" t="s">
        <v>643</v>
      </c>
      <c r="J93" s="0" t="s">
        <v>634</v>
      </c>
      <c r="K93" s="0" t="s">
        <v>643</v>
      </c>
      <c r="L93" s="0" t="s">
        <v>632</v>
      </c>
      <c r="M93" s="0" t="s">
        <v>282</v>
      </c>
      <c r="N93" s="0" t="s">
        <v>637</v>
      </c>
      <c r="O93" s="0" t="s">
        <v>644</v>
      </c>
      <c r="P93" s="0" t="s">
        <v>638</v>
      </c>
      <c r="Q93" s="17" t="s">
        <v>636</v>
      </c>
      <c r="R93" s="0" t="s">
        <v>635</v>
      </c>
      <c r="S93" s="0" t="s">
        <v>640</v>
      </c>
      <c r="T93" s="0" t="s">
        <v>634</v>
      </c>
      <c r="U93" s="0" t="s">
        <v>635</v>
      </c>
      <c r="V93" s="0" t="s">
        <v>645</v>
      </c>
      <c r="W93" s="0" t="s">
        <v>638</v>
      </c>
      <c r="X93" s="0" t="s">
        <v>638</v>
      </c>
    </row>
    <row r="94" customFormat="false" ht="12.8" hidden="false" customHeight="false" outlineLevel="0" collapsed="false">
      <c r="A94" s="1" t="s">
        <v>425</v>
      </c>
      <c r="B94" s="0" t="s">
        <v>646</v>
      </c>
      <c r="C94" s="0" t="s">
        <v>640</v>
      </c>
      <c r="D94" s="0" t="s">
        <v>647</v>
      </c>
      <c r="E94" s="0" t="s">
        <v>636</v>
      </c>
      <c r="F94" s="0" t="s">
        <v>175</v>
      </c>
      <c r="G94" s="0" t="s">
        <v>648</v>
      </c>
      <c r="H94" s="0" t="s">
        <v>638</v>
      </c>
      <c r="I94" s="0" t="s">
        <v>641</v>
      </c>
      <c r="J94" s="0" t="s">
        <v>649</v>
      </c>
      <c r="K94" s="0" t="s">
        <v>640</v>
      </c>
      <c r="L94" s="0" t="s">
        <v>650</v>
      </c>
      <c r="M94" s="0" t="s">
        <v>651</v>
      </c>
      <c r="N94" s="0" t="s">
        <v>282</v>
      </c>
      <c r="O94" s="0" t="s">
        <v>652</v>
      </c>
      <c r="P94" s="0" t="s">
        <v>649</v>
      </c>
      <c r="Q94" s="17" t="s">
        <v>653</v>
      </c>
      <c r="R94" s="0" t="s">
        <v>282</v>
      </c>
      <c r="S94" s="0" t="s">
        <v>643</v>
      </c>
      <c r="T94" s="0" t="s">
        <v>637</v>
      </c>
      <c r="U94" s="0" t="s">
        <v>640</v>
      </c>
      <c r="V94" s="0" t="s">
        <v>654</v>
      </c>
      <c r="W94" s="0" t="s">
        <v>636</v>
      </c>
      <c r="X94" s="0" t="s">
        <v>639</v>
      </c>
    </row>
    <row r="95" customFormat="false" ht="12.8" hidden="false" customHeight="false" outlineLevel="0" collapsed="false">
      <c r="A95" s="1" t="s">
        <v>426</v>
      </c>
      <c r="B95" s="0" t="s">
        <v>644</v>
      </c>
      <c r="C95" s="0" t="s">
        <v>179</v>
      </c>
      <c r="D95" s="0" t="s">
        <v>639</v>
      </c>
      <c r="E95" s="0" t="s">
        <v>649</v>
      </c>
      <c r="F95" s="0" t="s">
        <v>640</v>
      </c>
      <c r="G95" s="0" t="s">
        <v>649</v>
      </c>
      <c r="H95" s="0" t="s">
        <v>179</v>
      </c>
      <c r="I95" s="0" t="s">
        <v>655</v>
      </c>
      <c r="J95" s="0" t="s">
        <v>648</v>
      </c>
      <c r="K95" s="0" t="s">
        <v>651</v>
      </c>
      <c r="L95" s="0" t="s">
        <v>656</v>
      </c>
      <c r="M95" s="0" t="s">
        <v>180</v>
      </c>
      <c r="N95" s="0" t="s">
        <v>175</v>
      </c>
      <c r="O95" s="0" t="s">
        <v>170</v>
      </c>
      <c r="P95" s="0" t="s">
        <v>648</v>
      </c>
      <c r="Q95" s="17" t="s">
        <v>657</v>
      </c>
      <c r="R95" s="0" t="s">
        <v>637</v>
      </c>
      <c r="S95" s="0" t="s">
        <v>655</v>
      </c>
      <c r="T95" s="0" t="s">
        <v>636</v>
      </c>
      <c r="U95" s="0" t="s">
        <v>643</v>
      </c>
      <c r="V95" s="0" t="s">
        <v>658</v>
      </c>
      <c r="W95" s="0" t="s">
        <v>647</v>
      </c>
      <c r="X95" s="0" t="s">
        <v>182</v>
      </c>
    </row>
    <row r="96" customFormat="false" ht="12.8" hidden="false" customHeight="false" outlineLevel="0" collapsed="false">
      <c r="A96" s="1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3"/>
      <c r="R96" s="42"/>
      <c r="S96" s="42"/>
      <c r="T96" s="42"/>
      <c r="U96" s="42"/>
      <c r="V96" s="42"/>
      <c r="W96" s="42"/>
      <c r="X96" s="42"/>
    </row>
    <row r="97" customFormat="false" ht="12.8" hidden="false" customHeight="false" outlineLevel="0" collapsed="false">
      <c r="A97" s="1" t="s">
        <v>429</v>
      </c>
      <c r="B97" s="0" t="s">
        <v>643</v>
      </c>
      <c r="C97" s="0" t="s">
        <v>633</v>
      </c>
      <c r="D97" s="0" t="s">
        <v>643</v>
      </c>
      <c r="E97" s="0" t="s">
        <v>643</v>
      </c>
      <c r="F97" s="0" t="s">
        <v>637</v>
      </c>
      <c r="G97" s="0" t="s">
        <v>643</v>
      </c>
      <c r="H97" s="0" t="s">
        <v>643</v>
      </c>
      <c r="I97" s="0" t="s">
        <v>637</v>
      </c>
      <c r="J97" s="0" t="s">
        <v>643</v>
      </c>
      <c r="K97" s="0" t="s">
        <v>633</v>
      </c>
      <c r="L97" s="0" t="s">
        <v>643</v>
      </c>
      <c r="M97" s="0" t="s">
        <v>643</v>
      </c>
      <c r="N97" s="0" t="s">
        <v>643</v>
      </c>
      <c r="O97" s="0" t="s">
        <v>643</v>
      </c>
      <c r="P97" s="0" t="s">
        <v>643</v>
      </c>
      <c r="Q97" s="17" t="s">
        <v>633</v>
      </c>
      <c r="R97" s="0" t="s">
        <v>643</v>
      </c>
      <c r="S97" s="0" t="s">
        <v>633</v>
      </c>
      <c r="T97" s="0" t="s">
        <v>643</v>
      </c>
      <c r="U97" s="0" t="s">
        <v>653</v>
      </c>
      <c r="V97" s="0" t="s">
        <v>643</v>
      </c>
      <c r="W97" s="0" t="s">
        <v>643</v>
      </c>
      <c r="X97" s="0" t="s">
        <v>643</v>
      </c>
    </row>
    <row r="98" customFormat="false" ht="12.8" hidden="false" customHeight="false" outlineLevel="0" collapsed="false">
      <c r="A98" s="1" t="s">
        <v>430</v>
      </c>
      <c r="B98" s="0" t="s">
        <v>659</v>
      </c>
      <c r="C98" s="0" t="s">
        <v>637</v>
      </c>
      <c r="D98" s="0" t="s">
        <v>659</v>
      </c>
      <c r="E98" s="0" t="s">
        <v>659</v>
      </c>
      <c r="F98" s="0" t="s">
        <v>653</v>
      </c>
      <c r="G98" s="0" t="s">
        <v>659</v>
      </c>
      <c r="H98" s="0" t="s">
        <v>659</v>
      </c>
      <c r="I98" s="0" t="s">
        <v>653</v>
      </c>
      <c r="J98" s="0" t="s">
        <v>659</v>
      </c>
      <c r="K98" s="0" t="s">
        <v>637</v>
      </c>
      <c r="L98" s="0" t="s">
        <v>659</v>
      </c>
      <c r="M98" s="0" t="s">
        <v>659</v>
      </c>
      <c r="N98" s="0" t="s">
        <v>659</v>
      </c>
      <c r="O98" s="0" t="s">
        <v>659</v>
      </c>
      <c r="P98" s="0" t="s">
        <v>659</v>
      </c>
      <c r="Q98" s="17" t="s">
        <v>282</v>
      </c>
      <c r="R98" s="0" t="s">
        <v>659</v>
      </c>
      <c r="S98" s="0" t="s">
        <v>637</v>
      </c>
      <c r="T98" s="0" t="s">
        <v>659</v>
      </c>
      <c r="U98" s="0" t="s">
        <v>653</v>
      </c>
      <c r="V98" s="0" t="s">
        <v>659</v>
      </c>
      <c r="W98" s="0" t="s">
        <v>659</v>
      </c>
      <c r="X98" s="0" t="s">
        <v>659</v>
      </c>
    </row>
    <row r="99" customFormat="false" ht="12.8" hidden="false" customHeight="false" outlineLevel="0" collapsed="false">
      <c r="A99" s="1" t="s">
        <v>431</v>
      </c>
      <c r="B99" s="0" t="s">
        <v>660</v>
      </c>
      <c r="C99" s="0" t="s">
        <v>653</v>
      </c>
      <c r="D99" s="0" t="s">
        <v>660</v>
      </c>
      <c r="E99" s="0" t="s">
        <v>660</v>
      </c>
      <c r="F99" s="0" t="s">
        <v>657</v>
      </c>
      <c r="G99" s="0" t="s">
        <v>660</v>
      </c>
      <c r="H99" s="0" t="s">
        <v>660</v>
      </c>
      <c r="I99" s="0" t="s">
        <v>653</v>
      </c>
      <c r="J99" s="0" t="s">
        <v>660</v>
      </c>
      <c r="K99" s="0" t="s">
        <v>648</v>
      </c>
      <c r="L99" s="0" t="s">
        <v>660</v>
      </c>
      <c r="M99" s="0" t="s">
        <v>660</v>
      </c>
      <c r="N99" s="0" t="s">
        <v>660</v>
      </c>
      <c r="O99" s="0" t="s">
        <v>660</v>
      </c>
      <c r="P99" s="0" t="s">
        <v>660</v>
      </c>
      <c r="Q99" s="17" t="s">
        <v>638</v>
      </c>
      <c r="R99" s="0" t="s">
        <v>660</v>
      </c>
      <c r="S99" s="0" t="s">
        <v>653</v>
      </c>
      <c r="T99" s="0" t="s">
        <v>660</v>
      </c>
      <c r="U99" s="0" t="s">
        <v>657</v>
      </c>
      <c r="V99" s="0" t="s">
        <v>660</v>
      </c>
      <c r="W99" s="0" t="s">
        <v>660</v>
      </c>
      <c r="X99" s="0" t="s">
        <v>660</v>
      </c>
    </row>
    <row r="100" customFormat="false" ht="12.8" hidden="false" customHeight="false" outlineLevel="0" collapsed="false">
      <c r="A100" s="1" t="s">
        <v>432</v>
      </c>
      <c r="B100" s="0" t="s">
        <v>661</v>
      </c>
      <c r="C100" s="0" t="s">
        <v>653</v>
      </c>
      <c r="D100" s="0" t="s">
        <v>661</v>
      </c>
      <c r="E100" s="0" t="s">
        <v>661</v>
      </c>
      <c r="F100" s="0" t="s">
        <v>648</v>
      </c>
      <c r="G100" s="0" t="s">
        <v>661</v>
      </c>
      <c r="H100" s="0" t="s">
        <v>661</v>
      </c>
      <c r="I100" s="0" t="s">
        <v>657</v>
      </c>
      <c r="J100" s="0" t="s">
        <v>661</v>
      </c>
      <c r="K100" s="0" t="s">
        <v>634</v>
      </c>
      <c r="L100" s="0" t="s">
        <v>661</v>
      </c>
      <c r="M100" s="0" t="s">
        <v>661</v>
      </c>
      <c r="N100" s="0" t="s">
        <v>661</v>
      </c>
      <c r="O100" s="0" t="s">
        <v>661</v>
      </c>
      <c r="P100" s="0" t="s">
        <v>661</v>
      </c>
      <c r="Q100" s="17" t="s">
        <v>645</v>
      </c>
      <c r="R100" s="0" t="s">
        <v>661</v>
      </c>
      <c r="S100" s="0" t="s">
        <v>653</v>
      </c>
      <c r="T100" s="0" t="s">
        <v>661</v>
      </c>
      <c r="U100" s="0" t="s">
        <v>648</v>
      </c>
      <c r="V100" s="0" t="s">
        <v>661</v>
      </c>
      <c r="W100" s="0" t="s">
        <v>661</v>
      </c>
      <c r="X100" s="0" t="s">
        <v>661</v>
      </c>
    </row>
    <row r="101" customFormat="false" ht="12.8" hidden="false" customHeight="false" outlineLevel="0" collapsed="false">
      <c r="A101" s="1" t="s">
        <v>433</v>
      </c>
      <c r="B101" s="0" t="s">
        <v>662</v>
      </c>
      <c r="C101" s="0" t="s">
        <v>657</v>
      </c>
      <c r="D101" s="0" t="s">
        <v>662</v>
      </c>
      <c r="E101" s="0" t="s">
        <v>662</v>
      </c>
      <c r="F101" s="0" t="s">
        <v>634</v>
      </c>
      <c r="G101" s="0" t="s">
        <v>662</v>
      </c>
      <c r="H101" s="0" t="s">
        <v>662</v>
      </c>
      <c r="I101" s="0" t="s">
        <v>633</v>
      </c>
      <c r="J101" s="0" t="s">
        <v>662</v>
      </c>
      <c r="K101" s="0" t="s">
        <v>653</v>
      </c>
      <c r="L101" s="0" t="s">
        <v>662</v>
      </c>
      <c r="M101" s="0" t="s">
        <v>662</v>
      </c>
      <c r="N101" s="0" t="s">
        <v>662</v>
      </c>
      <c r="O101" s="0" t="s">
        <v>662</v>
      </c>
      <c r="P101" s="0" t="s">
        <v>662</v>
      </c>
      <c r="Q101" s="17" t="s">
        <v>654</v>
      </c>
      <c r="R101" s="0" t="s">
        <v>662</v>
      </c>
      <c r="S101" s="0" t="s">
        <v>657</v>
      </c>
      <c r="T101" s="0" t="s">
        <v>662</v>
      </c>
      <c r="U101" s="0" t="s">
        <v>637</v>
      </c>
      <c r="V101" s="0" t="s">
        <v>662</v>
      </c>
      <c r="W101" s="0" t="s">
        <v>662</v>
      </c>
      <c r="X101" s="0" t="s">
        <v>662</v>
      </c>
    </row>
    <row r="103" customFormat="false" ht="12.8" hidden="false" customHeight="false" outlineLevel="0" collapsed="false">
      <c r="A103" s="41" t="s">
        <v>663</v>
      </c>
    </row>
    <row r="104" customFormat="false" ht="12.8" hidden="false" customHeight="false" outlineLevel="0" collapsed="false">
      <c r="A104" s="1" t="s">
        <v>422</v>
      </c>
      <c r="B104" s="0" t="s">
        <v>282</v>
      </c>
      <c r="C104" s="0" t="s">
        <v>17</v>
      </c>
      <c r="D104" s="0" t="s">
        <v>282</v>
      </c>
      <c r="E104" s="0" t="s">
        <v>413</v>
      </c>
      <c r="F104" s="0" t="s">
        <v>282</v>
      </c>
      <c r="G104" s="0" t="s">
        <v>282</v>
      </c>
      <c r="H104" s="0" t="s">
        <v>282</v>
      </c>
      <c r="I104" s="0" t="s">
        <v>282</v>
      </c>
      <c r="J104" s="0" t="s">
        <v>415</v>
      </c>
      <c r="K104" s="0" t="s">
        <v>282</v>
      </c>
      <c r="L104" s="0" t="s">
        <v>282</v>
      </c>
      <c r="M104" s="0" t="s">
        <v>282</v>
      </c>
      <c r="N104" s="0" t="s">
        <v>413</v>
      </c>
      <c r="O104" s="0" t="s">
        <v>282</v>
      </c>
      <c r="P104" s="0" t="s">
        <v>415</v>
      </c>
      <c r="Q104" s="17" t="s">
        <v>417</v>
      </c>
      <c r="R104" s="0" t="s">
        <v>282</v>
      </c>
      <c r="S104" s="0" t="s">
        <v>282</v>
      </c>
      <c r="T104" s="0" t="s">
        <v>415</v>
      </c>
      <c r="U104" s="0" t="s">
        <v>282</v>
      </c>
      <c r="V104" s="0" t="s">
        <v>413</v>
      </c>
      <c r="W104" s="0" t="s">
        <v>282</v>
      </c>
      <c r="X104" s="0" t="s">
        <v>413</v>
      </c>
    </row>
    <row r="105" customFormat="false" ht="12.8" hidden="false" customHeight="false" outlineLevel="0" collapsed="false">
      <c r="A105" s="1" t="s">
        <v>423</v>
      </c>
      <c r="B105" s="0" t="s">
        <v>17</v>
      </c>
      <c r="C105" s="0" t="s">
        <v>17</v>
      </c>
      <c r="D105" s="0" t="s">
        <v>419</v>
      </c>
      <c r="E105" s="0" t="s">
        <v>415</v>
      </c>
      <c r="F105" s="0" t="s">
        <v>418</v>
      </c>
      <c r="G105" s="0" t="s">
        <v>413</v>
      </c>
      <c r="H105" s="0" t="s">
        <v>17</v>
      </c>
      <c r="I105" s="0" t="s">
        <v>17</v>
      </c>
      <c r="J105" s="0" t="s">
        <v>413</v>
      </c>
      <c r="K105" s="0" t="s">
        <v>418</v>
      </c>
      <c r="L105" s="0" t="s">
        <v>419</v>
      </c>
      <c r="M105" s="0" t="s">
        <v>17</v>
      </c>
      <c r="N105" s="0" t="s">
        <v>282</v>
      </c>
      <c r="O105" s="0" t="s">
        <v>17</v>
      </c>
      <c r="P105" s="0" t="s">
        <v>413</v>
      </c>
      <c r="Q105" s="17" t="s">
        <v>415</v>
      </c>
      <c r="R105" s="0" t="s">
        <v>417</v>
      </c>
      <c r="S105" s="0" t="s">
        <v>17</v>
      </c>
      <c r="T105" s="0" t="s">
        <v>413</v>
      </c>
      <c r="U105" s="0" t="s">
        <v>17</v>
      </c>
      <c r="V105" s="0" t="s">
        <v>414</v>
      </c>
      <c r="W105" s="0" t="s">
        <v>17</v>
      </c>
      <c r="X105" s="0" t="s">
        <v>282</v>
      </c>
    </row>
    <row r="106" customFormat="false" ht="12.8" hidden="false" customHeight="false" outlineLevel="0" collapsed="false">
      <c r="A106" s="1" t="s">
        <v>424</v>
      </c>
      <c r="B106" s="0" t="s">
        <v>17</v>
      </c>
      <c r="C106" s="0" t="s">
        <v>17</v>
      </c>
      <c r="D106" s="0" t="s">
        <v>417</v>
      </c>
      <c r="E106" s="0" t="s">
        <v>414</v>
      </c>
      <c r="F106" s="0" t="s">
        <v>17</v>
      </c>
      <c r="G106" s="0" t="s">
        <v>415</v>
      </c>
      <c r="H106" s="0" t="s">
        <v>17</v>
      </c>
      <c r="I106" s="0" t="s">
        <v>17</v>
      </c>
      <c r="J106" s="0" t="s">
        <v>417</v>
      </c>
      <c r="K106" s="0" t="s">
        <v>17</v>
      </c>
      <c r="L106" s="0" t="s">
        <v>17</v>
      </c>
      <c r="M106" s="0" t="s">
        <v>17</v>
      </c>
      <c r="N106" s="0" t="s">
        <v>17</v>
      </c>
      <c r="O106" s="0" t="s">
        <v>17</v>
      </c>
      <c r="P106" s="0" t="s">
        <v>414</v>
      </c>
      <c r="Q106" s="17" t="s">
        <v>414</v>
      </c>
      <c r="R106" s="0" t="s">
        <v>421</v>
      </c>
      <c r="S106" s="0" t="s">
        <v>17</v>
      </c>
      <c r="T106" s="0" t="s">
        <v>417</v>
      </c>
      <c r="U106" s="0" t="s">
        <v>17</v>
      </c>
      <c r="V106" s="0" t="s">
        <v>282</v>
      </c>
      <c r="W106" s="0" t="s">
        <v>17</v>
      </c>
      <c r="X106" s="0" t="s">
        <v>17</v>
      </c>
    </row>
    <row r="107" customFormat="false" ht="12.8" hidden="false" customHeight="false" outlineLevel="0" collapsed="false">
      <c r="A107" s="1" t="s">
        <v>425</v>
      </c>
      <c r="B107" s="0" t="s">
        <v>17</v>
      </c>
      <c r="C107" s="0" t="s">
        <v>17</v>
      </c>
      <c r="D107" s="0" t="s">
        <v>421</v>
      </c>
      <c r="E107" s="0" t="s">
        <v>417</v>
      </c>
      <c r="F107" s="0" t="s">
        <v>17</v>
      </c>
      <c r="G107" s="0" t="s">
        <v>417</v>
      </c>
      <c r="H107" s="0" t="s">
        <v>17</v>
      </c>
      <c r="I107" s="0" t="s">
        <v>17</v>
      </c>
      <c r="J107" s="0" t="s">
        <v>414</v>
      </c>
      <c r="K107" s="0" t="s">
        <v>17</v>
      </c>
      <c r="L107" s="0" t="s">
        <v>17</v>
      </c>
      <c r="M107" s="0" t="s">
        <v>17</v>
      </c>
      <c r="N107" s="0" t="s">
        <v>17</v>
      </c>
      <c r="O107" s="0" t="s">
        <v>17</v>
      </c>
      <c r="P107" s="0" t="s">
        <v>417</v>
      </c>
      <c r="Q107" s="17" t="s">
        <v>418</v>
      </c>
      <c r="R107" s="0" t="s">
        <v>17</v>
      </c>
      <c r="S107" s="0" t="s">
        <v>17</v>
      </c>
      <c r="T107" s="0" t="s">
        <v>414</v>
      </c>
      <c r="U107" s="0" t="s">
        <v>17</v>
      </c>
      <c r="V107" s="0" t="s">
        <v>415</v>
      </c>
      <c r="W107" s="0" t="s">
        <v>17</v>
      </c>
      <c r="X107" s="0" t="s">
        <v>17</v>
      </c>
    </row>
    <row r="108" customFormat="false" ht="12.8" hidden="false" customHeight="false" outlineLevel="0" collapsed="false">
      <c r="A108" s="1" t="s">
        <v>426</v>
      </c>
      <c r="B108" s="0" t="s">
        <v>17</v>
      </c>
      <c r="C108" s="0" t="s">
        <v>17</v>
      </c>
      <c r="D108" s="0" t="s">
        <v>17</v>
      </c>
      <c r="E108" s="0" t="s">
        <v>416</v>
      </c>
      <c r="F108" s="0" t="s">
        <v>17</v>
      </c>
      <c r="G108" s="0" t="s">
        <v>419</v>
      </c>
      <c r="H108" s="0" t="s">
        <v>17</v>
      </c>
      <c r="I108" s="0" t="s">
        <v>17</v>
      </c>
      <c r="J108" s="0" t="s">
        <v>282</v>
      </c>
      <c r="K108" s="0" t="s">
        <v>17</v>
      </c>
      <c r="L108" s="0" t="s">
        <v>17</v>
      </c>
      <c r="M108" s="0" t="s">
        <v>17</v>
      </c>
      <c r="N108" s="0" t="s">
        <v>17</v>
      </c>
      <c r="O108" s="0" t="s">
        <v>17</v>
      </c>
      <c r="P108" s="0" t="s">
        <v>416</v>
      </c>
      <c r="Q108" s="17" t="s">
        <v>416</v>
      </c>
      <c r="R108" s="0" t="s">
        <v>17</v>
      </c>
      <c r="S108" s="0" t="s">
        <v>17</v>
      </c>
      <c r="T108" s="0" t="s">
        <v>416</v>
      </c>
      <c r="U108" s="0" t="s">
        <v>17</v>
      </c>
      <c r="V108" s="0" t="s">
        <v>416</v>
      </c>
      <c r="W108" s="0" t="s">
        <v>17</v>
      </c>
      <c r="X108" s="0" t="s">
        <v>17</v>
      </c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 t="s">
        <v>429</v>
      </c>
      <c r="B110" s="0" t="s">
        <v>418</v>
      </c>
      <c r="C110" s="0" t="s">
        <v>415</v>
      </c>
      <c r="D110" s="0" t="s">
        <v>418</v>
      </c>
      <c r="E110" s="0" t="s">
        <v>418</v>
      </c>
      <c r="F110" s="0" t="s">
        <v>415</v>
      </c>
      <c r="G110" s="0" t="s">
        <v>418</v>
      </c>
      <c r="H110" s="0" t="s">
        <v>418</v>
      </c>
      <c r="I110" s="0" t="s">
        <v>415</v>
      </c>
      <c r="J110" s="0" t="s">
        <v>418</v>
      </c>
      <c r="K110" s="0" t="s">
        <v>415</v>
      </c>
      <c r="L110" s="0" t="s">
        <v>418</v>
      </c>
      <c r="M110" s="0" t="s">
        <v>418</v>
      </c>
      <c r="N110" s="0" t="s">
        <v>418</v>
      </c>
      <c r="O110" s="0" t="s">
        <v>418</v>
      </c>
      <c r="P110" s="0" t="s">
        <v>418</v>
      </c>
      <c r="Q110" s="17" t="s">
        <v>413</v>
      </c>
      <c r="R110" s="0" t="s">
        <v>418</v>
      </c>
      <c r="S110" s="0" t="s">
        <v>415</v>
      </c>
      <c r="T110" s="0" t="s">
        <v>418</v>
      </c>
      <c r="U110" s="0" t="s">
        <v>415</v>
      </c>
      <c r="V110" s="0" t="s">
        <v>418</v>
      </c>
      <c r="W110" s="0" t="s">
        <v>418</v>
      </c>
      <c r="X110" s="0" t="s">
        <v>418</v>
      </c>
    </row>
    <row r="111" customFormat="false" ht="12.8" hidden="false" customHeight="false" outlineLevel="0" collapsed="false">
      <c r="A111" s="1" t="s">
        <v>430</v>
      </c>
      <c r="B111" s="0" t="s">
        <v>415</v>
      </c>
      <c r="C111" s="0" t="s">
        <v>417</v>
      </c>
      <c r="D111" s="0" t="s">
        <v>413</v>
      </c>
      <c r="E111" s="0" t="s">
        <v>282</v>
      </c>
      <c r="F111" s="0" t="s">
        <v>417</v>
      </c>
      <c r="G111" s="0" t="s">
        <v>414</v>
      </c>
      <c r="H111" s="0" t="s">
        <v>415</v>
      </c>
      <c r="I111" s="0" t="s">
        <v>417</v>
      </c>
      <c r="J111" s="0" t="s">
        <v>17</v>
      </c>
      <c r="K111" s="0" t="s">
        <v>413</v>
      </c>
      <c r="L111" s="0" t="s">
        <v>415</v>
      </c>
      <c r="M111" s="0" t="s">
        <v>413</v>
      </c>
      <c r="N111" s="0" t="s">
        <v>414</v>
      </c>
      <c r="O111" s="0" t="s">
        <v>413</v>
      </c>
      <c r="P111" s="0" t="s">
        <v>419</v>
      </c>
      <c r="Q111" s="17" t="s">
        <v>17</v>
      </c>
      <c r="R111" s="0" t="s">
        <v>414</v>
      </c>
      <c r="S111" s="0" t="s">
        <v>417</v>
      </c>
      <c r="T111" s="0" t="s">
        <v>282</v>
      </c>
      <c r="U111" s="0" t="s">
        <v>413</v>
      </c>
      <c r="V111" s="0" t="s">
        <v>417</v>
      </c>
      <c r="W111" s="0" t="s">
        <v>415</v>
      </c>
      <c r="X111" s="0" t="s">
        <v>415</v>
      </c>
    </row>
    <row r="112" customFormat="false" ht="12.8" hidden="false" customHeight="false" outlineLevel="0" collapsed="false">
      <c r="A112" s="1" t="s">
        <v>431</v>
      </c>
      <c r="B112" s="0" t="s">
        <v>414</v>
      </c>
      <c r="C112" s="0" t="s">
        <v>413</v>
      </c>
      <c r="D112" s="0" t="s">
        <v>415</v>
      </c>
      <c r="E112" s="0" t="s">
        <v>421</v>
      </c>
      <c r="F112" s="0" t="s">
        <v>413</v>
      </c>
      <c r="G112" s="0" t="s">
        <v>416</v>
      </c>
      <c r="H112" s="0" t="s">
        <v>417</v>
      </c>
      <c r="I112" s="0" t="s">
        <v>413</v>
      </c>
      <c r="J112" s="0" t="s">
        <v>17</v>
      </c>
      <c r="K112" s="0" t="s">
        <v>414</v>
      </c>
      <c r="L112" s="0" t="s">
        <v>414</v>
      </c>
      <c r="M112" s="0" t="s">
        <v>415</v>
      </c>
      <c r="N112" s="0" t="s">
        <v>417</v>
      </c>
      <c r="O112" s="0" t="s">
        <v>415</v>
      </c>
      <c r="P112" s="0" t="s">
        <v>17</v>
      </c>
      <c r="Q112" s="17" t="s">
        <v>17</v>
      </c>
      <c r="R112" s="0" t="s">
        <v>413</v>
      </c>
      <c r="S112" s="0" t="s">
        <v>413</v>
      </c>
      <c r="T112" s="0" t="s">
        <v>17</v>
      </c>
      <c r="U112" s="0" t="s">
        <v>417</v>
      </c>
      <c r="V112" s="0" t="s">
        <v>421</v>
      </c>
      <c r="W112" s="0" t="s">
        <v>414</v>
      </c>
      <c r="X112" s="0" t="s">
        <v>417</v>
      </c>
    </row>
    <row r="113" customFormat="false" ht="12.8" hidden="false" customHeight="false" outlineLevel="0" collapsed="false">
      <c r="A113" s="1" t="s">
        <v>432</v>
      </c>
      <c r="B113" s="0" t="s">
        <v>417</v>
      </c>
      <c r="C113" s="0" t="s">
        <v>414</v>
      </c>
      <c r="D113" s="0" t="s">
        <v>414</v>
      </c>
      <c r="E113" s="0" t="s">
        <v>17</v>
      </c>
      <c r="F113" s="0" t="s">
        <v>414</v>
      </c>
      <c r="G113" s="0" t="s">
        <v>420</v>
      </c>
      <c r="H113" s="0" t="s">
        <v>414</v>
      </c>
      <c r="I113" s="0" t="s">
        <v>414</v>
      </c>
      <c r="J113" s="0" t="s">
        <v>17</v>
      </c>
      <c r="K113" s="0" t="s">
        <v>417</v>
      </c>
      <c r="L113" s="0" t="s">
        <v>413</v>
      </c>
      <c r="M113" s="0" t="s">
        <v>417</v>
      </c>
      <c r="N113" s="0" t="s">
        <v>416</v>
      </c>
      <c r="O113" s="0" t="s">
        <v>417</v>
      </c>
      <c r="P113" s="0" t="s">
        <v>17</v>
      </c>
      <c r="Q113" s="17" t="s">
        <v>17</v>
      </c>
      <c r="R113" s="0" t="s">
        <v>416</v>
      </c>
      <c r="S113" s="0" t="s">
        <v>414</v>
      </c>
      <c r="T113" s="0" t="s">
        <v>17</v>
      </c>
      <c r="U113" s="0" t="s">
        <v>414</v>
      </c>
      <c r="V113" s="0" t="s">
        <v>17</v>
      </c>
      <c r="W113" s="0" t="s">
        <v>417</v>
      </c>
      <c r="X113" s="0" t="s">
        <v>414</v>
      </c>
    </row>
    <row r="114" customFormat="false" ht="12.8" hidden="false" customHeight="false" outlineLevel="0" collapsed="false">
      <c r="A114" s="1" t="s">
        <v>433</v>
      </c>
      <c r="B114" s="0" t="s">
        <v>416</v>
      </c>
      <c r="C114" s="0" t="s">
        <v>282</v>
      </c>
      <c r="D114" s="0" t="s">
        <v>416</v>
      </c>
      <c r="E114" s="0" t="s">
        <v>17</v>
      </c>
      <c r="F114" s="0" t="s">
        <v>416</v>
      </c>
      <c r="G114" s="0" t="s">
        <v>421</v>
      </c>
      <c r="H114" s="0" t="s">
        <v>419</v>
      </c>
      <c r="I114" s="0" t="s">
        <v>416</v>
      </c>
      <c r="J114" s="0" t="s">
        <v>17</v>
      </c>
      <c r="K114" s="0" t="s">
        <v>419</v>
      </c>
      <c r="L114" s="0" t="s">
        <v>417</v>
      </c>
      <c r="M114" s="0" t="s">
        <v>414</v>
      </c>
      <c r="N114" s="0" t="s">
        <v>415</v>
      </c>
      <c r="O114" s="0" t="s">
        <v>414</v>
      </c>
      <c r="P114" s="0" t="s">
        <v>17</v>
      </c>
      <c r="Q114" s="17" t="s">
        <v>17</v>
      </c>
      <c r="R114" s="0" t="s">
        <v>415</v>
      </c>
      <c r="S114" s="0" t="s">
        <v>416</v>
      </c>
      <c r="T114" s="0" t="s">
        <v>17</v>
      </c>
      <c r="U114" s="0" t="s">
        <v>416</v>
      </c>
      <c r="V114" s="0" t="s">
        <v>17</v>
      </c>
      <c r="W114" s="0" t="s">
        <v>416</v>
      </c>
      <c r="X114" s="0" t="s">
        <v>416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9246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2018-10-06T20:26:09Z</dcterms:created>
  <dc:creator/>
  <dc:description/>
  <dc:language>en-US</dc:language>
  <cp:lastModifiedBy/>
  <dcterms:modified xsi:type="dcterms:W3CDTF">2019-03-09T09:28:32Z</dcterms:modified>
  <cp:revision>436</cp:revision>
  <dc:subject/>
  <dc:title/>
</cp:coreProperties>
</file>