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876f2a69d673c/Documents/MN Unemployment 2023/Dislocated Worker/UMN Data Visualization and Analytics Bootcamp/Coursework/Section 1 Excel Crash Course/Module 1 Excel/"/>
    </mc:Choice>
  </mc:AlternateContent>
  <xr:revisionPtr revIDLastSave="350" documentId="14_{CCA31A42-15DC-460E-9FB9-C26F6566A687}" xr6:coauthVersionLast="47" xr6:coauthVersionMax="47" xr10:uidLastSave="{D3493ABC-432B-4647-96EA-0733386D52AE}"/>
  <bookViews>
    <workbookView xWindow="-98" yWindow="-98" windowWidth="22695" windowHeight="14476" activeTab="2" xr2:uid="{00000000-000D-0000-FFFF-FFFF00000000}"/>
  </bookViews>
  <sheets>
    <sheet name="Pivot1" sheetId="3" r:id="rId1"/>
    <sheet name="Pivot2" sheetId="4" r:id="rId2"/>
    <sheet name="Pivot3" sheetId="6" r:id="rId3"/>
    <sheet name="CF Goal Analysis" sheetId="7" r:id="rId4"/>
    <sheet name="Stats Analysis" sheetId="8" r:id="rId5"/>
    <sheet name="Crowdfunding Dataset" sheetId="1" r:id="rId6"/>
  </sheets>
  <definedNames>
    <definedName name="_xlnm._FilterDatabase" localSheetId="5" hidden="1">'Crowdfunding Dataset'!$A$1:$T$1001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8" l="1"/>
  <c r="I17" i="8"/>
  <c r="L20" i="8"/>
  <c r="I20" i="8"/>
  <c r="L19" i="8"/>
  <c r="I19" i="8"/>
  <c r="L18" i="8"/>
  <c r="I18" i="8"/>
  <c r="L16" i="8"/>
  <c r="I16" i="8"/>
  <c r="L15" i="8"/>
  <c r="I15" i="8"/>
  <c r="D13" i="7" l="1"/>
  <c r="D12" i="7"/>
  <c r="D11" i="7"/>
  <c r="D10" i="7"/>
  <c r="D9" i="7"/>
  <c r="D8" i="7"/>
  <c r="D7" i="7"/>
  <c r="D6" i="7"/>
  <c r="D5" i="7"/>
  <c r="D4" i="7"/>
  <c r="D3" i="7"/>
  <c r="D2" i="7"/>
  <c r="C5" i="7"/>
  <c r="B13" i="7"/>
  <c r="B12" i="7"/>
  <c r="B11" i="7"/>
  <c r="E11" i="7" s="1"/>
  <c r="F11" i="7" s="1"/>
  <c r="B10" i="7"/>
  <c r="B9" i="7"/>
  <c r="B8" i="7"/>
  <c r="B7" i="7"/>
  <c r="B6" i="7"/>
  <c r="B5" i="7"/>
  <c r="B4" i="7"/>
  <c r="B3" i="7"/>
  <c r="E3" i="7" s="1"/>
  <c r="F3" i="7" s="1"/>
  <c r="B2" i="7"/>
  <c r="C13" i="7"/>
  <c r="C12" i="7"/>
  <c r="C11" i="7"/>
  <c r="C10" i="7"/>
  <c r="C9" i="7"/>
  <c r="C8" i="7"/>
  <c r="C7" i="7"/>
  <c r="C6" i="7"/>
  <c r="C4" i="7"/>
  <c r="C3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7" l="1"/>
  <c r="G7" i="7" s="1"/>
  <c r="E9" i="7"/>
  <c r="H9" i="7" s="1"/>
  <c r="G11" i="7"/>
  <c r="H10" i="7"/>
  <c r="H3" i="7"/>
  <c r="G3" i="7"/>
  <c r="H11" i="7"/>
  <c r="E2" i="7"/>
  <c r="G2" i="7" s="1"/>
  <c r="E6" i="7"/>
  <c r="F6" i="7" s="1"/>
  <c r="E13" i="7"/>
  <c r="F13" i="7" s="1"/>
  <c r="E5" i="7"/>
  <c r="G5" i="7" s="1"/>
  <c r="E12" i="7"/>
  <c r="G12" i="7" s="1"/>
  <c r="E4" i="7"/>
  <c r="F4" i="7" s="1"/>
  <c r="F7" i="7"/>
  <c r="E10" i="7"/>
  <c r="G10" i="7" s="1"/>
  <c r="E8" i="7"/>
  <c r="F8" i="7" s="1"/>
  <c r="F10" i="7" l="1"/>
  <c r="H2" i="7"/>
  <c r="F2" i="7"/>
  <c r="G6" i="7"/>
  <c r="H6" i="7"/>
  <c r="H7" i="7"/>
  <c r="G9" i="7"/>
  <c r="F9" i="7"/>
  <c r="G13" i="7"/>
  <c r="H5" i="7"/>
  <c r="H8" i="7"/>
  <c r="F12" i="7"/>
  <c r="G4" i="7"/>
  <c r="H12" i="7"/>
  <c r="G8" i="7"/>
  <c r="F5" i="7"/>
  <c r="H13" i="7"/>
  <c r="H4" i="7"/>
</calcChain>
</file>

<file path=xl/sharedStrings.xml><?xml version="1.0" encoding="utf-8"?>
<sst xmlns="http://schemas.openxmlformats.org/spreadsheetml/2006/main" count="9084" uniqueCount="2117">
  <si>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</si>
  <si>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</si>
  <si>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</si>
  <si>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</si>
  <si>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</si>
  <si>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</si>
  <si>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</si>
  <si>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</si>
  <si>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</si>
  <si>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</si>
  <si>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</si>
  <si>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</si>
  <si>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</si>
  <si>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</si>
  <si>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</si>
  <si>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</si>
  <si>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</si>
  <si>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</si>
  <si>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</si>
  <si>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</si>
  <si>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</si>
  <si>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</si>
  <si>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</si>
  <si>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</si>
  <si>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</si>
  <si>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</si>
  <si>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</si>
  <si>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</si>
  <si>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</si>
  <si>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</si>
  <si>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</si>
  <si>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</si>
  <si>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</si>
  <si>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</si>
  <si>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</si>
  <si>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</si>
  <si>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</si>
  <si>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</si>
  <si>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</si>
  <si>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</si>
  <si>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</si>
  <si>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</si>
  <si>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</si>
  <si>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</si>
  <si>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</si>
  <si>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</si>
  <si>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</si>
  <si>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</si>
  <si>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</si>
  <si>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</si>
  <si>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</si>
  <si>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</si>
  <si>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</si>
  <si>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</si>
  <si>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</si>
  <si>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</si>
  <si>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</si>
  <si>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</si>
  <si>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</si>
  <si>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</si>
  <si>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</si>
  <si>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</si>
  <si>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</si>
  <si>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</si>
  <si>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</si>
  <si>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</si>
  <si>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</si>
  <si>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</si>
  <si>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</si>
  <si>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</si>
  <si>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</si>
  <si>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</si>
  <si>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</si>
  <si>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</si>
  <si>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</si>
  <si>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</si>
  <si>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</si>
  <si>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</si>
  <si>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</si>
  <si>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</si>
  <si>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</si>
  <si>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</si>
  <si>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</si>
  <si>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</si>
  <si>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</si>
  <si>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</si>
  <si>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</si>
  <si>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</si>
  <si>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</si>
  <si>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</si>
  <si>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</si>
  <si>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</si>
  <si>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</si>
  <si>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</si>
  <si>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</si>
  <si>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</si>
  <si>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</si>
  <si>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</si>
  <si>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</si>
  <si>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</si>
  <si>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</si>
  <si>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</si>
  <si>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</si>
  <si>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</si>
  <si>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</si>
  <si>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</si>
  <si>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</si>
  <si>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</si>
  <si>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</si>
  <si>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</si>
  <si>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</si>
  <si>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</si>
  <si>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</si>
  <si>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</si>
  <si>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</si>
  <si>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</si>
  <si>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</si>
  <si>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</si>
  <si>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</si>
  <si>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</si>
  <si>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</si>
  <si>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</si>
  <si>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</si>
  <si>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</si>
  <si>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</si>
  <si>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</si>
  <si>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</si>
  <si>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</si>
  <si>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</si>
  <si>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</si>
  <si>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</si>
  <si>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</si>
  <si>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</si>
  <si>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</si>
  <si>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</si>
  <si>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</si>
  <si>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</si>
  <si>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</si>
  <si>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</si>
  <si>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</si>
  <si>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</si>
  <si>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</si>
  <si>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</si>
  <si>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</si>
  <si>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</si>
  <si>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</si>
  <si>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</si>
  <si>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</si>
  <si>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</si>
  <si>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</si>
  <si>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</si>
  <si>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</si>
  <si>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</si>
  <si>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</si>
  <si>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</si>
  <si>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</si>
  <si>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</si>
  <si>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</si>
  <si>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</si>
  <si>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</si>
  <si>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</si>
  <si>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</si>
  <si>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</si>
  <si>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</si>
  <si>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</si>
  <si>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</si>
  <si>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</si>
  <si>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</si>
  <si>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</si>
  <si>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</si>
  <si>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</si>
  <si>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</si>
  <si>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</si>
  <si>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</si>
  <si>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</si>
  <si>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</si>
  <si>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</si>
  <si>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</si>
  <si>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</si>
  <si>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</si>
  <si>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</si>
  <si>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</si>
  <si>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</si>
  <si>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</si>
  <si>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</si>
  <si>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</si>
  <si>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</si>
  <si>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</si>
  <si>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</si>
  <si>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</si>
  <si>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</si>
  <si>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</si>
  <si>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</si>
  <si>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</si>
  <si>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</si>
  <si>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</si>
  <si>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</si>
  <si>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</si>
  <si>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</si>
  <si>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</si>
  <si>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</si>
  <si>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</si>
  <si>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</si>
  <si>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</si>
  <si>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</si>
  <si>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</si>
  <si>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</si>
  <si>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</si>
  <si>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</si>
  <si>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</si>
  <si>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</si>
  <si>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</si>
  <si>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</si>
  <si>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</si>
  <si>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</si>
  <si>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</si>
  <si>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</si>
  <si>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</si>
  <si>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</si>
  <si>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</si>
  <si>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</si>
  <si>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</si>
  <si>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</si>
  <si>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</si>
  <si>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</si>
  <si>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</si>
  <si>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</si>
  <si>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</si>
  <si>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</si>
  <si>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</si>
  <si>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</si>
  <si>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</si>
  <si>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</si>
  <si>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</si>
  <si>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</si>
  <si>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</si>
  <si>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</si>
  <si>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</si>
  <si>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</si>
  <si>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</si>
  <si>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</si>
  <si>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</si>
  <si>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</si>
  <si>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</si>
  <si>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</si>
  <si>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</si>
  <si>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</si>
  <si>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</si>
  <si>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</si>
  <si>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</si>
  <si>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</si>
  <si>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</si>
  <si>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</si>
  <si>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</si>
  <si>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</si>
  <si>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</si>
  <si>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</si>
  <si>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</si>
  <si>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</si>
  <si>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</si>
  <si>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</si>
  <si>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</si>
  <si>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</si>
  <si>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</si>
  <si>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</si>
  <si>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</si>
  <si>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</si>
  <si>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</si>
  <si>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</si>
  <si>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</si>
  <si>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</si>
  <si>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</si>
  <si>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</si>
  <si>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</si>
  <si>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</si>
  <si>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</si>
  <si>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</si>
  <si>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</si>
  <si>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</si>
  <si>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</si>
  <si>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</si>
  <si>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</si>
  <si>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</si>
  <si>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</si>
  <si>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</si>
  <si>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</si>
  <si>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</si>
  <si>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</si>
  <si>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</si>
  <si>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</si>
  <si>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</si>
  <si>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</si>
  <si>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</si>
  <si>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</si>
  <si>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</si>
  <si>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</si>
  <si>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</si>
  <si>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</si>
  <si>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</si>
  <si>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</si>
  <si>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</si>
  <si>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</si>
  <si>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</si>
  <si>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</si>
  <si>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</si>
  <si>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</si>
  <si>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</si>
  <si>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</si>
  <si>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</si>
  <si>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</si>
  <si>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</si>
  <si>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</si>
  <si>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</si>
  <si>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</si>
  <si>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</si>
  <si>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</si>
  <si>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</si>
  <si>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</si>
  <si>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</si>
  <si>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</si>
  <si>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</si>
  <si>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</si>
  <si>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</si>
  <si>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</si>
  <si>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</si>
  <si>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</si>
  <si>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</si>
  <si>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</si>
  <si>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</si>
  <si>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</si>
  <si>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</si>
  <si>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</si>
  <si>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</si>
  <si>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</si>
  <si>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</si>
  <si>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</si>
  <si>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</si>
  <si>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</si>
  <si>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</si>
  <si>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</si>
  <si>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</si>
  <si>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</si>
  <si>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</si>
  <si>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</si>
  <si>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</si>
  <si>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</si>
  <si>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</si>
  <si>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</si>
  <si>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</si>
  <si>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</si>
  <si>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</si>
  <si>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</si>
  <si>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</si>
  <si>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</si>
  <si>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</si>
  <si>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</si>
  <si>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</si>
  <si>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</si>
  <si>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</si>
  <si>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</si>
  <si>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</si>
  <si>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</si>
  <si>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</si>
  <si>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</si>
  <si>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</si>
  <si>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</si>
  <si>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</si>
  <si>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</si>
  <si>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</si>
  <si>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</si>
  <si>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</si>
  <si>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</si>
  <si>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</si>
  <si>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</si>
  <si>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</si>
  <si>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</si>
  <si>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</si>
  <si>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</si>
  <si>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</si>
  <si>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</si>
  <si>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</si>
  <si>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</si>
  <si>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</si>
  <si>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</si>
  <si>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</si>
  <si>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</si>
  <si>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</si>
  <si>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</si>
  <si>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</si>
  <si>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</si>
  <si>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</si>
  <si>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</si>
  <si>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</si>
  <si>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</si>
  <si>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</si>
  <si>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</si>
  <si>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</si>
  <si>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</si>
  <si>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</si>
  <si>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</si>
  <si>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</si>
  <si>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</si>
  <si>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</si>
  <si>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</si>
  <si>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</si>
  <si>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</si>
  <si>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</si>
  <si>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</si>
  <si>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</si>
  <si>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</si>
  <si>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</si>
  <si>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</si>
  <si>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</si>
  <si>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</si>
  <si>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</si>
  <si>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</si>
  <si>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</si>
  <si>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</si>
  <si>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</si>
  <si>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</si>
  <si>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</si>
  <si>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</si>
  <si>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</si>
  <si>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</si>
  <si>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</si>
  <si>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</si>
  <si>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</si>
  <si>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</si>
  <si>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</si>
  <si>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</si>
  <si>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</si>
  <si>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</si>
  <si>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</si>
  <si>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</si>
  <si>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</si>
  <si>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</si>
  <si>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</si>
  <si>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</si>
  <si>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</si>
  <si>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</si>
  <si>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</si>
  <si>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</si>
  <si>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</si>
  <si>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</si>
  <si>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</si>
  <si>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</si>
  <si>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</si>
  <si>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</si>
  <si>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</si>
  <si>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</si>
  <si>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</si>
  <si>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</si>
  <si>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</si>
  <si>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</si>
  <si>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</si>
  <si>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</si>
  <si>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</si>
  <si>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</si>
  <si>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</si>
  <si>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</si>
  <si>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</si>
  <si>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</si>
  <si>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</si>
  <si>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</si>
  <si>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</si>
  <si>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</si>
  <si>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</si>
  <si>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</si>
  <si>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</si>
  <si>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</si>
  <si>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</si>
  <si>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</si>
  <si>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</si>
  <si>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</si>
  <si>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</si>
  <si>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</si>
  <si>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</si>
  <si>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</si>
  <si>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</si>
  <si>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</si>
  <si>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</si>
  <si>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</si>
  <si>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</si>
  <si>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</si>
  <si>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</si>
  <si>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</si>
  <si>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</si>
  <si>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</si>
  <si>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</si>
  <si>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</si>
  <si>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</si>
  <si>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</si>
  <si>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</si>
  <si>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</si>
  <si>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</si>
  <si>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</si>
  <si>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</si>
  <si>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</si>
  <si>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</si>
  <si>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</si>
  <si>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</si>
  <si>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</si>
  <si>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</si>
  <si>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</si>
  <si>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</si>
  <si>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</si>
  <si>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</si>
  <si>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</si>
  <si>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</si>
  <si>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</si>
  <si>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</si>
  <si>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</si>
  <si>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</si>
  <si>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</si>
  <si>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</si>
  <si>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</si>
  <si>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</si>
  <si>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</si>
  <si>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</si>
  <si>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</si>
  <si>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</si>
  <si>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</si>
  <si>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</si>
  <si>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</si>
  <si>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</si>
  <si>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</si>
  <si>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</si>
  <si>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</si>
  <si>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</si>
  <si>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</si>
  <si>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</si>
  <si>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</si>
  <si>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</si>
  <si>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</si>
  <si>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</si>
  <si>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</si>
  <si>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</si>
  <si>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</si>
  <si>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</si>
  <si>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</si>
  <si>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</si>
  <si>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</si>
  <si>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</si>
  <si>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</si>
  <si>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</si>
  <si>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</si>
  <si>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</si>
  <si>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</si>
  <si>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</si>
  <si>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</si>
  <si>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</si>
  <si>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</si>
  <si>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</si>
  <si>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</si>
  <si>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</si>
  <si>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</si>
  <si>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</si>
  <si>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</si>
  <si>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</si>
  <si>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</si>
  <si>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</si>
  <si>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</si>
  <si>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</si>
  <si>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</si>
  <si>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</si>
  <si>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</si>
  <si>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</si>
  <si>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</si>
  <si>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</si>
  <si>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</si>
  <si>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</si>
  <si>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</si>
  <si>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</si>
  <si>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</si>
  <si>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</si>
  <si>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</si>
  <si>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</si>
  <si>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</si>
  <si>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</si>
  <si>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</si>
  <si>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</si>
  <si>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</si>
  <si>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</si>
  <si>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</si>
  <si>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</si>
  <si>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</si>
  <si>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</si>
  <si>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</si>
  <si>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</si>
  <si>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</si>
  <si>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</si>
  <si>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</si>
  <si>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</si>
  <si>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</si>
  <si>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</si>
  <si>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</si>
  <si>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</si>
  <si>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</si>
  <si>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</si>
  <si>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</si>
  <si>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</si>
  <si>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</si>
  <si>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</si>
  <si>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</si>
  <si>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</si>
  <si>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</si>
  <si>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</si>
  <si>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</si>
  <si>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</si>
  <si>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</si>
  <si>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</si>
  <si>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</si>
  <si>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</si>
  <si>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</si>
  <si>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</si>
  <si>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</si>
  <si>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</si>
  <si>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</si>
  <si>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</si>
  <si>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</si>
  <si>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</si>
  <si>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</si>
  <si>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</si>
  <si>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</si>
  <si>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</si>
  <si>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</si>
  <si>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</si>
  <si>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</si>
  <si>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</si>
  <si>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</si>
  <si>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</si>
  <si>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</si>
  <si>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</si>
  <si>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</si>
  <si>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</si>
  <si>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</si>
  <si>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</si>
  <si>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</si>
  <si>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</si>
  <si>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</si>
  <si>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</si>
  <si>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</si>
  <si>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</si>
  <si>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</si>
  <si>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</si>
  <si>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</si>
  <si>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</si>
  <si>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</si>
  <si>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</si>
  <si>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</si>
  <si>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</si>
  <si>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</si>
  <si>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</si>
  <si>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</si>
  <si>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</si>
  <si>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</si>
  <si>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</si>
  <si>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</si>
  <si>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</si>
  <si>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</si>
  <si>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</si>
  <si>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</si>
  <si>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</si>
  <si>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</si>
  <si>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</si>
  <si>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</si>
  <si>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</si>
  <si>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</si>
  <si>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</si>
  <si>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</si>
  <si>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</si>
  <si>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</si>
  <si>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</si>
  <si>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</si>
  <si>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</si>
  <si>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</si>
  <si>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</si>
  <si>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</si>
  <si>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</si>
  <si>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</si>
  <si>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</si>
  <si>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</si>
  <si>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</si>
  <si>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</si>
  <si>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</si>
  <si>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</si>
  <si>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</si>
  <si>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</si>
  <si>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</si>
  <si>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</si>
  <si>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</si>
  <si>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</si>
  <si>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</si>
  <si>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</si>
  <si>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</si>
  <si>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</si>
  <si>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</si>
  <si>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</si>
  <si>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</si>
  <si>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</si>
  <si>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</si>
  <si>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</si>
  <si>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</si>
  <si>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</si>
  <si>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</si>
  <si>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</si>
  <si>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</si>
  <si>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</si>
  <si>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</si>
  <si>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</si>
  <si>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</si>
  <si>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</si>
  <si>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</si>
  <si>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</si>
  <si>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</si>
  <si>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</si>
  <si>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</si>
  <si>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</si>
  <si>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</si>
  <si>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</si>
  <si>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</si>
  <si>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</si>
  <si>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</si>
  <si>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</si>
  <si>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</si>
  <si>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</si>
  <si>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</si>
  <si>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</si>
  <si>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</si>
  <si>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</si>
  <si>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</si>
  <si>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</si>
  <si>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</si>
  <si>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</si>
  <si>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</si>
  <si>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</si>
  <si>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</si>
  <si>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</si>
  <si>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</si>
  <si>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</si>
  <si>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</si>
  <si>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</si>
  <si>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</si>
  <si>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</si>
  <si>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</si>
  <si>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</si>
  <si>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</si>
  <si>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</si>
  <si>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</si>
  <si>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</si>
  <si>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</si>
  <si>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</si>
  <si>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</si>
  <si>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</si>
  <si>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</si>
  <si>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</si>
  <si>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</si>
  <si>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</si>
  <si>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</si>
  <si>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</si>
  <si>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</si>
  <si>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</si>
  <si>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</si>
  <si>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</si>
  <si>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</si>
  <si>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</si>
  <si>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</si>
  <si>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</si>
  <si>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</si>
  <si>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</si>
  <si>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</si>
  <si>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</si>
  <si>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</si>
  <si>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</si>
  <si>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</si>
  <si>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</si>
  <si>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</si>
  <si>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</si>
  <si>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</si>
  <si>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</si>
  <si>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</si>
  <si>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</si>
  <si>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</si>
  <si>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</si>
  <si>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</si>
  <si>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</si>
  <si>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</si>
  <si>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</si>
  <si>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</si>
  <si>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</si>
  <si>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</si>
  <si>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</si>
  <si>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</si>
  <si>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</si>
  <si>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</si>
  <si>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</si>
  <si>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</si>
  <si>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</si>
  <si>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</si>
  <si>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</si>
  <si>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</si>
  <si>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</si>
  <si>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</si>
  <si>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</si>
  <si>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</si>
  <si>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</si>
  <si>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</si>
  <si>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</si>
  <si>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</si>
  <si>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</si>
  <si>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</si>
  <si>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</si>
  <si>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</si>
  <si>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</si>
  <si>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</si>
  <si>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</si>
  <si>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</si>
  <si>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</si>
  <si>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</si>
  <si>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</si>
  <si>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</si>
  <si>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</si>
  <si>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</si>
  <si>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</si>
  <si>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</si>
  <si>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</si>
  <si>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</si>
  <si>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</si>
  <si>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</si>
  <si>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</si>
  <si>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</si>
  <si>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</si>
  <si>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</si>
  <si>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</si>
  <si>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</si>
  <si>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</si>
  <si>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</si>
  <si>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</si>
  <si>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</si>
  <si>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</si>
  <si>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</si>
  <si>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</si>
  <si>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</si>
  <si>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</si>
  <si>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</si>
  <si>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</si>
  <si>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</si>
  <si>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</si>
  <si>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</si>
  <si>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</si>
  <si>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</si>
  <si>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</si>
  <si>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</si>
  <si>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</si>
  <si>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</si>
  <si>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</si>
  <si>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</si>
  <si>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</si>
  <si>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</si>
  <si>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</si>
  <si>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</si>
  <si>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</si>
  <si>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</si>
  <si>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</si>
  <si>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</si>
  <si>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</si>
  <si>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</si>
  <si>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</si>
  <si>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</si>
  <si>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</si>
  <si>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</si>
  <si>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</si>
  <si>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</si>
  <si>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</si>
  <si>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</si>
  <si>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</si>
  <si>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</si>
  <si>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</si>
  <si>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</si>
  <si>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</si>
  <si>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</si>
  <si>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</si>
  <si>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</si>
  <si>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</si>
  <si>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</si>
  <si>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</si>
  <si>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</si>
  <si>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</si>
  <si>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</si>
  <si>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</si>
  <si>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</si>
  <si>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</si>
  <si>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</si>
  <si>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</si>
  <si>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</si>
  <si>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</si>
  <si>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</si>
  <si>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</si>
  <si>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</si>
  <si>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</si>
  <si>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</si>
  <si>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</si>
  <si>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</si>
  <si>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</si>
  <si>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</si>
  <si>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</si>
  <si>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</si>
  <si>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</si>
  <si>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</si>
  <si>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</si>
  <si>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</si>
  <si>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</si>
  <si>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</si>
  <si>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</si>
  <si>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</si>
  <si>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</si>
  <si>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</si>
  <si>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</si>
  <si>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</si>
  <si>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</si>
  <si>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</si>
  <si>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</si>
  <si>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</si>
  <si>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</si>
  <si>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</si>
  <si>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</si>
  <si>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</si>
  <si>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</si>
  <si>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</si>
  <si>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</si>
  <si>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</si>
  <si>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</si>
  <si>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</si>
  <si>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</si>
  <si>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</si>
  <si>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</si>
  <si>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</si>
  <si>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</si>
  <si>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</si>
  <si>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</si>
  <si>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</si>
  <si>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</si>
  <si>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</si>
  <si>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</si>
  <si>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</si>
  <si>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</si>
  <si>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</si>
  <si>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</si>
  <si>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</si>
  <si>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</si>
  <si>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</si>
  <si>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</si>
  <si>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</si>
  <si>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</si>
  <si>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</si>
  <si>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</si>
  <si>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</si>
  <si>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</si>
  <si>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</si>
  <si>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</si>
  <si>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</si>
  <si>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</si>
  <si>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</si>
  <si>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</si>
  <si>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</si>
  <si>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</si>
  <si>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</si>
  <si>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</si>
  <si>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</si>
  <si>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</si>
  <si>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</si>
  <si>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</si>
  <si>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</si>
  <si>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</si>
  <si>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</si>
  <si>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</si>
  <si>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</si>
  <si>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</si>
  <si>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</si>
  <si>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</si>
  <si>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</si>
  <si>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</si>
  <si>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</si>
  <si>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</si>
  <si>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</si>
  <si>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</si>
  <si>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</si>
  <si>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</si>
  <si>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</si>
  <si>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</si>
  <si>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</si>
  <si>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</si>
  <si>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</si>
  <si>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</si>
  <si>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</si>
  <si>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</si>
  <si>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</si>
  <si>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</si>
  <si>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</si>
  <si>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</si>
  <si>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</si>
  <si>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</si>
  <si>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</si>
  <si>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</si>
  <si>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</si>
  <si>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</si>
  <si>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</si>
  <si>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</si>
  <si>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</si>
  <si>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</si>
  <si>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</si>
  <si>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</si>
  <si>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</si>
  <si>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</si>
  <si>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</si>
  <si>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</si>
  <si>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</si>
  <si>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</si>
  <si>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</si>
  <si>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</si>
  <si>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</si>
  <si>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</si>
  <si>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</si>
  <si>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</si>
  <si>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</si>
  <si>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</si>
  <si>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</si>
  <si>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</si>
  <si>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</si>
  <si>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</si>
  <si>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</si>
  <si>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</si>
  <si>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</si>
  <si>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</si>
  <si>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</si>
  <si>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</si>
  <si>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</si>
  <si>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</si>
  <si>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</si>
  <si>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</si>
  <si>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</si>
  <si>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</si>
  <si>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</si>
  <si>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</si>
  <si>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</si>
  <si>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</si>
  <si>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</si>
  <si>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</si>
  <si>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</si>
  <si>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</si>
  <si>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</si>
  <si>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</si>
  <si>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</si>
  <si>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</si>
  <si>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</si>
  <si>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</si>
  <si>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</si>
  <si>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</si>
  <si>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</si>
  <si>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</si>
  <si>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</si>
  <si>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</si>
  <si>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</si>
  <si>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</si>
  <si>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</si>
  <si>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</si>
  <si>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</si>
  <si>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</si>
  <si>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</si>
  <si>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</si>
  <si>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</si>
  <si>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</si>
  <si>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</si>
  <si>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</si>
  <si>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</si>
  <si>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</si>
  <si>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</si>
  <si>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</si>
  <si>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</si>
  <si>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</si>
  <si>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</si>
  <si>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</si>
  <si>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</si>
  <si>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</si>
  <si>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</si>
  <si>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</si>
  <si>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</si>
  <si>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</si>
  <si>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</si>
  <si>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</si>
  <si>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</si>
  <si>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</si>
  <si>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</si>
  <si>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</si>
  <si>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</si>
  <si>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</si>
  <si>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</si>
  <si>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</si>
  <si>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</si>
  <si>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</si>
  <si>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</si>
  <si>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</si>
  <si>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</si>
  <si>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</si>
  <si>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</si>
  <si>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</si>
  <si>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</si>
  <si>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</si>
  <si>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</si>
  <si>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</si>
  <si>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</si>
  <si>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</si>
  <si>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</si>
  <si>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</si>
  <si>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</si>
  <si>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</si>
  <si>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</si>
  <si>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</si>
  <si>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</si>
  <si>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</si>
  <si>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</si>
  <si>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</si>
  <si>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</si>
  <si>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</si>
  <si>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</si>
  <si>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</si>
  <si>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</si>
  <si>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</si>
  <si>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</si>
  <si>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</si>
  <si>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</si>
  <si>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</si>
  <si>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</si>
  <si>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</si>
  <si>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</si>
  <si>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</si>
  <si>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</si>
  <si>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</si>
  <si>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</si>
  <si>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</si>
  <si>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</si>
  <si>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</si>
  <si>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</si>
  <si>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</si>
  <si>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</si>
  <si>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</si>
  <si>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</si>
  <si>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</si>
  <si>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</si>
  <si>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</si>
  <si>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</si>
  <si>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</si>
  <si>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</si>
  <si>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</si>
  <si>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</si>
  <si>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</si>
  <si>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</si>
  <si>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</si>
  <si>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</si>
  <si>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</si>
  <si>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</si>
  <si>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</si>
  <si>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</si>
  <si>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</si>
  <si>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</si>
  <si>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</si>
  <si>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</si>
  <si>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</si>
  <si>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</si>
  <si>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</si>
  <si>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</si>
  <si>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</si>
  <si>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</si>
  <si>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</si>
  <si>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</si>
  <si>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</si>
  <si>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</si>
  <si>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</si>
  <si>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</si>
  <si>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</si>
  <si>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</si>
  <si>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</si>
  <si>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</si>
  <si>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</si>
  <si>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</si>
  <si>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</si>
  <si>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</si>
  <si>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</si>
  <si>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</si>
  <si>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</si>
  <si>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</si>
  <si>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</si>
  <si>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</si>
  <si>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</si>
  <si>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</si>
  <si>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</si>
  <si>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</si>
  <si>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</si>
  <si>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</si>
  <si>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</si>
  <si>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</si>
  <si>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</si>
  <si>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</si>
  <si>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</si>
  <si>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</si>
  <si>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</si>
  <si>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</si>
  <si>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</si>
  <si>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</si>
  <si>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</si>
  <si>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</si>
  <si>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</si>
  <si>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</si>
  <si>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</si>
  <si>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</si>
  <si>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</si>
  <si>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</si>
  <si>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</si>
  <si>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</si>
  <si>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</si>
  <si>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</si>
  <si>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</si>
  <si>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</si>
  <si>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</si>
  <si>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</si>
  <si>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</si>
  <si>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</si>
  <si>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</si>
  <si>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</si>
  <si>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</si>
  <si>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</si>
  <si>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</si>
  <si>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</si>
  <si>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</si>
  <si>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</si>
  <si>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</si>
  <si>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</si>
  <si>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</si>
  <si>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</si>
  <si>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</si>
  <si>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</si>
  <si>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</si>
  <si>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</si>
  <si>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</si>
  <si>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</si>
  <si>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</si>
  <si>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</si>
  <si>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</si>
  <si>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</si>
  <si>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</si>
  <si>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</si>
  <si>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</si>
  <si>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</si>
  <si>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</si>
  <si>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</si>
  <si>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</si>
  <si>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</si>
  <si>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</si>
  <si>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</si>
  <si>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</si>
  <si>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</si>
  <si>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</si>
  <si>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</si>
  <si>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</si>
  <si>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</si>
  <si>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</si>
  <si>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</si>
  <si>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</si>
  <si>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</si>
  <si>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</si>
  <si>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</si>
  <si>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</si>
  <si>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</si>
  <si>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</si>
  <si>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</si>
  <si>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</si>
  <si>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</si>
  <si>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</si>
  <si>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</si>
  <si>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</si>
  <si>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</si>
  <si>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</si>
  <si>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</si>
  <si>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</si>
  <si>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</si>
  <si>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</si>
  <si>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</si>
  <si>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</si>
  <si>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</si>
  <si>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</si>
  <si>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</si>
  <si>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</si>
  <si>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</si>
  <si>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</si>
  <si>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</si>
  <si>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</si>
  <si>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</si>
  <si>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</si>
  <si>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</si>
  <si>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</si>
  <si>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</si>
  <si>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</si>
  <si>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</si>
  <si>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</si>
  <si>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</si>
  <si>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</si>
  <si>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</si>
  <si>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</si>
  <si>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</si>
  <si>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</si>
  <si>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</si>
  <si>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</si>
  <si>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</si>
  <si>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</si>
  <si>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</si>
  <si>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</si>
  <si>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</si>
  <si>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</si>
  <si>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</si>
  <si>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</si>
  <si>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</si>
  <si>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</si>
  <si>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</si>
  <si>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</si>
  <si>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</si>
  <si>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</si>
  <si>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</si>
  <si>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</si>
  <si>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</si>
  <si>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</si>
  <si>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</si>
  <si>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</si>
  <si>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</si>
  <si>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</si>
  <si>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</si>
  <si>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</si>
  <si>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</si>
  <si>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</si>
  <si>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</si>
  <si>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</si>
  <si>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</si>
  <si>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</si>
  <si>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</si>
  <si>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</si>
  <si>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</si>
  <si>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</si>
  <si>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</si>
  <si>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</si>
  <si>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</si>
  <si>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</si>
  <si>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</si>
  <si>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</si>
  <si>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</si>
  <si>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</si>
  <si>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</si>
  <si>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</si>
  <si>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</si>
  <si>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</si>
  <si>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</si>
  <si>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</si>
  <si>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</si>
  <si>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</si>
  <si>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</si>
  <si>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</si>
  <si>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</si>
  <si>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</si>
  <si>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</si>
  <si>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</si>
  <si>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</si>
  <si>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</si>
  <si>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</si>
  <si>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</si>
  <si>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</si>
  <si>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</si>
  <si>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</si>
  <si>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</si>
  <si>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</si>
  <si>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</si>
  <si>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</si>
  <si>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</si>
  <si>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</si>
  <si>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</si>
  <si>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</si>
  <si>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</si>
  <si>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</si>
  <si>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</si>
  <si>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</si>
  <si>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</si>
  <si>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</si>
  <si>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</si>
  <si>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</si>
  <si>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</si>
  <si>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</si>
  <si>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</si>
  <si>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</si>
  <si>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</si>
  <si>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</si>
  <si>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</si>
  <si>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</si>
  <si>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</si>
  <si>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</si>
  <si>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</si>
  <si>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</si>
  <si>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</si>
  <si>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</si>
  <si>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</si>
  <si>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</si>
  <si>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</si>
  <si>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</si>
  <si>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</si>
  <si>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</si>
  <si>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</si>
  <si>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</si>
  <si>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</si>
  <si>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</si>
  <si>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</si>
  <si>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</si>
  <si>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</si>
  <si>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</si>
  <si>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</si>
  <si>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</si>
  <si>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</si>
  <si>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</si>
  <si>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</si>
  <si>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</si>
  <si>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</si>
  <si>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</si>
  <si>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</si>
  <si>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</si>
  <si>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</si>
  <si>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</si>
  <si>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</si>
  <si>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</si>
  <si>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</si>
  <si>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</si>
  <si>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</si>
  <si>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</si>
  <si>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</si>
  <si>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</si>
  <si>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</si>
  <si>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</si>
  <si>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</si>
  <si>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</si>
  <si>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</si>
  <si>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</si>
  <si>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</si>
  <si>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</si>
  <si>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</si>
  <si>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</si>
  <si>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</si>
  <si>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</si>
  <si>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</si>
  <si>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</si>
  <si>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</si>
  <si>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</si>
  <si>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</si>
  <si>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</si>
  <si>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</si>
  <si>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</si>
  <si>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</si>
  <si>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</si>
  <si>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</si>
  <si>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</si>
  <si>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</si>
  <si>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</si>
  <si>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</si>
  <si>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</si>
  <si>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</si>
  <si>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</si>
  <si>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</si>
  <si>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</si>
  <si>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</si>
  <si>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</si>
  <si>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</si>
  <si>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</si>
  <si>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</si>
  <si>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</si>
  <si>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</si>
  <si>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</si>
  <si>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</si>
  <si>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</si>
  <si>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</si>
  <si>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</si>
  <si>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</si>
  <si>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</si>
  <si>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</si>
  <si>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</si>
  <si>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</si>
  <si>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</si>
  <si>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</si>
  <si>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</si>
  <si>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</si>
  <si>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</si>
  <si>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</si>
  <si>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</si>
  <si>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</si>
  <si>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</si>
  <si>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</si>
  <si>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</si>
  <si>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</si>
  <si>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</si>
  <si>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</si>
  <si>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</si>
  <si>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</si>
  <si>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</si>
  <si>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</si>
  <si>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</si>
  <si>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</si>
  <si>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</si>
  <si>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</si>
  <si>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</si>
  <si>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</si>
  <si>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</si>
  <si>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</si>
  <si>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</si>
  <si>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</si>
  <si>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</si>
  <si>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</si>
  <si>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</si>
  <si>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</si>
  <si>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</si>
  <si>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</si>
  <si>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</si>
  <si>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</si>
  <si>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</si>
  <si>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</si>
  <si>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</si>
  <si>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</si>
  <si>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</si>
  <si>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</si>
  <si>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</si>
  <si>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</si>
  <si>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</si>
  <si>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</si>
  <si>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</si>
  <si>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</si>
  <si>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</si>
  <si>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</si>
  <si>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</si>
  <si>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</si>
  <si>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</si>
  <si>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</si>
  <si>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</si>
  <si>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</si>
  <si>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</si>
  <si>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</si>
  <si>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</si>
  <si>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</si>
  <si>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</si>
  <si>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</si>
  <si>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</si>
  <si>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</si>
  <si>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</si>
  <si>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</si>
  <si>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</si>
  <si>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</si>
  <si>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</si>
  <si>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</si>
  <si>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</si>
  <si>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</si>
  <si>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</si>
  <si>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</si>
  <si>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</si>
  <si>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</si>
  <si>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</si>
  <si>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</si>
  <si>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</si>
  <si>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</si>
  <si>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</si>
  <si>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</si>
  <si>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</si>
  <si>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</si>
  <si>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</si>
  <si>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</si>
  <si>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</si>
  <si>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</si>
  <si>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</si>
  <si>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</si>
  <si>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</si>
  <si>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</si>
  <si>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</si>
  <si>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</si>
  <si>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</si>
  <si>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</si>
  <si>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</si>
  <si>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</si>
  <si>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</si>
  <si>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</si>
  <si>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</si>
  <si>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</si>
  <si>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</si>
  <si>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</si>
  <si>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</si>
  <si>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</si>
  <si>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</si>
  <si>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</si>
  <si>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</si>
  <si>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</si>
  <si>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</si>
  <si>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</si>
  <si>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</si>
  <si>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</si>
  <si>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</si>
  <si>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</si>
  <si>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</si>
  <si>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</si>
  <si>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</si>
  <si>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</si>
  <si>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</si>
  <si>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</si>
  <si>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</si>
  <si>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</si>
  <si>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</si>
  <si>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</si>
  <si>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</si>
  <si>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</si>
  <si>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</si>
  <si>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</si>
  <si>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</si>
  <si>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</si>
  <si>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</si>
  <si>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</si>
  <si>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</si>
  <si>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</si>
  <si>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</si>
  <si>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</si>
  <si>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</si>
  <si>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</si>
  <si>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</si>
  <si>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</si>
  <si>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</si>
  <si>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</si>
  <si>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</si>
  <si>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</si>
  <si>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</si>
  <si>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</si>
  <si>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</si>
  <si>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</si>
  <si>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</si>
  <si>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</si>
  <si>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</si>
  <si>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</si>
  <si>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</si>
  <si>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</si>
  <si>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</si>
  <si>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</si>
  <si>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</si>
  <si>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</si>
  <si>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</si>
  <si>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</si>
  <si>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</si>
  <si>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</si>
  <si>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</si>
  <si>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</si>
  <si>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</si>
  <si>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</si>
  <si>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</si>
  <si>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</si>
  <si>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</si>
  <si>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</si>
  <si>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</si>
  <si>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</si>
  <si>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</si>
  <si>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</si>
  <si>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</si>
  <si>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</si>
  <si>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</si>
  <si>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</si>
  <si>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</si>
  <si>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</si>
  <si>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</si>
  <si>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</si>
  <si>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</si>
  <si>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</si>
  <si>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</si>
  <si>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</si>
  <si>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</si>
  <si>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</si>
  <si>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</si>
  <si>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</si>
  <si>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</si>
  <si>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</si>
  <si>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</si>
  <si>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</si>
  <si>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</si>
  <si>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</si>
  <si>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</si>
  <si>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</si>
  <si>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</si>
  <si>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</si>
  <si>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</si>
  <si>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</si>
  <si>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</si>
  <si>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</si>
  <si>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</si>
  <si>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</si>
  <si>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</si>
  <si>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</si>
  <si>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</si>
  <si>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</si>
  <si>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</si>
  <si>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</si>
  <si>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</si>
  <si>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</si>
  <si>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</si>
  <si>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</si>
  <si>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</si>
  <si>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</si>
  <si>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</si>
  <si>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</si>
  <si>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</si>
  <si>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</si>
  <si>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</si>
  <si>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</si>
  <si>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</si>
  <si>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</si>
  <si>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</si>
  <si>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</si>
  <si>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</si>
  <si>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</si>
  <si>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</si>
  <si>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</si>
  <si>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</si>
  <si>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</si>
  <si>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</si>
  <si>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</si>
  <si>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</si>
  <si>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</si>
  <si>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</si>
  <si>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</si>
  <si>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</si>
  <si>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</si>
  <si>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</si>
  <si>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</si>
  <si>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</si>
  <si>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</si>
  <si>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</si>
  <si>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</si>
  <si>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</si>
  <si>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</si>
  <si>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</si>
  <si>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</si>
  <si>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</si>
  <si>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</si>
  <si>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</si>
  <si>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</si>
  <si>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</si>
  <si>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</si>
  <si>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</si>
  <si>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</si>
  <si>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</si>
  <si>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</si>
  <si>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</si>
  <si>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</si>
  <si>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</si>
  <si>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</si>
  <si>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</si>
  <si>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</si>
  <si>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</si>
  <si>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</si>
  <si>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</si>
  <si>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</si>
  <si>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</si>
  <si>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</si>
  <si>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</si>
  <si>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</si>
  <si>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</si>
  <si>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</si>
  <si>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</si>
  <si>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</si>
  <si>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</si>
  <si>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</si>
  <si>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</si>
  <si>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</si>
  <si>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</si>
  <si>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</si>
  <si>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</si>
  <si>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</si>
  <si>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</si>
  <si>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</si>
  <si>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</si>
  <si>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</si>
  <si>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</si>
  <si>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</si>
  <si>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</si>
  <si>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</si>
  <si>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</si>
  <si>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</si>
  <si>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</si>
  <si>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</si>
  <si>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</si>
  <si>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</si>
  <si>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</si>
  <si>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</si>
  <si>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</si>
  <si>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</si>
  <si>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</si>
  <si>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</si>
  <si>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</si>
  <si>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</si>
  <si>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</si>
  <si>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</si>
  <si>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</si>
  <si>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</si>
  <si>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</si>
  <si>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</si>
  <si>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</si>
  <si>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</si>
  <si>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</si>
  <si>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</si>
  <si>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</si>
  <si>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</si>
  <si>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</si>
  <si>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</si>
  <si>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</si>
  <si>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</si>
  <si>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</si>
  <si>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</si>
  <si>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</si>
  <si>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</si>
  <si>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</si>
  <si>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</si>
  <si>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</si>
  <si>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</si>
  <si>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</si>
  <si>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</si>
  <si>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</si>
  <si>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</si>
  <si>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</si>
  <si>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</si>
  <si>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</si>
  <si>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</si>
  <si>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</si>
  <si>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</si>
  <si>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</si>
  <si>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</si>
  <si>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</si>
  <si>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</si>
  <si>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</si>
  <si>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</si>
  <si>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</si>
  <si>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</si>
  <si>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</si>
  <si>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</si>
  <si>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</si>
  <si>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</si>
  <si>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</si>
  <si>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</si>
  <si>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</si>
  <si>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</si>
  <si>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</si>
  <si>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</si>
  <si>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</si>
  <si>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</si>
  <si>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</si>
  <si>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</si>
  <si>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</si>
  <si>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</si>
  <si>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</si>
  <si>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</si>
  <si>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</si>
  <si>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</si>
  <si>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</si>
  <si>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</si>
  <si>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</si>
  <si>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</si>
  <si>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</si>
  <si>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</si>
  <si>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</si>
  <si>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</si>
  <si>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</si>
  <si>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</si>
  <si>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</si>
  <si>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</si>
  <si>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</si>
  <si>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</si>
  <si>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</si>
  <si>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</si>
  <si>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</si>
  <si>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</si>
  <si>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</si>
  <si>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</si>
  <si>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</si>
  <si>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</si>
  <si>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</si>
  <si>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</si>
  <si>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</si>
  <si>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</si>
  <si>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</si>
  <si>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</si>
  <si>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</si>
  <si>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</si>
  <si>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</si>
  <si>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</si>
  <si>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</si>
  <si>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</si>
  <si>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</si>
  <si>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</si>
  <si>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</si>
  <si>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</si>
  <si>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</si>
  <si>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</si>
  <si>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</si>
  <si>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</si>
  <si>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</si>
  <si>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</si>
  <si>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</si>
  <si>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</si>
  <si>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</si>
  <si>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</si>
  <si>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</si>
  <si>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</si>
  <si>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</si>
  <si>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</si>
  <si>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</si>
  <si>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</si>
  <si>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</si>
  <si>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</si>
  <si>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</si>
  <si>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</si>
  <si>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</si>
  <si>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</si>
  <si>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</si>
  <si>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</si>
  <si>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</si>
  <si>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</si>
  <si>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</si>
  <si>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</si>
  <si>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</si>
  <si>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</si>
  <si>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</si>
  <si>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</si>
  <si>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</si>
  <si>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</si>
  <si>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</si>
  <si>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</si>
  <si>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</si>
  <si>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</si>
  <si>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</si>
  <si>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</si>
  <si>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</si>
  <si>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</si>
  <si>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</si>
  <si>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</si>
  <si>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</si>
  <si>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</si>
  <si>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</si>
  <si>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</si>
  <si>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</si>
  <si>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</si>
  <si>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</si>
  <si>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</si>
  <si>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</si>
  <si>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</si>
  <si>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</si>
  <si>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</si>
  <si>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</si>
  <si>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</si>
  <si>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</si>
  <si>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</si>
  <si>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</si>
  <si>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</si>
  <si>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</si>
  <si>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</si>
  <si>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</si>
  <si>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</si>
  <si>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</si>
  <si>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</si>
  <si>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</si>
  <si>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</si>
  <si>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</si>
  <si>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</si>
  <si>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</si>
  <si>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</si>
  <si>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</si>
  <si>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</si>
  <si>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</si>
  <si>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</si>
  <si>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</si>
  <si>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</si>
  <si>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</si>
  <si>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</si>
  <si>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</si>
  <si>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</si>
  <si>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</si>
  <si>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</si>
  <si>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</si>
  <si>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</si>
  <si>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</si>
  <si>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</si>
  <si>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</si>
  <si>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</si>
  <si>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</si>
  <si>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</si>
  <si>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</si>
  <si>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</si>
  <si>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</si>
  <si>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</si>
  <si>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</si>
  <si>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</si>
  <si>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</si>
  <si>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</si>
  <si>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</si>
  <si>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</si>
  <si>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</si>
  <si>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</si>
  <si>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</si>
  <si>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</si>
  <si>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</si>
  <si>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</si>
  <si>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</si>
  <si>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</si>
  <si>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</si>
  <si>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</si>
  <si>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</si>
  <si>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</si>
  <si>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</si>
  <si>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</si>
  <si>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</si>
  <si>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</si>
  <si>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</si>
  <si>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</si>
  <si>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</si>
  <si>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</si>
  <si>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</si>
  <si>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</si>
  <si>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</si>
  <si>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</si>
  <si>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</si>
  <si>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</si>
  <si>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</si>
  <si>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</si>
  <si>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</si>
  <si>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</si>
  <si>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</si>
  <si>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</si>
  <si>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</si>
  <si>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</si>
  <si>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</si>
  <si>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</si>
  <si>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</si>
  <si>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</si>
  <si>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</si>
  <si>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</si>
  <si>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</si>
  <si>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</si>
  <si>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</si>
  <si>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</si>
  <si>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</si>
  <si>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</si>
  <si>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</si>
  <si>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</si>
  <si>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</si>
  <si>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</si>
  <si>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</si>
  <si>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</si>
  <si>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</si>
  <si>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</si>
  <si>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</si>
  <si>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</si>
  <si>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</si>
  <si>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</si>
  <si>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</si>
  <si>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</si>
  <si>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</si>
  <si>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</si>
  <si>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</si>
  <si>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</si>
  <si>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</si>
  <si>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</si>
  <si>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</si>
  <si>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</si>
  <si>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</si>
  <si>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</si>
  <si>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</si>
  <si>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</si>
  <si>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</si>
  <si>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</si>
  <si>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</si>
  <si>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</si>
  <si>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</si>
  <si>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</si>
  <si>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</si>
  <si>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</si>
  <si>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</si>
  <si>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</si>
  <si>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</si>
  <si>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</si>
  <si>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</si>
  <si>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</si>
  <si>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</si>
  <si>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</si>
  <si>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</si>
  <si>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</si>
  <si>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</si>
  <si>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</si>
  <si>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</si>
  <si>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</si>
  <si>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</si>
  <si>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</si>
  <si>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</si>
  <si>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</si>
  <si>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</si>
  <si>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</si>
  <si>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</si>
  <si>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</si>
  <si>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</si>
  <si>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</si>
  <si>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</si>
  <si>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Deviation</t>
  </si>
  <si>
    <t>Sample Variance</t>
  </si>
  <si>
    <t>Minimum</t>
  </si>
  <si>
    <t>Maximum</t>
  </si>
  <si>
    <t>Stats Analysis: Failed</t>
  </si>
  <si>
    <t xml:space="preserve">Stats Analysis: Successful </t>
  </si>
  <si>
    <t>Using Add-On</t>
  </si>
  <si>
    <t>Using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</si>
</sst>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0" xfId="0" applyFont="1"/>
    <xf numFmtId="0" fontId="0" fillId="0" borderId="12" xfId="0" applyBorder="1"/>
    <xf numFmtId="2" fontId="0" fillId="0" borderId="0" xfId="0" applyNumberFormat="1"/>
    <xf numFmtId="2" fontId="18" fillId="0" borderId="10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1" xfId="0" applyNumberFormat="1" applyFill="1" applyBorder="1" applyAlignment="1"/>
    <xf numFmtId="2" fontId="0" fillId="0" borderId="0" xfId="0" applyNumberFormat="1" applyBorder="1"/>
    <xf numFmtId="0" fontId="16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[Mod1_Excel-Challenge_CrowdfundingBook.xlsx]Pivot1!PivotTable1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FEF-B31A-7EBD713D35DC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FEF-B31A-7EBD713D35DC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E-4FEF-B31A-7EBD713D35DC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E-4FEF-B31A-7EBD713D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080495"/>
        <c:axId val="1546080975"/>
      </c:barChart>
      <c:catAx>
        <c:axId val="15460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80975"/>
        <c:crosses val="autoZero"/>
        <c:auto val="1"/>
        <c:lblAlgn val="ctr"/>
        <c:lblOffset val="100"/>
        <c:noMultiLvlLbl val="0"/>
      </c:catAx>
      <c:valAx>
        <c:axId val="15460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[Mod1_Excel-Challenge_CrowdfundingBook.xlsx]Pivot2!PivotTable2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0-4CB2-8EE8-2C5CC903970B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0-4CB2-8EE8-2C5CC903970B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0-4CB2-8EE8-2C5CC903970B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0-4CB2-8EE8-2C5CC903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080015"/>
        <c:axId val="1546072335"/>
      </c:barChart>
      <c:catAx>
        <c:axId val="15460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72335"/>
        <c:crosses val="autoZero"/>
        <c:auto val="1"/>
        <c:lblAlgn val="ctr"/>
        <c:lblOffset val="100"/>
        <c:noMultiLvlLbl val="0"/>
      </c:catAx>
      <c:valAx>
        <c:axId val="15460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[Mod1_Excel-Challenge_CrowdfundingBook.xlsx]Pivot3!PivotTable2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FAD-BD0A-5AA05DBF9740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2-4FAD-BD0A-5AA05DBF9740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2-4FAD-BD0A-5AA05DBF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03504"/>
        <c:axId val="408495824"/>
      </c:lineChart>
      <c:catAx>
        <c:axId val="4085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5824"/>
        <c:crosses val="autoZero"/>
        <c:auto val="1"/>
        <c:lblAlgn val="ctr"/>
        <c:lblOffset val="100"/>
        <c:noMultiLvlLbl val="0"/>
      </c:catAx>
      <c:valAx>
        <c:axId val="4084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'CF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0-497A-98FD-B4DC91758995}"/>
            </c:ext>
          </c:extLst>
        </c:ser>
        <c:ser>
          <c:idx val="5"/>
          <c:order val="5"/>
          <c:tx>
            <c:strRef>
              <c:f>'CF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0-497A-98FD-B4DC91758995}"/>
            </c:ext>
          </c:extLst>
        </c:ser>
        <c:ser>
          <c:idx val="6"/>
          <c:order val="6"/>
          <c:tx>
            <c:strRef>
              <c:f>'CF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20-497A-98FD-B4DC9175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289903"/>
        <c:axId val="263291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'CF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20-497A-98FD-B4DC917589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'CF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20-497A-98FD-B4DC917589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'CF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0-497A-98FD-B4DC917589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'CF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20-497A-98FD-B4DC91758995}"/>
                  </c:ext>
                </c:extLst>
              </c15:ser>
            </c15:filteredLineSeries>
          </c:ext>
        </c:extLst>
      </c:lineChart>
      <c:catAx>
        <c:axId val="2632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91343"/>
        <c:crosses val="autoZero"/>
        <c:auto val="1"/>
        <c:lblAlgn val="ctr"/>
        <c:lblOffset val="100"/>
        <c:noMultiLvlLbl val="0"/>
      </c:catAx>
      <c:valAx>
        <c:axId val="2632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314323</xdr:colOff>
      <xdr:row>2</xdr:row>
      <xdr:rowOff>4762</xdr:rowOff>
    </xdr:from>
    <xdr:to>
      <xdr:col>14</xdr:col>
      <xdr:colOff>361950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69EA9-BD18-55A0-EDA5-0E873AE4B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3</xdr:row>
      <xdr:rowOff>0</xdr:rowOff>
    </xdr:from>
    <xdr:to>
      <xdr:col>16</xdr:col>
      <xdr:colOff>185736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3F978-B1B5-4F0E-FC61-B1BEC6690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195262</xdr:rowOff>
    </xdr:from>
    <xdr:to>
      <xdr:col>13</xdr:col>
      <xdr:colOff>238125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FA167-3DC8-5394-94E9-940E47FF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1176338</xdr:colOff>
      <xdr:row>13</xdr:row>
      <xdr:rowOff>138110</xdr:rowOff>
    </xdr:from>
    <xdr:to>
      <xdr:col>7</xdr:col>
      <xdr:colOff>128588</xdr:colOff>
      <xdr:row>31</xdr:row>
      <xdr:rowOff>9523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A6186-DE54-FC03-D8FB-C8C86C17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 Rosenbrook" refreshedDate="45023.801149305553" createdVersion="8" refreshedVersion="8" minRefreshableVersion="3" recordCount="1000" xr:uid="{9BC17952-88DC-4FB8-AE85-6865EC0A8A64}">
  <cacheSource type="worksheet">
    <worksheetSource ref="A1:T1001" sheet="Crowdfunding Datase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 Rosenbrook" refreshedDate="45023.823185879628" createdVersion="8" refreshedVersion="8" minRefreshableVersion="3" recordCount="1001" xr:uid="{89143EF4-1FF1-4863-9C8B-D7ED30F908AB}">
  <cacheSource type="worksheet">
    <worksheetSource ref="A1:T1048576" sheet="Crowdfunding Dataset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8E1C7-175E-4C1B-9EC9-3FE089FB5E5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18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2A57-A198-4939-B819-6AA436DE94D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1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877C8-1BB0-45EB-ABBA-EB66672DE97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A0D3-AFEB-4A07-A765-3F2814B73E7A}">
  <dimension ref="A1:F14"/>
  <sheetViews>
    <sheetView workbookViewId="0">
      <selection activeCell="B23" sqref="B23"/>
    </sheetView>
  </sheetViews>
  <sheetFormatPr defaultRowHeight="15.75" x14ac:dyDescent="0.5"/>
  <cols>
    <col min="1" max="1" width="15.875" bestFit="1" customWidth="1"/>
    <col min="2" max="2" width="14.875" bestFit="1" customWidth="1"/>
    <col min="3" max="3" width="5.375" bestFit="1" customWidth="1"/>
    <col min="4" max="4" width="3.625" bestFit="1" customWidth="1"/>
    <col min="6" max="7" width="10.4375" bestFit="1" customWidth="1"/>
  </cols>
  <sheetData>
    <row r="1" spans="1:6" x14ac:dyDescent="0.5">
      <c r="A1" s="8" t="s">
        <v>6</v>
      </c>
      <c r="B1" t="s">
        <v>2069</v>
      </c>
    </row>
    <row r="3" spans="1:6" x14ac:dyDescent="0.5">
      <c r="A3" s="8" t="s">
        <v>2070</v>
      </c>
      <c r="B3" s="8" t="s">
        <v>2068</v>
      </c>
    </row>
    <row r="4" spans="1:6" x14ac:dyDescent="0.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9" t="s">
        <v>2064</v>
      </c>
      <c r="E8">
        <v>4</v>
      </c>
      <c r="F8">
        <v>4</v>
      </c>
    </row>
    <row r="9" spans="1:6" x14ac:dyDescent="0.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DB8D-BDDF-461B-BCA3-06F5FC838E4A}">
  <dimension ref="A1:F30"/>
  <sheetViews>
    <sheetView workbookViewId="0">
      <selection activeCell="S24" sqref="S24"/>
    </sheetView>
  </sheetViews>
  <sheetFormatPr defaultRowHeight="15.75" x14ac:dyDescent="0.5"/>
  <cols>
    <col min="1" max="1" width="19.37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8" t="s">
        <v>6</v>
      </c>
      <c r="B1" t="s">
        <v>2069</v>
      </c>
    </row>
    <row r="2" spans="1:6" x14ac:dyDescent="0.5">
      <c r="A2" s="8" t="s">
        <v>2031</v>
      </c>
      <c r="B2" t="s">
        <v>2069</v>
      </c>
    </row>
    <row r="4" spans="1:6" x14ac:dyDescent="0.5">
      <c r="A4" s="8" t="s">
        <v>2070</v>
      </c>
      <c r="B4" s="8" t="s">
        <v>2068</v>
      </c>
    </row>
    <row r="5" spans="1:6" x14ac:dyDescent="0.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9" t="s">
        <v>2065</v>
      </c>
      <c r="E7">
        <v>4</v>
      </c>
      <c r="F7">
        <v>4</v>
      </c>
    </row>
    <row r="8" spans="1:6" x14ac:dyDescent="0.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9" t="s">
        <v>2043</v>
      </c>
      <c r="C10">
        <v>8</v>
      </c>
      <c r="E10">
        <v>10</v>
      </c>
      <c r="F10">
        <v>18</v>
      </c>
    </row>
    <row r="11" spans="1:6" x14ac:dyDescent="0.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9" t="s">
        <v>2057</v>
      </c>
      <c r="C15">
        <v>3</v>
      </c>
      <c r="E15">
        <v>4</v>
      </c>
      <c r="F15">
        <v>7</v>
      </c>
    </row>
    <row r="16" spans="1:6" x14ac:dyDescent="0.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9" t="s">
        <v>2056</v>
      </c>
      <c r="C20">
        <v>4</v>
      </c>
      <c r="E20">
        <v>4</v>
      </c>
      <c r="F20">
        <v>8</v>
      </c>
    </row>
    <row r="21" spans="1:6" x14ac:dyDescent="0.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9" t="s">
        <v>2063</v>
      </c>
      <c r="C22">
        <v>9</v>
      </c>
      <c r="E22">
        <v>5</v>
      </c>
      <c r="F22">
        <v>14</v>
      </c>
    </row>
    <row r="23" spans="1:6" x14ac:dyDescent="0.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9" t="s">
        <v>2059</v>
      </c>
      <c r="C25">
        <v>7</v>
      </c>
      <c r="E25">
        <v>14</v>
      </c>
      <c r="F25">
        <v>21</v>
      </c>
    </row>
    <row r="26" spans="1:6" x14ac:dyDescent="0.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9" t="s">
        <v>2062</v>
      </c>
      <c r="E29">
        <v>3</v>
      </c>
      <c r="F29">
        <v>3</v>
      </c>
    </row>
    <row r="30" spans="1:6" x14ac:dyDescent="0.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58A6-1DB3-4174-80C0-271232F61F33}">
  <dimension ref="A1:E18"/>
  <sheetViews>
    <sheetView tabSelected="1" workbookViewId="0">
      <selection activeCell="E29" sqref="E2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7" width="10.4375" bestFit="1" customWidth="1"/>
  </cols>
  <sheetData>
    <row r="1" spans="1:5" x14ac:dyDescent="0.5">
      <c r="A1" s="8" t="s">
        <v>2031</v>
      </c>
      <c r="B1" t="s">
        <v>2069</v>
      </c>
    </row>
    <row r="2" spans="1:5" x14ac:dyDescent="0.5">
      <c r="A2" s="8" t="s">
        <v>2086</v>
      </c>
      <c r="B2" t="s">
        <v>2069</v>
      </c>
    </row>
    <row r="4" spans="1:5" x14ac:dyDescent="0.5">
      <c r="A4" s="8" t="s">
        <v>2085</v>
      </c>
      <c r="B4" s="8" t="s">
        <v>2068</v>
      </c>
    </row>
    <row r="5" spans="1:5" x14ac:dyDescent="0.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46F3-C665-44D4-840A-1432EC9ED38F}">
  <dimension ref="A1:H13"/>
  <sheetViews>
    <sheetView workbookViewId="0">
      <selection activeCell="E1" sqref="E1:E13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s="12" t="s">
        <v>2087</v>
      </c>
      <c r="B1" s="12" t="s">
        <v>2088</v>
      </c>
      <c r="C1" s="12" t="s">
        <v>2089</v>
      </c>
      <c r="D1" s="12" t="s">
        <v>2090</v>
      </c>
      <c r="E1" s="20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5">
      <c r="A2" t="s">
        <v>2095</v>
      </c>
      <c r="B2">
        <f>COUNTIFS('Crowdfunding Dataset'!D:D,"&lt;1000",'Crowdfunding Dataset'!G:G,"successful")</f>
        <v>30</v>
      </c>
      <c r="C2">
        <f>COUNTIFS('Crowdfunding Dataset'!D:D,"&lt;1000",'Crowdfunding Dataset'!G:G,"failed")</f>
        <v>20</v>
      </c>
      <c r="D2">
        <f>COUNTIFS('Crowdfunding Dataset'!D:D,"&lt;1000",'Crowdfunding Dataset'!G:G,"canceled")</f>
        <v>1</v>
      </c>
      <c r="E2" s="14">
        <f>SUM(B2:D2)</f>
        <v>51</v>
      </c>
      <c r="F2">
        <f>ROUND((B2/E2)*100, 0)</f>
        <v>59</v>
      </c>
      <c r="G2">
        <f>ROUND((C2/E2)*100, 0)</f>
        <v>39</v>
      </c>
      <c r="H2">
        <f>ROUND((D2/E2)*100, 0)</f>
        <v>2</v>
      </c>
    </row>
    <row r="3" spans="1:8" x14ac:dyDescent="0.5">
      <c r="A3" t="s">
        <v>2096</v>
      </c>
      <c r="B3">
        <f>COUNTIFS('Crowdfunding Dataset'!D:D,"&gt;=1000",'Crowdfunding Dataset'!D:D,"&lt;=4999",'Crowdfunding Dataset'!G:G,"successful")</f>
        <v>191</v>
      </c>
      <c r="C3">
        <f>COUNTIFS('Crowdfunding Dataset'!D:D,"&gt;=1000",'Crowdfunding Dataset'!D:D,"&lt;=4999",'Crowdfunding Dataset'!G:G,"failed")</f>
        <v>38</v>
      </c>
      <c r="D3">
        <f>COUNTIFS('Crowdfunding Dataset'!D:D,"&gt;=1000",'Crowdfunding Dataset'!D:D,"&lt;=4999",'Crowdfunding Dataset'!G:G,"canceled")</f>
        <v>2</v>
      </c>
      <c r="E3" s="14">
        <f t="shared" ref="E3:E13" si="0">SUM(B3:D3)</f>
        <v>231</v>
      </c>
      <c r="F3">
        <f t="shared" ref="F3:F13" si="1">ROUND((B3/E3)*100, 0)</f>
        <v>83</v>
      </c>
      <c r="G3">
        <f t="shared" ref="G3:G13" si="2">ROUND((C3/E3)*100, 0)</f>
        <v>16</v>
      </c>
      <c r="H3">
        <f t="shared" ref="H3:H13" si="3">ROUND((D3/E3)*100, 0)</f>
        <v>1</v>
      </c>
    </row>
    <row r="4" spans="1:8" x14ac:dyDescent="0.5">
      <c r="A4" t="s">
        <v>2097</v>
      </c>
      <c r="B4">
        <f>COUNTIFS('Crowdfunding Dataset'!D:D,"&gt;=5000",'Crowdfunding Dataset'!D:D,"&lt;=9999",'Crowdfunding Dataset'!G:G,"successful")</f>
        <v>164</v>
      </c>
      <c r="C4">
        <f>COUNTIFS('Crowdfunding Dataset'!D:D,"&gt;=5000",'Crowdfunding Dataset'!D:D,"&lt;=9999",'Crowdfunding Dataset'!G:G,"failed")</f>
        <v>126</v>
      </c>
      <c r="D4">
        <f>COUNTIFS('Crowdfunding Dataset'!D:D,"&gt;=5000",'Crowdfunding Dataset'!D:D,"&lt;=9999",'Crowdfunding Dataset'!G:G,"canceled")</f>
        <v>25</v>
      </c>
      <c r="E4" s="1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5">
      <c r="A5" t="s">
        <v>2098</v>
      </c>
      <c r="B5">
        <f>COUNTIFS('Crowdfunding Dataset'!D:D,"&gt;=10000",'Crowdfunding Dataset'!D:D,"&lt;=14999",'Crowdfunding Dataset'!G:G,"successful")</f>
        <v>4</v>
      </c>
      <c r="C5" s="13">
        <f>COUNTIFS('Crowdfunding Dataset'!D:D,"&gt;=10000",'Crowdfunding Dataset'!D:D,"&lt;=14999",'Crowdfunding Dataset'!G:G,"failed")</f>
        <v>5</v>
      </c>
      <c r="D5">
        <f>COUNTIFS('Crowdfunding Dataset'!D:D,"&gt;=10000",'Crowdfunding Dataset'!D:D,"&lt;=14999",'Crowdfunding Dataset'!G:G,"canceled")</f>
        <v>0</v>
      </c>
      <c r="E5" s="14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5">
      <c r="A6" t="s">
        <v>2099</v>
      </c>
      <c r="B6">
        <f>COUNTIFS('Crowdfunding Dataset'!D:D,"&gt;=15000",'Crowdfunding Dataset'!D:D,"&lt;=19999",'Crowdfunding Dataset'!G:G,"successful")</f>
        <v>10</v>
      </c>
      <c r="C6">
        <f>COUNTIFS('Crowdfunding Dataset'!D:D,"&gt;=15000",'Crowdfunding Dataset'!D:D,"&lt;=19999",'Crowdfunding Dataset'!G:G,"failed")</f>
        <v>0</v>
      </c>
      <c r="D6">
        <f>COUNTIFS('Crowdfunding Dataset'!D:D,"&gt;=15000",'Crowdfunding Dataset'!D:D,"&lt;=19999",'Crowdfunding Dataset'!G:G,"canceled")</f>
        <v>0</v>
      </c>
      <c r="E6" s="14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5">
      <c r="A7" t="s">
        <v>2100</v>
      </c>
      <c r="B7">
        <f>COUNTIFS('Crowdfunding Dataset'!D:D,"&gt;=20000",'Crowdfunding Dataset'!D:D,"&lt;=24999",'Crowdfunding Dataset'!G:G,"successful")</f>
        <v>7</v>
      </c>
      <c r="C7">
        <f>COUNTIFS('Crowdfunding Dataset'!D:D,"&gt;=20000",'Crowdfunding Dataset'!D:D,"&lt;=24999",'Crowdfunding Dataset'!G:G,"failed")</f>
        <v>0</v>
      </c>
      <c r="D7">
        <f>COUNTIFS('Crowdfunding Dataset'!D:D,"&gt;=20000",'Crowdfunding Dataset'!D:D,"&lt;=24999",'Crowdfunding Dataset'!G:G,"canceled")</f>
        <v>0</v>
      </c>
      <c r="E7" s="14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5">
      <c r="A8" t="s">
        <v>2101</v>
      </c>
      <c r="B8">
        <f>COUNTIFS('Crowdfunding Dataset'!D:D,"&gt;=25000",'Crowdfunding Dataset'!D:D,"&lt;=29999",'Crowdfunding Dataset'!G:G,"successful")</f>
        <v>11</v>
      </c>
      <c r="C8">
        <f>COUNTIFS('Crowdfunding Dataset'!D:D,"&gt;=25000",'Crowdfunding Dataset'!D:D,"&lt;=29999",'Crowdfunding Dataset'!G:G,"failed")</f>
        <v>3</v>
      </c>
      <c r="D8">
        <f>COUNTIFS('Crowdfunding Dataset'!D:D,"&gt;=25000",'Crowdfunding Dataset'!D:D,"&lt;=29999",'Crowdfunding Dataset'!G:G,"canceled")</f>
        <v>0</v>
      </c>
      <c r="E8" s="14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5">
      <c r="A9" t="s">
        <v>2102</v>
      </c>
      <c r="B9">
        <f>COUNTIFS('Crowdfunding Dataset'!D:D,"&gt;=30000",'Crowdfunding Dataset'!D:D,"&lt;=34999",'Crowdfunding Dataset'!G:G,"successful")</f>
        <v>7</v>
      </c>
      <c r="C9">
        <f>COUNTIFS('Crowdfunding Dataset'!D:D,"&gt;=30000",'Crowdfunding Dataset'!D:D,"&lt;=34999",'Crowdfunding Dataset'!G:G,"failed")</f>
        <v>0</v>
      </c>
      <c r="D9">
        <f>COUNTIFS('Crowdfunding Dataset'!D:D,"&gt;=30000",'Crowdfunding Dataset'!D:D,"&lt;=34999",'Crowdfunding Dataset'!G:G,"canceled")</f>
        <v>0</v>
      </c>
      <c r="E9" s="14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5">
      <c r="A10" t="s">
        <v>2103</v>
      </c>
      <c r="B10">
        <f>COUNTIFS('Crowdfunding Dataset'!D:D,"&gt;=35000",'Crowdfunding Dataset'!D:D,"&lt;=39999",'Crowdfunding Dataset'!G:G,"successful")</f>
        <v>8</v>
      </c>
      <c r="C10">
        <f>COUNTIFS('Crowdfunding Dataset'!D:D,"&gt;=35000",'Crowdfunding Dataset'!D:D,"&lt;=39999",'Crowdfunding Dataset'!G:G,"failed")</f>
        <v>3</v>
      </c>
      <c r="D10">
        <f>COUNTIFS('Crowdfunding Dataset'!D:D,"&gt;=35000",'Crowdfunding Dataset'!D:D,"&lt;=39999",'Crowdfunding Dataset'!G:G,"canceled")</f>
        <v>1</v>
      </c>
      <c r="E10" s="14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5">
      <c r="A11" t="s">
        <v>2104</v>
      </c>
      <c r="B11">
        <f>COUNTIFS('Crowdfunding Dataset'!D:D,"&gt;=40000",'Crowdfunding Dataset'!D:D,"&lt;=44999",'Crowdfunding Dataset'!G:G,"successful")</f>
        <v>11</v>
      </c>
      <c r="C11">
        <f>COUNTIFS('Crowdfunding Dataset'!D:D,"&gt;=40000",'Crowdfunding Dataset'!D:D,"&lt;=44999",'Crowdfunding Dataset'!G:G,"failed")</f>
        <v>3</v>
      </c>
      <c r="D11">
        <f>COUNTIFS('Crowdfunding Dataset'!D:D,"&gt;=40000",'Crowdfunding Dataset'!D:D,"&lt;=44999",'Crowdfunding Dataset'!G:G,"canceled")</f>
        <v>0</v>
      </c>
      <c r="E11" s="14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5">
      <c r="A12" t="s">
        <v>2105</v>
      </c>
      <c r="B12">
        <f>COUNTIFS('Crowdfunding Dataset'!D:D,"&gt;=45000",'Crowdfunding Dataset'!D:D,"&lt;=49999",'Crowdfunding Dataset'!G:G,"successful")</f>
        <v>8</v>
      </c>
      <c r="C12">
        <f>COUNTIFS('Crowdfunding Dataset'!D:D,"&gt;=45000",'Crowdfunding Dataset'!D:D,"&lt;=49999",'Crowdfunding Dataset'!G:G,"failed")</f>
        <v>3</v>
      </c>
      <c r="D12">
        <f>COUNTIFS('Crowdfunding Dataset'!D:D,"&gt;=45000",'Crowdfunding Dataset'!D:D,"&lt;=49999",'Crowdfunding Dataset'!G:G,"canceled")</f>
        <v>0</v>
      </c>
      <c r="E12" s="14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5">
      <c r="A13" t="s">
        <v>2106</v>
      </c>
      <c r="B13">
        <f>COUNTIFS('Crowdfunding Dataset'!D:D,"&gt;=50000",'Crowdfunding Dataset'!G:G,"successful")</f>
        <v>114</v>
      </c>
      <c r="C13">
        <f>COUNTIFS('Crowdfunding Dataset'!D:D,"&gt;=50000",'Crowdfunding Dataset'!G:G,"failed")</f>
        <v>163</v>
      </c>
      <c r="D13">
        <f>COUNTIFS('Crowdfunding Dataset'!D:D,"&gt;=50000",'Crowdfunding Dataset'!G:G,"canceled")</f>
        <v>28</v>
      </c>
      <c r="E13" s="14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pageSetup orientation="portrait" horizontalDpi="4294967293" verticalDpi="0" r:id="rId1"/>
  <ignoredErrors>
    <ignoredError sqref="C2:C1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D473-DEF3-4022-959C-519C6F7A8EAB}">
  <dimension ref="A1:L566"/>
  <sheetViews>
    <sheetView workbookViewId="0">
      <selection activeCell="L34" sqref="L34"/>
    </sheetView>
  </sheetViews>
  <sheetFormatPr defaultRowHeight="15.75" x14ac:dyDescent="0.5"/>
  <cols>
    <col min="1" max="1" width="8.3125" bestFit="1" customWidth="1"/>
    <col min="2" max="2" width="12.8125" bestFit="1" customWidth="1"/>
    <col min="4" max="4" width="8.3125" bestFit="1" customWidth="1"/>
    <col min="5" max="5" width="12.8125" bestFit="1" customWidth="1"/>
    <col min="8" max="8" width="16.3125" bestFit="1" customWidth="1"/>
    <col min="9" max="9" width="11.6875" bestFit="1" customWidth="1"/>
    <col min="11" max="11" width="16.3125" bestFit="1" customWidth="1"/>
    <col min="12" max="12" width="11.6875" bestFit="1" customWidth="1"/>
  </cols>
  <sheetData>
    <row r="1" spans="1:12" x14ac:dyDescent="0.5">
      <c r="A1" s="1" t="s">
        <v>4</v>
      </c>
      <c r="B1" s="1" t="s">
        <v>5</v>
      </c>
      <c r="C1" s="12"/>
      <c r="D1" s="1" t="s">
        <v>4</v>
      </c>
      <c r="E1" s="1" t="s">
        <v>5</v>
      </c>
    </row>
    <row r="2" spans="1:12" x14ac:dyDescent="0.5">
      <c r="A2" t="s">
        <v>20</v>
      </c>
      <c r="B2">
        <v>158</v>
      </c>
      <c r="D2" t="s">
        <v>14</v>
      </c>
      <c r="E2">
        <v>0</v>
      </c>
    </row>
    <row r="3" spans="1:12" x14ac:dyDescent="0.5">
      <c r="A3" t="s">
        <v>20</v>
      </c>
      <c r="B3">
        <v>1425</v>
      </c>
      <c r="D3" t="s">
        <v>14</v>
      </c>
      <c r="E3">
        <v>24</v>
      </c>
    </row>
    <row r="4" spans="1:12" ht="16.149999999999999" thickBot="1" x14ac:dyDescent="0.55000000000000004">
      <c r="A4" t="s">
        <v>20</v>
      </c>
      <c r="B4">
        <v>174</v>
      </c>
      <c r="D4" t="s">
        <v>14</v>
      </c>
      <c r="E4">
        <v>53</v>
      </c>
      <c r="H4" s="15" t="s">
        <v>2115</v>
      </c>
      <c r="I4" s="15"/>
      <c r="J4" s="15"/>
      <c r="K4" s="15"/>
      <c r="L4" s="15"/>
    </row>
    <row r="5" spans="1:12" x14ac:dyDescent="0.5">
      <c r="A5" t="s">
        <v>20</v>
      </c>
      <c r="B5">
        <v>227</v>
      </c>
      <c r="D5" t="s">
        <v>14</v>
      </c>
      <c r="E5">
        <v>18</v>
      </c>
      <c r="H5" s="16" t="s">
        <v>2114</v>
      </c>
      <c r="I5" s="16"/>
      <c r="J5" s="15"/>
      <c r="K5" s="16" t="s">
        <v>2113</v>
      </c>
      <c r="L5" s="16"/>
    </row>
    <row r="6" spans="1:12" x14ac:dyDescent="0.5">
      <c r="A6" t="s">
        <v>20</v>
      </c>
      <c r="B6">
        <v>220</v>
      </c>
      <c r="D6" t="s">
        <v>14</v>
      </c>
      <c r="E6">
        <v>44</v>
      </c>
      <c r="H6" s="17" t="s">
        <v>2107</v>
      </c>
      <c r="I6" s="17">
        <v>851.14690265486729</v>
      </c>
      <c r="J6" s="15"/>
      <c r="K6" s="17" t="s">
        <v>2107</v>
      </c>
      <c r="L6" s="17">
        <v>585.61538461538464</v>
      </c>
    </row>
    <row r="7" spans="1:12" x14ac:dyDescent="0.5">
      <c r="A7" t="s">
        <v>20</v>
      </c>
      <c r="B7">
        <v>98</v>
      </c>
      <c r="D7" t="s">
        <v>14</v>
      </c>
      <c r="E7">
        <v>27</v>
      </c>
      <c r="H7" s="17" t="s">
        <v>2108</v>
      </c>
      <c r="I7" s="17">
        <v>201</v>
      </c>
      <c r="J7" s="15"/>
      <c r="K7" s="17" t="s">
        <v>2108</v>
      </c>
      <c r="L7" s="17">
        <v>114.5</v>
      </c>
    </row>
    <row r="8" spans="1:12" x14ac:dyDescent="0.5">
      <c r="A8" t="s">
        <v>20</v>
      </c>
      <c r="B8">
        <v>100</v>
      </c>
      <c r="D8" t="s">
        <v>14</v>
      </c>
      <c r="E8">
        <v>55</v>
      </c>
      <c r="H8" s="17" t="s">
        <v>2110</v>
      </c>
      <c r="I8" s="17">
        <v>1606216.5936295739</v>
      </c>
      <c r="J8" s="15"/>
      <c r="K8" s="17" t="s">
        <v>2110</v>
      </c>
      <c r="L8" s="17">
        <v>924113.45496927318</v>
      </c>
    </row>
    <row r="9" spans="1:12" x14ac:dyDescent="0.5">
      <c r="A9" t="s">
        <v>20</v>
      </c>
      <c r="B9">
        <v>1249</v>
      </c>
      <c r="D9" t="s">
        <v>14</v>
      </c>
      <c r="E9">
        <v>200</v>
      </c>
      <c r="H9" s="17" t="s">
        <v>2109</v>
      </c>
      <c r="I9" s="17">
        <v>1267.366006183523</v>
      </c>
      <c r="J9" s="15"/>
      <c r="K9" s="17" t="s">
        <v>2109</v>
      </c>
      <c r="L9" s="17">
        <v>961.30819978260524</v>
      </c>
    </row>
    <row r="10" spans="1:12" x14ac:dyDescent="0.5">
      <c r="A10" t="s">
        <v>20</v>
      </c>
      <c r="B10">
        <v>1396</v>
      </c>
      <c r="D10" t="s">
        <v>14</v>
      </c>
      <c r="E10">
        <v>452</v>
      </c>
      <c r="H10" s="17" t="s">
        <v>2111</v>
      </c>
      <c r="I10" s="17">
        <v>16</v>
      </c>
      <c r="J10" s="15"/>
      <c r="K10" s="17" t="s">
        <v>2111</v>
      </c>
      <c r="L10" s="17">
        <v>0</v>
      </c>
    </row>
    <row r="11" spans="1:12" x14ac:dyDescent="0.5">
      <c r="A11" t="s">
        <v>20</v>
      </c>
      <c r="B11">
        <v>890</v>
      </c>
      <c r="D11" t="s">
        <v>14</v>
      </c>
      <c r="E11">
        <v>674</v>
      </c>
      <c r="H11" s="18" t="s">
        <v>2112</v>
      </c>
      <c r="I11" s="18">
        <v>7295</v>
      </c>
      <c r="J11" s="19"/>
      <c r="K11" s="18" t="s">
        <v>2112</v>
      </c>
      <c r="L11" s="18">
        <v>6080</v>
      </c>
    </row>
    <row r="12" spans="1:12" x14ac:dyDescent="0.5">
      <c r="A12" t="s">
        <v>20</v>
      </c>
      <c r="B12">
        <v>142</v>
      </c>
      <c r="D12" t="s">
        <v>14</v>
      </c>
      <c r="E12">
        <v>558</v>
      </c>
      <c r="H12" s="15"/>
      <c r="I12" s="15"/>
      <c r="J12" s="15"/>
      <c r="K12" s="15"/>
      <c r="L12" s="15"/>
    </row>
    <row r="13" spans="1:12" ht="16.149999999999999" thickBot="1" x14ac:dyDescent="0.55000000000000004">
      <c r="A13" t="s">
        <v>20</v>
      </c>
      <c r="B13">
        <v>2673</v>
      </c>
      <c r="D13" t="s">
        <v>14</v>
      </c>
      <c r="E13">
        <v>15</v>
      </c>
      <c r="H13" s="15" t="s">
        <v>2116</v>
      </c>
      <c r="I13" s="15"/>
      <c r="J13" s="15"/>
      <c r="K13" s="15"/>
      <c r="L13" s="15"/>
    </row>
    <row r="14" spans="1:12" x14ac:dyDescent="0.5">
      <c r="A14" t="s">
        <v>20</v>
      </c>
      <c r="B14">
        <v>163</v>
      </c>
      <c r="D14" t="s">
        <v>14</v>
      </c>
      <c r="E14">
        <v>2307</v>
      </c>
      <c r="H14" s="16" t="s">
        <v>2114</v>
      </c>
      <c r="I14" s="16"/>
      <c r="J14" s="15"/>
      <c r="K14" s="16" t="s">
        <v>2113</v>
      </c>
      <c r="L14" s="16"/>
    </row>
    <row r="15" spans="1:12" x14ac:dyDescent="0.5">
      <c r="A15" t="s">
        <v>20</v>
      </c>
      <c r="B15">
        <v>2220</v>
      </c>
      <c r="D15" t="s">
        <v>14</v>
      </c>
      <c r="E15">
        <v>88</v>
      </c>
      <c r="H15" s="15" t="s">
        <v>2107</v>
      </c>
      <c r="I15" s="15">
        <f>AVERAGE(B2:B566)</f>
        <v>851.14690265486729</v>
      </c>
      <c r="J15" s="15"/>
      <c r="K15" s="17" t="s">
        <v>2107</v>
      </c>
      <c r="L15" s="17">
        <f>AVERAGE(E2:E365)</f>
        <v>585.61538461538464</v>
      </c>
    </row>
    <row r="16" spans="1:12" x14ac:dyDescent="0.5">
      <c r="A16" t="s">
        <v>20</v>
      </c>
      <c r="B16">
        <v>1606</v>
      </c>
      <c r="D16" t="s">
        <v>14</v>
      </c>
      <c r="E16">
        <v>48</v>
      </c>
      <c r="H16" s="17" t="s">
        <v>2108</v>
      </c>
      <c r="I16" s="17">
        <f>MEDIAN(B2:B566)</f>
        <v>201</v>
      </c>
      <c r="J16" s="15"/>
      <c r="K16" s="17" t="s">
        <v>2108</v>
      </c>
      <c r="L16" s="17">
        <f>MEDIAN(E2:E365)</f>
        <v>114.5</v>
      </c>
    </row>
    <row r="17" spans="1:12" x14ac:dyDescent="0.5">
      <c r="A17" t="s">
        <v>20</v>
      </c>
      <c r="B17">
        <v>129</v>
      </c>
      <c r="D17" t="s">
        <v>14</v>
      </c>
      <c r="E17">
        <v>1</v>
      </c>
      <c r="H17" s="17" t="s">
        <v>2110</v>
      </c>
      <c r="I17" s="17">
        <f>_xlfn.VAR.S(B2:B566)</f>
        <v>1606216.5936295739</v>
      </c>
      <c r="J17" s="15"/>
      <c r="K17" s="17" t="s">
        <v>2110</v>
      </c>
      <c r="L17" s="17">
        <f>_xlfn.VAR.S(E2:E365)</f>
        <v>924113.45496927318</v>
      </c>
    </row>
    <row r="18" spans="1:12" x14ac:dyDescent="0.5">
      <c r="A18" t="s">
        <v>20</v>
      </c>
      <c r="B18">
        <v>226</v>
      </c>
      <c r="D18" t="s">
        <v>14</v>
      </c>
      <c r="E18">
        <v>1467</v>
      </c>
      <c r="H18" s="17" t="s">
        <v>2109</v>
      </c>
      <c r="I18" s="17">
        <f>_xlfn.STDEV.S(B2:B566)</f>
        <v>1267.366006183523</v>
      </c>
      <c r="J18" s="15"/>
      <c r="K18" s="17" t="s">
        <v>2109</v>
      </c>
      <c r="L18" s="17">
        <f>_xlfn.STDEV.S(E2:E365)</f>
        <v>961.30819978260524</v>
      </c>
    </row>
    <row r="19" spans="1:12" x14ac:dyDescent="0.5">
      <c r="A19" t="s">
        <v>20</v>
      </c>
      <c r="B19">
        <v>5419</v>
      </c>
      <c r="D19" t="s">
        <v>14</v>
      </c>
      <c r="E19">
        <v>75</v>
      </c>
      <c r="H19" s="17" t="s">
        <v>2111</v>
      </c>
      <c r="I19" s="17">
        <f>MIN(B2:B566)</f>
        <v>16</v>
      </c>
      <c r="J19" s="15"/>
      <c r="K19" s="17" t="s">
        <v>2111</v>
      </c>
      <c r="L19" s="17">
        <f>MIN(E2:E365)</f>
        <v>0</v>
      </c>
    </row>
    <row r="20" spans="1:12" x14ac:dyDescent="0.5">
      <c r="A20" t="s">
        <v>20</v>
      </c>
      <c r="B20">
        <v>165</v>
      </c>
      <c r="D20" t="s">
        <v>14</v>
      </c>
      <c r="E20">
        <v>120</v>
      </c>
      <c r="H20" s="18" t="s">
        <v>2112</v>
      </c>
      <c r="I20" s="18">
        <f>MAX(B2:B566)</f>
        <v>7295</v>
      </c>
      <c r="J20" s="19"/>
      <c r="K20" s="18" t="s">
        <v>2112</v>
      </c>
      <c r="L20" s="18">
        <f>MAX(E2:E365)</f>
        <v>6080</v>
      </c>
    </row>
    <row r="21" spans="1:12" x14ac:dyDescent="0.5">
      <c r="A21" t="s">
        <v>20</v>
      </c>
      <c r="B21">
        <v>1965</v>
      </c>
      <c r="D21" t="s">
        <v>14</v>
      </c>
      <c r="E21">
        <v>2253</v>
      </c>
    </row>
    <row r="22" spans="1:12" x14ac:dyDescent="0.5">
      <c r="A22" t="s">
        <v>20</v>
      </c>
      <c r="B22">
        <v>16</v>
      </c>
      <c r="D22" t="s">
        <v>14</v>
      </c>
      <c r="E22">
        <v>5</v>
      </c>
    </row>
    <row r="23" spans="1:12" x14ac:dyDescent="0.5">
      <c r="A23" t="s">
        <v>20</v>
      </c>
      <c r="B23">
        <v>107</v>
      </c>
      <c r="D23" t="s">
        <v>14</v>
      </c>
      <c r="E23">
        <v>38</v>
      </c>
    </row>
    <row r="24" spans="1:12" x14ac:dyDescent="0.5">
      <c r="A24" t="s">
        <v>20</v>
      </c>
      <c r="B24">
        <v>134</v>
      </c>
      <c r="D24" t="s">
        <v>14</v>
      </c>
      <c r="E24">
        <v>12</v>
      </c>
    </row>
    <row r="25" spans="1:12" x14ac:dyDescent="0.5">
      <c r="A25" t="s">
        <v>20</v>
      </c>
      <c r="B25">
        <v>198</v>
      </c>
      <c r="D25" t="s">
        <v>14</v>
      </c>
      <c r="E25">
        <v>1684</v>
      </c>
    </row>
    <row r="26" spans="1:12" x14ac:dyDescent="0.5">
      <c r="A26" t="s">
        <v>20</v>
      </c>
      <c r="B26">
        <v>111</v>
      </c>
      <c r="D26" t="s">
        <v>14</v>
      </c>
      <c r="E26">
        <v>56</v>
      </c>
    </row>
    <row r="27" spans="1:12" x14ac:dyDescent="0.5">
      <c r="A27" t="s">
        <v>20</v>
      </c>
      <c r="B27">
        <v>222</v>
      </c>
      <c r="D27" t="s">
        <v>14</v>
      </c>
      <c r="E27">
        <v>838</v>
      </c>
    </row>
    <row r="28" spans="1:12" x14ac:dyDescent="0.5">
      <c r="A28" t="s">
        <v>20</v>
      </c>
      <c r="B28">
        <v>6212</v>
      </c>
      <c r="D28" t="s">
        <v>14</v>
      </c>
      <c r="E28">
        <v>1000</v>
      </c>
    </row>
    <row r="29" spans="1:12" x14ac:dyDescent="0.5">
      <c r="A29" t="s">
        <v>20</v>
      </c>
      <c r="B29">
        <v>98</v>
      </c>
      <c r="D29" t="s">
        <v>14</v>
      </c>
      <c r="E29">
        <v>1482</v>
      </c>
    </row>
    <row r="30" spans="1:12" x14ac:dyDescent="0.5">
      <c r="A30" t="s">
        <v>20</v>
      </c>
      <c r="B30">
        <v>92</v>
      </c>
      <c r="D30" t="s">
        <v>14</v>
      </c>
      <c r="E30">
        <v>106</v>
      </c>
    </row>
    <row r="31" spans="1:12" x14ac:dyDescent="0.5">
      <c r="A31" t="s">
        <v>20</v>
      </c>
      <c r="B31">
        <v>149</v>
      </c>
      <c r="D31" t="s">
        <v>14</v>
      </c>
      <c r="E31">
        <v>679</v>
      </c>
    </row>
    <row r="32" spans="1:12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1:D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28" sqref="C28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6875" style="7" bestFit="1" customWidth="1"/>
    <col min="8" max="8" width="13" bestFit="1" customWidth="1"/>
    <col min="9" max="9" width="15.625" bestFit="1" customWidth="1"/>
    <col min="12" max="13" width="11.1875" bestFit="1" customWidth="1"/>
    <col min="14" max="14" width="21.4375" style="11" bestFit="1" customWidth="1"/>
    <col min="15" max="15" width="20.0625" style="11" bestFit="1" customWidth="1"/>
    <col min="18" max="18" width="28" bestFit="1" customWidth="1"/>
    <col min="19" max="19" width="14.0625" bestFit="1" customWidth="1"/>
    <col min="20" max="20" width="13.68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4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ROUND((E2/D2)*100,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s="5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ROUND((E3/D3)*100, 0)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s="5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</v>
      </c>
      <c r="G4" t="s">
        <v>20</v>
      </c>
      <c r="H4">
        <v>1425</v>
      </c>
      <c r="I4">
        <f t="shared" ref="I4:I67" si="3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s="5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s="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s="5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s="5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s="5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s="5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s="5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s="5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s="5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s="5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s="5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s="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s="5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s="5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s="5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s="5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s="5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s="5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s="5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s="5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s="5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s="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s="5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s="5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s="5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s="5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s="5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s="5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s="5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s="5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s="5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s="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s="5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s="5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s="5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s="5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s="5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s="5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s="5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s="5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s="5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s="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s="5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s="5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s="5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s="5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s="5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s="5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s="5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s="5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s="5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s="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s="5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s="5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s="5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s="5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s="5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s="5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s="5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s="5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s="5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s="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s="5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ROUND((E67/D67)*100,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s="5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s="5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s="5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s="5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s="5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s="5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s="5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s="5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s="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s="5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s="5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s="5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s="5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s="5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s="5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s="5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s="5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s="5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s="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s="5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s="5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s="5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s="5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s="5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s="5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s="5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s="5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s="5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s="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s="5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s="5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s="5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s="5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s="5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s="5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s="5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s="5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s="5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s="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s="5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s="5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s="5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s="5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s="5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s="5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s="5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s="5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s="5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s="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s="5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s="5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s="5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s="5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s="5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s="5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s="5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s="5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s="5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s="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s="5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s="5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s="5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s="5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s="5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ROUND((E131/D131)*100,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s="5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s="5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s="5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s="5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s="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s="5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s="5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s="5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s="5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s="5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s="5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s="5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s="5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s="5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s="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s="5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s="5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s="5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s="5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s="5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s="5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s="5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s="5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s="5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s="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s="5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s="5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s="5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s="5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s="5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s="5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s="5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s="5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s="5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s="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s="5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s="5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s="5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s="5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s="5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s="5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s="5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s="5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s="5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s="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s="5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s="5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s="5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s="5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s="5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s="5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s="5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s="5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s="5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s="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s="5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s="5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s="5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s="5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s="5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s="5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s="5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s="5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s="5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ROUND((E195/D195)*100,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s="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123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s="5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s="5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s="5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s="5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s="5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s="5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s="5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s="5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s="5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s="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s="5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s="5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s="5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s="5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s="5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s="5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s="5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s="5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s="5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s="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s="5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s="5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s="5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s="5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s="5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s="5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s="5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s="5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s="5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s="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s="5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s="5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s="5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s="5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s="5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s="5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s="5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s="5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s="5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s="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s="5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s="5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s="5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s="5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s="5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s="5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s="5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s="5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s="5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s="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s="5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s="5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s="5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s="5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s="5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s="5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s="5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s="5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s="5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s="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s="5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s="5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s="5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ROUND((E259/D259)*100,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s="5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s="5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s="5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s="5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s="5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s="5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s="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s="5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s="5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s="5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s="5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s="5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s="5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s="5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s="5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s="5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s="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s="5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s="5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s="5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s="5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s="5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s="5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s="5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s="5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s="5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s="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s="5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s="5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s="5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s="5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s="5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s="5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s="5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s="5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s="5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s="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s="5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s="5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s="5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s="5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s="5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s="5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s="5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s="5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s="5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s="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s="5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s="5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s="5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s="5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s="5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s="5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s="5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s="5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s="5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s="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s="5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s="5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s="5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s="5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s="5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s="5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s="5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ROUND((E323/D323)*100,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s="5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167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s="5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s="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s="5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s="5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s="5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s="5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s="5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s="5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s="5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s="5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s="5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s="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s="5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s="5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s="5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s="5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s="5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s="5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s="5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s="5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s="5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s="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s="5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s="5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s="5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s="5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s="5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s="5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s="5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s="5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s="5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s="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s="5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s="5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s="5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s="5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s="5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s="5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s="5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s="5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s="5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s="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s="5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s="5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s="5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s="5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s="5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s="5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s="5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s="5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s="5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s="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s="5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s="5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s="5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s="5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s="5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s="5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s="5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s="5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s="5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s="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s="5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ROUND((E387/D387)*100,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s="5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s="5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s="5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s="5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s="5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s="5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s="5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s="5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s="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s="5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s="5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s="5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s="5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s="5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s="5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s="5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s="5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s="5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s="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s="5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s="5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s="5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s="5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s="5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s="5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s="5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s="5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s="5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s="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s="5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s="5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s="5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s="5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s="5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s="5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s="5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s="5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s="5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s="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s="5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s="5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s="5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s="5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s="5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s="5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s="5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s="5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s="5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s="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s="5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s="5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s="5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s="5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s="5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s="5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s="5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s="5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s="5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s="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s="5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s="5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s="5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s="5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s="5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ROUND((E451/D451)*100,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s="5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s="5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s="5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s="5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s="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s="5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s="5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s="5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s="5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s="5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s="5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s="5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s="5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s="5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s="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s="5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s="5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s="5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s="5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s="5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s="5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s="5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s="5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s="5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s="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s="5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s="5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s="5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s="5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s="5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s="5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s="5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s="5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s="5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s="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s="5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s="5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s="5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s="5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s="5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s="5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s="5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s="5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s="5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s="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s="5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s="5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s="5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s="5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s="5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s="5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s="5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s="5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s="5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s="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s="5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s="5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s="5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s="5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s="5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s="5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s="5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s="5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s="5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ROUND((E515/D515)*100,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s="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s="5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s="5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s="5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s="5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s="5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s="5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s="5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s="5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s="5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s="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s="5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s="5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s="5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s="5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s="5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s="5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s="5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s="5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s="5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s="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s="5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s="5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s="5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s="5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s="5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s="5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s="5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s="5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s="5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s="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s="5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s="5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s="5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s="5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s="5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s="5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s="5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s="5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s="5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s="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s="5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s="5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s="5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s="5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s="5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s="5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s="5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s="5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s="5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s="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s="5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s="5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s="5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s="5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s="5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s="5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s="5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s="5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s="5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s="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s="5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s="5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s="5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ROUND((E579/D579)*100,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s="5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17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s="5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s="5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s="5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s="5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s="5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s="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s="5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s="5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s="5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s="5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s="5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s="5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s="5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s="5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s="5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s="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s="5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s="5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s="5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s="5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s="5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s="5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s="5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s="5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s="5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s="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s="5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s="5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s="5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s="5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s="5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s="5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s="5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s="5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s="5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s="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s="5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s="5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s="5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s="5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s="5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s="5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s="5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s="5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s="5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s="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s="5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s="5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s="5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s="5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s="5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s="5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s="5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s="5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s="5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s="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s="5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s="5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s="5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s="5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s="5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s="5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s="5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ROUND((E643/D643)*100,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s="5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s="5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s="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s="5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s="5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s="5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s="5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s="5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s="5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s="5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s="5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s="5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s="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s="5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s="5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s="5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s="5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s="5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s="5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s="5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s="5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s="5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s="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s="5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s="5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s="5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s="5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s="5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s="5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s="5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s="5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s="5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s="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s="5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s="5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s="5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s="5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s="5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s="5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s="5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s="5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s="5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s="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s="5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s="5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s="5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s="5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s="5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s="5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s="5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s="5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s="5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s="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s="5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s="5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s="5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s="5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s="5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s="5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s="5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s="5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s="5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s="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s="5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ROUND((E707/D707)*100,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s="5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128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s="5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s="5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s="5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s="5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s="5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s="5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s="5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s="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s="5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s="5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s="5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s="5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s="5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s="5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s="5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s="5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s="5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s="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s="5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s="5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s="5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s="5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s="5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s="5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s="5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s="5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s="5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s="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s="5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s="5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s="5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s="5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s="5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s="5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s="5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s="5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s="5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s="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s="5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s="5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s="5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s="5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s="5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s="5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s="5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s="5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s="5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s="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s="5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s="5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s="5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s="5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s="5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s="5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s="5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s="5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s="5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s="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s="5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s="5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s="5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s="5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s="5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ROUND((E771/D771)*100,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s="5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271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s="5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s="5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s="5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s="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s="5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s="5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s="5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s="5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s="5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s="5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s="5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s="5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s="5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s="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s="5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s="5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s="5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s="5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s="5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s="5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s="5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s="5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s="5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s="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s="5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s="5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s="5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s="5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s="5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s="5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s="5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s="5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s="5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s="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s="5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s="5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s="5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s="5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s="5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s="5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s="5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s="5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s="5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s="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s="5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s="5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s="5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s="5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s="5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s="5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s="5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s="5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s="5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s="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s="5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s="5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s="5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s="5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s="5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s="5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s="5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s="5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s="5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ROUND((E835/D835)*100,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s="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154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s="5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s="5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s="5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s="5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s="5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s="5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s="5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s="5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s="5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s="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s="5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s="5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s="5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s="5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s="5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s="5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s="5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s="5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s="5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s="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s="5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s="5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s="5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s="5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s="5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s="5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s="5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s="5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s="5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s="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s="5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s="5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s="5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s="5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s="5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s="5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s="5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s="5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s="5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s="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s="5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s="5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s="5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s="5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s="5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s="5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s="5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s="5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s="5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s="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s="5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s="5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s="5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s="5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s="5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s="5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s="5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s="5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s="5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s="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s="5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s="5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s="5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ROUND((E899/D899)*100,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s="5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s="5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s="5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s="5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s="5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s="5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s="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s="5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s="5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s="5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s="5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s="5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s="5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s="5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s="5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s="5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s="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s="5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s="5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s="5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s="5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s="5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s="5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s="5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s="5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s="5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s="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s="5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s="5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s="5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s="5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s="5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s="5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s="5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s="5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s="5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s="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s="5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s="5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s="5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s="5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s="5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s="5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s="5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s="5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s="5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s="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s="5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s="5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s="5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s="5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s="5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s="5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s="5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s="5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s="5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s="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s="5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s="5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s="5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s="5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s="5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s="5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s="5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ROUND((E963/D963)*100,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s="5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s="5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s="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s="5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s="5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s="5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s="5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s="5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s="5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s="5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s="5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s="5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s="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s="5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s="5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s="5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s="5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s="5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s="5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s="5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s="5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s="5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s="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s="5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s="5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s="5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s="5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s="5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s="5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s="5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s="5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s="5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s="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s="5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s="5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s="5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s="5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s="5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s="5" t="s">
        <v>2034</v>
      </c>
    </row>
  </sheetData>
  <autoFilter ref="A1:T1001" xr:uid="{00000000-0001-0000-0000-000000000000}"/>
  <conditionalFormatting sqref="G1:G1048576">
    <cfRule type="cellIs" dxfId="3" priority="6" operator="equal">
      <formula>"live"</formula>
    </cfRule>
    <cfRule type="cellIs" dxfId="2" priority="7" operator="equal">
      <formula>"canceled"</formula>
    </cfRule>
    <cfRule type="cellIs" dxfId="1" priority="8" operator="equal">
      <formula>"successful"</formula>
    </cfRule>
    <cfRule type="cellIs" dxfId="0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CF Goal Analysis</vt:lpstr>
      <vt:lpstr>Stats Analysis</vt:lpstr>
      <vt:lpstr>Crowdfunding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Crystal Rosenbrook</cp:lastModifiedBy>
  <dcterms:created xsi:type="dcterms:W3CDTF">2021-09-29T18:52:28Z</dcterms:created>
  <dcterms:modified xsi:type="dcterms:W3CDTF">2023-04-08T21:30:25Z</dcterms:modified>
</cp:coreProperties>
</file>